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mc:AlternateContent xmlns:mc="http://schemas.openxmlformats.org/markup-compatibility/2006">
    <mc:Choice Requires="x15">
      <x15ac:absPath xmlns:x15ac="http://schemas.microsoft.com/office/spreadsheetml/2010/11/ac" url="https://regis365-my.sharepoint.com/personal/gmujtaba_regis_edu/Documents/Regis University Data/MSDS640_slides/week_3/"/>
    </mc:Choice>
  </mc:AlternateContent>
  <xr:revisionPtr revIDLastSave="2" documentId="11_8EF701187E667D984CC43BE1910E0032A09F419C" xr6:coauthVersionLast="47" xr6:coauthVersionMax="47" xr10:uidLastSave="{AC8F40E4-199A-417A-9D26-F74A21CD35E9}"/>
  <bookViews>
    <workbookView xWindow="-28920" yWindow="-1425" windowWidth="29040" windowHeight="15990" activeTab="1" xr2:uid="{00000000-000D-0000-FFFF-FFFF00000000}"/>
  </bookViews>
  <sheets>
    <sheet name="Reviewed" sheetId="1" r:id="rId1"/>
    <sheet name="All Submissions" sheetId="2" r:id="rId2"/>
    <sheet name="About" sheetId="3" r:id="rId3"/>
    <sheet name="Old 1" sheetId="4" state="hidden" r:id="rId4"/>
  </sheets>
  <definedNames>
    <definedName name="_xlnm._FilterDatabase" localSheetId="1" hidden="1">'All Submissions'!$A$1:$X$989</definedName>
    <definedName name="_xlnm._FilterDatabase" localSheetId="0" hidden="1">Reviewed!$A$1:$Z$426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T1552" i="2" l="1"/>
  <c r="S1552" i="2"/>
  <c r="R1552" i="2"/>
  <c r="O1552" i="2"/>
  <c r="N1552" i="2"/>
  <c r="L1552" i="2"/>
  <c r="J1552" i="2"/>
  <c r="I1552" i="2"/>
  <c r="H1552" i="2"/>
  <c r="G1552" i="2"/>
  <c r="F1552" i="2"/>
  <c r="E1552" i="2"/>
  <c r="D1552" i="2"/>
  <c r="C1552" i="2"/>
  <c r="B1552" i="2"/>
  <c r="A1552" i="2"/>
  <c r="T1551" i="2"/>
  <c r="R1551" i="2"/>
  <c r="Q1551" i="2"/>
  <c r="P1551" i="2"/>
  <c r="O1551" i="2"/>
  <c r="N1551" i="2"/>
  <c r="M1551" i="2"/>
  <c r="L1551" i="2"/>
  <c r="K1551" i="2"/>
  <c r="J1551" i="2"/>
  <c r="I1551" i="2"/>
  <c r="H1551" i="2"/>
  <c r="G1551" i="2"/>
  <c r="F1551" i="2"/>
  <c r="E1551" i="2"/>
  <c r="D1551" i="2"/>
  <c r="C1551" i="2"/>
  <c r="B1551" i="2"/>
  <c r="A1551" i="2"/>
  <c r="T1550" i="2"/>
  <c r="O1550" i="2"/>
  <c r="N1550" i="2"/>
  <c r="M1550" i="2"/>
  <c r="J1550" i="2"/>
  <c r="I1550" i="2"/>
  <c r="H1550" i="2"/>
  <c r="G1550" i="2"/>
  <c r="F1550" i="2"/>
  <c r="E1550" i="2"/>
  <c r="D1550" i="2"/>
  <c r="C1550" i="2"/>
  <c r="B1550" i="2"/>
  <c r="A1550" i="2"/>
  <c r="R1549" i="2"/>
  <c r="O1549" i="2"/>
  <c r="N1549" i="2"/>
  <c r="M1549" i="2"/>
  <c r="L1549" i="2"/>
  <c r="J1549" i="2"/>
  <c r="I1549" i="2"/>
  <c r="H1549" i="2"/>
  <c r="G1549" i="2"/>
  <c r="F1549" i="2"/>
  <c r="E1549" i="2"/>
  <c r="D1549" i="2"/>
  <c r="C1549" i="2"/>
  <c r="B1549" i="2"/>
  <c r="A1549" i="2"/>
  <c r="T1548" i="2"/>
  <c r="P1548" i="2"/>
  <c r="O1548" i="2"/>
  <c r="N1548" i="2"/>
  <c r="M1548" i="2"/>
  <c r="K1548" i="2"/>
  <c r="J1548" i="2"/>
  <c r="I1548" i="2"/>
  <c r="H1548" i="2"/>
  <c r="G1548" i="2"/>
  <c r="F1548" i="2"/>
  <c r="E1548" i="2"/>
  <c r="D1548" i="2"/>
  <c r="C1548" i="2"/>
  <c r="B1548" i="2"/>
  <c r="A1548" i="2"/>
  <c r="T1547" i="2"/>
  <c r="O1547" i="2"/>
  <c r="N1547" i="2"/>
  <c r="M1547" i="2"/>
  <c r="L1547" i="2"/>
  <c r="J1547" i="2"/>
  <c r="I1547" i="2"/>
  <c r="H1547" i="2"/>
  <c r="G1547" i="2"/>
  <c r="F1547" i="2"/>
  <c r="E1547" i="2"/>
  <c r="D1547" i="2"/>
  <c r="C1547" i="2"/>
  <c r="B1547" i="2"/>
  <c r="A1547" i="2"/>
  <c r="T1546" i="2"/>
  <c r="Q1546" i="2"/>
  <c r="O1546" i="2"/>
  <c r="N1546" i="2"/>
  <c r="K1546" i="2"/>
  <c r="J1546" i="2"/>
  <c r="I1546" i="2"/>
  <c r="H1546" i="2"/>
  <c r="G1546" i="2"/>
  <c r="F1546" i="2"/>
  <c r="E1546" i="2"/>
  <c r="D1546" i="2"/>
  <c r="C1546" i="2"/>
  <c r="B1546" i="2"/>
  <c r="A1546" i="2"/>
  <c r="T1545" i="2"/>
  <c r="Q1545" i="2"/>
  <c r="P1545" i="2"/>
  <c r="O1545" i="2"/>
  <c r="N1545" i="2"/>
  <c r="K1545" i="2"/>
  <c r="J1545" i="2"/>
  <c r="I1545" i="2"/>
  <c r="H1545" i="2"/>
  <c r="G1545" i="2"/>
  <c r="F1545" i="2"/>
  <c r="E1545" i="2"/>
  <c r="D1545" i="2"/>
  <c r="C1545" i="2"/>
  <c r="B1545" i="2"/>
  <c r="A1545" i="2"/>
  <c r="T1544" i="2"/>
  <c r="P1544" i="2"/>
  <c r="O1544" i="2"/>
  <c r="N1544" i="2"/>
  <c r="K1544" i="2"/>
  <c r="J1544" i="2"/>
  <c r="I1544" i="2"/>
  <c r="H1544" i="2"/>
  <c r="G1544" i="2"/>
  <c r="F1544" i="2"/>
  <c r="E1544" i="2"/>
  <c r="D1544" i="2"/>
  <c r="C1544" i="2"/>
  <c r="B1544" i="2"/>
  <c r="A1544" i="2"/>
  <c r="T1543" i="2"/>
  <c r="O1543" i="2"/>
  <c r="N1543" i="2"/>
  <c r="J1543" i="2"/>
  <c r="I1543" i="2"/>
  <c r="H1543" i="2"/>
  <c r="G1543" i="2"/>
  <c r="F1543" i="2"/>
  <c r="E1543" i="2"/>
  <c r="D1543" i="2"/>
  <c r="C1543" i="2"/>
  <c r="B1543" i="2"/>
  <c r="A1543" i="2"/>
  <c r="O1542" i="2"/>
  <c r="N1542" i="2"/>
  <c r="J1542" i="2"/>
  <c r="I1542" i="2"/>
  <c r="H1542" i="2"/>
  <c r="G1542" i="2"/>
  <c r="F1542" i="2"/>
  <c r="E1542" i="2"/>
  <c r="D1542" i="2"/>
  <c r="C1542" i="2"/>
  <c r="B1542" i="2"/>
  <c r="A1542" i="2"/>
  <c r="T1541" i="2"/>
  <c r="R1541" i="2"/>
  <c r="O1541" i="2"/>
  <c r="N1541" i="2"/>
  <c r="L1541" i="2"/>
  <c r="J1541" i="2"/>
  <c r="I1541" i="2"/>
  <c r="H1541" i="2"/>
  <c r="G1541" i="2"/>
  <c r="F1541" i="2"/>
  <c r="E1541" i="2"/>
  <c r="D1541" i="2"/>
  <c r="C1541" i="2"/>
  <c r="B1541" i="2"/>
  <c r="A1541" i="2"/>
  <c r="P1540" i="2"/>
  <c r="O1540" i="2"/>
  <c r="N1540" i="2"/>
  <c r="M1540" i="2"/>
  <c r="J1540" i="2"/>
  <c r="I1540" i="2"/>
  <c r="H1540" i="2"/>
  <c r="G1540" i="2"/>
  <c r="F1540" i="2"/>
  <c r="E1540" i="2"/>
  <c r="D1540" i="2"/>
  <c r="C1540" i="2"/>
  <c r="B1540" i="2"/>
  <c r="A1540" i="2"/>
  <c r="T1539" i="2"/>
  <c r="S1539" i="2"/>
  <c r="R1539" i="2"/>
  <c r="Q1539" i="2"/>
  <c r="P1539" i="2"/>
  <c r="O1539" i="2"/>
  <c r="N1539" i="2"/>
  <c r="M1539" i="2"/>
  <c r="L1539" i="2"/>
  <c r="K1539" i="2"/>
  <c r="J1539" i="2"/>
  <c r="I1539" i="2"/>
  <c r="H1539" i="2"/>
  <c r="G1539" i="2"/>
  <c r="F1539" i="2"/>
  <c r="E1539" i="2"/>
  <c r="D1539" i="2"/>
  <c r="C1539" i="2"/>
  <c r="B1539" i="2"/>
  <c r="A1539" i="2"/>
  <c r="T1538" i="2"/>
  <c r="R1538" i="2"/>
  <c r="O1538" i="2"/>
  <c r="N1538" i="2"/>
  <c r="L1538" i="2"/>
  <c r="J1538" i="2"/>
  <c r="I1538" i="2"/>
  <c r="H1538" i="2"/>
  <c r="G1538" i="2"/>
  <c r="F1538" i="2"/>
  <c r="E1538" i="2"/>
  <c r="D1538" i="2"/>
  <c r="C1538" i="2"/>
  <c r="B1538" i="2"/>
  <c r="A1538" i="2"/>
  <c r="T1537" i="2"/>
  <c r="P1537" i="2"/>
  <c r="O1537" i="2"/>
  <c r="N1537" i="2"/>
  <c r="K1537" i="2"/>
  <c r="J1537" i="2"/>
  <c r="I1537" i="2"/>
  <c r="H1537" i="2"/>
  <c r="G1537" i="2"/>
  <c r="F1537" i="2"/>
  <c r="E1537" i="2"/>
  <c r="D1537" i="2"/>
  <c r="C1537" i="2"/>
  <c r="B1537" i="2"/>
  <c r="A1537" i="2"/>
  <c r="T1536" i="2"/>
  <c r="P1536" i="2"/>
  <c r="O1536" i="2"/>
  <c r="N1536" i="2"/>
  <c r="K1536" i="2"/>
  <c r="J1536" i="2"/>
  <c r="I1536" i="2"/>
  <c r="H1536" i="2"/>
  <c r="G1536" i="2"/>
  <c r="F1536" i="2"/>
  <c r="E1536" i="2"/>
  <c r="D1536" i="2"/>
  <c r="C1536" i="2"/>
  <c r="B1536" i="2"/>
  <c r="A1536" i="2"/>
  <c r="T1535" i="2"/>
  <c r="P1535" i="2"/>
  <c r="O1535" i="2"/>
  <c r="N1535" i="2"/>
  <c r="K1535" i="2"/>
  <c r="J1535" i="2"/>
  <c r="I1535" i="2"/>
  <c r="H1535" i="2"/>
  <c r="G1535" i="2"/>
  <c r="F1535" i="2"/>
  <c r="E1535" i="2"/>
  <c r="D1535" i="2"/>
  <c r="C1535" i="2"/>
  <c r="B1535" i="2"/>
  <c r="A1535" i="2"/>
  <c r="T1534" i="2"/>
  <c r="P1534" i="2"/>
  <c r="O1534" i="2"/>
  <c r="N1534" i="2"/>
  <c r="M1534" i="2"/>
  <c r="K1534" i="2"/>
  <c r="J1534" i="2"/>
  <c r="I1534" i="2"/>
  <c r="H1534" i="2"/>
  <c r="G1534" i="2"/>
  <c r="F1534" i="2"/>
  <c r="E1534" i="2"/>
  <c r="D1534" i="2"/>
  <c r="C1534" i="2"/>
  <c r="B1534" i="2"/>
  <c r="A1534" i="2"/>
  <c r="T1533" i="2"/>
  <c r="S1533" i="2"/>
  <c r="R1533" i="2"/>
  <c r="Q1533" i="2"/>
  <c r="P1533" i="2"/>
  <c r="O1533" i="2"/>
  <c r="N1533" i="2"/>
  <c r="M1533" i="2"/>
  <c r="L1533" i="2"/>
  <c r="K1533" i="2"/>
  <c r="J1533" i="2"/>
  <c r="I1533" i="2"/>
  <c r="H1533" i="2"/>
  <c r="G1533" i="2"/>
  <c r="F1533" i="2"/>
  <c r="E1533" i="2"/>
  <c r="D1533" i="2"/>
  <c r="C1533" i="2"/>
  <c r="B1533" i="2"/>
  <c r="A1533" i="2"/>
  <c r="T1532" i="2"/>
  <c r="O1532" i="2"/>
  <c r="N1532" i="2"/>
  <c r="J1532" i="2"/>
  <c r="I1532" i="2"/>
  <c r="H1532" i="2"/>
  <c r="G1532" i="2"/>
  <c r="F1532" i="2"/>
  <c r="E1532" i="2"/>
  <c r="D1532" i="2"/>
  <c r="C1532" i="2"/>
  <c r="B1532" i="2"/>
  <c r="A1532" i="2"/>
  <c r="S1531" i="2"/>
  <c r="R1531" i="2"/>
  <c r="Q1531" i="2"/>
  <c r="P1531" i="2"/>
  <c r="O1531" i="2"/>
  <c r="N1531" i="2"/>
  <c r="M1531" i="2"/>
  <c r="L1531" i="2"/>
  <c r="K1531" i="2"/>
  <c r="J1531" i="2"/>
  <c r="I1531" i="2"/>
  <c r="H1531" i="2"/>
  <c r="G1531" i="2"/>
  <c r="F1531" i="2"/>
  <c r="E1531" i="2"/>
  <c r="D1531" i="2"/>
  <c r="C1531" i="2"/>
  <c r="B1531" i="2"/>
  <c r="A1531" i="2"/>
  <c r="T1530" i="2"/>
  <c r="O1530" i="2"/>
  <c r="N1530" i="2"/>
  <c r="M1530" i="2"/>
  <c r="J1530" i="2"/>
  <c r="I1530" i="2"/>
  <c r="H1530" i="2"/>
  <c r="G1530" i="2"/>
  <c r="F1530" i="2"/>
  <c r="E1530" i="2"/>
  <c r="D1530" i="2"/>
  <c r="C1530" i="2"/>
  <c r="B1530" i="2"/>
  <c r="A1530" i="2"/>
  <c r="T1529" i="2"/>
  <c r="P1529" i="2"/>
  <c r="O1529" i="2"/>
  <c r="N1529" i="2"/>
  <c r="K1529" i="2"/>
  <c r="J1529" i="2"/>
  <c r="I1529" i="2"/>
  <c r="H1529" i="2"/>
  <c r="G1529" i="2"/>
  <c r="F1529" i="2"/>
  <c r="E1529" i="2"/>
  <c r="D1529" i="2"/>
  <c r="C1529" i="2"/>
  <c r="B1529" i="2"/>
  <c r="A1529" i="2"/>
  <c r="S1528" i="2"/>
  <c r="R1528" i="2"/>
  <c r="P1528" i="2"/>
  <c r="O1528" i="2"/>
  <c r="N1528" i="2"/>
  <c r="M1528" i="2"/>
  <c r="L1528" i="2"/>
  <c r="K1528" i="2"/>
  <c r="J1528" i="2"/>
  <c r="I1528" i="2"/>
  <c r="H1528" i="2"/>
  <c r="G1528" i="2"/>
  <c r="F1528" i="2"/>
  <c r="E1528" i="2"/>
  <c r="D1528" i="2"/>
  <c r="C1528" i="2"/>
  <c r="B1528" i="2"/>
  <c r="A1528" i="2"/>
  <c r="S1527" i="2"/>
  <c r="R1527" i="2"/>
  <c r="O1527" i="2"/>
  <c r="N1527" i="2"/>
  <c r="M1527" i="2"/>
  <c r="L1527" i="2"/>
  <c r="J1527" i="2"/>
  <c r="I1527" i="2"/>
  <c r="H1527" i="2"/>
  <c r="G1527" i="2"/>
  <c r="F1527" i="2"/>
  <c r="E1527" i="2"/>
  <c r="D1527" i="2"/>
  <c r="C1527" i="2"/>
  <c r="B1527" i="2"/>
  <c r="A1527" i="2"/>
  <c r="T1526" i="2"/>
  <c r="Q1526" i="2"/>
  <c r="P1526" i="2"/>
  <c r="O1526" i="2"/>
  <c r="N1526" i="2"/>
  <c r="K1526" i="2"/>
  <c r="J1526" i="2"/>
  <c r="I1526" i="2"/>
  <c r="H1526" i="2"/>
  <c r="G1526" i="2"/>
  <c r="F1526" i="2"/>
  <c r="E1526" i="2"/>
  <c r="D1526" i="2"/>
  <c r="C1526" i="2"/>
  <c r="B1526" i="2"/>
  <c r="A1526" i="2"/>
  <c r="T1525" i="2"/>
  <c r="Q1525" i="2"/>
  <c r="P1525" i="2"/>
  <c r="O1525" i="2"/>
  <c r="N1525" i="2"/>
  <c r="K1525" i="2"/>
  <c r="J1525" i="2"/>
  <c r="I1525" i="2"/>
  <c r="H1525" i="2"/>
  <c r="G1525" i="2"/>
  <c r="F1525" i="2"/>
  <c r="E1525" i="2"/>
  <c r="D1525" i="2"/>
  <c r="C1525" i="2"/>
  <c r="B1525" i="2"/>
  <c r="A1525" i="2"/>
  <c r="T1524" i="2"/>
  <c r="O1524" i="2"/>
  <c r="N1524" i="2"/>
  <c r="L1524" i="2"/>
  <c r="J1524" i="2"/>
  <c r="I1524" i="2"/>
  <c r="H1524" i="2"/>
  <c r="G1524" i="2"/>
  <c r="F1524" i="2"/>
  <c r="E1524" i="2"/>
  <c r="D1524" i="2"/>
  <c r="C1524" i="2"/>
  <c r="B1524" i="2"/>
  <c r="A1524" i="2"/>
  <c r="T1523" i="2"/>
  <c r="R1523" i="2"/>
  <c r="O1523" i="2"/>
  <c r="N1523" i="2"/>
  <c r="L1523" i="2"/>
  <c r="J1523" i="2"/>
  <c r="I1523" i="2"/>
  <c r="H1523" i="2"/>
  <c r="G1523" i="2"/>
  <c r="F1523" i="2"/>
  <c r="E1523" i="2"/>
  <c r="D1523" i="2"/>
  <c r="C1523" i="2"/>
  <c r="B1523" i="2"/>
  <c r="A1523" i="2"/>
  <c r="T1522" i="2"/>
  <c r="P1522" i="2"/>
  <c r="O1522" i="2"/>
  <c r="N1522" i="2"/>
  <c r="K1522" i="2"/>
  <c r="J1522" i="2"/>
  <c r="I1522" i="2"/>
  <c r="H1522" i="2"/>
  <c r="G1522" i="2"/>
  <c r="F1522" i="2"/>
  <c r="E1522" i="2"/>
  <c r="D1522" i="2"/>
  <c r="C1522" i="2"/>
  <c r="B1522" i="2"/>
  <c r="A1522" i="2"/>
  <c r="T1521" i="2"/>
  <c r="O1521" i="2"/>
  <c r="N1521" i="2"/>
  <c r="K1521" i="2"/>
  <c r="J1521" i="2"/>
  <c r="I1521" i="2"/>
  <c r="H1521" i="2"/>
  <c r="G1521" i="2"/>
  <c r="F1521" i="2"/>
  <c r="E1521" i="2"/>
  <c r="D1521" i="2"/>
  <c r="C1521" i="2"/>
  <c r="B1521" i="2"/>
  <c r="A1521" i="2"/>
  <c r="T1520" i="2"/>
  <c r="P1520" i="2"/>
  <c r="O1520" i="2"/>
  <c r="N1520" i="2"/>
  <c r="K1520" i="2"/>
  <c r="J1520" i="2"/>
  <c r="I1520" i="2"/>
  <c r="H1520" i="2"/>
  <c r="G1520" i="2"/>
  <c r="F1520" i="2"/>
  <c r="E1520" i="2"/>
  <c r="D1520" i="2"/>
  <c r="C1520" i="2"/>
  <c r="B1520" i="2"/>
  <c r="A1520" i="2"/>
  <c r="T1519" i="2"/>
  <c r="P1519" i="2"/>
  <c r="O1519" i="2"/>
  <c r="N1519" i="2"/>
  <c r="K1519" i="2"/>
  <c r="J1519" i="2"/>
  <c r="I1519" i="2"/>
  <c r="H1519" i="2"/>
  <c r="G1519" i="2"/>
  <c r="F1519" i="2"/>
  <c r="E1519" i="2"/>
  <c r="D1519" i="2"/>
  <c r="C1519" i="2"/>
  <c r="B1519" i="2"/>
  <c r="A1519" i="2"/>
  <c r="T1518" i="2"/>
  <c r="P1518" i="2"/>
  <c r="O1518" i="2"/>
  <c r="N1518" i="2"/>
  <c r="K1518" i="2"/>
  <c r="J1518" i="2"/>
  <c r="I1518" i="2"/>
  <c r="H1518" i="2"/>
  <c r="G1518" i="2"/>
  <c r="F1518" i="2"/>
  <c r="E1518" i="2"/>
  <c r="D1518" i="2"/>
  <c r="C1518" i="2"/>
  <c r="B1518" i="2"/>
  <c r="A1518" i="2"/>
  <c r="Q1517" i="2"/>
  <c r="P1517" i="2"/>
  <c r="O1517" i="2"/>
  <c r="N1517" i="2"/>
  <c r="M1517" i="2"/>
  <c r="K1517" i="2"/>
  <c r="J1517" i="2"/>
  <c r="I1517" i="2"/>
  <c r="H1517" i="2"/>
  <c r="G1517" i="2"/>
  <c r="F1517" i="2"/>
  <c r="E1517" i="2"/>
  <c r="D1517" i="2"/>
  <c r="C1517" i="2"/>
  <c r="B1517" i="2"/>
  <c r="A1517" i="2"/>
  <c r="T1516" i="2"/>
  <c r="P1516" i="2"/>
  <c r="O1516" i="2"/>
  <c r="N1516" i="2"/>
  <c r="K1516" i="2"/>
  <c r="J1516" i="2"/>
  <c r="I1516" i="2"/>
  <c r="H1516" i="2"/>
  <c r="G1516" i="2"/>
  <c r="F1516" i="2"/>
  <c r="E1516" i="2"/>
  <c r="D1516" i="2"/>
  <c r="C1516" i="2"/>
  <c r="B1516" i="2"/>
  <c r="A1516" i="2"/>
  <c r="T1515" i="2"/>
  <c r="S1515" i="2"/>
  <c r="R1515" i="2"/>
  <c r="P1515" i="2"/>
  <c r="O1515" i="2"/>
  <c r="N1515" i="2"/>
  <c r="M1515" i="2"/>
  <c r="L1515" i="2"/>
  <c r="K1515" i="2"/>
  <c r="J1515" i="2"/>
  <c r="I1515" i="2"/>
  <c r="H1515" i="2"/>
  <c r="G1515" i="2"/>
  <c r="F1515" i="2"/>
  <c r="E1515" i="2"/>
  <c r="D1515" i="2"/>
  <c r="C1515" i="2"/>
  <c r="B1515" i="2"/>
  <c r="A1515" i="2"/>
  <c r="T1514" i="2"/>
  <c r="P1514" i="2"/>
  <c r="O1514" i="2"/>
  <c r="N1514" i="2"/>
  <c r="K1514" i="2"/>
  <c r="J1514" i="2"/>
  <c r="I1514" i="2"/>
  <c r="H1514" i="2"/>
  <c r="G1514" i="2"/>
  <c r="F1514" i="2"/>
  <c r="E1514" i="2"/>
  <c r="D1514" i="2"/>
  <c r="C1514" i="2"/>
  <c r="B1514" i="2"/>
  <c r="A1514" i="2"/>
  <c r="T1513" i="2"/>
  <c r="P1513" i="2"/>
  <c r="O1513" i="2"/>
  <c r="N1513" i="2"/>
  <c r="K1513" i="2"/>
  <c r="J1513" i="2"/>
  <c r="I1513" i="2"/>
  <c r="H1513" i="2"/>
  <c r="G1513" i="2"/>
  <c r="F1513" i="2"/>
  <c r="E1513" i="2"/>
  <c r="D1513" i="2"/>
  <c r="C1513" i="2"/>
  <c r="B1513" i="2"/>
  <c r="A1513" i="2"/>
  <c r="T1512" i="2"/>
  <c r="P1512" i="2"/>
  <c r="O1512" i="2"/>
  <c r="N1512" i="2"/>
  <c r="K1512" i="2"/>
  <c r="J1512" i="2"/>
  <c r="I1512" i="2"/>
  <c r="H1512" i="2"/>
  <c r="G1512" i="2"/>
  <c r="F1512" i="2"/>
  <c r="E1512" i="2"/>
  <c r="D1512" i="2"/>
  <c r="C1512" i="2"/>
  <c r="B1512" i="2"/>
  <c r="A1512" i="2"/>
  <c r="T1511" i="2"/>
  <c r="P1511" i="2"/>
  <c r="O1511" i="2"/>
  <c r="N1511" i="2"/>
  <c r="K1511" i="2"/>
  <c r="J1511" i="2"/>
  <c r="I1511" i="2"/>
  <c r="H1511" i="2"/>
  <c r="G1511" i="2"/>
  <c r="F1511" i="2"/>
  <c r="E1511" i="2"/>
  <c r="D1511" i="2"/>
  <c r="C1511" i="2"/>
  <c r="B1511" i="2"/>
  <c r="A1511" i="2"/>
  <c r="T1510" i="2"/>
  <c r="P1510" i="2"/>
  <c r="O1510" i="2"/>
  <c r="N1510" i="2"/>
  <c r="K1510" i="2"/>
  <c r="J1510" i="2"/>
  <c r="I1510" i="2"/>
  <c r="H1510" i="2"/>
  <c r="G1510" i="2"/>
  <c r="F1510" i="2"/>
  <c r="E1510" i="2"/>
  <c r="D1510" i="2"/>
  <c r="C1510" i="2"/>
  <c r="B1510" i="2"/>
  <c r="A1510" i="2"/>
  <c r="T1509" i="2"/>
  <c r="P1509" i="2"/>
  <c r="O1509" i="2"/>
  <c r="N1509" i="2"/>
  <c r="K1509" i="2"/>
  <c r="J1509" i="2"/>
  <c r="I1509" i="2"/>
  <c r="H1509" i="2"/>
  <c r="G1509" i="2"/>
  <c r="F1509" i="2"/>
  <c r="E1509" i="2"/>
  <c r="D1509" i="2"/>
  <c r="C1509" i="2"/>
  <c r="B1509" i="2"/>
  <c r="A1509" i="2"/>
  <c r="T1508" i="2"/>
  <c r="P1508" i="2"/>
  <c r="O1508" i="2"/>
  <c r="N1508" i="2"/>
  <c r="K1508" i="2"/>
  <c r="J1508" i="2"/>
  <c r="I1508" i="2"/>
  <c r="H1508" i="2"/>
  <c r="G1508" i="2"/>
  <c r="F1508" i="2"/>
  <c r="E1508" i="2"/>
  <c r="D1508" i="2"/>
  <c r="C1508" i="2"/>
  <c r="B1508" i="2"/>
  <c r="A1508" i="2"/>
  <c r="T1507" i="2"/>
  <c r="P1507" i="2"/>
  <c r="O1507" i="2"/>
  <c r="N1507" i="2"/>
  <c r="K1507" i="2"/>
  <c r="J1507" i="2"/>
  <c r="I1507" i="2"/>
  <c r="H1507" i="2"/>
  <c r="G1507" i="2"/>
  <c r="F1507" i="2"/>
  <c r="E1507" i="2"/>
  <c r="D1507" i="2"/>
  <c r="C1507" i="2"/>
  <c r="B1507" i="2"/>
  <c r="A1507" i="2"/>
  <c r="T1506" i="2"/>
  <c r="P1506" i="2"/>
  <c r="O1506" i="2"/>
  <c r="N1506" i="2"/>
  <c r="K1506" i="2"/>
  <c r="J1506" i="2"/>
  <c r="I1506" i="2"/>
  <c r="H1506" i="2"/>
  <c r="G1506" i="2"/>
  <c r="F1506" i="2"/>
  <c r="E1506" i="2"/>
  <c r="D1506" i="2"/>
  <c r="C1506" i="2"/>
  <c r="B1506" i="2"/>
  <c r="A1506" i="2"/>
  <c r="T1505" i="2"/>
  <c r="P1505" i="2"/>
  <c r="O1505" i="2"/>
  <c r="N1505" i="2"/>
  <c r="K1505" i="2"/>
  <c r="J1505" i="2"/>
  <c r="I1505" i="2"/>
  <c r="H1505" i="2"/>
  <c r="G1505" i="2"/>
  <c r="F1505" i="2"/>
  <c r="E1505" i="2"/>
  <c r="D1505" i="2"/>
  <c r="C1505" i="2"/>
  <c r="B1505" i="2"/>
  <c r="A1505" i="2"/>
  <c r="T1504" i="2"/>
  <c r="S1504" i="2"/>
  <c r="R1504" i="2"/>
  <c r="Q1504" i="2"/>
  <c r="P1504" i="2"/>
  <c r="O1504" i="2"/>
  <c r="N1504" i="2"/>
  <c r="M1504" i="2"/>
  <c r="L1504" i="2"/>
  <c r="K1504" i="2"/>
  <c r="J1504" i="2"/>
  <c r="I1504" i="2"/>
  <c r="H1504" i="2"/>
  <c r="G1504" i="2"/>
  <c r="F1504" i="2"/>
  <c r="E1504" i="2"/>
  <c r="D1504" i="2"/>
  <c r="C1504" i="2"/>
  <c r="B1504" i="2"/>
  <c r="A1504" i="2"/>
  <c r="T1503" i="2"/>
  <c r="P1503" i="2"/>
  <c r="O1503" i="2"/>
  <c r="N1503" i="2"/>
  <c r="M1503" i="2"/>
  <c r="L1503" i="2"/>
  <c r="K1503" i="2"/>
  <c r="J1503" i="2"/>
  <c r="I1503" i="2"/>
  <c r="H1503" i="2"/>
  <c r="G1503" i="2"/>
  <c r="F1503" i="2"/>
  <c r="E1503" i="2"/>
  <c r="D1503" i="2"/>
  <c r="C1503" i="2"/>
  <c r="B1503" i="2"/>
  <c r="A1503" i="2"/>
  <c r="T1502" i="2"/>
  <c r="O1502" i="2"/>
  <c r="N1502" i="2"/>
  <c r="J1502" i="2"/>
  <c r="I1502" i="2"/>
  <c r="H1502" i="2"/>
  <c r="G1502" i="2"/>
  <c r="F1502" i="2"/>
  <c r="E1502" i="2"/>
  <c r="D1502" i="2"/>
  <c r="C1502" i="2"/>
  <c r="B1502" i="2"/>
  <c r="A1502" i="2"/>
  <c r="T1501" i="2"/>
  <c r="O1501" i="2"/>
  <c r="N1501" i="2"/>
  <c r="J1501" i="2"/>
  <c r="I1501" i="2"/>
  <c r="H1501" i="2"/>
  <c r="G1501" i="2"/>
  <c r="F1501" i="2"/>
  <c r="E1501" i="2"/>
  <c r="D1501" i="2"/>
  <c r="C1501" i="2"/>
  <c r="B1501" i="2"/>
  <c r="A1501" i="2"/>
  <c r="T1500" i="2"/>
  <c r="O1500" i="2"/>
  <c r="N1500" i="2"/>
  <c r="J1500" i="2"/>
  <c r="I1500" i="2"/>
  <c r="H1500" i="2"/>
  <c r="G1500" i="2"/>
  <c r="F1500" i="2"/>
  <c r="E1500" i="2"/>
  <c r="D1500" i="2"/>
  <c r="C1500" i="2"/>
  <c r="B1500" i="2"/>
  <c r="A1500" i="2"/>
  <c r="T1499" i="2"/>
  <c r="P1499" i="2"/>
  <c r="O1499" i="2"/>
  <c r="N1499" i="2"/>
  <c r="K1499" i="2"/>
  <c r="J1499" i="2"/>
  <c r="I1499" i="2"/>
  <c r="H1499" i="2"/>
  <c r="G1499" i="2"/>
  <c r="F1499" i="2"/>
  <c r="E1499" i="2"/>
  <c r="D1499" i="2"/>
  <c r="C1499" i="2"/>
  <c r="B1499" i="2"/>
  <c r="A1499" i="2"/>
  <c r="T1498" i="2"/>
  <c r="R1498" i="2"/>
  <c r="O1498" i="2"/>
  <c r="N1498" i="2"/>
  <c r="M1498" i="2"/>
  <c r="L1498" i="2"/>
  <c r="J1498" i="2"/>
  <c r="I1498" i="2"/>
  <c r="H1498" i="2"/>
  <c r="G1498" i="2"/>
  <c r="F1498" i="2"/>
  <c r="E1498" i="2"/>
  <c r="D1498" i="2"/>
  <c r="C1498" i="2"/>
  <c r="B1498" i="2"/>
  <c r="A1498" i="2"/>
  <c r="T1497" i="2"/>
  <c r="P1497" i="2"/>
  <c r="O1497" i="2"/>
  <c r="N1497" i="2"/>
  <c r="K1497" i="2"/>
  <c r="J1497" i="2"/>
  <c r="I1497" i="2"/>
  <c r="H1497" i="2"/>
  <c r="G1497" i="2"/>
  <c r="F1497" i="2"/>
  <c r="E1497" i="2"/>
  <c r="D1497" i="2"/>
  <c r="C1497" i="2"/>
  <c r="B1497" i="2"/>
  <c r="A1497" i="2"/>
  <c r="T1496" i="2"/>
  <c r="P1496" i="2"/>
  <c r="O1496" i="2"/>
  <c r="N1496" i="2"/>
  <c r="K1496" i="2"/>
  <c r="J1496" i="2"/>
  <c r="I1496" i="2"/>
  <c r="H1496" i="2"/>
  <c r="G1496" i="2"/>
  <c r="F1496" i="2"/>
  <c r="E1496" i="2"/>
  <c r="D1496" i="2"/>
  <c r="C1496" i="2"/>
  <c r="B1496" i="2"/>
  <c r="A1496" i="2"/>
  <c r="T1495" i="2"/>
  <c r="P1495" i="2"/>
  <c r="O1495" i="2"/>
  <c r="N1495" i="2"/>
  <c r="K1495" i="2"/>
  <c r="J1495" i="2"/>
  <c r="I1495" i="2"/>
  <c r="H1495" i="2"/>
  <c r="G1495" i="2"/>
  <c r="F1495" i="2"/>
  <c r="E1495" i="2"/>
  <c r="D1495" i="2"/>
  <c r="C1495" i="2"/>
  <c r="B1495" i="2"/>
  <c r="A1495" i="2"/>
  <c r="T1494" i="2"/>
  <c r="R1494" i="2"/>
  <c r="P1494" i="2"/>
  <c r="O1494" i="2"/>
  <c r="N1494" i="2"/>
  <c r="L1494" i="2"/>
  <c r="K1494" i="2"/>
  <c r="J1494" i="2"/>
  <c r="I1494" i="2"/>
  <c r="H1494" i="2"/>
  <c r="G1494" i="2"/>
  <c r="F1494" i="2"/>
  <c r="E1494" i="2"/>
  <c r="D1494" i="2"/>
  <c r="C1494" i="2"/>
  <c r="B1494" i="2"/>
  <c r="A1494" i="2"/>
  <c r="T1493" i="2"/>
  <c r="O1493" i="2"/>
  <c r="N1493" i="2"/>
  <c r="M1493" i="2"/>
  <c r="L1493" i="2"/>
  <c r="J1493" i="2"/>
  <c r="I1493" i="2"/>
  <c r="H1493" i="2"/>
  <c r="G1493" i="2"/>
  <c r="F1493" i="2"/>
  <c r="E1493" i="2"/>
  <c r="D1493" i="2"/>
  <c r="C1493" i="2"/>
  <c r="B1493" i="2"/>
  <c r="A1493" i="2"/>
  <c r="T1492" i="2"/>
  <c r="P1492" i="2"/>
  <c r="O1492" i="2"/>
  <c r="N1492" i="2"/>
  <c r="M1492" i="2"/>
  <c r="K1492" i="2"/>
  <c r="J1492" i="2"/>
  <c r="I1492" i="2"/>
  <c r="H1492" i="2"/>
  <c r="G1492" i="2"/>
  <c r="F1492" i="2"/>
  <c r="E1492" i="2"/>
  <c r="D1492" i="2"/>
  <c r="C1492" i="2"/>
  <c r="B1492" i="2"/>
  <c r="A1492" i="2"/>
  <c r="T1491" i="2"/>
  <c r="R1491" i="2"/>
  <c r="O1491" i="2"/>
  <c r="N1491" i="2"/>
  <c r="M1491" i="2"/>
  <c r="L1491" i="2"/>
  <c r="J1491" i="2"/>
  <c r="I1491" i="2"/>
  <c r="H1491" i="2"/>
  <c r="G1491" i="2"/>
  <c r="F1491" i="2"/>
  <c r="E1491" i="2"/>
  <c r="D1491" i="2"/>
  <c r="C1491" i="2"/>
  <c r="B1491" i="2"/>
  <c r="A1491" i="2"/>
  <c r="T1490" i="2"/>
  <c r="P1490" i="2"/>
  <c r="O1490" i="2"/>
  <c r="N1490" i="2"/>
  <c r="K1490" i="2"/>
  <c r="J1490" i="2"/>
  <c r="I1490" i="2"/>
  <c r="H1490" i="2"/>
  <c r="G1490" i="2"/>
  <c r="F1490" i="2"/>
  <c r="E1490" i="2"/>
  <c r="D1490" i="2"/>
  <c r="C1490" i="2"/>
  <c r="B1490" i="2"/>
  <c r="A1490" i="2"/>
  <c r="T1489" i="2"/>
  <c r="P1489" i="2"/>
  <c r="O1489" i="2"/>
  <c r="N1489" i="2"/>
  <c r="K1489" i="2"/>
  <c r="J1489" i="2"/>
  <c r="I1489" i="2"/>
  <c r="H1489" i="2"/>
  <c r="G1489" i="2"/>
  <c r="F1489" i="2"/>
  <c r="E1489" i="2"/>
  <c r="D1489" i="2"/>
  <c r="C1489" i="2"/>
  <c r="B1489" i="2"/>
  <c r="A1489" i="2"/>
  <c r="T1488" i="2"/>
  <c r="O1488" i="2"/>
  <c r="N1488" i="2"/>
  <c r="M1488" i="2"/>
  <c r="J1488" i="2"/>
  <c r="I1488" i="2"/>
  <c r="H1488" i="2"/>
  <c r="G1488" i="2"/>
  <c r="F1488" i="2"/>
  <c r="E1488" i="2"/>
  <c r="D1488" i="2"/>
  <c r="C1488" i="2"/>
  <c r="B1488" i="2"/>
  <c r="A1488" i="2"/>
  <c r="P1487" i="2"/>
  <c r="O1487" i="2"/>
  <c r="N1487" i="2"/>
  <c r="M1487" i="2"/>
  <c r="K1487" i="2"/>
  <c r="J1487" i="2"/>
  <c r="I1487" i="2"/>
  <c r="H1487" i="2"/>
  <c r="G1487" i="2"/>
  <c r="F1487" i="2"/>
  <c r="E1487" i="2"/>
  <c r="D1487" i="2"/>
  <c r="C1487" i="2"/>
  <c r="B1487" i="2"/>
  <c r="A1487" i="2"/>
  <c r="T1486" i="2"/>
  <c r="P1486" i="2"/>
  <c r="O1486" i="2"/>
  <c r="N1486" i="2"/>
  <c r="M1486" i="2"/>
  <c r="K1486" i="2"/>
  <c r="J1486" i="2"/>
  <c r="I1486" i="2"/>
  <c r="H1486" i="2"/>
  <c r="G1486" i="2"/>
  <c r="F1486" i="2"/>
  <c r="E1486" i="2"/>
  <c r="D1486" i="2"/>
  <c r="C1486" i="2"/>
  <c r="B1486" i="2"/>
  <c r="A1486" i="2"/>
  <c r="T1485" i="2"/>
  <c r="P1485" i="2"/>
  <c r="O1485" i="2"/>
  <c r="N1485" i="2"/>
  <c r="K1485" i="2"/>
  <c r="J1485" i="2"/>
  <c r="I1485" i="2"/>
  <c r="H1485" i="2"/>
  <c r="G1485" i="2"/>
  <c r="F1485" i="2"/>
  <c r="E1485" i="2"/>
  <c r="D1485" i="2"/>
  <c r="C1485" i="2"/>
  <c r="B1485" i="2"/>
  <c r="A1485" i="2"/>
  <c r="T1484" i="2"/>
  <c r="R1484" i="2"/>
  <c r="O1484" i="2"/>
  <c r="N1484" i="2"/>
  <c r="L1484" i="2"/>
  <c r="J1484" i="2"/>
  <c r="I1484" i="2"/>
  <c r="H1484" i="2"/>
  <c r="G1484" i="2"/>
  <c r="F1484" i="2"/>
  <c r="E1484" i="2"/>
  <c r="D1484" i="2"/>
  <c r="C1484" i="2"/>
  <c r="B1484" i="2"/>
  <c r="A1484" i="2"/>
  <c r="T1483" i="2"/>
  <c r="R1483" i="2"/>
  <c r="P1483" i="2"/>
  <c r="O1483" i="2"/>
  <c r="N1483" i="2"/>
  <c r="M1483" i="2"/>
  <c r="L1483" i="2"/>
  <c r="K1483" i="2"/>
  <c r="J1483" i="2"/>
  <c r="I1483" i="2"/>
  <c r="H1483" i="2"/>
  <c r="G1483" i="2"/>
  <c r="F1483" i="2"/>
  <c r="E1483" i="2"/>
  <c r="D1483" i="2"/>
  <c r="C1483" i="2"/>
  <c r="B1483" i="2"/>
  <c r="A1483" i="2"/>
  <c r="T1482" i="2"/>
  <c r="S1482" i="2"/>
  <c r="R1482" i="2"/>
  <c r="Q1482" i="2"/>
  <c r="P1482" i="2"/>
  <c r="O1482" i="2"/>
  <c r="N1482" i="2"/>
  <c r="M1482" i="2"/>
  <c r="L1482" i="2"/>
  <c r="K1482" i="2"/>
  <c r="J1482" i="2"/>
  <c r="I1482" i="2"/>
  <c r="H1482" i="2"/>
  <c r="G1482" i="2"/>
  <c r="F1482" i="2"/>
  <c r="E1482" i="2"/>
  <c r="D1482" i="2"/>
  <c r="C1482" i="2"/>
  <c r="B1482" i="2"/>
  <c r="A1482" i="2"/>
  <c r="T1481" i="2"/>
  <c r="P1481" i="2"/>
  <c r="O1481" i="2"/>
  <c r="N1481" i="2"/>
  <c r="K1481" i="2"/>
  <c r="J1481" i="2"/>
  <c r="I1481" i="2"/>
  <c r="H1481" i="2"/>
  <c r="G1481" i="2"/>
  <c r="F1481" i="2"/>
  <c r="E1481" i="2"/>
  <c r="D1481" i="2"/>
  <c r="C1481" i="2"/>
  <c r="B1481" i="2"/>
  <c r="A1481" i="2"/>
  <c r="T1480" i="2"/>
  <c r="R1480" i="2"/>
  <c r="P1480" i="2"/>
  <c r="O1480" i="2"/>
  <c r="N1480" i="2"/>
  <c r="M1480" i="2"/>
  <c r="L1480" i="2"/>
  <c r="K1480" i="2"/>
  <c r="J1480" i="2"/>
  <c r="I1480" i="2"/>
  <c r="H1480" i="2"/>
  <c r="G1480" i="2"/>
  <c r="F1480" i="2"/>
  <c r="E1480" i="2"/>
  <c r="D1480" i="2"/>
  <c r="C1480" i="2"/>
  <c r="B1480" i="2"/>
  <c r="A1480" i="2"/>
  <c r="O1479" i="2"/>
  <c r="N1479" i="2"/>
  <c r="M1479" i="2"/>
  <c r="K1479" i="2"/>
  <c r="J1479" i="2"/>
  <c r="I1479" i="2"/>
  <c r="H1479" i="2"/>
  <c r="G1479" i="2"/>
  <c r="F1479" i="2"/>
  <c r="E1479" i="2"/>
  <c r="D1479" i="2"/>
  <c r="C1479" i="2"/>
  <c r="B1479" i="2"/>
  <c r="A1479" i="2"/>
  <c r="P1478" i="2"/>
  <c r="O1478" i="2"/>
  <c r="N1478" i="2"/>
  <c r="M1478" i="2"/>
  <c r="K1478" i="2"/>
  <c r="J1478" i="2"/>
  <c r="I1478" i="2"/>
  <c r="H1478" i="2"/>
  <c r="G1478" i="2"/>
  <c r="F1478" i="2"/>
  <c r="E1478" i="2"/>
  <c r="D1478" i="2"/>
  <c r="C1478" i="2"/>
  <c r="B1478" i="2"/>
  <c r="A1478" i="2"/>
  <c r="T1477" i="2"/>
  <c r="O1477" i="2"/>
  <c r="N1477" i="2"/>
  <c r="M1477" i="2"/>
  <c r="K1477" i="2"/>
  <c r="J1477" i="2"/>
  <c r="I1477" i="2"/>
  <c r="H1477" i="2"/>
  <c r="G1477" i="2"/>
  <c r="F1477" i="2"/>
  <c r="E1477" i="2"/>
  <c r="D1477" i="2"/>
  <c r="C1477" i="2"/>
  <c r="B1477" i="2"/>
  <c r="A1477" i="2"/>
  <c r="R1476" i="2"/>
  <c r="O1476" i="2"/>
  <c r="N1476" i="2"/>
  <c r="M1476" i="2"/>
  <c r="L1476" i="2"/>
  <c r="J1476" i="2"/>
  <c r="I1476" i="2"/>
  <c r="H1476" i="2"/>
  <c r="G1476" i="2"/>
  <c r="F1476" i="2"/>
  <c r="E1476" i="2"/>
  <c r="D1476" i="2"/>
  <c r="C1476" i="2"/>
  <c r="B1476" i="2"/>
  <c r="A1476" i="2"/>
  <c r="P1475" i="2"/>
  <c r="O1475" i="2"/>
  <c r="N1475" i="2"/>
  <c r="M1475" i="2"/>
  <c r="K1475" i="2"/>
  <c r="J1475" i="2"/>
  <c r="I1475" i="2"/>
  <c r="H1475" i="2"/>
  <c r="G1475" i="2"/>
  <c r="F1475" i="2"/>
  <c r="E1475" i="2"/>
  <c r="D1475" i="2"/>
  <c r="C1475" i="2"/>
  <c r="B1475" i="2"/>
  <c r="A1475" i="2"/>
  <c r="R1474" i="2"/>
  <c r="O1474" i="2"/>
  <c r="N1474" i="2"/>
  <c r="M1474" i="2"/>
  <c r="L1474" i="2"/>
  <c r="J1474" i="2"/>
  <c r="I1474" i="2"/>
  <c r="H1474" i="2"/>
  <c r="G1474" i="2"/>
  <c r="F1474" i="2"/>
  <c r="E1474" i="2"/>
  <c r="D1474" i="2"/>
  <c r="C1474" i="2"/>
  <c r="B1474" i="2"/>
  <c r="A1474" i="2"/>
  <c r="P1473" i="2"/>
  <c r="O1473" i="2"/>
  <c r="N1473" i="2"/>
  <c r="M1473" i="2"/>
  <c r="K1473" i="2"/>
  <c r="J1473" i="2"/>
  <c r="I1473" i="2"/>
  <c r="H1473" i="2"/>
  <c r="G1473" i="2"/>
  <c r="F1473" i="2"/>
  <c r="E1473" i="2"/>
  <c r="D1473" i="2"/>
  <c r="C1473" i="2"/>
  <c r="B1473" i="2"/>
  <c r="A1473" i="2"/>
  <c r="R1472" i="2"/>
  <c r="O1472" i="2"/>
  <c r="N1472" i="2"/>
  <c r="M1472" i="2"/>
  <c r="L1472" i="2"/>
  <c r="J1472" i="2"/>
  <c r="I1472" i="2"/>
  <c r="H1472" i="2"/>
  <c r="G1472" i="2"/>
  <c r="F1472" i="2"/>
  <c r="E1472" i="2"/>
  <c r="D1472" i="2"/>
  <c r="C1472" i="2"/>
  <c r="B1472" i="2"/>
  <c r="A1472" i="2"/>
  <c r="P1471" i="2"/>
  <c r="O1471" i="2"/>
  <c r="N1471" i="2"/>
  <c r="M1471" i="2"/>
  <c r="K1471" i="2"/>
  <c r="J1471" i="2"/>
  <c r="I1471" i="2"/>
  <c r="H1471" i="2"/>
  <c r="G1471" i="2"/>
  <c r="F1471" i="2"/>
  <c r="E1471" i="2"/>
  <c r="D1471" i="2"/>
  <c r="C1471" i="2"/>
  <c r="B1471" i="2"/>
  <c r="A1471" i="2"/>
  <c r="R1470" i="2"/>
  <c r="O1470" i="2"/>
  <c r="N1470" i="2"/>
  <c r="M1470" i="2"/>
  <c r="L1470" i="2"/>
  <c r="J1470" i="2"/>
  <c r="I1470" i="2"/>
  <c r="H1470" i="2"/>
  <c r="G1470" i="2"/>
  <c r="F1470" i="2"/>
  <c r="E1470" i="2"/>
  <c r="D1470" i="2"/>
  <c r="C1470" i="2"/>
  <c r="B1470" i="2"/>
  <c r="A1470" i="2"/>
  <c r="P1469" i="2"/>
  <c r="O1469" i="2"/>
  <c r="N1469" i="2"/>
  <c r="M1469" i="2"/>
  <c r="K1469" i="2"/>
  <c r="J1469" i="2"/>
  <c r="I1469" i="2"/>
  <c r="H1469" i="2"/>
  <c r="G1469" i="2"/>
  <c r="F1469" i="2"/>
  <c r="E1469" i="2"/>
  <c r="D1469" i="2"/>
  <c r="C1469" i="2"/>
  <c r="B1469" i="2"/>
  <c r="A1469" i="2"/>
  <c r="R1468" i="2"/>
  <c r="O1468" i="2"/>
  <c r="N1468" i="2"/>
  <c r="M1468" i="2"/>
  <c r="L1468" i="2"/>
  <c r="J1468" i="2"/>
  <c r="I1468" i="2"/>
  <c r="H1468" i="2"/>
  <c r="G1468" i="2"/>
  <c r="F1468" i="2"/>
  <c r="E1468" i="2"/>
  <c r="D1468" i="2"/>
  <c r="C1468" i="2"/>
  <c r="B1468" i="2"/>
  <c r="A1468" i="2"/>
  <c r="R1467" i="2"/>
  <c r="O1467" i="2"/>
  <c r="N1467" i="2"/>
  <c r="M1467" i="2"/>
  <c r="L1467" i="2"/>
  <c r="J1467" i="2"/>
  <c r="I1467" i="2"/>
  <c r="H1467" i="2"/>
  <c r="G1467" i="2"/>
  <c r="F1467" i="2"/>
  <c r="E1467" i="2"/>
  <c r="D1467" i="2"/>
  <c r="C1467" i="2"/>
  <c r="B1467" i="2"/>
  <c r="A1467" i="2"/>
  <c r="R1466" i="2"/>
  <c r="O1466" i="2"/>
  <c r="N1466" i="2"/>
  <c r="M1466" i="2"/>
  <c r="L1466" i="2"/>
  <c r="J1466" i="2"/>
  <c r="I1466" i="2"/>
  <c r="H1466" i="2"/>
  <c r="G1466" i="2"/>
  <c r="F1466" i="2"/>
  <c r="E1466" i="2"/>
  <c r="D1466" i="2"/>
  <c r="C1466" i="2"/>
  <c r="B1466" i="2"/>
  <c r="A1466" i="2"/>
  <c r="P1465" i="2"/>
  <c r="O1465" i="2"/>
  <c r="N1465" i="2"/>
  <c r="M1465" i="2"/>
  <c r="K1465" i="2"/>
  <c r="J1465" i="2"/>
  <c r="I1465" i="2"/>
  <c r="H1465" i="2"/>
  <c r="G1465" i="2"/>
  <c r="F1465" i="2"/>
  <c r="E1465" i="2"/>
  <c r="D1465" i="2"/>
  <c r="C1465" i="2"/>
  <c r="B1465" i="2"/>
  <c r="A1465" i="2"/>
  <c r="R1464" i="2"/>
  <c r="O1464" i="2"/>
  <c r="N1464" i="2"/>
  <c r="M1464" i="2"/>
  <c r="L1464" i="2"/>
  <c r="J1464" i="2"/>
  <c r="I1464" i="2"/>
  <c r="H1464" i="2"/>
  <c r="G1464" i="2"/>
  <c r="F1464" i="2"/>
  <c r="E1464" i="2"/>
  <c r="D1464" i="2"/>
  <c r="C1464" i="2"/>
  <c r="B1464" i="2"/>
  <c r="A1464" i="2"/>
  <c r="P1463" i="2"/>
  <c r="O1463" i="2"/>
  <c r="N1463" i="2"/>
  <c r="M1463" i="2"/>
  <c r="K1463" i="2"/>
  <c r="J1463" i="2"/>
  <c r="I1463" i="2"/>
  <c r="H1463" i="2"/>
  <c r="G1463" i="2"/>
  <c r="F1463" i="2"/>
  <c r="E1463" i="2"/>
  <c r="D1463" i="2"/>
  <c r="C1463" i="2"/>
  <c r="B1463" i="2"/>
  <c r="A1463" i="2"/>
  <c r="T1462" i="2"/>
  <c r="P1462" i="2"/>
  <c r="O1462" i="2"/>
  <c r="N1462" i="2"/>
  <c r="K1462" i="2"/>
  <c r="J1462" i="2"/>
  <c r="I1462" i="2"/>
  <c r="H1462" i="2"/>
  <c r="G1462" i="2"/>
  <c r="F1462" i="2"/>
  <c r="E1462" i="2"/>
  <c r="D1462" i="2"/>
  <c r="C1462" i="2"/>
  <c r="B1462" i="2"/>
  <c r="A1462" i="2"/>
  <c r="T1461" i="2"/>
  <c r="R1461" i="2"/>
  <c r="O1461" i="2"/>
  <c r="N1461" i="2"/>
  <c r="L1461" i="2"/>
  <c r="J1461" i="2"/>
  <c r="I1461" i="2"/>
  <c r="H1461" i="2"/>
  <c r="G1461" i="2"/>
  <c r="F1461" i="2"/>
  <c r="E1461" i="2"/>
  <c r="D1461" i="2"/>
  <c r="C1461" i="2"/>
  <c r="B1461" i="2"/>
  <c r="A1461" i="2"/>
  <c r="T1460" i="2"/>
  <c r="R1460" i="2"/>
  <c r="P1460" i="2"/>
  <c r="O1460" i="2"/>
  <c r="N1460" i="2"/>
  <c r="M1460" i="2"/>
  <c r="L1460" i="2"/>
  <c r="K1460" i="2"/>
  <c r="J1460" i="2"/>
  <c r="I1460" i="2"/>
  <c r="H1460" i="2"/>
  <c r="G1460" i="2"/>
  <c r="F1460" i="2"/>
  <c r="E1460" i="2"/>
  <c r="D1460" i="2"/>
  <c r="C1460" i="2"/>
  <c r="B1460" i="2"/>
  <c r="A1460" i="2"/>
  <c r="P1459" i="2"/>
  <c r="O1459" i="2"/>
  <c r="N1459" i="2"/>
  <c r="J1459" i="2"/>
  <c r="I1459" i="2"/>
  <c r="H1459" i="2"/>
  <c r="G1459" i="2"/>
  <c r="F1459" i="2"/>
  <c r="E1459" i="2"/>
  <c r="D1459" i="2"/>
  <c r="C1459" i="2"/>
  <c r="B1459" i="2"/>
  <c r="A1459" i="2"/>
  <c r="T1458" i="2"/>
  <c r="P1458" i="2"/>
  <c r="O1458" i="2"/>
  <c r="N1458" i="2"/>
  <c r="K1458" i="2"/>
  <c r="J1458" i="2"/>
  <c r="I1458" i="2"/>
  <c r="H1458" i="2"/>
  <c r="G1458" i="2"/>
  <c r="F1458" i="2"/>
  <c r="E1458" i="2"/>
  <c r="D1458" i="2"/>
  <c r="C1458" i="2"/>
  <c r="B1458" i="2"/>
  <c r="A1458" i="2"/>
  <c r="T1457" i="2"/>
  <c r="P1457" i="2"/>
  <c r="O1457" i="2"/>
  <c r="N1457" i="2"/>
  <c r="L1457" i="2"/>
  <c r="K1457" i="2"/>
  <c r="J1457" i="2"/>
  <c r="I1457" i="2"/>
  <c r="H1457" i="2"/>
  <c r="G1457" i="2"/>
  <c r="F1457" i="2"/>
  <c r="E1457" i="2"/>
  <c r="D1457" i="2"/>
  <c r="C1457" i="2"/>
  <c r="B1457" i="2"/>
  <c r="A1457" i="2"/>
  <c r="T1456" i="2"/>
  <c r="R1456" i="2"/>
  <c r="O1456" i="2"/>
  <c r="N1456" i="2"/>
  <c r="M1456" i="2"/>
  <c r="L1456" i="2"/>
  <c r="J1456" i="2"/>
  <c r="I1456" i="2"/>
  <c r="H1456" i="2"/>
  <c r="G1456" i="2"/>
  <c r="F1456" i="2"/>
  <c r="E1456" i="2"/>
  <c r="D1456" i="2"/>
  <c r="C1456" i="2"/>
  <c r="B1456" i="2"/>
  <c r="A1456" i="2"/>
  <c r="P1455" i="2"/>
  <c r="O1455" i="2"/>
  <c r="N1455" i="2"/>
  <c r="M1455" i="2"/>
  <c r="K1455" i="2"/>
  <c r="J1455" i="2"/>
  <c r="I1455" i="2"/>
  <c r="H1455" i="2"/>
  <c r="G1455" i="2"/>
  <c r="F1455" i="2"/>
  <c r="E1455" i="2"/>
  <c r="D1455" i="2"/>
  <c r="C1455" i="2"/>
  <c r="B1455" i="2"/>
  <c r="A1455" i="2"/>
  <c r="T1454" i="2"/>
  <c r="P1454" i="2"/>
  <c r="O1454" i="2"/>
  <c r="N1454" i="2"/>
  <c r="K1454" i="2"/>
  <c r="J1454" i="2"/>
  <c r="I1454" i="2"/>
  <c r="H1454" i="2"/>
  <c r="G1454" i="2"/>
  <c r="F1454" i="2"/>
  <c r="E1454" i="2"/>
  <c r="D1454" i="2"/>
  <c r="C1454" i="2"/>
  <c r="B1454" i="2"/>
  <c r="A1454" i="2"/>
  <c r="P1453" i="2"/>
  <c r="O1453" i="2"/>
  <c r="N1453" i="2"/>
  <c r="M1453" i="2"/>
  <c r="K1453" i="2"/>
  <c r="J1453" i="2"/>
  <c r="I1453" i="2"/>
  <c r="H1453" i="2"/>
  <c r="G1453" i="2"/>
  <c r="F1453" i="2"/>
  <c r="E1453" i="2"/>
  <c r="D1453" i="2"/>
  <c r="C1453" i="2"/>
  <c r="B1453" i="2"/>
  <c r="A1453" i="2"/>
  <c r="T1452" i="2"/>
  <c r="R1452" i="2"/>
  <c r="O1452" i="2"/>
  <c r="N1452" i="2"/>
  <c r="L1452" i="2"/>
  <c r="J1452" i="2"/>
  <c r="I1452" i="2"/>
  <c r="H1452" i="2"/>
  <c r="G1452" i="2"/>
  <c r="F1452" i="2"/>
  <c r="E1452" i="2"/>
  <c r="D1452" i="2"/>
  <c r="C1452" i="2"/>
  <c r="B1452" i="2"/>
  <c r="A1452" i="2"/>
  <c r="P1451" i="2"/>
  <c r="O1451" i="2"/>
  <c r="N1451" i="2"/>
  <c r="M1451" i="2"/>
  <c r="K1451" i="2"/>
  <c r="J1451" i="2"/>
  <c r="I1451" i="2"/>
  <c r="H1451" i="2"/>
  <c r="G1451" i="2"/>
  <c r="F1451" i="2"/>
  <c r="E1451" i="2"/>
  <c r="D1451" i="2"/>
  <c r="C1451" i="2"/>
  <c r="B1451" i="2"/>
  <c r="A1451" i="2"/>
  <c r="T1450" i="2"/>
  <c r="R1450" i="2"/>
  <c r="O1450" i="2"/>
  <c r="N1450" i="2"/>
  <c r="L1450" i="2"/>
  <c r="J1450" i="2"/>
  <c r="I1450" i="2"/>
  <c r="H1450" i="2"/>
  <c r="G1450" i="2"/>
  <c r="F1450" i="2"/>
  <c r="E1450" i="2"/>
  <c r="D1450" i="2"/>
  <c r="C1450" i="2"/>
  <c r="B1450" i="2"/>
  <c r="A1450" i="2"/>
  <c r="P1449" i="2"/>
  <c r="O1449" i="2"/>
  <c r="N1449" i="2"/>
  <c r="M1449" i="2"/>
  <c r="J1449" i="2"/>
  <c r="I1449" i="2"/>
  <c r="H1449" i="2"/>
  <c r="G1449" i="2"/>
  <c r="F1449" i="2"/>
  <c r="E1449" i="2"/>
  <c r="D1449" i="2"/>
  <c r="C1449" i="2"/>
  <c r="B1449" i="2"/>
  <c r="A1449" i="2"/>
  <c r="P1448" i="2"/>
  <c r="O1448" i="2"/>
  <c r="N1448" i="2"/>
  <c r="M1448" i="2"/>
  <c r="L1448" i="2"/>
  <c r="J1448" i="2"/>
  <c r="I1448" i="2"/>
  <c r="H1448" i="2"/>
  <c r="G1448" i="2"/>
  <c r="F1448" i="2"/>
  <c r="E1448" i="2"/>
  <c r="D1448" i="2"/>
  <c r="C1448" i="2"/>
  <c r="B1448" i="2"/>
  <c r="A1448" i="2"/>
  <c r="O1447" i="2"/>
  <c r="N1447" i="2"/>
  <c r="M1447" i="2"/>
  <c r="L1447" i="2"/>
  <c r="J1447" i="2"/>
  <c r="I1447" i="2"/>
  <c r="H1447" i="2"/>
  <c r="G1447" i="2"/>
  <c r="F1447" i="2"/>
  <c r="E1447" i="2"/>
  <c r="D1447" i="2"/>
  <c r="C1447" i="2"/>
  <c r="B1447" i="2"/>
  <c r="A1447" i="2"/>
  <c r="T1446" i="2"/>
  <c r="P1446" i="2"/>
  <c r="O1446" i="2"/>
  <c r="N1446" i="2"/>
  <c r="K1446" i="2"/>
  <c r="J1446" i="2"/>
  <c r="I1446" i="2"/>
  <c r="H1446" i="2"/>
  <c r="G1446" i="2"/>
  <c r="F1446" i="2"/>
  <c r="E1446" i="2"/>
  <c r="D1446" i="2"/>
  <c r="C1446" i="2"/>
  <c r="B1446" i="2"/>
  <c r="A1446" i="2"/>
  <c r="O1445" i="2"/>
  <c r="N1445" i="2"/>
  <c r="M1445" i="2"/>
  <c r="J1445" i="2"/>
  <c r="I1445" i="2"/>
  <c r="H1445" i="2"/>
  <c r="G1445" i="2"/>
  <c r="F1445" i="2"/>
  <c r="E1445" i="2"/>
  <c r="D1445" i="2"/>
  <c r="C1445" i="2"/>
  <c r="B1445" i="2"/>
  <c r="A1445" i="2"/>
  <c r="T1444" i="2"/>
  <c r="R1444" i="2"/>
  <c r="O1444" i="2"/>
  <c r="N1444" i="2"/>
  <c r="L1444" i="2"/>
  <c r="J1444" i="2"/>
  <c r="I1444" i="2"/>
  <c r="H1444" i="2"/>
  <c r="G1444" i="2"/>
  <c r="F1444" i="2"/>
  <c r="E1444" i="2"/>
  <c r="D1444" i="2"/>
  <c r="C1444" i="2"/>
  <c r="B1444" i="2"/>
  <c r="A1444" i="2"/>
  <c r="Q1443" i="2"/>
  <c r="P1443" i="2"/>
  <c r="O1443" i="2"/>
  <c r="N1443" i="2"/>
  <c r="M1443" i="2"/>
  <c r="K1443" i="2"/>
  <c r="J1443" i="2"/>
  <c r="I1443" i="2"/>
  <c r="H1443" i="2"/>
  <c r="G1443" i="2"/>
  <c r="F1443" i="2"/>
  <c r="E1443" i="2"/>
  <c r="D1443" i="2"/>
  <c r="C1443" i="2"/>
  <c r="B1443" i="2"/>
  <c r="A1443" i="2"/>
  <c r="T1442" i="2"/>
  <c r="P1442" i="2"/>
  <c r="O1442" i="2"/>
  <c r="N1442" i="2"/>
  <c r="K1442" i="2"/>
  <c r="J1442" i="2"/>
  <c r="I1442" i="2"/>
  <c r="H1442" i="2"/>
  <c r="G1442" i="2"/>
  <c r="F1442" i="2"/>
  <c r="E1442" i="2"/>
  <c r="D1442" i="2"/>
  <c r="C1442" i="2"/>
  <c r="B1442" i="2"/>
  <c r="A1442" i="2"/>
  <c r="T1441" i="2"/>
  <c r="P1441" i="2"/>
  <c r="O1441" i="2"/>
  <c r="N1441" i="2"/>
  <c r="L1441" i="2"/>
  <c r="J1441" i="2"/>
  <c r="I1441" i="2"/>
  <c r="H1441" i="2"/>
  <c r="G1441" i="2"/>
  <c r="F1441" i="2"/>
  <c r="E1441" i="2"/>
  <c r="D1441" i="2"/>
  <c r="C1441" i="2"/>
  <c r="B1441" i="2"/>
  <c r="A1441" i="2"/>
  <c r="T1440" i="2"/>
  <c r="Q1440" i="2"/>
  <c r="P1440" i="2"/>
  <c r="O1440" i="2"/>
  <c r="N1440" i="2"/>
  <c r="M1440" i="2"/>
  <c r="K1440" i="2"/>
  <c r="J1440" i="2"/>
  <c r="I1440" i="2"/>
  <c r="H1440" i="2"/>
  <c r="G1440" i="2"/>
  <c r="F1440" i="2"/>
  <c r="E1440" i="2"/>
  <c r="D1440" i="2"/>
  <c r="C1440" i="2"/>
  <c r="B1440" i="2"/>
  <c r="A1440" i="2"/>
  <c r="T1439" i="2"/>
  <c r="P1439" i="2"/>
  <c r="O1439" i="2"/>
  <c r="N1439" i="2"/>
  <c r="M1439" i="2"/>
  <c r="K1439" i="2"/>
  <c r="J1439" i="2"/>
  <c r="I1439" i="2"/>
  <c r="H1439" i="2"/>
  <c r="G1439" i="2"/>
  <c r="F1439" i="2"/>
  <c r="E1439" i="2"/>
  <c r="D1439" i="2"/>
  <c r="C1439" i="2"/>
  <c r="B1439" i="2"/>
  <c r="A1439" i="2"/>
  <c r="T1438" i="2"/>
  <c r="O1438" i="2"/>
  <c r="N1438" i="2"/>
  <c r="M1438" i="2"/>
  <c r="J1438" i="2"/>
  <c r="I1438" i="2"/>
  <c r="H1438" i="2"/>
  <c r="G1438" i="2"/>
  <c r="F1438" i="2"/>
  <c r="E1438" i="2"/>
  <c r="D1438" i="2"/>
  <c r="C1438" i="2"/>
  <c r="B1438" i="2"/>
  <c r="A1438" i="2"/>
  <c r="T1437" i="2"/>
  <c r="P1437" i="2"/>
  <c r="O1437" i="2"/>
  <c r="N1437" i="2"/>
  <c r="K1437" i="2"/>
  <c r="J1437" i="2"/>
  <c r="I1437" i="2"/>
  <c r="H1437" i="2"/>
  <c r="G1437" i="2"/>
  <c r="F1437" i="2"/>
  <c r="E1437" i="2"/>
  <c r="D1437" i="2"/>
  <c r="C1437" i="2"/>
  <c r="B1437" i="2"/>
  <c r="A1437" i="2"/>
  <c r="T1436" i="2"/>
  <c r="O1436" i="2"/>
  <c r="N1436" i="2"/>
  <c r="K1436" i="2"/>
  <c r="J1436" i="2"/>
  <c r="I1436" i="2"/>
  <c r="H1436" i="2"/>
  <c r="G1436" i="2"/>
  <c r="F1436" i="2"/>
  <c r="E1436" i="2"/>
  <c r="D1436" i="2"/>
  <c r="C1436" i="2"/>
  <c r="B1436" i="2"/>
  <c r="A1436" i="2"/>
  <c r="P1435" i="2"/>
  <c r="O1435" i="2"/>
  <c r="N1435" i="2"/>
  <c r="K1435" i="2"/>
  <c r="J1435" i="2"/>
  <c r="I1435" i="2"/>
  <c r="H1435" i="2"/>
  <c r="G1435" i="2"/>
  <c r="F1435" i="2"/>
  <c r="E1435" i="2"/>
  <c r="D1435" i="2"/>
  <c r="C1435" i="2"/>
  <c r="B1435" i="2"/>
  <c r="A1435" i="2"/>
  <c r="Q1434" i="2"/>
  <c r="P1434" i="2"/>
  <c r="O1434" i="2"/>
  <c r="N1434" i="2"/>
  <c r="K1434" i="2"/>
  <c r="J1434" i="2"/>
  <c r="I1434" i="2"/>
  <c r="H1434" i="2"/>
  <c r="G1434" i="2"/>
  <c r="F1434" i="2"/>
  <c r="E1434" i="2"/>
  <c r="D1434" i="2"/>
  <c r="C1434" i="2"/>
  <c r="B1434" i="2"/>
  <c r="A1434" i="2"/>
  <c r="T1433" i="2"/>
  <c r="R1433" i="2"/>
  <c r="O1433" i="2"/>
  <c r="N1433" i="2"/>
  <c r="L1433" i="2"/>
  <c r="J1433" i="2"/>
  <c r="I1433" i="2"/>
  <c r="H1433" i="2"/>
  <c r="G1433" i="2"/>
  <c r="F1433" i="2"/>
  <c r="E1433" i="2"/>
  <c r="D1433" i="2"/>
  <c r="C1433" i="2"/>
  <c r="B1433" i="2"/>
  <c r="A1433" i="2"/>
  <c r="T1432" i="2"/>
  <c r="P1432" i="2"/>
  <c r="O1432" i="2"/>
  <c r="N1432" i="2"/>
  <c r="M1432" i="2"/>
  <c r="K1432" i="2"/>
  <c r="J1432" i="2"/>
  <c r="I1432" i="2"/>
  <c r="H1432" i="2"/>
  <c r="G1432" i="2"/>
  <c r="F1432" i="2"/>
  <c r="E1432" i="2"/>
  <c r="D1432" i="2"/>
  <c r="C1432" i="2"/>
  <c r="B1432" i="2"/>
  <c r="A1432" i="2"/>
  <c r="T1431" i="2"/>
  <c r="P1431" i="2"/>
  <c r="O1431" i="2"/>
  <c r="N1431" i="2"/>
  <c r="K1431" i="2"/>
  <c r="J1431" i="2"/>
  <c r="I1431" i="2"/>
  <c r="H1431" i="2"/>
  <c r="G1431" i="2"/>
  <c r="F1431" i="2"/>
  <c r="E1431" i="2"/>
  <c r="D1431" i="2"/>
  <c r="C1431" i="2"/>
  <c r="B1431" i="2"/>
  <c r="A1431" i="2"/>
  <c r="T1430" i="2"/>
  <c r="P1430" i="2"/>
  <c r="O1430" i="2"/>
  <c r="N1430" i="2"/>
  <c r="K1430" i="2"/>
  <c r="J1430" i="2"/>
  <c r="I1430" i="2"/>
  <c r="H1430" i="2"/>
  <c r="G1430" i="2"/>
  <c r="F1430" i="2"/>
  <c r="E1430" i="2"/>
  <c r="D1430" i="2"/>
  <c r="C1430" i="2"/>
  <c r="B1430" i="2"/>
  <c r="A1430" i="2"/>
  <c r="T1429" i="2"/>
  <c r="O1429" i="2"/>
  <c r="N1429" i="2"/>
  <c r="M1429" i="2"/>
  <c r="K1429" i="2"/>
  <c r="J1429" i="2"/>
  <c r="I1429" i="2"/>
  <c r="H1429" i="2"/>
  <c r="G1429" i="2"/>
  <c r="F1429" i="2"/>
  <c r="E1429" i="2"/>
  <c r="D1429" i="2"/>
  <c r="C1429" i="2"/>
  <c r="B1429" i="2"/>
  <c r="A1429" i="2"/>
  <c r="T1428" i="2"/>
  <c r="S1428" i="2"/>
  <c r="R1428" i="2"/>
  <c r="P1428" i="2"/>
  <c r="O1428" i="2"/>
  <c r="N1428" i="2"/>
  <c r="M1428" i="2"/>
  <c r="L1428" i="2"/>
  <c r="K1428" i="2"/>
  <c r="J1428" i="2"/>
  <c r="I1428" i="2"/>
  <c r="H1428" i="2"/>
  <c r="G1428" i="2"/>
  <c r="F1428" i="2"/>
  <c r="E1428" i="2"/>
  <c r="D1428" i="2"/>
  <c r="C1428" i="2"/>
  <c r="B1428" i="2"/>
  <c r="A1428" i="2"/>
  <c r="T1427" i="2"/>
  <c r="Q1427" i="2"/>
  <c r="P1427" i="2"/>
  <c r="O1427" i="2"/>
  <c r="N1427" i="2"/>
  <c r="M1427" i="2"/>
  <c r="K1427" i="2"/>
  <c r="J1427" i="2"/>
  <c r="I1427" i="2"/>
  <c r="H1427" i="2"/>
  <c r="G1427" i="2"/>
  <c r="F1427" i="2"/>
  <c r="E1427" i="2"/>
  <c r="D1427" i="2"/>
  <c r="C1427" i="2"/>
  <c r="B1427" i="2"/>
  <c r="A1427" i="2"/>
  <c r="T1426" i="2"/>
  <c r="P1426" i="2"/>
  <c r="O1426" i="2"/>
  <c r="N1426" i="2"/>
  <c r="M1426" i="2"/>
  <c r="K1426" i="2"/>
  <c r="J1426" i="2"/>
  <c r="I1426" i="2"/>
  <c r="H1426" i="2"/>
  <c r="G1426" i="2"/>
  <c r="F1426" i="2"/>
  <c r="E1426" i="2"/>
  <c r="D1426" i="2"/>
  <c r="C1426" i="2"/>
  <c r="B1426" i="2"/>
  <c r="A1426" i="2"/>
  <c r="P1425" i="2"/>
  <c r="O1425" i="2"/>
  <c r="N1425" i="2"/>
  <c r="M1425" i="2"/>
  <c r="K1425" i="2"/>
  <c r="J1425" i="2"/>
  <c r="I1425" i="2"/>
  <c r="H1425" i="2"/>
  <c r="G1425" i="2"/>
  <c r="F1425" i="2"/>
  <c r="E1425" i="2"/>
  <c r="D1425" i="2"/>
  <c r="C1425" i="2"/>
  <c r="B1425" i="2"/>
  <c r="A1425" i="2"/>
  <c r="T1424" i="2"/>
  <c r="P1424" i="2"/>
  <c r="O1424" i="2"/>
  <c r="N1424" i="2"/>
  <c r="M1424" i="2"/>
  <c r="K1424" i="2"/>
  <c r="J1424" i="2"/>
  <c r="I1424" i="2"/>
  <c r="H1424" i="2"/>
  <c r="G1424" i="2"/>
  <c r="F1424" i="2"/>
  <c r="E1424" i="2"/>
  <c r="D1424" i="2"/>
  <c r="C1424" i="2"/>
  <c r="B1424" i="2"/>
  <c r="A1424" i="2"/>
  <c r="T1423" i="2"/>
  <c r="R1423" i="2"/>
  <c r="O1423" i="2"/>
  <c r="N1423" i="2"/>
  <c r="L1423" i="2"/>
  <c r="J1423" i="2"/>
  <c r="I1423" i="2"/>
  <c r="H1423" i="2"/>
  <c r="G1423" i="2"/>
  <c r="F1423" i="2"/>
  <c r="E1423" i="2"/>
  <c r="D1423" i="2"/>
  <c r="C1423" i="2"/>
  <c r="B1423" i="2"/>
  <c r="A1423" i="2"/>
  <c r="T1422" i="2"/>
  <c r="O1422" i="2"/>
  <c r="N1422" i="2"/>
  <c r="J1422" i="2"/>
  <c r="I1422" i="2"/>
  <c r="H1422" i="2"/>
  <c r="G1422" i="2"/>
  <c r="F1422" i="2"/>
  <c r="E1422" i="2"/>
  <c r="D1422" i="2"/>
  <c r="C1422" i="2"/>
  <c r="B1422" i="2"/>
  <c r="A1422" i="2"/>
  <c r="T1421" i="2"/>
  <c r="P1421" i="2"/>
  <c r="O1421" i="2"/>
  <c r="N1421" i="2"/>
  <c r="K1421" i="2"/>
  <c r="J1421" i="2"/>
  <c r="I1421" i="2"/>
  <c r="H1421" i="2"/>
  <c r="G1421" i="2"/>
  <c r="F1421" i="2"/>
  <c r="E1421" i="2"/>
  <c r="D1421" i="2"/>
  <c r="C1421" i="2"/>
  <c r="B1421" i="2"/>
  <c r="A1421" i="2"/>
  <c r="P1420" i="2"/>
  <c r="O1420" i="2"/>
  <c r="N1420" i="2"/>
  <c r="M1420" i="2"/>
  <c r="K1420" i="2"/>
  <c r="J1420" i="2"/>
  <c r="I1420" i="2"/>
  <c r="H1420" i="2"/>
  <c r="G1420" i="2"/>
  <c r="F1420" i="2"/>
  <c r="E1420" i="2"/>
  <c r="D1420" i="2"/>
  <c r="C1420" i="2"/>
  <c r="B1420" i="2"/>
  <c r="A1420" i="2"/>
  <c r="T1419" i="2"/>
  <c r="P1419" i="2"/>
  <c r="O1419" i="2"/>
  <c r="N1419" i="2"/>
  <c r="M1419" i="2"/>
  <c r="K1419" i="2"/>
  <c r="J1419" i="2"/>
  <c r="I1419" i="2"/>
  <c r="H1419" i="2"/>
  <c r="G1419" i="2"/>
  <c r="F1419" i="2"/>
  <c r="E1419" i="2"/>
  <c r="D1419" i="2"/>
  <c r="C1419" i="2"/>
  <c r="B1419" i="2"/>
  <c r="A1419" i="2"/>
  <c r="T1418" i="2"/>
  <c r="P1418" i="2"/>
  <c r="O1418" i="2"/>
  <c r="N1418" i="2"/>
  <c r="M1418" i="2"/>
  <c r="K1418" i="2"/>
  <c r="J1418" i="2"/>
  <c r="I1418" i="2"/>
  <c r="H1418" i="2"/>
  <c r="G1418" i="2"/>
  <c r="F1418" i="2"/>
  <c r="E1418" i="2"/>
  <c r="D1418" i="2"/>
  <c r="C1418" i="2"/>
  <c r="B1418" i="2"/>
  <c r="A1418" i="2"/>
  <c r="T1417" i="2"/>
  <c r="P1417" i="2"/>
  <c r="O1417" i="2"/>
  <c r="N1417" i="2"/>
  <c r="M1417" i="2"/>
  <c r="K1417" i="2"/>
  <c r="J1417" i="2"/>
  <c r="I1417" i="2"/>
  <c r="H1417" i="2"/>
  <c r="G1417" i="2"/>
  <c r="F1417" i="2"/>
  <c r="E1417" i="2"/>
  <c r="D1417" i="2"/>
  <c r="C1417" i="2"/>
  <c r="B1417" i="2"/>
  <c r="A1417" i="2"/>
  <c r="T1416" i="2"/>
  <c r="S1416" i="2"/>
  <c r="R1416" i="2"/>
  <c r="Q1416" i="2"/>
  <c r="P1416" i="2"/>
  <c r="O1416" i="2"/>
  <c r="N1416" i="2"/>
  <c r="M1416" i="2"/>
  <c r="L1416" i="2"/>
  <c r="K1416" i="2"/>
  <c r="J1416" i="2"/>
  <c r="I1416" i="2"/>
  <c r="H1416" i="2"/>
  <c r="G1416" i="2"/>
  <c r="F1416" i="2"/>
  <c r="E1416" i="2"/>
  <c r="D1416" i="2"/>
  <c r="C1416" i="2"/>
  <c r="B1416" i="2"/>
  <c r="A1416" i="2"/>
  <c r="T1415" i="2"/>
  <c r="P1415" i="2"/>
  <c r="O1415" i="2"/>
  <c r="N1415" i="2"/>
  <c r="M1415" i="2"/>
  <c r="K1415" i="2"/>
  <c r="J1415" i="2"/>
  <c r="I1415" i="2"/>
  <c r="H1415" i="2"/>
  <c r="G1415" i="2"/>
  <c r="F1415" i="2"/>
  <c r="E1415" i="2"/>
  <c r="D1415" i="2"/>
  <c r="C1415" i="2"/>
  <c r="B1415" i="2"/>
  <c r="A1415" i="2"/>
  <c r="T1414" i="2"/>
  <c r="P1414" i="2"/>
  <c r="O1414" i="2"/>
  <c r="N1414" i="2"/>
  <c r="M1414" i="2"/>
  <c r="K1414" i="2"/>
  <c r="J1414" i="2"/>
  <c r="I1414" i="2"/>
  <c r="H1414" i="2"/>
  <c r="G1414" i="2"/>
  <c r="F1414" i="2"/>
  <c r="E1414" i="2"/>
  <c r="D1414" i="2"/>
  <c r="C1414" i="2"/>
  <c r="B1414" i="2"/>
  <c r="A1414" i="2"/>
  <c r="T1413" i="2"/>
  <c r="O1413" i="2"/>
  <c r="N1413" i="2"/>
  <c r="J1413" i="2"/>
  <c r="I1413" i="2"/>
  <c r="H1413" i="2"/>
  <c r="G1413" i="2"/>
  <c r="F1413" i="2"/>
  <c r="E1413" i="2"/>
  <c r="D1413" i="2"/>
  <c r="C1413" i="2"/>
  <c r="B1413" i="2"/>
  <c r="A1413" i="2"/>
  <c r="Q1412" i="2"/>
  <c r="P1412" i="2"/>
  <c r="O1412" i="2"/>
  <c r="N1412" i="2"/>
  <c r="M1412" i="2"/>
  <c r="K1412" i="2"/>
  <c r="J1412" i="2"/>
  <c r="I1412" i="2"/>
  <c r="H1412" i="2"/>
  <c r="G1412" i="2"/>
  <c r="F1412" i="2"/>
  <c r="E1412" i="2"/>
  <c r="D1412" i="2"/>
  <c r="C1412" i="2"/>
  <c r="B1412" i="2"/>
  <c r="A1412" i="2"/>
  <c r="T1411" i="2"/>
  <c r="P1411" i="2"/>
  <c r="O1411" i="2"/>
  <c r="N1411" i="2"/>
  <c r="K1411" i="2"/>
  <c r="J1411" i="2"/>
  <c r="I1411" i="2"/>
  <c r="H1411" i="2"/>
  <c r="G1411" i="2"/>
  <c r="F1411" i="2"/>
  <c r="E1411" i="2"/>
  <c r="D1411" i="2"/>
  <c r="C1411" i="2"/>
  <c r="B1411" i="2"/>
  <c r="A1411" i="2"/>
  <c r="T1410" i="2"/>
  <c r="R1410" i="2"/>
  <c r="O1410" i="2"/>
  <c r="N1410" i="2"/>
  <c r="L1410" i="2"/>
  <c r="J1410" i="2"/>
  <c r="I1410" i="2"/>
  <c r="H1410" i="2"/>
  <c r="G1410" i="2"/>
  <c r="F1410" i="2"/>
  <c r="E1410" i="2"/>
  <c r="D1410" i="2"/>
  <c r="C1410" i="2"/>
  <c r="B1410" i="2"/>
  <c r="A1410" i="2"/>
  <c r="T1409" i="2"/>
  <c r="P1409" i="2"/>
  <c r="O1409" i="2"/>
  <c r="N1409" i="2"/>
  <c r="K1409" i="2"/>
  <c r="J1409" i="2"/>
  <c r="I1409" i="2"/>
  <c r="H1409" i="2"/>
  <c r="G1409" i="2"/>
  <c r="F1409" i="2"/>
  <c r="E1409" i="2"/>
  <c r="D1409" i="2"/>
  <c r="C1409" i="2"/>
  <c r="B1409" i="2"/>
  <c r="A1409" i="2"/>
  <c r="T1408" i="2"/>
  <c r="P1408" i="2"/>
  <c r="O1408" i="2"/>
  <c r="N1408" i="2"/>
  <c r="K1408" i="2"/>
  <c r="J1408" i="2"/>
  <c r="I1408" i="2"/>
  <c r="H1408" i="2"/>
  <c r="G1408" i="2"/>
  <c r="F1408" i="2"/>
  <c r="E1408" i="2"/>
  <c r="D1408" i="2"/>
  <c r="C1408" i="2"/>
  <c r="B1408" i="2"/>
  <c r="A1408" i="2"/>
  <c r="T1407" i="2"/>
  <c r="P1407" i="2"/>
  <c r="O1407" i="2"/>
  <c r="N1407" i="2"/>
  <c r="K1407" i="2"/>
  <c r="J1407" i="2"/>
  <c r="I1407" i="2"/>
  <c r="H1407" i="2"/>
  <c r="G1407" i="2"/>
  <c r="F1407" i="2"/>
  <c r="E1407" i="2"/>
  <c r="D1407" i="2"/>
  <c r="C1407" i="2"/>
  <c r="B1407" i="2"/>
  <c r="A1407" i="2"/>
  <c r="R1406" i="2"/>
  <c r="O1406" i="2"/>
  <c r="N1406" i="2"/>
  <c r="M1406" i="2"/>
  <c r="L1406" i="2"/>
  <c r="J1406" i="2"/>
  <c r="I1406" i="2"/>
  <c r="H1406" i="2"/>
  <c r="G1406" i="2"/>
  <c r="F1406" i="2"/>
  <c r="E1406" i="2"/>
  <c r="D1406" i="2"/>
  <c r="C1406" i="2"/>
  <c r="B1406" i="2"/>
  <c r="A1406" i="2"/>
  <c r="R1405" i="2"/>
  <c r="P1405" i="2"/>
  <c r="O1405" i="2"/>
  <c r="N1405" i="2"/>
  <c r="M1405" i="2"/>
  <c r="L1405" i="2"/>
  <c r="K1405" i="2"/>
  <c r="J1405" i="2"/>
  <c r="I1405" i="2"/>
  <c r="H1405" i="2"/>
  <c r="G1405" i="2"/>
  <c r="F1405" i="2"/>
  <c r="E1405" i="2"/>
  <c r="D1405" i="2"/>
  <c r="C1405" i="2"/>
  <c r="B1405" i="2"/>
  <c r="A1405" i="2"/>
  <c r="P1404" i="2"/>
  <c r="O1404" i="2"/>
  <c r="N1404" i="2"/>
  <c r="M1404" i="2"/>
  <c r="K1404" i="2"/>
  <c r="J1404" i="2"/>
  <c r="I1404" i="2"/>
  <c r="H1404" i="2"/>
  <c r="G1404" i="2"/>
  <c r="F1404" i="2"/>
  <c r="E1404" i="2"/>
  <c r="D1404" i="2"/>
  <c r="C1404" i="2"/>
  <c r="B1404" i="2"/>
  <c r="A1404" i="2"/>
  <c r="P1403" i="2"/>
  <c r="O1403" i="2"/>
  <c r="N1403" i="2"/>
  <c r="M1403" i="2"/>
  <c r="K1403" i="2"/>
  <c r="J1403" i="2"/>
  <c r="I1403" i="2"/>
  <c r="H1403" i="2"/>
  <c r="G1403" i="2"/>
  <c r="F1403" i="2"/>
  <c r="E1403" i="2"/>
  <c r="D1403" i="2"/>
  <c r="C1403" i="2"/>
  <c r="B1403" i="2"/>
  <c r="A1403" i="2"/>
  <c r="P1402" i="2"/>
  <c r="O1402" i="2"/>
  <c r="N1402" i="2"/>
  <c r="M1402" i="2"/>
  <c r="K1402" i="2"/>
  <c r="J1402" i="2"/>
  <c r="I1402" i="2"/>
  <c r="H1402" i="2"/>
  <c r="G1402" i="2"/>
  <c r="F1402" i="2"/>
  <c r="E1402" i="2"/>
  <c r="D1402" i="2"/>
  <c r="C1402" i="2"/>
  <c r="B1402" i="2"/>
  <c r="A1402" i="2"/>
  <c r="T1401" i="2"/>
  <c r="S1401" i="2"/>
  <c r="R1401" i="2"/>
  <c r="Q1401" i="2"/>
  <c r="P1401" i="2"/>
  <c r="O1401" i="2"/>
  <c r="N1401" i="2"/>
  <c r="M1401" i="2"/>
  <c r="L1401" i="2"/>
  <c r="K1401" i="2"/>
  <c r="J1401" i="2"/>
  <c r="I1401" i="2"/>
  <c r="H1401" i="2"/>
  <c r="G1401" i="2"/>
  <c r="F1401" i="2"/>
  <c r="E1401" i="2"/>
  <c r="D1401" i="2"/>
  <c r="C1401" i="2"/>
  <c r="B1401" i="2"/>
  <c r="A1401" i="2"/>
  <c r="T1400" i="2"/>
  <c r="P1400" i="2"/>
  <c r="O1400" i="2"/>
  <c r="N1400" i="2"/>
  <c r="K1400" i="2"/>
  <c r="J1400" i="2"/>
  <c r="I1400" i="2"/>
  <c r="H1400" i="2"/>
  <c r="G1400" i="2"/>
  <c r="F1400" i="2"/>
  <c r="E1400" i="2"/>
  <c r="D1400" i="2"/>
  <c r="C1400" i="2"/>
  <c r="B1400" i="2"/>
  <c r="A1400" i="2"/>
  <c r="P1399" i="2"/>
  <c r="O1399" i="2"/>
  <c r="N1399" i="2"/>
  <c r="M1399" i="2"/>
  <c r="K1399" i="2"/>
  <c r="J1399" i="2"/>
  <c r="I1399" i="2"/>
  <c r="H1399" i="2"/>
  <c r="G1399" i="2"/>
  <c r="F1399" i="2"/>
  <c r="E1399" i="2"/>
  <c r="D1399" i="2"/>
  <c r="C1399" i="2"/>
  <c r="B1399" i="2"/>
  <c r="A1399" i="2"/>
  <c r="T1398" i="2"/>
  <c r="O1398" i="2"/>
  <c r="N1398" i="2"/>
  <c r="J1398" i="2"/>
  <c r="I1398" i="2"/>
  <c r="H1398" i="2"/>
  <c r="G1398" i="2"/>
  <c r="F1398" i="2"/>
  <c r="E1398" i="2"/>
  <c r="D1398" i="2"/>
  <c r="C1398" i="2"/>
  <c r="B1398" i="2"/>
  <c r="A1398" i="2"/>
  <c r="P1397" i="2"/>
  <c r="O1397" i="2"/>
  <c r="N1397" i="2"/>
  <c r="M1397" i="2"/>
  <c r="K1397" i="2"/>
  <c r="J1397" i="2"/>
  <c r="I1397" i="2"/>
  <c r="H1397" i="2"/>
  <c r="G1397" i="2"/>
  <c r="F1397" i="2"/>
  <c r="E1397" i="2"/>
  <c r="D1397" i="2"/>
  <c r="C1397" i="2"/>
  <c r="B1397" i="2"/>
  <c r="A1397" i="2"/>
  <c r="T1396" i="2"/>
  <c r="O1396" i="2"/>
  <c r="N1396" i="2"/>
  <c r="J1396" i="2"/>
  <c r="I1396" i="2"/>
  <c r="H1396" i="2"/>
  <c r="G1396" i="2"/>
  <c r="F1396" i="2"/>
  <c r="E1396" i="2"/>
  <c r="D1396" i="2"/>
  <c r="C1396" i="2"/>
  <c r="B1396" i="2"/>
  <c r="A1396" i="2"/>
  <c r="T1395" i="2"/>
  <c r="P1395" i="2"/>
  <c r="O1395" i="2"/>
  <c r="N1395" i="2"/>
  <c r="K1395" i="2"/>
  <c r="J1395" i="2"/>
  <c r="I1395" i="2"/>
  <c r="H1395" i="2"/>
  <c r="G1395" i="2"/>
  <c r="F1395" i="2"/>
  <c r="E1395" i="2"/>
  <c r="D1395" i="2"/>
  <c r="C1395" i="2"/>
  <c r="B1395" i="2"/>
  <c r="A1395" i="2"/>
  <c r="P1394" i="2"/>
  <c r="O1394" i="2"/>
  <c r="N1394" i="2"/>
  <c r="M1394" i="2"/>
  <c r="K1394" i="2"/>
  <c r="J1394" i="2"/>
  <c r="I1394" i="2"/>
  <c r="H1394" i="2"/>
  <c r="G1394" i="2"/>
  <c r="F1394" i="2"/>
  <c r="E1394" i="2"/>
  <c r="D1394" i="2"/>
  <c r="C1394" i="2"/>
  <c r="B1394" i="2"/>
  <c r="A1394" i="2"/>
  <c r="T1393" i="2"/>
  <c r="Q1393" i="2"/>
  <c r="P1393" i="2"/>
  <c r="O1393" i="2"/>
  <c r="N1393" i="2"/>
  <c r="M1393" i="2"/>
  <c r="L1393" i="2"/>
  <c r="K1393" i="2"/>
  <c r="J1393" i="2"/>
  <c r="I1393" i="2"/>
  <c r="H1393" i="2"/>
  <c r="G1393" i="2"/>
  <c r="F1393" i="2"/>
  <c r="E1393" i="2"/>
  <c r="D1393" i="2"/>
  <c r="C1393" i="2"/>
  <c r="B1393" i="2"/>
  <c r="A1393" i="2"/>
  <c r="T1392" i="2"/>
  <c r="O1392" i="2"/>
  <c r="N1392" i="2"/>
  <c r="J1392" i="2"/>
  <c r="I1392" i="2"/>
  <c r="H1392" i="2"/>
  <c r="G1392" i="2"/>
  <c r="F1392" i="2"/>
  <c r="E1392" i="2"/>
  <c r="D1392" i="2"/>
  <c r="C1392" i="2"/>
  <c r="B1392" i="2"/>
  <c r="A1392" i="2"/>
  <c r="T1391" i="2"/>
  <c r="P1391" i="2"/>
  <c r="O1391" i="2"/>
  <c r="N1391" i="2"/>
  <c r="K1391" i="2"/>
  <c r="J1391" i="2"/>
  <c r="I1391" i="2"/>
  <c r="H1391" i="2"/>
  <c r="G1391" i="2"/>
  <c r="F1391" i="2"/>
  <c r="E1391" i="2"/>
  <c r="D1391" i="2"/>
  <c r="C1391" i="2"/>
  <c r="B1391" i="2"/>
  <c r="A1391" i="2"/>
  <c r="T1390" i="2"/>
  <c r="P1390" i="2"/>
  <c r="O1390" i="2"/>
  <c r="N1390" i="2"/>
  <c r="K1390" i="2"/>
  <c r="J1390" i="2"/>
  <c r="I1390" i="2"/>
  <c r="H1390" i="2"/>
  <c r="G1390" i="2"/>
  <c r="F1390" i="2"/>
  <c r="E1390" i="2"/>
  <c r="D1390" i="2"/>
  <c r="C1390" i="2"/>
  <c r="B1390" i="2"/>
  <c r="A1390" i="2"/>
  <c r="T1389" i="2"/>
  <c r="P1389" i="2"/>
  <c r="O1389" i="2"/>
  <c r="N1389" i="2"/>
  <c r="M1389" i="2"/>
  <c r="J1389" i="2"/>
  <c r="I1389" i="2"/>
  <c r="H1389" i="2"/>
  <c r="G1389" i="2"/>
  <c r="F1389" i="2"/>
  <c r="E1389" i="2"/>
  <c r="D1389" i="2"/>
  <c r="C1389" i="2"/>
  <c r="B1389" i="2"/>
  <c r="A1389" i="2"/>
  <c r="R1388" i="2"/>
  <c r="P1388" i="2"/>
  <c r="O1388" i="2"/>
  <c r="N1388" i="2"/>
  <c r="M1388" i="2"/>
  <c r="L1388" i="2"/>
  <c r="K1388" i="2"/>
  <c r="J1388" i="2"/>
  <c r="I1388" i="2"/>
  <c r="H1388" i="2"/>
  <c r="G1388" i="2"/>
  <c r="F1388" i="2"/>
  <c r="E1388" i="2"/>
  <c r="D1388" i="2"/>
  <c r="C1388" i="2"/>
  <c r="B1388" i="2"/>
  <c r="A1388" i="2"/>
  <c r="T1387" i="2"/>
  <c r="P1387" i="2"/>
  <c r="O1387" i="2"/>
  <c r="N1387" i="2"/>
  <c r="M1387" i="2"/>
  <c r="L1387" i="2"/>
  <c r="J1387" i="2"/>
  <c r="I1387" i="2"/>
  <c r="H1387" i="2"/>
  <c r="G1387" i="2"/>
  <c r="F1387" i="2"/>
  <c r="E1387" i="2"/>
  <c r="D1387" i="2"/>
  <c r="C1387" i="2"/>
  <c r="B1387" i="2"/>
  <c r="A1387" i="2"/>
  <c r="T1386" i="2"/>
  <c r="P1386" i="2"/>
  <c r="O1386" i="2"/>
  <c r="N1386" i="2"/>
  <c r="M1386" i="2"/>
  <c r="J1386" i="2"/>
  <c r="I1386" i="2"/>
  <c r="H1386" i="2"/>
  <c r="G1386" i="2"/>
  <c r="F1386" i="2"/>
  <c r="E1386" i="2"/>
  <c r="D1386" i="2"/>
  <c r="C1386" i="2"/>
  <c r="B1386" i="2"/>
  <c r="A1386" i="2"/>
  <c r="T1385" i="2"/>
  <c r="P1385" i="2"/>
  <c r="O1385" i="2"/>
  <c r="N1385" i="2"/>
  <c r="M1385" i="2"/>
  <c r="J1385" i="2"/>
  <c r="I1385" i="2"/>
  <c r="H1385" i="2"/>
  <c r="G1385" i="2"/>
  <c r="F1385" i="2"/>
  <c r="E1385" i="2"/>
  <c r="D1385" i="2"/>
  <c r="C1385" i="2"/>
  <c r="B1385" i="2"/>
  <c r="A1385" i="2"/>
  <c r="T1384" i="2"/>
  <c r="P1384" i="2"/>
  <c r="O1384" i="2"/>
  <c r="N1384" i="2"/>
  <c r="M1384" i="2"/>
  <c r="K1384" i="2"/>
  <c r="J1384" i="2"/>
  <c r="I1384" i="2"/>
  <c r="H1384" i="2"/>
  <c r="G1384" i="2"/>
  <c r="F1384" i="2"/>
  <c r="E1384" i="2"/>
  <c r="D1384" i="2"/>
  <c r="C1384" i="2"/>
  <c r="B1384" i="2"/>
  <c r="A1384" i="2"/>
  <c r="T1383" i="2"/>
  <c r="R1383" i="2"/>
  <c r="P1383" i="2"/>
  <c r="O1383" i="2"/>
  <c r="N1383" i="2"/>
  <c r="K1383" i="2"/>
  <c r="J1383" i="2"/>
  <c r="I1383" i="2"/>
  <c r="H1383" i="2"/>
  <c r="G1383" i="2"/>
  <c r="F1383" i="2"/>
  <c r="E1383" i="2"/>
  <c r="D1383" i="2"/>
  <c r="C1383" i="2"/>
  <c r="B1383" i="2"/>
  <c r="A1383" i="2"/>
  <c r="T1382" i="2"/>
  <c r="R1382" i="2"/>
  <c r="P1382" i="2"/>
  <c r="O1382" i="2"/>
  <c r="N1382" i="2"/>
  <c r="L1382" i="2"/>
  <c r="K1382" i="2"/>
  <c r="J1382" i="2"/>
  <c r="I1382" i="2"/>
  <c r="H1382" i="2"/>
  <c r="G1382" i="2"/>
  <c r="F1382" i="2"/>
  <c r="E1382" i="2"/>
  <c r="D1382" i="2"/>
  <c r="C1382" i="2"/>
  <c r="B1382" i="2"/>
  <c r="A1382" i="2"/>
  <c r="T1381" i="2"/>
  <c r="R1381" i="2"/>
  <c r="P1381" i="2"/>
  <c r="O1381" i="2"/>
  <c r="N1381" i="2"/>
  <c r="M1381" i="2"/>
  <c r="L1381" i="2"/>
  <c r="K1381" i="2"/>
  <c r="J1381" i="2"/>
  <c r="I1381" i="2"/>
  <c r="H1381" i="2"/>
  <c r="G1381" i="2"/>
  <c r="F1381" i="2"/>
  <c r="E1381" i="2"/>
  <c r="D1381" i="2"/>
  <c r="C1381" i="2"/>
  <c r="B1381" i="2"/>
  <c r="A1381" i="2"/>
  <c r="T1380" i="2"/>
  <c r="P1380" i="2"/>
  <c r="O1380" i="2"/>
  <c r="N1380" i="2"/>
  <c r="M1380" i="2"/>
  <c r="J1380" i="2"/>
  <c r="I1380" i="2"/>
  <c r="H1380" i="2"/>
  <c r="G1380" i="2"/>
  <c r="F1380" i="2"/>
  <c r="E1380" i="2"/>
  <c r="D1380" i="2"/>
  <c r="C1380" i="2"/>
  <c r="B1380" i="2"/>
  <c r="A1380" i="2"/>
  <c r="T1379" i="2"/>
  <c r="P1379" i="2"/>
  <c r="O1379" i="2"/>
  <c r="N1379" i="2"/>
  <c r="K1379" i="2"/>
  <c r="J1379" i="2"/>
  <c r="I1379" i="2"/>
  <c r="H1379" i="2"/>
  <c r="G1379" i="2"/>
  <c r="F1379" i="2"/>
  <c r="E1379" i="2"/>
  <c r="D1379" i="2"/>
  <c r="C1379" i="2"/>
  <c r="B1379" i="2"/>
  <c r="A1379" i="2"/>
  <c r="T1378" i="2"/>
  <c r="P1378" i="2"/>
  <c r="O1378" i="2"/>
  <c r="N1378" i="2"/>
  <c r="K1378" i="2"/>
  <c r="J1378" i="2"/>
  <c r="I1378" i="2"/>
  <c r="H1378" i="2"/>
  <c r="G1378" i="2"/>
  <c r="F1378" i="2"/>
  <c r="E1378" i="2"/>
  <c r="D1378" i="2"/>
  <c r="C1378" i="2"/>
  <c r="B1378" i="2"/>
  <c r="A1378" i="2"/>
  <c r="T1377" i="2"/>
  <c r="P1377" i="2"/>
  <c r="O1377" i="2"/>
  <c r="N1377" i="2"/>
  <c r="M1377" i="2"/>
  <c r="K1377" i="2"/>
  <c r="J1377" i="2"/>
  <c r="I1377" i="2"/>
  <c r="H1377" i="2"/>
  <c r="G1377" i="2"/>
  <c r="F1377" i="2"/>
  <c r="E1377" i="2"/>
  <c r="D1377" i="2"/>
  <c r="C1377" i="2"/>
  <c r="B1377" i="2"/>
  <c r="A1377" i="2"/>
  <c r="T1376" i="2"/>
  <c r="Q1376" i="2"/>
  <c r="P1376" i="2"/>
  <c r="O1376" i="2"/>
  <c r="N1376" i="2"/>
  <c r="M1376" i="2"/>
  <c r="K1376" i="2"/>
  <c r="J1376" i="2"/>
  <c r="I1376" i="2"/>
  <c r="H1376" i="2"/>
  <c r="G1376" i="2"/>
  <c r="F1376" i="2"/>
  <c r="E1376" i="2"/>
  <c r="D1376" i="2"/>
  <c r="C1376" i="2"/>
  <c r="B1376" i="2"/>
  <c r="A1376" i="2"/>
  <c r="P1375" i="2"/>
  <c r="O1375" i="2"/>
  <c r="N1375" i="2"/>
  <c r="M1375" i="2"/>
  <c r="K1375" i="2"/>
  <c r="J1375" i="2"/>
  <c r="I1375" i="2"/>
  <c r="H1375" i="2"/>
  <c r="G1375" i="2"/>
  <c r="F1375" i="2"/>
  <c r="E1375" i="2"/>
  <c r="D1375" i="2"/>
  <c r="C1375" i="2"/>
  <c r="B1375" i="2"/>
  <c r="A1375" i="2"/>
  <c r="T1374" i="2"/>
  <c r="P1374" i="2"/>
  <c r="O1374" i="2"/>
  <c r="N1374" i="2"/>
  <c r="K1374" i="2"/>
  <c r="J1374" i="2"/>
  <c r="I1374" i="2"/>
  <c r="H1374" i="2"/>
  <c r="G1374" i="2"/>
  <c r="F1374" i="2"/>
  <c r="E1374" i="2"/>
  <c r="D1374" i="2"/>
  <c r="C1374" i="2"/>
  <c r="B1374" i="2"/>
  <c r="A1374" i="2"/>
  <c r="T1373" i="2"/>
  <c r="Q1373" i="2"/>
  <c r="P1373" i="2"/>
  <c r="O1373" i="2"/>
  <c r="N1373" i="2"/>
  <c r="M1373" i="2"/>
  <c r="K1373" i="2"/>
  <c r="J1373" i="2"/>
  <c r="I1373" i="2"/>
  <c r="H1373" i="2"/>
  <c r="G1373" i="2"/>
  <c r="F1373" i="2"/>
  <c r="E1373" i="2"/>
  <c r="D1373" i="2"/>
  <c r="C1373" i="2"/>
  <c r="B1373" i="2"/>
  <c r="A1373" i="2"/>
  <c r="T1372" i="2"/>
  <c r="P1372" i="2"/>
  <c r="O1372" i="2"/>
  <c r="N1372" i="2"/>
  <c r="K1372" i="2"/>
  <c r="J1372" i="2"/>
  <c r="I1372" i="2"/>
  <c r="H1372" i="2"/>
  <c r="G1372" i="2"/>
  <c r="F1372" i="2"/>
  <c r="E1372" i="2"/>
  <c r="D1372" i="2"/>
  <c r="C1372" i="2"/>
  <c r="B1372" i="2"/>
  <c r="A1372" i="2"/>
  <c r="T1371" i="2"/>
  <c r="P1371" i="2"/>
  <c r="O1371" i="2"/>
  <c r="N1371" i="2"/>
  <c r="K1371" i="2"/>
  <c r="J1371" i="2"/>
  <c r="I1371" i="2"/>
  <c r="H1371" i="2"/>
  <c r="G1371" i="2"/>
  <c r="F1371" i="2"/>
  <c r="E1371" i="2"/>
  <c r="D1371" i="2"/>
  <c r="C1371" i="2"/>
  <c r="B1371" i="2"/>
  <c r="A1371" i="2"/>
  <c r="T1370" i="2"/>
  <c r="P1370" i="2"/>
  <c r="O1370" i="2"/>
  <c r="N1370" i="2"/>
  <c r="K1370" i="2"/>
  <c r="J1370" i="2"/>
  <c r="I1370" i="2"/>
  <c r="H1370" i="2"/>
  <c r="G1370" i="2"/>
  <c r="F1370" i="2"/>
  <c r="E1370" i="2"/>
  <c r="D1370" i="2"/>
  <c r="C1370" i="2"/>
  <c r="B1370" i="2"/>
  <c r="A1370" i="2"/>
  <c r="T1369" i="2"/>
  <c r="R1369" i="2"/>
  <c r="O1369" i="2"/>
  <c r="N1369" i="2"/>
  <c r="L1369" i="2"/>
  <c r="J1369" i="2"/>
  <c r="I1369" i="2"/>
  <c r="H1369" i="2"/>
  <c r="G1369" i="2"/>
  <c r="F1369" i="2"/>
  <c r="E1369" i="2"/>
  <c r="D1369" i="2"/>
  <c r="C1369" i="2"/>
  <c r="B1369" i="2"/>
  <c r="A1369" i="2"/>
  <c r="T1368" i="2"/>
  <c r="P1368" i="2"/>
  <c r="O1368" i="2"/>
  <c r="N1368" i="2"/>
  <c r="K1368" i="2"/>
  <c r="J1368" i="2"/>
  <c r="I1368" i="2"/>
  <c r="H1368" i="2"/>
  <c r="G1368" i="2"/>
  <c r="F1368" i="2"/>
  <c r="E1368" i="2"/>
  <c r="D1368" i="2"/>
  <c r="C1368" i="2"/>
  <c r="B1368" i="2"/>
  <c r="A1368" i="2"/>
  <c r="T1367" i="2"/>
  <c r="P1367" i="2"/>
  <c r="O1367" i="2"/>
  <c r="N1367" i="2"/>
  <c r="K1367" i="2"/>
  <c r="J1367" i="2"/>
  <c r="I1367" i="2"/>
  <c r="H1367" i="2"/>
  <c r="G1367" i="2"/>
  <c r="F1367" i="2"/>
  <c r="E1367" i="2"/>
  <c r="D1367" i="2"/>
  <c r="C1367" i="2"/>
  <c r="B1367" i="2"/>
  <c r="A1367" i="2"/>
  <c r="T1366" i="2"/>
  <c r="P1366" i="2"/>
  <c r="O1366" i="2"/>
  <c r="N1366" i="2"/>
  <c r="K1366" i="2"/>
  <c r="J1366" i="2"/>
  <c r="I1366" i="2"/>
  <c r="H1366" i="2"/>
  <c r="G1366" i="2"/>
  <c r="F1366" i="2"/>
  <c r="E1366" i="2"/>
  <c r="D1366" i="2"/>
  <c r="C1366" i="2"/>
  <c r="B1366" i="2"/>
  <c r="A1366" i="2"/>
  <c r="T1365" i="2"/>
  <c r="P1365" i="2"/>
  <c r="O1365" i="2"/>
  <c r="N1365" i="2"/>
  <c r="K1365" i="2"/>
  <c r="J1365" i="2"/>
  <c r="I1365" i="2"/>
  <c r="H1365" i="2"/>
  <c r="G1365" i="2"/>
  <c r="F1365" i="2"/>
  <c r="E1365" i="2"/>
  <c r="D1365" i="2"/>
  <c r="C1365" i="2"/>
  <c r="B1365" i="2"/>
  <c r="A1365" i="2"/>
  <c r="T1364" i="2"/>
  <c r="R1364" i="2"/>
  <c r="O1364" i="2"/>
  <c r="N1364" i="2"/>
  <c r="L1364" i="2"/>
  <c r="J1364" i="2"/>
  <c r="I1364" i="2"/>
  <c r="H1364" i="2"/>
  <c r="G1364" i="2"/>
  <c r="F1364" i="2"/>
  <c r="E1364" i="2"/>
  <c r="D1364" i="2"/>
  <c r="C1364" i="2"/>
  <c r="B1364" i="2"/>
  <c r="A1364" i="2"/>
  <c r="T1363" i="2"/>
  <c r="O1363" i="2"/>
  <c r="N1363" i="2"/>
  <c r="J1363" i="2"/>
  <c r="I1363" i="2"/>
  <c r="H1363" i="2"/>
  <c r="G1363" i="2"/>
  <c r="F1363" i="2"/>
  <c r="E1363" i="2"/>
  <c r="D1363" i="2"/>
  <c r="C1363" i="2"/>
  <c r="B1363" i="2"/>
  <c r="A1363" i="2"/>
  <c r="P1362" i="2"/>
  <c r="O1362" i="2"/>
  <c r="N1362" i="2"/>
  <c r="K1362" i="2"/>
  <c r="J1362" i="2"/>
  <c r="I1362" i="2"/>
  <c r="H1362" i="2"/>
  <c r="G1362" i="2"/>
  <c r="F1362" i="2"/>
  <c r="E1362" i="2"/>
  <c r="D1362" i="2"/>
  <c r="C1362" i="2"/>
  <c r="B1362" i="2"/>
  <c r="A1362" i="2"/>
  <c r="T1361" i="2"/>
  <c r="P1361" i="2"/>
  <c r="O1361" i="2"/>
  <c r="N1361" i="2"/>
  <c r="K1361" i="2"/>
  <c r="J1361" i="2"/>
  <c r="I1361" i="2"/>
  <c r="H1361" i="2"/>
  <c r="G1361" i="2"/>
  <c r="F1361" i="2"/>
  <c r="E1361" i="2"/>
  <c r="D1361" i="2"/>
  <c r="C1361" i="2"/>
  <c r="B1361" i="2"/>
  <c r="A1361" i="2"/>
  <c r="T1360" i="2"/>
  <c r="P1360" i="2"/>
  <c r="O1360" i="2"/>
  <c r="N1360" i="2"/>
  <c r="K1360" i="2"/>
  <c r="J1360" i="2"/>
  <c r="I1360" i="2"/>
  <c r="H1360" i="2"/>
  <c r="G1360" i="2"/>
  <c r="F1360" i="2"/>
  <c r="E1360" i="2"/>
  <c r="D1360" i="2"/>
  <c r="C1360" i="2"/>
  <c r="B1360" i="2"/>
  <c r="A1360" i="2"/>
  <c r="T1359" i="2"/>
  <c r="R1359" i="2"/>
  <c r="O1359" i="2"/>
  <c r="N1359" i="2"/>
  <c r="L1359" i="2"/>
  <c r="J1359" i="2"/>
  <c r="I1359" i="2"/>
  <c r="H1359" i="2"/>
  <c r="G1359" i="2"/>
  <c r="F1359" i="2"/>
  <c r="E1359" i="2"/>
  <c r="D1359" i="2"/>
  <c r="C1359" i="2"/>
  <c r="B1359" i="2"/>
  <c r="A1359" i="2"/>
  <c r="T1358" i="2"/>
  <c r="R1358" i="2"/>
  <c r="O1358" i="2"/>
  <c r="N1358" i="2"/>
  <c r="L1358" i="2"/>
  <c r="J1358" i="2"/>
  <c r="I1358" i="2"/>
  <c r="H1358" i="2"/>
  <c r="G1358" i="2"/>
  <c r="F1358" i="2"/>
  <c r="E1358" i="2"/>
  <c r="D1358" i="2"/>
  <c r="C1358" i="2"/>
  <c r="B1358" i="2"/>
  <c r="A1358" i="2"/>
  <c r="T1357" i="2"/>
  <c r="P1357" i="2"/>
  <c r="O1357" i="2"/>
  <c r="N1357" i="2"/>
  <c r="K1357" i="2"/>
  <c r="J1357" i="2"/>
  <c r="I1357" i="2"/>
  <c r="H1357" i="2"/>
  <c r="G1357" i="2"/>
  <c r="F1357" i="2"/>
  <c r="E1357" i="2"/>
  <c r="D1357" i="2"/>
  <c r="C1357" i="2"/>
  <c r="B1357" i="2"/>
  <c r="A1357" i="2"/>
  <c r="T1356" i="2"/>
  <c r="R1356" i="2"/>
  <c r="O1356" i="2"/>
  <c r="N1356" i="2"/>
  <c r="L1356" i="2"/>
  <c r="J1356" i="2"/>
  <c r="I1356" i="2"/>
  <c r="H1356" i="2"/>
  <c r="G1356" i="2"/>
  <c r="F1356" i="2"/>
  <c r="E1356" i="2"/>
  <c r="D1356" i="2"/>
  <c r="C1356" i="2"/>
  <c r="B1356" i="2"/>
  <c r="A1356" i="2"/>
  <c r="T1355" i="2"/>
  <c r="P1355" i="2"/>
  <c r="O1355" i="2"/>
  <c r="N1355" i="2"/>
  <c r="K1355" i="2"/>
  <c r="J1355" i="2"/>
  <c r="I1355" i="2"/>
  <c r="H1355" i="2"/>
  <c r="G1355" i="2"/>
  <c r="F1355" i="2"/>
  <c r="E1355" i="2"/>
  <c r="D1355" i="2"/>
  <c r="C1355" i="2"/>
  <c r="B1355" i="2"/>
  <c r="A1355" i="2"/>
  <c r="T1354" i="2"/>
  <c r="P1354" i="2"/>
  <c r="O1354" i="2"/>
  <c r="N1354" i="2"/>
  <c r="K1354" i="2"/>
  <c r="J1354" i="2"/>
  <c r="I1354" i="2"/>
  <c r="H1354" i="2"/>
  <c r="G1354" i="2"/>
  <c r="F1354" i="2"/>
  <c r="E1354" i="2"/>
  <c r="D1354" i="2"/>
  <c r="C1354" i="2"/>
  <c r="B1354" i="2"/>
  <c r="A1354" i="2"/>
  <c r="T1353" i="2"/>
  <c r="P1353" i="2"/>
  <c r="O1353" i="2"/>
  <c r="N1353" i="2"/>
  <c r="K1353" i="2"/>
  <c r="J1353" i="2"/>
  <c r="I1353" i="2"/>
  <c r="H1353" i="2"/>
  <c r="G1353" i="2"/>
  <c r="F1353" i="2"/>
  <c r="E1353" i="2"/>
  <c r="D1353" i="2"/>
  <c r="C1353" i="2"/>
  <c r="B1353" i="2"/>
  <c r="A1353" i="2"/>
  <c r="T1352" i="2"/>
  <c r="P1352" i="2"/>
  <c r="O1352" i="2"/>
  <c r="N1352" i="2"/>
  <c r="K1352" i="2"/>
  <c r="J1352" i="2"/>
  <c r="I1352" i="2"/>
  <c r="H1352" i="2"/>
  <c r="G1352" i="2"/>
  <c r="F1352" i="2"/>
  <c r="E1352" i="2"/>
  <c r="D1352" i="2"/>
  <c r="C1352" i="2"/>
  <c r="B1352" i="2"/>
  <c r="A1352" i="2"/>
  <c r="T1351" i="2"/>
  <c r="P1351" i="2"/>
  <c r="O1351" i="2"/>
  <c r="N1351" i="2"/>
  <c r="K1351" i="2"/>
  <c r="J1351" i="2"/>
  <c r="I1351" i="2"/>
  <c r="H1351" i="2"/>
  <c r="G1351" i="2"/>
  <c r="F1351" i="2"/>
  <c r="E1351" i="2"/>
  <c r="D1351" i="2"/>
  <c r="C1351" i="2"/>
  <c r="B1351" i="2"/>
  <c r="A1351" i="2"/>
  <c r="T1350" i="2"/>
  <c r="P1350" i="2"/>
  <c r="O1350" i="2"/>
  <c r="N1350" i="2"/>
  <c r="M1350" i="2"/>
  <c r="K1350" i="2"/>
  <c r="J1350" i="2"/>
  <c r="I1350" i="2"/>
  <c r="H1350" i="2"/>
  <c r="G1350" i="2"/>
  <c r="F1350" i="2"/>
  <c r="E1350" i="2"/>
  <c r="D1350" i="2"/>
  <c r="C1350" i="2"/>
  <c r="B1350" i="2"/>
  <c r="A1350" i="2"/>
  <c r="T1349" i="2"/>
  <c r="R1349" i="2"/>
  <c r="O1349" i="2"/>
  <c r="N1349" i="2"/>
  <c r="L1349" i="2"/>
  <c r="J1349" i="2"/>
  <c r="I1349" i="2"/>
  <c r="H1349" i="2"/>
  <c r="G1349" i="2"/>
  <c r="F1349" i="2"/>
  <c r="E1349" i="2"/>
  <c r="D1349" i="2"/>
  <c r="C1349" i="2"/>
  <c r="B1349" i="2"/>
  <c r="A1349" i="2"/>
  <c r="T1348" i="2"/>
  <c r="O1348" i="2"/>
  <c r="N1348" i="2"/>
  <c r="J1348" i="2"/>
  <c r="I1348" i="2"/>
  <c r="H1348" i="2"/>
  <c r="G1348" i="2"/>
  <c r="F1348" i="2"/>
  <c r="E1348" i="2"/>
  <c r="D1348" i="2"/>
  <c r="C1348" i="2"/>
  <c r="B1348" i="2"/>
  <c r="A1348" i="2"/>
  <c r="T1347" i="2"/>
  <c r="R1347" i="2"/>
  <c r="P1347" i="2"/>
  <c r="O1347" i="2"/>
  <c r="N1347" i="2"/>
  <c r="M1347" i="2"/>
  <c r="L1347" i="2"/>
  <c r="K1347" i="2"/>
  <c r="J1347" i="2"/>
  <c r="I1347" i="2"/>
  <c r="H1347" i="2"/>
  <c r="G1347" i="2"/>
  <c r="F1347" i="2"/>
  <c r="E1347" i="2"/>
  <c r="D1347" i="2"/>
  <c r="C1347" i="2"/>
  <c r="B1347" i="2"/>
  <c r="A1347" i="2"/>
  <c r="T1346" i="2"/>
  <c r="P1346" i="2"/>
  <c r="O1346" i="2"/>
  <c r="N1346" i="2"/>
  <c r="K1346" i="2"/>
  <c r="J1346" i="2"/>
  <c r="I1346" i="2"/>
  <c r="H1346" i="2"/>
  <c r="G1346" i="2"/>
  <c r="F1346" i="2"/>
  <c r="E1346" i="2"/>
  <c r="D1346" i="2"/>
  <c r="C1346" i="2"/>
  <c r="B1346" i="2"/>
  <c r="A1346" i="2"/>
  <c r="T1345" i="2"/>
  <c r="R1345" i="2"/>
  <c r="O1345" i="2"/>
  <c r="N1345" i="2"/>
  <c r="L1345" i="2"/>
  <c r="J1345" i="2"/>
  <c r="I1345" i="2"/>
  <c r="H1345" i="2"/>
  <c r="G1345" i="2"/>
  <c r="F1345" i="2"/>
  <c r="E1345" i="2"/>
  <c r="D1345" i="2"/>
  <c r="C1345" i="2"/>
  <c r="B1345" i="2"/>
  <c r="A1345" i="2"/>
  <c r="T1344" i="2"/>
  <c r="P1344" i="2"/>
  <c r="O1344" i="2"/>
  <c r="N1344" i="2"/>
  <c r="K1344" i="2"/>
  <c r="J1344" i="2"/>
  <c r="I1344" i="2"/>
  <c r="H1344" i="2"/>
  <c r="G1344" i="2"/>
  <c r="F1344" i="2"/>
  <c r="E1344" i="2"/>
  <c r="D1344" i="2"/>
  <c r="C1344" i="2"/>
  <c r="B1344" i="2"/>
  <c r="A1344" i="2"/>
  <c r="T1343" i="2"/>
  <c r="P1343" i="2"/>
  <c r="O1343" i="2"/>
  <c r="N1343" i="2"/>
  <c r="M1343" i="2"/>
  <c r="K1343" i="2"/>
  <c r="J1343" i="2"/>
  <c r="I1343" i="2"/>
  <c r="H1343" i="2"/>
  <c r="G1343" i="2"/>
  <c r="F1343" i="2"/>
  <c r="E1343" i="2"/>
  <c r="D1343" i="2"/>
  <c r="C1343" i="2"/>
  <c r="B1343" i="2"/>
  <c r="A1343" i="2"/>
  <c r="T1342" i="2"/>
  <c r="P1342" i="2"/>
  <c r="O1342" i="2"/>
  <c r="N1342" i="2"/>
  <c r="M1342" i="2"/>
  <c r="K1342" i="2"/>
  <c r="J1342" i="2"/>
  <c r="I1342" i="2"/>
  <c r="H1342" i="2"/>
  <c r="G1342" i="2"/>
  <c r="F1342" i="2"/>
  <c r="E1342" i="2"/>
  <c r="D1342" i="2"/>
  <c r="C1342" i="2"/>
  <c r="B1342" i="2"/>
  <c r="A1342" i="2"/>
  <c r="T1341" i="2"/>
  <c r="R1341" i="2"/>
  <c r="P1341" i="2"/>
  <c r="O1341" i="2"/>
  <c r="N1341" i="2"/>
  <c r="M1341" i="2"/>
  <c r="L1341" i="2"/>
  <c r="K1341" i="2"/>
  <c r="J1341" i="2"/>
  <c r="I1341" i="2"/>
  <c r="H1341" i="2"/>
  <c r="G1341" i="2"/>
  <c r="F1341" i="2"/>
  <c r="E1341" i="2"/>
  <c r="D1341" i="2"/>
  <c r="C1341" i="2"/>
  <c r="B1341" i="2"/>
  <c r="A1341" i="2"/>
  <c r="T1340" i="2"/>
  <c r="S1340" i="2"/>
  <c r="R1340" i="2"/>
  <c r="Q1340" i="2"/>
  <c r="P1340" i="2"/>
  <c r="O1340" i="2"/>
  <c r="N1340" i="2"/>
  <c r="K1340" i="2"/>
  <c r="J1340" i="2"/>
  <c r="I1340" i="2"/>
  <c r="H1340" i="2"/>
  <c r="G1340" i="2"/>
  <c r="F1340" i="2"/>
  <c r="E1340" i="2"/>
  <c r="D1340" i="2"/>
  <c r="C1340" i="2"/>
  <c r="B1340" i="2"/>
  <c r="A1340" i="2"/>
  <c r="T1339" i="2"/>
  <c r="S1339" i="2"/>
  <c r="R1339" i="2"/>
  <c r="Q1339" i="2"/>
  <c r="P1339" i="2"/>
  <c r="O1339" i="2"/>
  <c r="N1339" i="2"/>
  <c r="L1339" i="2"/>
  <c r="J1339" i="2"/>
  <c r="I1339" i="2"/>
  <c r="H1339" i="2"/>
  <c r="G1339" i="2"/>
  <c r="F1339" i="2"/>
  <c r="E1339" i="2"/>
  <c r="D1339" i="2"/>
  <c r="C1339" i="2"/>
  <c r="B1339" i="2"/>
  <c r="A1339" i="2"/>
  <c r="T1338" i="2"/>
  <c r="P1338" i="2"/>
  <c r="O1338" i="2"/>
  <c r="N1338" i="2"/>
  <c r="M1338" i="2"/>
  <c r="K1338" i="2"/>
  <c r="J1338" i="2"/>
  <c r="I1338" i="2"/>
  <c r="H1338" i="2"/>
  <c r="G1338" i="2"/>
  <c r="F1338" i="2"/>
  <c r="E1338" i="2"/>
  <c r="D1338" i="2"/>
  <c r="C1338" i="2"/>
  <c r="B1338" i="2"/>
  <c r="A1338" i="2"/>
  <c r="T1337" i="2"/>
  <c r="R1337" i="2"/>
  <c r="P1337" i="2"/>
  <c r="O1337" i="2"/>
  <c r="N1337" i="2"/>
  <c r="M1337" i="2"/>
  <c r="L1337" i="2"/>
  <c r="K1337" i="2"/>
  <c r="J1337" i="2"/>
  <c r="I1337" i="2"/>
  <c r="H1337" i="2"/>
  <c r="G1337" i="2"/>
  <c r="F1337" i="2"/>
  <c r="E1337" i="2"/>
  <c r="D1337" i="2"/>
  <c r="C1337" i="2"/>
  <c r="B1337" i="2"/>
  <c r="A1337" i="2"/>
  <c r="T1336" i="2"/>
  <c r="P1336" i="2"/>
  <c r="O1336" i="2"/>
  <c r="N1336" i="2"/>
  <c r="K1336" i="2"/>
  <c r="J1336" i="2"/>
  <c r="I1336" i="2"/>
  <c r="H1336" i="2"/>
  <c r="G1336" i="2"/>
  <c r="F1336" i="2"/>
  <c r="E1336" i="2"/>
  <c r="D1336" i="2"/>
  <c r="C1336" i="2"/>
  <c r="B1336" i="2"/>
  <c r="A1336" i="2"/>
  <c r="T1335" i="2"/>
  <c r="P1335" i="2"/>
  <c r="O1335" i="2"/>
  <c r="N1335" i="2"/>
  <c r="M1335" i="2"/>
  <c r="K1335" i="2"/>
  <c r="J1335" i="2"/>
  <c r="I1335" i="2"/>
  <c r="H1335" i="2"/>
  <c r="G1335" i="2"/>
  <c r="F1335" i="2"/>
  <c r="E1335" i="2"/>
  <c r="D1335" i="2"/>
  <c r="C1335" i="2"/>
  <c r="B1335" i="2"/>
  <c r="A1335" i="2"/>
  <c r="T1334" i="2"/>
  <c r="R1334" i="2"/>
  <c r="O1334" i="2"/>
  <c r="N1334" i="2"/>
  <c r="M1334" i="2"/>
  <c r="L1334" i="2"/>
  <c r="J1334" i="2"/>
  <c r="I1334" i="2"/>
  <c r="H1334" i="2"/>
  <c r="G1334" i="2"/>
  <c r="F1334" i="2"/>
  <c r="E1334" i="2"/>
  <c r="D1334" i="2"/>
  <c r="C1334" i="2"/>
  <c r="B1334" i="2"/>
  <c r="A1334" i="2"/>
  <c r="T1333" i="2"/>
  <c r="R1333" i="2"/>
  <c r="O1333" i="2"/>
  <c r="N1333" i="2"/>
  <c r="M1333" i="2"/>
  <c r="L1333" i="2"/>
  <c r="J1333" i="2"/>
  <c r="I1333" i="2"/>
  <c r="H1333" i="2"/>
  <c r="G1333" i="2"/>
  <c r="F1333" i="2"/>
  <c r="E1333" i="2"/>
  <c r="D1333" i="2"/>
  <c r="C1333" i="2"/>
  <c r="B1333" i="2"/>
  <c r="A1333" i="2"/>
  <c r="T1332" i="2"/>
  <c r="P1332" i="2"/>
  <c r="O1332" i="2"/>
  <c r="N1332" i="2"/>
  <c r="M1332" i="2"/>
  <c r="K1332" i="2"/>
  <c r="J1332" i="2"/>
  <c r="I1332" i="2"/>
  <c r="H1332" i="2"/>
  <c r="G1332" i="2"/>
  <c r="F1332" i="2"/>
  <c r="E1332" i="2"/>
  <c r="D1332" i="2"/>
  <c r="C1332" i="2"/>
  <c r="B1332" i="2"/>
  <c r="A1332" i="2"/>
  <c r="T1331" i="2"/>
  <c r="P1331" i="2"/>
  <c r="O1331" i="2"/>
  <c r="N1331" i="2"/>
  <c r="M1331" i="2"/>
  <c r="K1331" i="2"/>
  <c r="J1331" i="2"/>
  <c r="I1331" i="2"/>
  <c r="H1331" i="2"/>
  <c r="G1331" i="2"/>
  <c r="F1331" i="2"/>
  <c r="E1331" i="2"/>
  <c r="D1331" i="2"/>
  <c r="C1331" i="2"/>
  <c r="B1331" i="2"/>
  <c r="A1331" i="2"/>
  <c r="T1330" i="2"/>
  <c r="P1330" i="2"/>
  <c r="O1330" i="2"/>
  <c r="N1330" i="2"/>
  <c r="M1330" i="2"/>
  <c r="K1330" i="2"/>
  <c r="J1330" i="2"/>
  <c r="I1330" i="2"/>
  <c r="H1330" i="2"/>
  <c r="G1330" i="2"/>
  <c r="F1330" i="2"/>
  <c r="E1330" i="2"/>
  <c r="D1330" i="2"/>
  <c r="C1330" i="2"/>
  <c r="B1330" i="2"/>
  <c r="A1330" i="2"/>
  <c r="T1329" i="2"/>
  <c r="P1329" i="2"/>
  <c r="O1329" i="2"/>
  <c r="N1329" i="2"/>
  <c r="K1329" i="2"/>
  <c r="J1329" i="2"/>
  <c r="I1329" i="2"/>
  <c r="H1329" i="2"/>
  <c r="G1329" i="2"/>
  <c r="F1329" i="2"/>
  <c r="E1329" i="2"/>
  <c r="D1329" i="2"/>
  <c r="C1329" i="2"/>
  <c r="B1329" i="2"/>
  <c r="A1329" i="2"/>
  <c r="T1328" i="2"/>
  <c r="O1328" i="2"/>
  <c r="N1328" i="2"/>
  <c r="J1328" i="2"/>
  <c r="I1328" i="2"/>
  <c r="H1328" i="2"/>
  <c r="G1328" i="2"/>
  <c r="F1328" i="2"/>
  <c r="E1328" i="2"/>
  <c r="D1328" i="2"/>
  <c r="C1328" i="2"/>
  <c r="B1328" i="2"/>
  <c r="A1328" i="2"/>
  <c r="T1327" i="2"/>
  <c r="O1327" i="2"/>
  <c r="N1327" i="2"/>
  <c r="J1327" i="2"/>
  <c r="I1327" i="2"/>
  <c r="H1327" i="2"/>
  <c r="G1327" i="2"/>
  <c r="F1327" i="2"/>
  <c r="E1327" i="2"/>
  <c r="D1327" i="2"/>
  <c r="C1327" i="2"/>
  <c r="B1327" i="2"/>
  <c r="A1327" i="2"/>
  <c r="T1326" i="2"/>
  <c r="P1326" i="2"/>
  <c r="O1326" i="2"/>
  <c r="N1326" i="2"/>
  <c r="M1326" i="2"/>
  <c r="L1326" i="2"/>
  <c r="J1326" i="2"/>
  <c r="I1326" i="2"/>
  <c r="H1326" i="2"/>
  <c r="G1326" i="2"/>
  <c r="F1326" i="2"/>
  <c r="E1326" i="2"/>
  <c r="D1326" i="2"/>
  <c r="C1326" i="2"/>
  <c r="B1326" i="2"/>
  <c r="A1326" i="2"/>
  <c r="T1325" i="2"/>
  <c r="R1325" i="2"/>
  <c r="O1325" i="2"/>
  <c r="N1325" i="2"/>
  <c r="M1325" i="2"/>
  <c r="L1325" i="2"/>
  <c r="J1325" i="2"/>
  <c r="I1325" i="2"/>
  <c r="H1325" i="2"/>
  <c r="G1325" i="2"/>
  <c r="F1325" i="2"/>
  <c r="E1325" i="2"/>
  <c r="D1325" i="2"/>
  <c r="C1325" i="2"/>
  <c r="B1325" i="2"/>
  <c r="A1325" i="2"/>
  <c r="T1324" i="2"/>
  <c r="R1324" i="2"/>
  <c r="O1324" i="2"/>
  <c r="N1324" i="2"/>
  <c r="M1324" i="2"/>
  <c r="L1324" i="2"/>
  <c r="J1324" i="2"/>
  <c r="I1324" i="2"/>
  <c r="H1324" i="2"/>
  <c r="G1324" i="2"/>
  <c r="F1324" i="2"/>
  <c r="E1324" i="2"/>
  <c r="D1324" i="2"/>
  <c r="C1324" i="2"/>
  <c r="B1324" i="2"/>
  <c r="A1324" i="2"/>
  <c r="T1323" i="2"/>
  <c r="P1323" i="2"/>
  <c r="O1323" i="2"/>
  <c r="N1323" i="2"/>
  <c r="M1323" i="2"/>
  <c r="K1323" i="2"/>
  <c r="J1323" i="2"/>
  <c r="I1323" i="2"/>
  <c r="H1323" i="2"/>
  <c r="G1323" i="2"/>
  <c r="F1323" i="2"/>
  <c r="E1323" i="2"/>
  <c r="D1323" i="2"/>
  <c r="C1323" i="2"/>
  <c r="B1323" i="2"/>
  <c r="A1323" i="2"/>
  <c r="T1322" i="2"/>
  <c r="P1322" i="2"/>
  <c r="O1322" i="2"/>
  <c r="N1322" i="2"/>
  <c r="M1322" i="2"/>
  <c r="K1322" i="2"/>
  <c r="J1322" i="2"/>
  <c r="I1322" i="2"/>
  <c r="H1322" i="2"/>
  <c r="G1322" i="2"/>
  <c r="F1322" i="2"/>
  <c r="E1322" i="2"/>
  <c r="D1322" i="2"/>
  <c r="C1322" i="2"/>
  <c r="B1322" i="2"/>
  <c r="A1322" i="2"/>
  <c r="T1321" i="2"/>
  <c r="O1321" i="2"/>
  <c r="N1321" i="2"/>
  <c r="M1321" i="2"/>
  <c r="K1321" i="2"/>
  <c r="J1321" i="2"/>
  <c r="I1321" i="2"/>
  <c r="H1321" i="2"/>
  <c r="G1321" i="2"/>
  <c r="F1321" i="2"/>
  <c r="E1321" i="2"/>
  <c r="D1321" i="2"/>
  <c r="C1321" i="2"/>
  <c r="B1321" i="2"/>
  <c r="A1321" i="2"/>
  <c r="T1320" i="2"/>
  <c r="O1320" i="2"/>
  <c r="N1320" i="2"/>
  <c r="M1320" i="2"/>
  <c r="K1320" i="2"/>
  <c r="J1320" i="2"/>
  <c r="I1320" i="2"/>
  <c r="H1320" i="2"/>
  <c r="G1320" i="2"/>
  <c r="F1320" i="2"/>
  <c r="E1320" i="2"/>
  <c r="D1320" i="2"/>
  <c r="C1320" i="2"/>
  <c r="B1320" i="2"/>
  <c r="A1320" i="2"/>
  <c r="T1319" i="2"/>
  <c r="O1319" i="2"/>
  <c r="N1319" i="2"/>
  <c r="M1319" i="2"/>
  <c r="K1319" i="2"/>
  <c r="J1319" i="2"/>
  <c r="I1319" i="2"/>
  <c r="H1319" i="2"/>
  <c r="G1319" i="2"/>
  <c r="F1319" i="2"/>
  <c r="E1319" i="2"/>
  <c r="D1319" i="2"/>
  <c r="C1319" i="2"/>
  <c r="B1319" i="2"/>
  <c r="A1319" i="2"/>
  <c r="T1318" i="2"/>
  <c r="P1318" i="2"/>
  <c r="O1318" i="2"/>
  <c r="N1318" i="2"/>
  <c r="M1318" i="2"/>
  <c r="K1318" i="2"/>
  <c r="J1318" i="2"/>
  <c r="I1318" i="2"/>
  <c r="H1318" i="2"/>
  <c r="G1318" i="2"/>
  <c r="F1318" i="2"/>
  <c r="E1318" i="2"/>
  <c r="D1318" i="2"/>
  <c r="C1318" i="2"/>
  <c r="B1318" i="2"/>
  <c r="A1318" i="2"/>
  <c r="T1317" i="2"/>
  <c r="P1317" i="2"/>
  <c r="O1317" i="2"/>
  <c r="N1317" i="2"/>
  <c r="M1317" i="2"/>
  <c r="K1317" i="2"/>
  <c r="J1317" i="2"/>
  <c r="I1317" i="2"/>
  <c r="H1317" i="2"/>
  <c r="G1317" i="2"/>
  <c r="F1317" i="2"/>
  <c r="E1317" i="2"/>
  <c r="D1317" i="2"/>
  <c r="C1317" i="2"/>
  <c r="B1317" i="2"/>
  <c r="A1317" i="2"/>
  <c r="P1316" i="2"/>
  <c r="O1316" i="2"/>
  <c r="N1316" i="2"/>
  <c r="M1316" i="2"/>
  <c r="K1316" i="2"/>
  <c r="J1316" i="2"/>
  <c r="I1316" i="2"/>
  <c r="H1316" i="2"/>
  <c r="G1316" i="2"/>
  <c r="F1316" i="2"/>
  <c r="E1316" i="2"/>
  <c r="D1316" i="2"/>
  <c r="C1316" i="2"/>
  <c r="B1316" i="2"/>
  <c r="A1316" i="2"/>
  <c r="T1315" i="2"/>
  <c r="O1315" i="2"/>
  <c r="N1315" i="2"/>
  <c r="M1315" i="2"/>
  <c r="J1315" i="2"/>
  <c r="I1315" i="2"/>
  <c r="H1315" i="2"/>
  <c r="G1315" i="2"/>
  <c r="F1315" i="2"/>
  <c r="E1315" i="2"/>
  <c r="D1315" i="2"/>
  <c r="C1315" i="2"/>
  <c r="B1315" i="2"/>
  <c r="A1315" i="2"/>
  <c r="T1314" i="2"/>
  <c r="P1314" i="2"/>
  <c r="O1314" i="2"/>
  <c r="N1314" i="2"/>
  <c r="M1314" i="2"/>
  <c r="K1314" i="2"/>
  <c r="J1314" i="2"/>
  <c r="I1314" i="2"/>
  <c r="H1314" i="2"/>
  <c r="G1314" i="2"/>
  <c r="F1314" i="2"/>
  <c r="E1314" i="2"/>
  <c r="D1314" i="2"/>
  <c r="C1314" i="2"/>
  <c r="B1314" i="2"/>
  <c r="A1314" i="2"/>
  <c r="T1313" i="2"/>
  <c r="P1313" i="2"/>
  <c r="O1313" i="2"/>
  <c r="N1313" i="2"/>
  <c r="M1313" i="2"/>
  <c r="K1313" i="2"/>
  <c r="J1313" i="2"/>
  <c r="I1313" i="2"/>
  <c r="H1313" i="2"/>
  <c r="G1313" i="2"/>
  <c r="F1313" i="2"/>
  <c r="E1313" i="2"/>
  <c r="D1313" i="2"/>
  <c r="C1313" i="2"/>
  <c r="B1313" i="2"/>
  <c r="A1313" i="2"/>
  <c r="T1312" i="2"/>
  <c r="P1312" i="2"/>
  <c r="O1312" i="2"/>
  <c r="N1312" i="2"/>
  <c r="K1312" i="2"/>
  <c r="J1312" i="2"/>
  <c r="I1312" i="2"/>
  <c r="H1312" i="2"/>
  <c r="G1312" i="2"/>
  <c r="F1312" i="2"/>
  <c r="E1312" i="2"/>
  <c r="D1312" i="2"/>
  <c r="C1312" i="2"/>
  <c r="B1312" i="2"/>
  <c r="A1312" i="2"/>
  <c r="R1311" i="2"/>
  <c r="P1311" i="2"/>
  <c r="O1311" i="2"/>
  <c r="N1311" i="2"/>
  <c r="M1311" i="2"/>
  <c r="L1311" i="2"/>
  <c r="K1311" i="2"/>
  <c r="J1311" i="2"/>
  <c r="I1311" i="2"/>
  <c r="H1311" i="2"/>
  <c r="G1311" i="2"/>
  <c r="F1311" i="2"/>
  <c r="E1311" i="2"/>
  <c r="D1311" i="2"/>
  <c r="C1311" i="2"/>
  <c r="B1311" i="2"/>
  <c r="A1311" i="2"/>
  <c r="T1310" i="2"/>
  <c r="O1310" i="2"/>
  <c r="N1310" i="2"/>
  <c r="M1310" i="2"/>
  <c r="J1310" i="2"/>
  <c r="I1310" i="2"/>
  <c r="H1310" i="2"/>
  <c r="G1310" i="2"/>
  <c r="F1310" i="2"/>
  <c r="E1310" i="2"/>
  <c r="D1310" i="2"/>
  <c r="C1310" i="2"/>
  <c r="B1310" i="2"/>
  <c r="A1310" i="2"/>
  <c r="T1309" i="2"/>
  <c r="P1309" i="2"/>
  <c r="O1309" i="2"/>
  <c r="N1309" i="2"/>
  <c r="K1309" i="2"/>
  <c r="J1309" i="2"/>
  <c r="I1309" i="2"/>
  <c r="H1309" i="2"/>
  <c r="G1309" i="2"/>
  <c r="F1309" i="2"/>
  <c r="E1309" i="2"/>
  <c r="D1309" i="2"/>
  <c r="C1309" i="2"/>
  <c r="B1309" i="2"/>
  <c r="A1309" i="2"/>
  <c r="T1308" i="2"/>
  <c r="O1308" i="2"/>
  <c r="N1308" i="2"/>
  <c r="L1308" i="2"/>
  <c r="J1308" i="2"/>
  <c r="I1308" i="2"/>
  <c r="H1308" i="2"/>
  <c r="G1308" i="2"/>
  <c r="F1308" i="2"/>
  <c r="E1308" i="2"/>
  <c r="D1308" i="2"/>
  <c r="C1308" i="2"/>
  <c r="B1308" i="2"/>
  <c r="A1308" i="2"/>
  <c r="T1307" i="2"/>
  <c r="P1307" i="2"/>
  <c r="O1307" i="2"/>
  <c r="N1307" i="2"/>
  <c r="M1307" i="2"/>
  <c r="J1307" i="2"/>
  <c r="I1307" i="2"/>
  <c r="H1307" i="2"/>
  <c r="G1307" i="2"/>
  <c r="F1307" i="2"/>
  <c r="E1307" i="2"/>
  <c r="D1307" i="2"/>
  <c r="C1307" i="2"/>
  <c r="B1307" i="2"/>
  <c r="A1307" i="2"/>
  <c r="T1306" i="2"/>
  <c r="P1306" i="2"/>
  <c r="O1306" i="2"/>
  <c r="N1306" i="2"/>
  <c r="K1306" i="2"/>
  <c r="J1306" i="2"/>
  <c r="I1306" i="2"/>
  <c r="H1306" i="2"/>
  <c r="G1306" i="2"/>
  <c r="F1306" i="2"/>
  <c r="E1306" i="2"/>
  <c r="D1306" i="2"/>
  <c r="C1306" i="2"/>
  <c r="B1306" i="2"/>
  <c r="A1306" i="2"/>
  <c r="T1305" i="2"/>
  <c r="P1305" i="2"/>
  <c r="O1305" i="2"/>
  <c r="N1305" i="2"/>
  <c r="M1305" i="2"/>
  <c r="K1305" i="2"/>
  <c r="J1305" i="2"/>
  <c r="I1305" i="2"/>
  <c r="H1305" i="2"/>
  <c r="G1305" i="2"/>
  <c r="F1305" i="2"/>
  <c r="E1305" i="2"/>
  <c r="D1305" i="2"/>
  <c r="C1305" i="2"/>
  <c r="B1305" i="2"/>
  <c r="A1305" i="2"/>
  <c r="T1304" i="2"/>
  <c r="P1304" i="2"/>
  <c r="O1304" i="2"/>
  <c r="N1304" i="2"/>
  <c r="K1304" i="2"/>
  <c r="J1304" i="2"/>
  <c r="I1304" i="2"/>
  <c r="H1304" i="2"/>
  <c r="G1304" i="2"/>
  <c r="F1304" i="2"/>
  <c r="E1304" i="2"/>
  <c r="D1304" i="2"/>
  <c r="C1304" i="2"/>
  <c r="B1304" i="2"/>
  <c r="A1304" i="2"/>
  <c r="T1303" i="2"/>
  <c r="R1303" i="2"/>
  <c r="O1303" i="2"/>
  <c r="N1303" i="2"/>
  <c r="L1303" i="2"/>
  <c r="J1303" i="2"/>
  <c r="I1303" i="2"/>
  <c r="H1303" i="2"/>
  <c r="G1303" i="2"/>
  <c r="F1303" i="2"/>
  <c r="E1303" i="2"/>
  <c r="D1303" i="2"/>
  <c r="C1303" i="2"/>
  <c r="B1303" i="2"/>
  <c r="A1303" i="2"/>
  <c r="T1302" i="2"/>
  <c r="P1302" i="2"/>
  <c r="O1302" i="2"/>
  <c r="N1302" i="2"/>
  <c r="K1302" i="2"/>
  <c r="J1302" i="2"/>
  <c r="I1302" i="2"/>
  <c r="H1302" i="2"/>
  <c r="G1302" i="2"/>
  <c r="F1302" i="2"/>
  <c r="E1302" i="2"/>
  <c r="D1302" i="2"/>
  <c r="C1302" i="2"/>
  <c r="B1302" i="2"/>
  <c r="A1302" i="2"/>
  <c r="T1301" i="2"/>
  <c r="P1301" i="2"/>
  <c r="O1301" i="2"/>
  <c r="N1301" i="2"/>
  <c r="K1301" i="2"/>
  <c r="J1301" i="2"/>
  <c r="I1301" i="2"/>
  <c r="H1301" i="2"/>
  <c r="G1301" i="2"/>
  <c r="F1301" i="2"/>
  <c r="E1301" i="2"/>
  <c r="D1301" i="2"/>
  <c r="C1301" i="2"/>
  <c r="B1301" i="2"/>
  <c r="A1301" i="2"/>
  <c r="T1300" i="2"/>
  <c r="P1300" i="2"/>
  <c r="O1300" i="2"/>
  <c r="N1300" i="2"/>
  <c r="K1300" i="2"/>
  <c r="J1300" i="2"/>
  <c r="I1300" i="2"/>
  <c r="H1300" i="2"/>
  <c r="G1300" i="2"/>
  <c r="F1300" i="2"/>
  <c r="E1300" i="2"/>
  <c r="D1300" i="2"/>
  <c r="C1300" i="2"/>
  <c r="B1300" i="2"/>
  <c r="A1300" i="2"/>
  <c r="T1299" i="2"/>
  <c r="P1299" i="2"/>
  <c r="O1299" i="2"/>
  <c r="N1299" i="2"/>
  <c r="K1299" i="2"/>
  <c r="J1299" i="2"/>
  <c r="I1299" i="2"/>
  <c r="H1299" i="2"/>
  <c r="G1299" i="2"/>
  <c r="F1299" i="2"/>
  <c r="E1299" i="2"/>
  <c r="D1299" i="2"/>
  <c r="C1299" i="2"/>
  <c r="B1299" i="2"/>
  <c r="A1299" i="2"/>
  <c r="T1298" i="2"/>
  <c r="P1298" i="2"/>
  <c r="O1298" i="2"/>
  <c r="N1298" i="2"/>
  <c r="K1298" i="2"/>
  <c r="J1298" i="2"/>
  <c r="I1298" i="2"/>
  <c r="H1298" i="2"/>
  <c r="G1298" i="2"/>
  <c r="F1298" i="2"/>
  <c r="E1298" i="2"/>
  <c r="D1298" i="2"/>
  <c r="C1298" i="2"/>
  <c r="B1298" i="2"/>
  <c r="A1298" i="2"/>
  <c r="T1297" i="2"/>
  <c r="O1297" i="2"/>
  <c r="N1297" i="2"/>
  <c r="J1297" i="2"/>
  <c r="I1297" i="2"/>
  <c r="H1297" i="2"/>
  <c r="G1297" i="2"/>
  <c r="F1297" i="2"/>
  <c r="E1297" i="2"/>
  <c r="D1297" i="2"/>
  <c r="C1297" i="2"/>
  <c r="B1297" i="2"/>
  <c r="A1297" i="2"/>
  <c r="T1296" i="2"/>
  <c r="O1296" i="2"/>
  <c r="N1296" i="2"/>
  <c r="J1296" i="2"/>
  <c r="I1296" i="2"/>
  <c r="H1296" i="2"/>
  <c r="G1296" i="2"/>
  <c r="F1296" i="2"/>
  <c r="E1296" i="2"/>
  <c r="D1296" i="2"/>
  <c r="C1296" i="2"/>
  <c r="B1296" i="2"/>
  <c r="A1296" i="2"/>
  <c r="T1295" i="2"/>
  <c r="O1295" i="2"/>
  <c r="N1295" i="2"/>
  <c r="J1295" i="2"/>
  <c r="I1295" i="2"/>
  <c r="H1295" i="2"/>
  <c r="G1295" i="2"/>
  <c r="F1295" i="2"/>
  <c r="E1295" i="2"/>
  <c r="D1295" i="2"/>
  <c r="C1295" i="2"/>
  <c r="B1295" i="2"/>
  <c r="A1295" i="2"/>
  <c r="T1294" i="2"/>
  <c r="P1294" i="2"/>
  <c r="O1294" i="2"/>
  <c r="N1294" i="2"/>
  <c r="M1294" i="2"/>
  <c r="J1294" i="2"/>
  <c r="I1294" i="2"/>
  <c r="H1294" i="2"/>
  <c r="G1294" i="2"/>
  <c r="F1294" i="2"/>
  <c r="E1294" i="2"/>
  <c r="D1294" i="2"/>
  <c r="C1294" i="2"/>
  <c r="B1294" i="2"/>
  <c r="A1294" i="2"/>
  <c r="T1293" i="2"/>
  <c r="P1293" i="2"/>
  <c r="O1293" i="2"/>
  <c r="N1293" i="2"/>
  <c r="K1293" i="2"/>
  <c r="J1293" i="2"/>
  <c r="I1293" i="2"/>
  <c r="H1293" i="2"/>
  <c r="G1293" i="2"/>
  <c r="F1293" i="2"/>
  <c r="E1293" i="2"/>
  <c r="D1293" i="2"/>
  <c r="C1293" i="2"/>
  <c r="B1293" i="2"/>
  <c r="A1293" i="2"/>
  <c r="T1292" i="2"/>
  <c r="P1292" i="2"/>
  <c r="O1292" i="2"/>
  <c r="N1292" i="2"/>
  <c r="K1292" i="2"/>
  <c r="J1292" i="2"/>
  <c r="I1292" i="2"/>
  <c r="H1292" i="2"/>
  <c r="G1292" i="2"/>
  <c r="F1292" i="2"/>
  <c r="E1292" i="2"/>
  <c r="D1292" i="2"/>
  <c r="C1292" i="2"/>
  <c r="B1292" i="2"/>
  <c r="A1292" i="2"/>
  <c r="T1291" i="2"/>
  <c r="O1291" i="2"/>
  <c r="N1291" i="2"/>
  <c r="K1291" i="2"/>
  <c r="J1291" i="2"/>
  <c r="I1291" i="2"/>
  <c r="H1291" i="2"/>
  <c r="G1291" i="2"/>
  <c r="F1291" i="2"/>
  <c r="E1291" i="2"/>
  <c r="D1291" i="2"/>
  <c r="C1291" i="2"/>
  <c r="B1291" i="2"/>
  <c r="A1291" i="2"/>
  <c r="T1290" i="2"/>
  <c r="O1290" i="2"/>
  <c r="N1290" i="2"/>
  <c r="L1290" i="2"/>
  <c r="J1290" i="2"/>
  <c r="I1290" i="2"/>
  <c r="H1290" i="2"/>
  <c r="G1290" i="2"/>
  <c r="F1290" i="2"/>
  <c r="E1290" i="2"/>
  <c r="D1290" i="2"/>
  <c r="C1290" i="2"/>
  <c r="B1290" i="2"/>
  <c r="A1290" i="2"/>
  <c r="T1289" i="2"/>
  <c r="P1289" i="2"/>
  <c r="O1289" i="2"/>
  <c r="N1289" i="2"/>
  <c r="K1289" i="2"/>
  <c r="J1289" i="2"/>
  <c r="I1289" i="2"/>
  <c r="H1289" i="2"/>
  <c r="G1289" i="2"/>
  <c r="F1289" i="2"/>
  <c r="E1289" i="2"/>
  <c r="D1289" i="2"/>
  <c r="C1289" i="2"/>
  <c r="B1289" i="2"/>
  <c r="A1289" i="2"/>
  <c r="T1288" i="2"/>
  <c r="R1288" i="2"/>
  <c r="O1288" i="2"/>
  <c r="N1288" i="2"/>
  <c r="L1288" i="2"/>
  <c r="J1288" i="2"/>
  <c r="I1288" i="2"/>
  <c r="H1288" i="2"/>
  <c r="G1288" i="2"/>
  <c r="F1288" i="2"/>
  <c r="E1288" i="2"/>
  <c r="D1288" i="2"/>
  <c r="C1288" i="2"/>
  <c r="B1288" i="2"/>
  <c r="A1288" i="2"/>
  <c r="T1287" i="2"/>
  <c r="R1287" i="2"/>
  <c r="O1287" i="2"/>
  <c r="N1287" i="2"/>
  <c r="L1287" i="2"/>
  <c r="J1287" i="2"/>
  <c r="I1287" i="2"/>
  <c r="H1287" i="2"/>
  <c r="G1287" i="2"/>
  <c r="F1287" i="2"/>
  <c r="E1287" i="2"/>
  <c r="D1287" i="2"/>
  <c r="C1287" i="2"/>
  <c r="B1287" i="2"/>
  <c r="A1287" i="2"/>
  <c r="T1286" i="2"/>
  <c r="P1286" i="2"/>
  <c r="O1286" i="2"/>
  <c r="N1286" i="2"/>
  <c r="K1286" i="2"/>
  <c r="J1286" i="2"/>
  <c r="I1286" i="2"/>
  <c r="H1286" i="2"/>
  <c r="G1286" i="2"/>
  <c r="F1286" i="2"/>
  <c r="E1286" i="2"/>
  <c r="D1286" i="2"/>
  <c r="C1286" i="2"/>
  <c r="B1286" i="2"/>
  <c r="A1286" i="2"/>
  <c r="T1285" i="2"/>
  <c r="P1285" i="2"/>
  <c r="O1285" i="2"/>
  <c r="N1285" i="2"/>
  <c r="K1285" i="2"/>
  <c r="J1285" i="2"/>
  <c r="I1285" i="2"/>
  <c r="H1285" i="2"/>
  <c r="G1285" i="2"/>
  <c r="F1285" i="2"/>
  <c r="E1285" i="2"/>
  <c r="D1285" i="2"/>
  <c r="C1285" i="2"/>
  <c r="B1285" i="2"/>
  <c r="A1285" i="2"/>
  <c r="T1284" i="2"/>
  <c r="Q1284" i="2"/>
  <c r="P1284" i="2"/>
  <c r="O1284" i="2"/>
  <c r="N1284" i="2"/>
  <c r="M1284" i="2"/>
  <c r="L1284" i="2"/>
  <c r="K1284" i="2"/>
  <c r="J1284" i="2"/>
  <c r="I1284" i="2"/>
  <c r="H1284" i="2"/>
  <c r="G1284" i="2"/>
  <c r="F1284" i="2"/>
  <c r="E1284" i="2"/>
  <c r="D1284" i="2"/>
  <c r="C1284" i="2"/>
  <c r="B1284" i="2"/>
  <c r="A1284" i="2"/>
  <c r="T1283" i="2"/>
  <c r="P1283" i="2"/>
  <c r="O1283" i="2"/>
  <c r="N1283" i="2"/>
  <c r="K1283" i="2"/>
  <c r="J1283" i="2"/>
  <c r="I1283" i="2"/>
  <c r="H1283" i="2"/>
  <c r="G1283" i="2"/>
  <c r="F1283" i="2"/>
  <c r="E1283" i="2"/>
  <c r="D1283" i="2"/>
  <c r="C1283" i="2"/>
  <c r="B1283" i="2"/>
  <c r="A1283" i="2"/>
  <c r="T1282" i="2"/>
  <c r="P1282" i="2"/>
  <c r="O1282" i="2"/>
  <c r="N1282" i="2"/>
  <c r="L1282" i="2"/>
  <c r="K1282" i="2"/>
  <c r="J1282" i="2"/>
  <c r="I1282" i="2"/>
  <c r="H1282" i="2"/>
  <c r="G1282" i="2"/>
  <c r="F1282" i="2"/>
  <c r="E1282" i="2"/>
  <c r="D1282" i="2"/>
  <c r="C1282" i="2"/>
  <c r="B1282" i="2"/>
  <c r="A1282" i="2"/>
  <c r="T1281" i="2"/>
  <c r="P1281" i="2"/>
  <c r="O1281" i="2"/>
  <c r="N1281" i="2"/>
  <c r="K1281" i="2"/>
  <c r="J1281" i="2"/>
  <c r="I1281" i="2"/>
  <c r="H1281" i="2"/>
  <c r="G1281" i="2"/>
  <c r="F1281" i="2"/>
  <c r="E1281" i="2"/>
  <c r="D1281" i="2"/>
  <c r="C1281" i="2"/>
  <c r="B1281" i="2"/>
  <c r="A1281" i="2"/>
  <c r="T1280" i="2"/>
  <c r="R1280" i="2"/>
  <c r="P1280" i="2"/>
  <c r="O1280" i="2"/>
  <c r="N1280" i="2"/>
  <c r="M1280" i="2"/>
  <c r="L1280" i="2"/>
  <c r="K1280" i="2"/>
  <c r="J1280" i="2"/>
  <c r="I1280" i="2"/>
  <c r="H1280" i="2"/>
  <c r="G1280" i="2"/>
  <c r="F1280" i="2"/>
  <c r="E1280" i="2"/>
  <c r="D1280" i="2"/>
  <c r="C1280" i="2"/>
  <c r="B1280" i="2"/>
  <c r="A1280" i="2"/>
  <c r="T1279" i="2"/>
  <c r="Q1279" i="2"/>
  <c r="P1279" i="2"/>
  <c r="O1279" i="2"/>
  <c r="N1279" i="2"/>
  <c r="L1279" i="2"/>
  <c r="K1279" i="2"/>
  <c r="J1279" i="2"/>
  <c r="I1279" i="2"/>
  <c r="H1279" i="2"/>
  <c r="G1279" i="2"/>
  <c r="F1279" i="2"/>
  <c r="E1279" i="2"/>
  <c r="D1279" i="2"/>
  <c r="C1279" i="2"/>
  <c r="B1279" i="2"/>
  <c r="A1279" i="2"/>
  <c r="T1278" i="2"/>
  <c r="O1278" i="2"/>
  <c r="N1278" i="2"/>
  <c r="J1278" i="2"/>
  <c r="I1278" i="2"/>
  <c r="H1278" i="2"/>
  <c r="G1278" i="2"/>
  <c r="F1278" i="2"/>
  <c r="E1278" i="2"/>
  <c r="D1278" i="2"/>
  <c r="C1278" i="2"/>
  <c r="B1278" i="2"/>
  <c r="A1278" i="2"/>
  <c r="T1277" i="2"/>
  <c r="O1277" i="2"/>
  <c r="N1277" i="2"/>
  <c r="J1277" i="2"/>
  <c r="I1277" i="2"/>
  <c r="H1277" i="2"/>
  <c r="G1277" i="2"/>
  <c r="F1277" i="2"/>
  <c r="E1277" i="2"/>
  <c r="D1277" i="2"/>
  <c r="C1277" i="2"/>
  <c r="B1277" i="2"/>
  <c r="A1277" i="2"/>
  <c r="T1276" i="2"/>
  <c r="O1276" i="2"/>
  <c r="N1276" i="2"/>
  <c r="J1276" i="2"/>
  <c r="I1276" i="2"/>
  <c r="H1276" i="2"/>
  <c r="G1276" i="2"/>
  <c r="F1276" i="2"/>
  <c r="E1276" i="2"/>
  <c r="D1276" i="2"/>
  <c r="C1276" i="2"/>
  <c r="B1276" i="2"/>
  <c r="A1276" i="2"/>
  <c r="T1275" i="2"/>
  <c r="Q1275" i="2"/>
  <c r="P1275" i="2"/>
  <c r="O1275" i="2"/>
  <c r="N1275" i="2"/>
  <c r="K1275" i="2"/>
  <c r="J1275" i="2"/>
  <c r="I1275" i="2"/>
  <c r="H1275" i="2"/>
  <c r="G1275" i="2"/>
  <c r="F1275" i="2"/>
  <c r="E1275" i="2"/>
  <c r="D1275" i="2"/>
  <c r="C1275" i="2"/>
  <c r="B1275" i="2"/>
  <c r="A1275" i="2"/>
  <c r="T1274" i="2"/>
  <c r="P1274" i="2"/>
  <c r="O1274" i="2"/>
  <c r="N1274" i="2"/>
  <c r="M1274" i="2"/>
  <c r="K1274" i="2"/>
  <c r="J1274" i="2"/>
  <c r="I1274" i="2"/>
  <c r="H1274" i="2"/>
  <c r="G1274" i="2"/>
  <c r="F1274" i="2"/>
  <c r="E1274" i="2"/>
  <c r="D1274" i="2"/>
  <c r="C1274" i="2"/>
  <c r="B1274" i="2"/>
  <c r="A1274" i="2"/>
  <c r="T1273" i="2"/>
  <c r="R1273" i="2"/>
  <c r="P1273" i="2"/>
  <c r="O1273" i="2"/>
  <c r="N1273" i="2"/>
  <c r="L1273" i="2"/>
  <c r="K1273" i="2"/>
  <c r="J1273" i="2"/>
  <c r="I1273" i="2"/>
  <c r="H1273" i="2"/>
  <c r="G1273" i="2"/>
  <c r="F1273" i="2"/>
  <c r="E1273" i="2"/>
  <c r="D1273" i="2"/>
  <c r="C1273" i="2"/>
  <c r="B1273" i="2"/>
  <c r="A1273" i="2"/>
  <c r="T1272" i="2"/>
  <c r="Q1272" i="2"/>
  <c r="P1272" i="2"/>
  <c r="O1272" i="2"/>
  <c r="N1272" i="2"/>
  <c r="M1272" i="2"/>
  <c r="L1272" i="2"/>
  <c r="K1272" i="2"/>
  <c r="J1272" i="2"/>
  <c r="I1272" i="2"/>
  <c r="H1272" i="2"/>
  <c r="G1272" i="2"/>
  <c r="F1272" i="2"/>
  <c r="E1272" i="2"/>
  <c r="D1272" i="2"/>
  <c r="C1272" i="2"/>
  <c r="B1272" i="2"/>
  <c r="A1272" i="2"/>
  <c r="T1271" i="2"/>
  <c r="P1271" i="2"/>
  <c r="O1271" i="2"/>
  <c r="N1271" i="2"/>
  <c r="M1271" i="2"/>
  <c r="K1271" i="2"/>
  <c r="J1271" i="2"/>
  <c r="I1271" i="2"/>
  <c r="H1271" i="2"/>
  <c r="G1271" i="2"/>
  <c r="F1271" i="2"/>
  <c r="E1271" i="2"/>
  <c r="D1271" i="2"/>
  <c r="C1271" i="2"/>
  <c r="B1271" i="2"/>
  <c r="A1271" i="2"/>
  <c r="T1270" i="2"/>
  <c r="P1270" i="2"/>
  <c r="O1270" i="2"/>
  <c r="N1270" i="2"/>
  <c r="M1270" i="2"/>
  <c r="K1270" i="2"/>
  <c r="J1270" i="2"/>
  <c r="I1270" i="2"/>
  <c r="H1270" i="2"/>
  <c r="G1270" i="2"/>
  <c r="F1270" i="2"/>
  <c r="E1270" i="2"/>
  <c r="D1270" i="2"/>
  <c r="C1270" i="2"/>
  <c r="B1270" i="2"/>
  <c r="A1270" i="2"/>
  <c r="T1269" i="2"/>
  <c r="P1269" i="2"/>
  <c r="O1269" i="2"/>
  <c r="N1269" i="2"/>
  <c r="M1269" i="2"/>
  <c r="K1269" i="2"/>
  <c r="J1269" i="2"/>
  <c r="I1269" i="2"/>
  <c r="H1269" i="2"/>
  <c r="G1269" i="2"/>
  <c r="F1269" i="2"/>
  <c r="E1269" i="2"/>
  <c r="D1269" i="2"/>
  <c r="C1269" i="2"/>
  <c r="B1269" i="2"/>
  <c r="A1269" i="2"/>
  <c r="T1268" i="2"/>
  <c r="R1268" i="2"/>
  <c r="O1268" i="2"/>
  <c r="N1268" i="2"/>
  <c r="L1268" i="2"/>
  <c r="J1268" i="2"/>
  <c r="I1268" i="2"/>
  <c r="H1268" i="2"/>
  <c r="G1268" i="2"/>
  <c r="F1268" i="2"/>
  <c r="E1268" i="2"/>
  <c r="D1268" i="2"/>
  <c r="C1268" i="2"/>
  <c r="B1268" i="2"/>
  <c r="A1268" i="2"/>
  <c r="T1267" i="2"/>
  <c r="P1267" i="2"/>
  <c r="O1267" i="2"/>
  <c r="N1267" i="2"/>
  <c r="K1267" i="2"/>
  <c r="J1267" i="2"/>
  <c r="I1267" i="2"/>
  <c r="H1267" i="2"/>
  <c r="G1267" i="2"/>
  <c r="F1267" i="2"/>
  <c r="E1267" i="2"/>
  <c r="D1267" i="2"/>
  <c r="C1267" i="2"/>
  <c r="B1267" i="2"/>
  <c r="A1267" i="2"/>
  <c r="T1266" i="2"/>
  <c r="P1266" i="2"/>
  <c r="O1266" i="2"/>
  <c r="N1266" i="2"/>
  <c r="K1266" i="2"/>
  <c r="J1266" i="2"/>
  <c r="I1266" i="2"/>
  <c r="H1266" i="2"/>
  <c r="G1266" i="2"/>
  <c r="F1266" i="2"/>
  <c r="E1266" i="2"/>
  <c r="D1266" i="2"/>
  <c r="C1266" i="2"/>
  <c r="B1266" i="2"/>
  <c r="A1266" i="2"/>
  <c r="T1265" i="2"/>
  <c r="P1265" i="2"/>
  <c r="O1265" i="2"/>
  <c r="N1265" i="2"/>
  <c r="M1265" i="2"/>
  <c r="K1265" i="2"/>
  <c r="J1265" i="2"/>
  <c r="I1265" i="2"/>
  <c r="H1265" i="2"/>
  <c r="G1265" i="2"/>
  <c r="F1265" i="2"/>
  <c r="E1265" i="2"/>
  <c r="D1265" i="2"/>
  <c r="C1265" i="2"/>
  <c r="B1265" i="2"/>
  <c r="A1265" i="2"/>
  <c r="T1264" i="2"/>
  <c r="R1264" i="2"/>
  <c r="O1264" i="2"/>
  <c r="N1264" i="2"/>
  <c r="L1264" i="2"/>
  <c r="J1264" i="2"/>
  <c r="I1264" i="2"/>
  <c r="H1264" i="2"/>
  <c r="G1264" i="2"/>
  <c r="F1264" i="2"/>
  <c r="E1264" i="2"/>
  <c r="D1264" i="2"/>
  <c r="C1264" i="2"/>
  <c r="B1264" i="2"/>
  <c r="A1264" i="2"/>
  <c r="T1263" i="2"/>
  <c r="P1263" i="2"/>
  <c r="O1263" i="2"/>
  <c r="N1263" i="2"/>
  <c r="K1263" i="2"/>
  <c r="J1263" i="2"/>
  <c r="I1263" i="2"/>
  <c r="H1263" i="2"/>
  <c r="G1263" i="2"/>
  <c r="F1263" i="2"/>
  <c r="E1263" i="2"/>
  <c r="D1263" i="2"/>
  <c r="C1263" i="2"/>
  <c r="B1263" i="2"/>
  <c r="A1263" i="2"/>
  <c r="T1262" i="2"/>
  <c r="P1262" i="2"/>
  <c r="O1262" i="2"/>
  <c r="N1262" i="2"/>
  <c r="K1262" i="2"/>
  <c r="J1262" i="2"/>
  <c r="I1262" i="2"/>
  <c r="H1262" i="2"/>
  <c r="G1262" i="2"/>
  <c r="F1262" i="2"/>
  <c r="E1262" i="2"/>
  <c r="D1262" i="2"/>
  <c r="C1262" i="2"/>
  <c r="B1262" i="2"/>
  <c r="A1262" i="2"/>
  <c r="T1261" i="2"/>
  <c r="R1261" i="2"/>
  <c r="P1261" i="2"/>
  <c r="O1261" i="2"/>
  <c r="N1261" i="2"/>
  <c r="M1261" i="2"/>
  <c r="L1261" i="2"/>
  <c r="K1261" i="2"/>
  <c r="J1261" i="2"/>
  <c r="I1261" i="2"/>
  <c r="H1261" i="2"/>
  <c r="G1261" i="2"/>
  <c r="F1261" i="2"/>
  <c r="E1261" i="2"/>
  <c r="D1261" i="2"/>
  <c r="C1261" i="2"/>
  <c r="B1261" i="2"/>
  <c r="A1261" i="2"/>
  <c r="T1260" i="2"/>
  <c r="P1260" i="2"/>
  <c r="O1260" i="2"/>
  <c r="N1260" i="2"/>
  <c r="M1260" i="2"/>
  <c r="K1260" i="2"/>
  <c r="J1260" i="2"/>
  <c r="I1260" i="2"/>
  <c r="H1260" i="2"/>
  <c r="G1260" i="2"/>
  <c r="F1260" i="2"/>
  <c r="E1260" i="2"/>
  <c r="D1260" i="2"/>
  <c r="C1260" i="2"/>
  <c r="B1260" i="2"/>
  <c r="A1260" i="2"/>
  <c r="T1259" i="2"/>
  <c r="P1259" i="2"/>
  <c r="O1259" i="2"/>
  <c r="N1259" i="2"/>
  <c r="M1259" i="2"/>
  <c r="K1259" i="2"/>
  <c r="J1259" i="2"/>
  <c r="I1259" i="2"/>
  <c r="H1259" i="2"/>
  <c r="G1259" i="2"/>
  <c r="F1259" i="2"/>
  <c r="E1259" i="2"/>
  <c r="D1259" i="2"/>
  <c r="C1259" i="2"/>
  <c r="B1259" i="2"/>
  <c r="A1259" i="2"/>
  <c r="T1258" i="2"/>
  <c r="P1258" i="2"/>
  <c r="O1258" i="2"/>
  <c r="N1258" i="2"/>
  <c r="K1258" i="2"/>
  <c r="J1258" i="2"/>
  <c r="I1258" i="2"/>
  <c r="H1258" i="2"/>
  <c r="G1258" i="2"/>
  <c r="F1258" i="2"/>
  <c r="E1258" i="2"/>
  <c r="D1258" i="2"/>
  <c r="C1258" i="2"/>
  <c r="B1258" i="2"/>
  <c r="A1258" i="2"/>
  <c r="T1257" i="2"/>
  <c r="P1257" i="2"/>
  <c r="O1257" i="2"/>
  <c r="N1257" i="2"/>
  <c r="M1257" i="2"/>
  <c r="K1257" i="2"/>
  <c r="J1257" i="2"/>
  <c r="I1257" i="2"/>
  <c r="H1257" i="2"/>
  <c r="G1257" i="2"/>
  <c r="F1257" i="2"/>
  <c r="E1257" i="2"/>
  <c r="D1257" i="2"/>
  <c r="C1257" i="2"/>
  <c r="B1257" i="2"/>
  <c r="A1257" i="2"/>
  <c r="T1256" i="2"/>
  <c r="P1256" i="2"/>
  <c r="O1256" i="2"/>
  <c r="N1256" i="2"/>
  <c r="M1256" i="2"/>
  <c r="K1256" i="2"/>
  <c r="J1256" i="2"/>
  <c r="I1256" i="2"/>
  <c r="H1256" i="2"/>
  <c r="G1256" i="2"/>
  <c r="F1256" i="2"/>
  <c r="E1256" i="2"/>
  <c r="D1256" i="2"/>
  <c r="C1256" i="2"/>
  <c r="B1256" i="2"/>
  <c r="A1256" i="2"/>
  <c r="T1255" i="2"/>
  <c r="R1255" i="2"/>
  <c r="O1255" i="2"/>
  <c r="N1255" i="2"/>
  <c r="L1255" i="2"/>
  <c r="K1255" i="2"/>
  <c r="J1255" i="2"/>
  <c r="I1255" i="2"/>
  <c r="H1255" i="2"/>
  <c r="G1255" i="2"/>
  <c r="F1255" i="2"/>
  <c r="E1255" i="2"/>
  <c r="D1255" i="2"/>
  <c r="C1255" i="2"/>
  <c r="B1255" i="2"/>
  <c r="A1255" i="2"/>
  <c r="T1254" i="2"/>
  <c r="Q1254" i="2"/>
  <c r="P1254" i="2"/>
  <c r="O1254" i="2"/>
  <c r="N1254" i="2"/>
  <c r="K1254" i="2"/>
  <c r="J1254" i="2"/>
  <c r="I1254" i="2"/>
  <c r="H1254" i="2"/>
  <c r="G1254" i="2"/>
  <c r="F1254" i="2"/>
  <c r="E1254" i="2"/>
  <c r="D1254" i="2"/>
  <c r="C1254" i="2"/>
  <c r="B1254" i="2"/>
  <c r="A1254" i="2"/>
  <c r="T1253" i="2"/>
  <c r="P1253" i="2"/>
  <c r="O1253" i="2"/>
  <c r="N1253" i="2"/>
  <c r="K1253" i="2"/>
  <c r="J1253" i="2"/>
  <c r="I1253" i="2"/>
  <c r="H1253" i="2"/>
  <c r="G1253" i="2"/>
  <c r="F1253" i="2"/>
  <c r="E1253" i="2"/>
  <c r="D1253" i="2"/>
  <c r="C1253" i="2"/>
  <c r="B1253" i="2"/>
  <c r="A1253" i="2"/>
  <c r="T1252" i="2"/>
  <c r="R1252" i="2"/>
  <c r="Q1252" i="2"/>
  <c r="P1252" i="2"/>
  <c r="O1252" i="2"/>
  <c r="N1252" i="2"/>
  <c r="M1252" i="2"/>
  <c r="L1252" i="2"/>
  <c r="K1252" i="2"/>
  <c r="J1252" i="2"/>
  <c r="I1252" i="2"/>
  <c r="H1252" i="2"/>
  <c r="G1252" i="2"/>
  <c r="F1252" i="2"/>
  <c r="E1252" i="2"/>
  <c r="D1252" i="2"/>
  <c r="C1252" i="2"/>
  <c r="B1252" i="2"/>
  <c r="A1252" i="2"/>
  <c r="T1251" i="2"/>
  <c r="P1251" i="2"/>
  <c r="O1251" i="2"/>
  <c r="N1251" i="2"/>
  <c r="K1251" i="2"/>
  <c r="J1251" i="2"/>
  <c r="I1251" i="2"/>
  <c r="H1251" i="2"/>
  <c r="G1251" i="2"/>
  <c r="F1251" i="2"/>
  <c r="E1251" i="2"/>
  <c r="D1251" i="2"/>
  <c r="C1251" i="2"/>
  <c r="B1251" i="2"/>
  <c r="A1251" i="2"/>
  <c r="T1250" i="2"/>
  <c r="P1250" i="2"/>
  <c r="O1250" i="2"/>
  <c r="N1250" i="2"/>
  <c r="K1250" i="2"/>
  <c r="J1250" i="2"/>
  <c r="I1250" i="2"/>
  <c r="H1250" i="2"/>
  <c r="G1250" i="2"/>
  <c r="F1250" i="2"/>
  <c r="E1250" i="2"/>
  <c r="D1250" i="2"/>
  <c r="C1250" i="2"/>
  <c r="B1250" i="2"/>
  <c r="A1250" i="2"/>
  <c r="T1249" i="2"/>
  <c r="R1249" i="2"/>
  <c r="O1249" i="2"/>
  <c r="N1249" i="2"/>
  <c r="L1249" i="2"/>
  <c r="J1249" i="2"/>
  <c r="I1249" i="2"/>
  <c r="H1249" i="2"/>
  <c r="G1249" i="2"/>
  <c r="F1249" i="2"/>
  <c r="E1249" i="2"/>
  <c r="D1249" i="2"/>
  <c r="C1249" i="2"/>
  <c r="B1249" i="2"/>
  <c r="A1249" i="2"/>
  <c r="T1248" i="2"/>
  <c r="P1248" i="2"/>
  <c r="O1248" i="2"/>
  <c r="N1248" i="2"/>
  <c r="M1248" i="2"/>
  <c r="K1248" i="2"/>
  <c r="J1248" i="2"/>
  <c r="I1248" i="2"/>
  <c r="H1248" i="2"/>
  <c r="G1248" i="2"/>
  <c r="F1248" i="2"/>
  <c r="E1248" i="2"/>
  <c r="D1248" i="2"/>
  <c r="C1248" i="2"/>
  <c r="B1248" i="2"/>
  <c r="A1248" i="2"/>
  <c r="T1247" i="2"/>
  <c r="P1247" i="2"/>
  <c r="O1247" i="2"/>
  <c r="N1247" i="2"/>
  <c r="M1247" i="2"/>
  <c r="K1247" i="2"/>
  <c r="J1247" i="2"/>
  <c r="I1247" i="2"/>
  <c r="H1247" i="2"/>
  <c r="G1247" i="2"/>
  <c r="F1247" i="2"/>
  <c r="E1247" i="2"/>
  <c r="D1247" i="2"/>
  <c r="C1247" i="2"/>
  <c r="B1247" i="2"/>
  <c r="A1247" i="2"/>
  <c r="T1246" i="2"/>
  <c r="Q1246" i="2"/>
  <c r="P1246" i="2"/>
  <c r="O1246" i="2"/>
  <c r="N1246" i="2"/>
  <c r="K1246" i="2"/>
  <c r="J1246" i="2"/>
  <c r="I1246" i="2"/>
  <c r="H1246" i="2"/>
  <c r="G1246" i="2"/>
  <c r="F1246" i="2"/>
  <c r="E1246" i="2"/>
  <c r="D1246" i="2"/>
  <c r="C1246" i="2"/>
  <c r="B1246" i="2"/>
  <c r="A1246" i="2"/>
  <c r="T1245" i="2"/>
  <c r="P1245" i="2"/>
  <c r="O1245" i="2"/>
  <c r="N1245" i="2"/>
  <c r="M1245" i="2"/>
  <c r="L1245" i="2"/>
  <c r="K1245" i="2"/>
  <c r="J1245" i="2"/>
  <c r="I1245" i="2"/>
  <c r="H1245" i="2"/>
  <c r="G1245" i="2"/>
  <c r="F1245" i="2"/>
  <c r="E1245" i="2"/>
  <c r="D1245" i="2"/>
  <c r="C1245" i="2"/>
  <c r="B1245" i="2"/>
  <c r="A1245" i="2"/>
  <c r="T1244" i="2"/>
  <c r="P1244" i="2"/>
  <c r="O1244" i="2"/>
  <c r="N1244" i="2"/>
  <c r="K1244" i="2"/>
  <c r="J1244" i="2"/>
  <c r="I1244" i="2"/>
  <c r="H1244" i="2"/>
  <c r="G1244" i="2"/>
  <c r="F1244" i="2"/>
  <c r="E1244" i="2"/>
  <c r="D1244" i="2"/>
  <c r="C1244" i="2"/>
  <c r="B1244" i="2"/>
  <c r="A1244" i="2"/>
  <c r="T1243" i="2"/>
  <c r="R1243" i="2"/>
  <c r="O1243" i="2"/>
  <c r="N1243" i="2"/>
  <c r="L1243" i="2"/>
  <c r="J1243" i="2"/>
  <c r="I1243" i="2"/>
  <c r="H1243" i="2"/>
  <c r="G1243" i="2"/>
  <c r="F1243" i="2"/>
  <c r="E1243" i="2"/>
  <c r="D1243" i="2"/>
  <c r="C1243" i="2"/>
  <c r="B1243" i="2"/>
  <c r="A1243" i="2"/>
  <c r="T1242" i="2"/>
  <c r="Q1242" i="2"/>
  <c r="P1242" i="2"/>
  <c r="O1242" i="2"/>
  <c r="N1242" i="2"/>
  <c r="K1242" i="2"/>
  <c r="J1242" i="2"/>
  <c r="I1242" i="2"/>
  <c r="H1242" i="2"/>
  <c r="G1242" i="2"/>
  <c r="F1242" i="2"/>
  <c r="E1242" i="2"/>
  <c r="D1242" i="2"/>
  <c r="C1242" i="2"/>
  <c r="B1242" i="2"/>
  <c r="A1242" i="2"/>
  <c r="T1241" i="2"/>
  <c r="P1241" i="2"/>
  <c r="O1241" i="2"/>
  <c r="N1241" i="2"/>
  <c r="K1241" i="2"/>
  <c r="J1241" i="2"/>
  <c r="I1241" i="2"/>
  <c r="H1241" i="2"/>
  <c r="G1241" i="2"/>
  <c r="F1241" i="2"/>
  <c r="E1241" i="2"/>
  <c r="D1241" i="2"/>
  <c r="C1241" i="2"/>
  <c r="B1241" i="2"/>
  <c r="A1241" i="2"/>
  <c r="T1240" i="2"/>
  <c r="S1240" i="2"/>
  <c r="R1240" i="2"/>
  <c r="Q1240" i="2"/>
  <c r="P1240" i="2"/>
  <c r="O1240" i="2"/>
  <c r="N1240" i="2"/>
  <c r="M1240" i="2"/>
  <c r="L1240" i="2"/>
  <c r="K1240" i="2"/>
  <c r="J1240" i="2"/>
  <c r="I1240" i="2"/>
  <c r="H1240" i="2"/>
  <c r="G1240" i="2"/>
  <c r="F1240" i="2"/>
  <c r="E1240" i="2"/>
  <c r="D1240" i="2"/>
  <c r="C1240" i="2"/>
  <c r="B1240" i="2"/>
  <c r="A1240" i="2"/>
  <c r="T1239" i="2"/>
  <c r="P1239" i="2"/>
  <c r="O1239" i="2"/>
  <c r="N1239" i="2"/>
  <c r="K1239" i="2"/>
  <c r="J1239" i="2"/>
  <c r="I1239" i="2"/>
  <c r="H1239" i="2"/>
  <c r="G1239" i="2"/>
  <c r="F1239" i="2"/>
  <c r="E1239" i="2"/>
  <c r="D1239" i="2"/>
  <c r="C1239" i="2"/>
  <c r="B1239" i="2"/>
  <c r="A1239" i="2"/>
  <c r="T1238" i="2"/>
  <c r="P1238" i="2"/>
  <c r="O1238" i="2"/>
  <c r="N1238" i="2"/>
  <c r="K1238" i="2"/>
  <c r="J1238" i="2"/>
  <c r="I1238" i="2"/>
  <c r="H1238" i="2"/>
  <c r="G1238" i="2"/>
  <c r="F1238" i="2"/>
  <c r="E1238" i="2"/>
  <c r="D1238" i="2"/>
  <c r="C1238" i="2"/>
  <c r="B1238" i="2"/>
  <c r="A1238" i="2"/>
  <c r="T1237" i="2"/>
  <c r="Q1237" i="2"/>
  <c r="P1237" i="2"/>
  <c r="O1237" i="2"/>
  <c r="N1237" i="2"/>
  <c r="K1237" i="2"/>
  <c r="J1237" i="2"/>
  <c r="I1237" i="2"/>
  <c r="H1237" i="2"/>
  <c r="G1237" i="2"/>
  <c r="F1237" i="2"/>
  <c r="E1237" i="2"/>
  <c r="D1237" i="2"/>
  <c r="C1237" i="2"/>
  <c r="B1237" i="2"/>
  <c r="A1237" i="2"/>
  <c r="T1236" i="2"/>
  <c r="O1236" i="2"/>
  <c r="N1236" i="2"/>
  <c r="J1236" i="2"/>
  <c r="I1236" i="2"/>
  <c r="H1236" i="2"/>
  <c r="G1236" i="2"/>
  <c r="F1236" i="2"/>
  <c r="E1236" i="2"/>
  <c r="D1236" i="2"/>
  <c r="C1236" i="2"/>
  <c r="B1236" i="2"/>
  <c r="A1236" i="2"/>
  <c r="T1235" i="2"/>
  <c r="P1235" i="2"/>
  <c r="O1235" i="2"/>
  <c r="N1235" i="2"/>
  <c r="K1235" i="2"/>
  <c r="J1235" i="2"/>
  <c r="I1235" i="2"/>
  <c r="H1235" i="2"/>
  <c r="G1235" i="2"/>
  <c r="F1235" i="2"/>
  <c r="E1235" i="2"/>
  <c r="D1235" i="2"/>
  <c r="C1235" i="2"/>
  <c r="B1235" i="2"/>
  <c r="A1235" i="2"/>
  <c r="T1234" i="2"/>
  <c r="R1234" i="2"/>
  <c r="O1234" i="2"/>
  <c r="N1234" i="2"/>
  <c r="L1234" i="2"/>
  <c r="J1234" i="2"/>
  <c r="I1234" i="2"/>
  <c r="H1234" i="2"/>
  <c r="G1234" i="2"/>
  <c r="F1234" i="2"/>
  <c r="E1234" i="2"/>
  <c r="D1234" i="2"/>
  <c r="C1234" i="2"/>
  <c r="B1234" i="2"/>
  <c r="A1234" i="2"/>
  <c r="T1233" i="2"/>
  <c r="P1233" i="2"/>
  <c r="O1233" i="2"/>
  <c r="N1233" i="2"/>
  <c r="K1233" i="2"/>
  <c r="J1233" i="2"/>
  <c r="I1233" i="2"/>
  <c r="H1233" i="2"/>
  <c r="G1233" i="2"/>
  <c r="F1233" i="2"/>
  <c r="E1233" i="2"/>
  <c r="D1233" i="2"/>
  <c r="C1233" i="2"/>
  <c r="B1233" i="2"/>
  <c r="A1233" i="2"/>
  <c r="T1232" i="2"/>
  <c r="O1232" i="2"/>
  <c r="N1232" i="2"/>
  <c r="J1232" i="2"/>
  <c r="I1232" i="2"/>
  <c r="H1232" i="2"/>
  <c r="G1232" i="2"/>
  <c r="F1232" i="2"/>
  <c r="E1232" i="2"/>
  <c r="D1232" i="2"/>
  <c r="C1232" i="2"/>
  <c r="B1232" i="2"/>
  <c r="A1232" i="2"/>
  <c r="T1231" i="2"/>
  <c r="O1231" i="2"/>
  <c r="N1231" i="2"/>
  <c r="J1231" i="2"/>
  <c r="I1231" i="2"/>
  <c r="H1231" i="2"/>
  <c r="G1231" i="2"/>
  <c r="F1231" i="2"/>
  <c r="E1231" i="2"/>
  <c r="D1231" i="2"/>
  <c r="C1231" i="2"/>
  <c r="B1231" i="2"/>
  <c r="A1231" i="2"/>
  <c r="T1230" i="2"/>
  <c r="O1230" i="2"/>
  <c r="N1230" i="2"/>
  <c r="J1230" i="2"/>
  <c r="I1230" i="2"/>
  <c r="H1230" i="2"/>
  <c r="G1230" i="2"/>
  <c r="F1230" i="2"/>
  <c r="E1230" i="2"/>
  <c r="D1230" i="2"/>
  <c r="C1230" i="2"/>
  <c r="B1230" i="2"/>
  <c r="A1230" i="2"/>
  <c r="T1229" i="2"/>
  <c r="O1229" i="2"/>
  <c r="N1229" i="2"/>
  <c r="J1229" i="2"/>
  <c r="I1229" i="2"/>
  <c r="H1229" i="2"/>
  <c r="G1229" i="2"/>
  <c r="F1229" i="2"/>
  <c r="E1229" i="2"/>
  <c r="D1229" i="2"/>
  <c r="C1229" i="2"/>
  <c r="B1229" i="2"/>
  <c r="A1229" i="2"/>
  <c r="T1228" i="2"/>
  <c r="O1228" i="2"/>
  <c r="N1228" i="2"/>
  <c r="J1228" i="2"/>
  <c r="I1228" i="2"/>
  <c r="H1228" i="2"/>
  <c r="G1228" i="2"/>
  <c r="F1228" i="2"/>
  <c r="E1228" i="2"/>
  <c r="D1228" i="2"/>
  <c r="C1228" i="2"/>
  <c r="B1228" i="2"/>
  <c r="A1228" i="2"/>
  <c r="T1227" i="2"/>
  <c r="O1227" i="2"/>
  <c r="N1227" i="2"/>
  <c r="J1227" i="2"/>
  <c r="I1227" i="2"/>
  <c r="H1227" i="2"/>
  <c r="G1227" i="2"/>
  <c r="F1227" i="2"/>
  <c r="E1227" i="2"/>
  <c r="D1227" i="2"/>
  <c r="C1227" i="2"/>
  <c r="B1227" i="2"/>
  <c r="A1227" i="2"/>
  <c r="T1226" i="2"/>
  <c r="O1226" i="2"/>
  <c r="N1226" i="2"/>
  <c r="K1226" i="2"/>
  <c r="J1226" i="2"/>
  <c r="I1226" i="2"/>
  <c r="H1226" i="2"/>
  <c r="G1226" i="2"/>
  <c r="F1226" i="2"/>
  <c r="E1226" i="2"/>
  <c r="D1226" i="2"/>
  <c r="C1226" i="2"/>
  <c r="B1226" i="2"/>
  <c r="A1226" i="2"/>
  <c r="T1225" i="2"/>
  <c r="P1225" i="2"/>
  <c r="O1225" i="2"/>
  <c r="N1225" i="2"/>
  <c r="K1225" i="2"/>
  <c r="J1225" i="2"/>
  <c r="I1225" i="2"/>
  <c r="H1225" i="2"/>
  <c r="G1225" i="2"/>
  <c r="F1225" i="2"/>
  <c r="E1225" i="2"/>
  <c r="D1225" i="2"/>
  <c r="C1225" i="2"/>
  <c r="B1225" i="2"/>
  <c r="A1225" i="2"/>
  <c r="T1224" i="2"/>
  <c r="O1224" i="2"/>
  <c r="N1224" i="2"/>
  <c r="J1224" i="2"/>
  <c r="I1224" i="2"/>
  <c r="H1224" i="2"/>
  <c r="G1224" i="2"/>
  <c r="F1224" i="2"/>
  <c r="E1224" i="2"/>
  <c r="D1224" i="2"/>
  <c r="C1224" i="2"/>
  <c r="B1224" i="2"/>
  <c r="A1224" i="2"/>
  <c r="T1223" i="2"/>
  <c r="O1223" i="2"/>
  <c r="N1223" i="2"/>
  <c r="J1223" i="2"/>
  <c r="I1223" i="2"/>
  <c r="H1223" i="2"/>
  <c r="G1223" i="2"/>
  <c r="F1223" i="2"/>
  <c r="E1223" i="2"/>
  <c r="D1223" i="2"/>
  <c r="C1223" i="2"/>
  <c r="B1223" i="2"/>
  <c r="A1223" i="2"/>
  <c r="T1222" i="2"/>
  <c r="P1222" i="2"/>
  <c r="O1222" i="2"/>
  <c r="N1222" i="2"/>
  <c r="K1222" i="2"/>
  <c r="J1222" i="2"/>
  <c r="I1222" i="2"/>
  <c r="H1222" i="2"/>
  <c r="G1222" i="2"/>
  <c r="F1222" i="2"/>
  <c r="E1222" i="2"/>
  <c r="D1222" i="2"/>
  <c r="C1222" i="2"/>
  <c r="B1222" i="2"/>
  <c r="A1222" i="2"/>
  <c r="T1221" i="2"/>
  <c r="O1221" i="2"/>
  <c r="N1221" i="2"/>
  <c r="K1221" i="2"/>
  <c r="J1221" i="2"/>
  <c r="I1221" i="2"/>
  <c r="H1221" i="2"/>
  <c r="G1221" i="2"/>
  <c r="F1221" i="2"/>
  <c r="E1221" i="2"/>
  <c r="D1221" i="2"/>
  <c r="C1221" i="2"/>
  <c r="B1221" i="2"/>
  <c r="A1221" i="2"/>
  <c r="T1220" i="2"/>
  <c r="O1220" i="2"/>
  <c r="N1220" i="2"/>
  <c r="M1220" i="2"/>
  <c r="K1220" i="2"/>
  <c r="J1220" i="2"/>
  <c r="I1220" i="2"/>
  <c r="H1220" i="2"/>
  <c r="G1220" i="2"/>
  <c r="F1220" i="2"/>
  <c r="E1220" i="2"/>
  <c r="D1220" i="2"/>
  <c r="C1220" i="2"/>
  <c r="B1220" i="2"/>
  <c r="A1220" i="2"/>
  <c r="T1219" i="2"/>
  <c r="P1219" i="2"/>
  <c r="O1219" i="2"/>
  <c r="N1219" i="2"/>
  <c r="K1219" i="2"/>
  <c r="J1219" i="2"/>
  <c r="I1219" i="2"/>
  <c r="H1219" i="2"/>
  <c r="G1219" i="2"/>
  <c r="F1219" i="2"/>
  <c r="E1219" i="2"/>
  <c r="D1219" i="2"/>
  <c r="C1219" i="2"/>
  <c r="B1219" i="2"/>
  <c r="A1219" i="2"/>
  <c r="T1218" i="2"/>
  <c r="O1218" i="2"/>
  <c r="N1218" i="2"/>
  <c r="K1218" i="2"/>
  <c r="J1218" i="2"/>
  <c r="I1218" i="2"/>
  <c r="H1218" i="2"/>
  <c r="G1218" i="2"/>
  <c r="F1218" i="2"/>
  <c r="E1218" i="2"/>
  <c r="D1218" i="2"/>
  <c r="C1218" i="2"/>
  <c r="B1218" i="2"/>
  <c r="A1218" i="2"/>
  <c r="T1217" i="2"/>
  <c r="P1217" i="2"/>
  <c r="O1217" i="2"/>
  <c r="N1217" i="2"/>
  <c r="K1217" i="2"/>
  <c r="J1217" i="2"/>
  <c r="I1217" i="2"/>
  <c r="H1217" i="2"/>
  <c r="G1217" i="2"/>
  <c r="F1217" i="2"/>
  <c r="E1217" i="2"/>
  <c r="D1217" i="2"/>
  <c r="C1217" i="2"/>
  <c r="B1217" i="2"/>
  <c r="A1217" i="2"/>
  <c r="T1216" i="2"/>
  <c r="O1216" i="2"/>
  <c r="N1216" i="2"/>
  <c r="J1216" i="2"/>
  <c r="I1216" i="2"/>
  <c r="H1216" i="2"/>
  <c r="G1216" i="2"/>
  <c r="F1216" i="2"/>
  <c r="E1216" i="2"/>
  <c r="D1216" i="2"/>
  <c r="C1216" i="2"/>
  <c r="B1216" i="2"/>
  <c r="A1216" i="2"/>
  <c r="T1215" i="2"/>
  <c r="O1215" i="2"/>
  <c r="N1215" i="2"/>
  <c r="J1215" i="2"/>
  <c r="I1215" i="2"/>
  <c r="H1215" i="2"/>
  <c r="G1215" i="2"/>
  <c r="F1215" i="2"/>
  <c r="E1215" i="2"/>
  <c r="D1215" i="2"/>
  <c r="C1215" i="2"/>
  <c r="B1215" i="2"/>
  <c r="A1215" i="2"/>
  <c r="T1214" i="2"/>
  <c r="P1214" i="2"/>
  <c r="O1214" i="2"/>
  <c r="N1214" i="2"/>
  <c r="K1214" i="2"/>
  <c r="J1214" i="2"/>
  <c r="I1214" i="2"/>
  <c r="H1214" i="2"/>
  <c r="G1214" i="2"/>
  <c r="F1214" i="2"/>
  <c r="E1214" i="2"/>
  <c r="D1214" i="2"/>
  <c r="C1214" i="2"/>
  <c r="B1214" i="2"/>
  <c r="A1214" i="2"/>
  <c r="T1213" i="2"/>
  <c r="P1213" i="2"/>
  <c r="O1213" i="2"/>
  <c r="N1213" i="2"/>
  <c r="K1213" i="2"/>
  <c r="J1213" i="2"/>
  <c r="I1213" i="2"/>
  <c r="H1213" i="2"/>
  <c r="G1213" i="2"/>
  <c r="F1213" i="2"/>
  <c r="E1213" i="2"/>
  <c r="D1213" i="2"/>
  <c r="C1213" i="2"/>
  <c r="B1213" i="2"/>
  <c r="A1213" i="2"/>
  <c r="T1212" i="2"/>
  <c r="P1212" i="2"/>
  <c r="O1212" i="2"/>
  <c r="N1212" i="2"/>
  <c r="K1212" i="2"/>
  <c r="J1212" i="2"/>
  <c r="I1212" i="2"/>
  <c r="H1212" i="2"/>
  <c r="G1212" i="2"/>
  <c r="F1212" i="2"/>
  <c r="E1212" i="2"/>
  <c r="D1212" i="2"/>
  <c r="C1212" i="2"/>
  <c r="B1212" i="2"/>
  <c r="A1212" i="2"/>
  <c r="T1211" i="2"/>
  <c r="P1211" i="2"/>
  <c r="O1211" i="2"/>
  <c r="N1211" i="2"/>
  <c r="K1211" i="2"/>
  <c r="J1211" i="2"/>
  <c r="I1211" i="2"/>
  <c r="H1211" i="2"/>
  <c r="G1211" i="2"/>
  <c r="F1211" i="2"/>
  <c r="E1211" i="2"/>
  <c r="D1211" i="2"/>
  <c r="C1211" i="2"/>
  <c r="B1211" i="2"/>
  <c r="A1211" i="2"/>
  <c r="T1210" i="2"/>
  <c r="R1210" i="2"/>
  <c r="O1210" i="2"/>
  <c r="N1210" i="2"/>
  <c r="L1210" i="2"/>
  <c r="J1210" i="2"/>
  <c r="I1210" i="2"/>
  <c r="H1210" i="2"/>
  <c r="G1210" i="2"/>
  <c r="F1210" i="2"/>
  <c r="E1210" i="2"/>
  <c r="D1210" i="2"/>
  <c r="C1210" i="2"/>
  <c r="B1210" i="2"/>
  <c r="A1210" i="2"/>
  <c r="T1209" i="2"/>
  <c r="P1209" i="2"/>
  <c r="O1209" i="2"/>
  <c r="N1209" i="2"/>
  <c r="M1209" i="2"/>
  <c r="K1209" i="2"/>
  <c r="J1209" i="2"/>
  <c r="I1209" i="2"/>
  <c r="H1209" i="2"/>
  <c r="G1209" i="2"/>
  <c r="F1209" i="2"/>
  <c r="E1209" i="2"/>
  <c r="D1209" i="2"/>
  <c r="C1209" i="2"/>
  <c r="B1209" i="2"/>
  <c r="A1209" i="2"/>
  <c r="T1208" i="2"/>
  <c r="P1208" i="2"/>
  <c r="O1208" i="2"/>
  <c r="N1208" i="2"/>
  <c r="M1208" i="2"/>
  <c r="K1208" i="2"/>
  <c r="J1208" i="2"/>
  <c r="I1208" i="2"/>
  <c r="H1208" i="2"/>
  <c r="G1208" i="2"/>
  <c r="F1208" i="2"/>
  <c r="E1208" i="2"/>
  <c r="D1208" i="2"/>
  <c r="C1208" i="2"/>
  <c r="B1208" i="2"/>
  <c r="A1208" i="2"/>
  <c r="T1207" i="2"/>
  <c r="P1207" i="2"/>
  <c r="O1207" i="2"/>
  <c r="N1207" i="2"/>
  <c r="K1207" i="2"/>
  <c r="J1207" i="2"/>
  <c r="I1207" i="2"/>
  <c r="H1207" i="2"/>
  <c r="G1207" i="2"/>
  <c r="F1207" i="2"/>
  <c r="E1207" i="2"/>
  <c r="D1207" i="2"/>
  <c r="C1207" i="2"/>
  <c r="B1207" i="2"/>
  <c r="A1207" i="2"/>
  <c r="T1206" i="2"/>
  <c r="P1206" i="2"/>
  <c r="O1206" i="2"/>
  <c r="N1206" i="2"/>
  <c r="M1206" i="2"/>
  <c r="K1206" i="2"/>
  <c r="J1206" i="2"/>
  <c r="I1206" i="2"/>
  <c r="H1206" i="2"/>
  <c r="G1206" i="2"/>
  <c r="F1206" i="2"/>
  <c r="E1206" i="2"/>
  <c r="D1206" i="2"/>
  <c r="C1206" i="2"/>
  <c r="B1206" i="2"/>
  <c r="A1206" i="2"/>
  <c r="T1205" i="2"/>
  <c r="P1205" i="2"/>
  <c r="O1205" i="2"/>
  <c r="N1205" i="2"/>
  <c r="K1205" i="2"/>
  <c r="J1205" i="2"/>
  <c r="I1205" i="2"/>
  <c r="H1205" i="2"/>
  <c r="G1205" i="2"/>
  <c r="F1205" i="2"/>
  <c r="E1205" i="2"/>
  <c r="D1205" i="2"/>
  <c r="C1205" i="2"/>
  <c r="B1205" i="2"/>
  <c r="A1205" i="2"/>
  <c r="T1204" i="2"/>
  <c r="P1204" i="2"/>
  <c r="O1204" i="2"/>
  <c r="N1204" i="2"/>
  <c r="K1204" i="2"/>
  <c r="J1204" i="2"/>
  <c r="I1204" i="2"/>
  <c r="H1204" i="2"/>
  <c r="G1204" i="2"/>
  <c r="F1204" i="2"/>
  <c r="E1204" i="2"/>
  <c r="D1204" i="2"/>
  <c r="C1204" i="2"/>
  <c r="B1204" i="2"/>
  <c r="A1204" i="2"/>
  <c r="T1203" i="2"/>
  <c r="P1203" i="2"/>
  <c r="O1203" i="2"/>
  <c r="N1203" i="2"/>
  <c r="K1203" i="2"/>
  <c r="J1203" i="2"/>
  <c r="I1203" i="2"/>
  <c r="H1203" i="2"/>
  <c r="G1203" i="2"/>
  <c r="F1203" i="2"/>
  <c r="E1203" i="2"/>
  <c r="D1203" i="2"/>
  <c r="C1203" i="2"/>
  <c r="B1203" i="2"/>
  <c r="A1203" i="2"/>
  <c r="T1202" i="2"/>
  <c r="O1202" i="2"/>
  <c r="N1202" i="2"/>
  <c r="M1202" i="2"/>
  <c r="K1202" i="2"/>
  <c r="J1202" i="2"/>
  <c r="I1202" i="2"/>
  <c r="H1202" i="2"/>
  <c r="G1202" i="2"/>
  <c r="F1202" i="2"/>
  <c r="E1202" i="2"/>
  <c r="D1202" i="2"/>
  <c r="C1202" i="2"/>
  <c r="B1202" i="2"/>
  <c r="A1202" i="2"/>
  <c r="T1201" i="2"/>
  <c r="P1201" i="2"/>
  <c r="O1201" i="2"/>
  <c r="N1201" i="2"/>
  <c r="K1201" i="2"/>
  <c r="J1201" i="2"/>
  <c r="I1201" i="2"/>
  <c r="H1201" i="2"/>
  <c r="G1201" i="2"/>
  <c r="F1201" i="2"/>
  <c r="E1201" i="2"/>
  <c r="D1201" i="2"/>
  <c r="C1201" i="2"/>
  <c r="B1201" i="2"/>
  <c r="A1201" i="2"/>
  <c r="T1200" i="2"/>
  <c r="R1200" i="2"/>
  <c r="O1200" i="2"/>
  <c r="N1200" i="2"/>
  <c r="L1200" i="2"/>
  <c r="J1200" i="2"/>
  <c r="I1200" i="2"/>
  <c r="H1200" i="2"/>
  <c r="G1200" i="2"/>
  <c r="F1200" i="2"/>
  <c r="E1200" i="2"/>
  <c r="D1200" i="2"/>
  <c r="C1200" i="2"/>
  <c r="B1200" i="2"/>
  <c r="A1200" i="2"/>
  <c r="T1199" i="2"/>
  <c r="R1199" i="2"/>
  <c r="O1199" i="2"/>
  <c r="N1199" i="2"/>
  <c r="M1199" i="2"/>
  <c r="L1199" i="2"/>
  <c r="J1199" i="2"/>
  <c r="I1199" i="2"/>
  <c r="H1199" i="2"/>
  <c r="G1199" i="2"/>
  <c r="F1199" i="2"/>
  <c r="E1199" i="2"/>
  <c r="D1199" i="2"/>
  <c r="C1199" i="2"/>
  <c r="B1199" i="2"/>
  <c r="A1199" i="2"/>
  <c r="T1198" i="2"/>
  <c r="Q1198" i="2"/>
  <c r="O1198" i="2"/>
  <c r="N1198" i="2"/>
  <c r="M1198" i="2"/>
  <c r="K1198" i="2"/>
  <c r="J1198" i="2"/>
  <c r="I1198" i="2"/>
  <c r="H1198" i="2"/>
  <c r="G1198" i="2"/>
  <c r="F1198" i="2"/>
  <c r="E1198" i="2"/>
  <c r="D1198" i="2"/>
  <c r="C1198" i="2"/>
  <c r="B1198" i="2"/>
  <c r="A1198" i="2"/>
  <c r="T1197" i="2"/>
  <c r="O1197" i="2"/>
  <c r="N1197" i="2"/>
  <c r="M1197" i="2"/>
  <c r="L1197" i="2"/>
  <c r="J1197" i="2"/>
  <c r="I1197" i="2"/>
  <c r="H1197" i="2"/>
  <c r="G1197" i="2"/>
  <c r="F1197" i="2"/>
  <c r="E1197" i="2"/>
  <c r="D1197" i="2"/>
  <c r="C1197" i="2"/>
  <c r="B1197" i="2"/>
  <c r="A1197" i="2"/>
  <c r="T1196" i="2"/>
  <c r="P1196" i="2"/>
  <c r="O1196" i="2"/>
  <c r="N1196" i="2"/>
  <c r="M1196" i="2"/>
  <c r="K1196" i="2"/>
  <c r="J1196" i="2"/>
  <c r="I1196" i="2"/>
  <c r="H1196" i="2"/>
  <c r="G1196" i="2"/>
  <c r="F1196" i="2"/>
  <c r="E1196" i="2"/>
  <c r="D1196" i="2"/>
  <c r="C1196" i="2"/>
  <c r="B1196" i="2"/>
  <c r="A1196" i="2"/>
  <c r="O1195" i="2"/>
  <c r="N1195" i="2"/>
  <c r="M1195" i="2"/>
  <c r="J1195" i="2"/>
  <c r="I1195" i="2"/>
  <c r="H1195" i="2"/>
  <c r="G1195" i="2"/>
  <c r="F1195" i="2"/>
  <c r="E1195" i="2"/>
  <c r="D1195" i="2"/>
  <c r="C1195" i="2"/>
  <c r="B1195" i="2"/>
  <c r="A1195" i="2"/>
  <c r="O1194" i="2"/>
  <c r="N1194" i="2"/>
  <c r="L1194" i="2"/>
  <c r="J1194" i="2"/>
  <c r="I1194" i="2"/>
  <c r="H1194" i="2"/>
  <c r="G1194" i="2"/>
  <c r="F1194" i="2"/>
  <c r="E1194" i="2"/>
  <c r="D1194" i="2"/>
  <c r="C1194" i="2"/>
  <c r="B1194" i="2"/>
  <c r="A1194" i="2"/>
  <c r="T1193" i="2"/>
  <c r="P1193" i="2"/>
  <c r="O1193" i="2"/>
  <c r="N1193" i="2"/>
  <c r="M1193" i="2"/>
  <c r="K1193" i="2"/>
  <c r="J1193" i="2"/>
  <c r="I1193" i="2"/>
  <c r="H1193" i="2"/>
  <c r="G1193" i="2"/>
  <c r="F1193" i="2"/>
  <c r="E1193" i="2"/>
  <c r="D1193" i="2"/>
  <c r="C1193" i="2"/>
  <c r="B1193" i="2"/>
  <c r="A1193" i="2"/>
  <c r="T1192" i="2"/>
  <c r="O1192" i="2"/>
  <c r="N1192" i="2"/>
  <c r="M1192" i="2"/>
  <c r="J1192" i="2"/>
  <c r="I1192" i="2"/>
  <c r="H1192" i="2"/>
  <c r="G1192" i="2"/>
  <c r="F1192" i="2"/>
  <c r="E1192" i="2"/>
  <c r="D1192" i="2"/>
  <c r="C1192" i="2"/>
  <c r="B1192" i="2"/>
  <c r="A1192" i="2"/>
  <c r="T1191" i="2"/>
  <c r="O1191" i="2"/>
  <c r="N1191" i="2"/>
  <c r="J1191" i="2"/>
  <c r="I1191" i="2"/>
  <c r="H1191" i="2"/>
  <c r="G1191" i="2"/>
  <c r="F1191" i="2"/>
  <c r="E1191" i="2"/>
  <c r="D1191" i="2"/>
  <c r="C1191" i="2"/>
  <c r="B1191" i="2"/>
  <c r="A1191" i="2"/>
  <c r="T1190" i="2"/>
  <c r="O1190" i="2"/>
  <c r="N1190" i="2"/>
  <c r="M1190" i="2"/>
  <c r="J1190" i="2"/>
  <c r="I1190" i="2"/>
  <c r="H1190" i="2"/>
  <c r="G1190" i="2"/>
  <c r="F1190" i="2"/>
  <c r="E1190" i="2"/>
  <c r="D1190" i="2"/>
  <c r="C1190" i="2"/>
  <c r="B1190" i="2"/>
  <c r="A1190" i="2"/>
  <c r="T1189" i="2"/>
  <c r="P1189" i="2"/>
  <c r="O1189" i="2"/>
  <c r="N1189" i="2"/>
  <c r="M1189" i="2"/>
  <c r="K1189" i="2"/>
  <c r="J1189" i="2"/>
  <c r="I1189" i="2"/>
  <c r="H1189" i="2"/>
  <c r="G1189" i="2"/>
  <c r="F1189" i="2"/>
  <c r="E1189" i="2"/>
  <c r="D1189" i="2"/>
  <c r="C1189" i="2"/>
  <c r="B1189" i="2"/>
  <c r="A1189" i="2"/>
  <c r="T1188" i="2"/>
  <c r="O1188" i="2"/>
  <c r="N1188" i="2"/>
  <c r="K1188" i="2"/>
  <c r="J1188" i="2"/>
  <c r="I1188" i="2"/>
  <c r="H1188" i="2"/>
  <c r="G1188" i="2"/>
  <c r="F1188" i="2"/>
  <c r="E1188" i="2"/>
  <c r="D1188" i="2"/>
  <c r="C1188" i="2"/>
  <c r="B1188" i="2"/>
  <c r="A1188" i="2"/>
  <c r="T1187" i="2"/>
  <c r="O1187" i="2"/>
  <c r="N1187" i="2"/>
  <c r="J1187" i="2"/>
  <c r="I1187" i="2"/>
  <c r="H1187" i="2"/>
  <c r="G1187" i="2"/>
  <c r="F1187" i="2"/>
  <c r="E1187" i="2"/>
  <c r="D1187" i="2"/>
  <c r="C1187" i="2"/>
  <c r="B1187" i="2"/>
  <c r="A1187" i="2"/>
  <c r="T1186" i="2"/>
  <c r="R1186" i="2"/>
  <c r="O1186" i="2"/>
  <c r="N1186" i="2"/>
  <c r="L1186" i="2"/>
  <c r="J1186" i="2"/>
  <c r="I1186" i="2"/>
  <c r="H1186" i="2"/>
  <c r="G1186" i="2"/>
  <c r="F1186" i="2"/>
  <c r="E1186" i="2"/>
  <c r="D1186" i="2"/>
  <c r="C1186" i="2"/>
  <c r="B1186" i="2"/>
  <c r="A1186" i="2"/>
  <c r="T1185" i="2"/>
  <c r="Q1185" i="2"/>
  <c r="P1185" i="2"/>
  <c r="O1185" i="2"/>
  <c r="N1185" i="2"/>
  <c r="K1185" i="2"/>
  <c r="J1185" i="2"/>
  <c r="I1185" i="2"/>
  <c r="H1185" i="2"/>
  <c r="G1185" i="2"/>
  <c r="F1185" i="2"/>
  <c r="E1185" i="2"/>
  <c r="D1185" i="2"/>
  <c r="C1185" i="2"/>
  <c r="B1185" i="2"/>
  <c r="A1185" i="2"/>
  <c r="T1184" i="2"/>
  <c r="O1184" i="2"/>
  <c r="N1184" i="2"/>
  <c r="J1184" i="2"/>
  <c r="I1184" i="2"/>
  <c r="H1184" i="2"/>
  <c r="G1184" i="2"/>
  <c r="F1184" i="2"/>
  <c r="E1184" i="2"/>
  <c r="D1184" i="2"/>
  <c r="C1184" i="2"/>
  <c r="B1184" i="2"/>
  <c r="A1184" i="2"/>
  <c r="T1183" i="2"/>
  <c r="Q1183" i="2"/>
  <c r="P1183" i="2"/>
  <c r="O1183" i="2"/>
  <c r="N1183" i="2"/>
  <c r="K1183" i="2"/>
  <c r="J1183" i="2"/>
  <c r="I1183" i="2"/>
  <c r="H1183" i="2"/>
  <c r="G1183" i="2"/>
  <c r="F1183" i="2"/>
  <c r="E1183" i="2"/>
  <c r="D1183" i="2"/>
  <c r="C1183" i="2"/>
  <c r="B1183" i="2"/>
  <c r="A1183" i="2"/>
  <c r="T1182" i="2"/>
  <c r="P1182" i="2"/>
  <c r="O1182" i="2"/>
  <c r="N1182" i="2"/>
  <c r="M1182" i="2"/>
  <c r="K1182" i="2"/>
  <c r="J1182" i="2"/>
  <c r="I1182" i="2"/>
  <c r="H1182" i="2"/>
  <c r="G1182" i="2"/>
  <c r="F1182" i="2"/>
  <c r="E1182" i="2"/>
  <c r="D1182" i="2"/>
  <c r="C1182" i="2"/>
  <c r="B1182" i="2"/>
  <c r="A1182" i="2"/>
  <c r="T1181" i="2"/>
  <c r="P1181" i="2"/>
  <c r="O1181" i="2"/>
  <c r="N1181" i="2"/>
  <c r="K1181" i="2"/>
  <c r="J1181" i="2"/>
  <c r="I1181" i="2"/>
  <c r="H1181" i="2"/>
  <c r="G1181" i="2"/>
  <c r="F1181" i="2"/>
  <c r="E1181" i="2"/>
  <c r="D1181" i="2"/>
  <c r="C1181" i="2"/>
  <c r="B1181" i="2"/>
  <c r="A1181" i="2"/>
  <c r="T1180" i="2"/>
  <c r="P1180" i="2"/>
  <c r="O1180" i="2"/>
  <c r="N1180" i="2"/>
  <c r="K1180" i="2"/>
  <c r="J1180" i="2"/>
  <c r="I1180" i="2"/>
  <c r="H1180" i="2"/>
  <c r="G1180" i="2"/>
  <c r="F1180" i="2"/>
  <c r="E1180" i="2"/>
  <c r="D1180" i="2"/>
  <c r="C1180" i="2"/>
  <c r="B1180" i="2"/>
  <c r="A1180" i="2"/>
  <c r="T1179" i="2"/>
  <c r="P1179" i="2"/>
  <c r="O1179" i="2"/>
  <c r="N1179" i="2"/>
  <c r="K1179" i="2"/>
  <c r="J1179" i="2"/>
  <c r="I1179" i="2"/>
  <c r="H1179" i="2"/>
  <c r="G1179" i="2"/>
  <c r="F1179" i="2"/>
  <c r="E1179" i="2"/>
  <c r="D1179" i="2"/>
  <c r="C1179" i="2"/>
  <c r="B1179" i="2"/>
  <c r="A1179" i="2"/>
  <c r="T1178" i="2"/>
  <c r="Q1178" i="2"/>
  <c r="P1178" i="2"/>
  <c r="O1178" i="2"/>
  <c r="N1178" i="2"/>
  <c r="K1178" i="2"/>
  <c r="J1178" i="2"/>
  <c r="I1178" i="2"/>
  <c r="H1178" i="2"/>
  <c r="G1178" i="2"/>
  <c r="F1178" i="2"/>
  <c r="E1178" i="2"/>
  <c r="D1178" i="2"/>
  <c r="C1178" i="2"/>
  <c r="B1178" i="2"/>
  <c r="A1178" i="2"/>
  <c r="T1177" i="2"/>
  <c r="O1177" i="2"/>
  <c r="N1177" i="2"/>
  <c r="J1177" i="2"/>
  <c r="I1177" i="2"/>
  <c r="H1177" i="2"/>
  <c r="G1177" i="2"/>
  <c r="F1177" i="2"/>
  <c r="E1177" i="2"/>
  <c r="D1177" i="2"/>
  <c r="C1177" i="2"/>
  <c r="B1177" i="2"/>
  <c r="A1177" i="2"/>
  <c r="T1176" i="2"/>
  <c r="O1176" i="2"/>
  <c r="N1176" i="2"/>
  <c r="J1176" i="2"/>
  <c r="I1176" i="2"/>
  <c r="H1176" i="2"/>
  <c r="G1176" i="2"/>
  <c r="F1176" i="2"/>
  <c r="E1176" i="2"/>
  <c r="D1176" i="2"/>
  <c r="C1176" i="2"/>
  <c r="B1176" i="2"/>
  <c r="A1176" i="2"/>
  <c r="T1175" i="2"/>
  <c r="Q1175" i="2"/>
  <c r="P1175" i="2"/>
  <c r="O1175" i="2"/>
  <c r="N1175" i="2"/>
  <c r="K1175" i="2"/>
  <c r="J1175" i="2"/>
  <c r="I1175" i="2"/>
  <c r="H1175" i="2"/>
  <c r="G1175" i="2"/>
  <c r="F1175" i="2"/>
  <c r="E1175" i="2"/>
  <c r="D1175" i="2"/>
  <c r="C1175" i="2"/>
  <c r="B1175" i="2"/>
  <c r="A1175" i="2"/>
  <c r="T1174" i="2"/>
  <c r="P1174" i="2"/>
  <c r="O1174" i="2"/>
  <c r="N1174" i="2"/>
  <c r="K1174" i="2"/>
  <c r="J1174" i="2"/>
  <c r="I1174" i="2"/>
  <c r="H1174" i="2"/>
  <c r="G1174" i="2"/>
  <c r="F1174" i="2"/>
  <c r="E1174" i="2"/>
  <c r="D1174" i="2"/>
  <c r="C1174" i="2"/>
  <c r="B1174" i="2"/>
  <c r="A1174" i="2"/>
  <c r="T1173" i="2"/>
  <c r="P1173" i="2"/>
  <c r="O1173" i="2"/>
  <c r="N1173" i="2"/>
  <c r="K1173" i="2"/>
  <c r="J1173" i="2"/>
  <c r="I1173" i="2"/>
  <c r="H1173" i="2"/>
  <c r="G1173" i="2"/>
  <c r="F1173" i="2"/>
  <c r="E1173" i="2"/>
  <c r="D1173" i="2"/>
  <c r="C1173" i="2"/>
  <c r="B1173" i="2"/>
  <c r="A1173" i="2"/>
  <c r="T1172" i="2"/>
  <c r="P1172" i="2"/>
  <c r="O1172" i="2"/>
  <c r="N1172" i="2"/>
  <c r="K1172" i="2"/>
  <c r="J1172" i="2"/>
  <c r="I1172" i="2"/>
  <c r="H1172" i="2"/>
  <c r="G1172" i="2"/>
  <c r="F1172" i="2"/>
  <c r="E1172" i="2"/>
  <c r="D1172" i="2"/>
  <c r="C1172" i="2"/>
  <c r="B1172" i="2"/>
  <c r="A1172" i="2"/>
  <c r="T1171" i="2"/>
  <c r="P1171" i="2"/>
  <c r="O1171" i="2"/>
  <c r="N1171" i="2"/>
  <c r="K1171" i="2"/>
  <c r="J1171" i="2"/>
  <c r="I1171" i="2"/>
  <c r="H1171" i="2"/>
  <c r="G1171" i="2"/>
  <c r="F1171" i="2"/>
  <c r="E1171" i="2"/>
  <c r="D1171" i="2"/>
  <c r="C1171" i="2"/>
  <c r="B1171" i="2"/>
  <c r="A1171" i="2"/>
  <c r="P1170" i="2"/>
  <c r="O1170" i="2"/>
  <c r="N1170" i="2"/>
  <c r="M1170" i="2"/>
  <c r="K1170" i="2"/>
  <c r="J1170" i="2"/>
  <c r="I1170" i="2"/>
  <c r="H1170" i="2"/>
  <c r="G1170" i="2"/>
  <c r="F1170" i="2"/>
  <c r="E1170" i="2"/>
  <c r="D1170" i="2"/>
  <c r="C1170" i="2"/>
  <c r="B1170" i="2"/>
  <c r="A1170" i="2"/>
  <c r="T1169" i="2"/>
  <c r="P1169" i="2"/>
  <c r="O1169" i="2"/>
  <c r="N1169" i="2"/>
  <c r="K1169" i="2"/>
  <c r="J1169" i="2"/>
  <c r="I1169" i="2"/>
  <c r="H1169" i="2"/>
  <c r="G1169" i="2"/>
  <c r="F1169" i="2"/>
  <c r="E1169" i="2"/>
  <c r="D1169" i="2"/>
  <c r="C1169" i="2"/>
  <c r="B1169" i="2"/>
  <c r="A1169" i="2"/>
  <c r="T1168" i="2"/>
  <c r="P1168" i="2"/>
  <c r="O1168" i="2"/>
  <c r="N1168" i="2"/>
  <c r="K1168" i="2"/>
  <c r="J1168" i="2"/>
  <c r="I1168" i="2"/>
  <c r="H1168" i="2"/>
  <c r="G1168" i="2"/>
  <c r="F1168" i="2"/>
  <c r="E1168" i="2"/>
  <c r="D1168" i="2"/>
  <c r="C1168" i="2"/>
  <c r="B1168" i="2"/>
  <c r="A1168" i="2"/>
  <c r="T1167" i="2"/>
  <c r="P1167" i="2"/>
  <c r="O1167" i="2"/>
  <c r="N1167" i="2"/>
  <c r="M1167" i="2"/>
  <c r="K1167" i="2"/>
  <c r="J1167" i="2"/>
  <c r="I1167" i="2"/>
  <c r="H1167" i="2"/>
  <c r="G1167" i="2"/>
  <c r="F1167" i="2"/>
  <c r="E1167" i="2"/>
  <c r="D1167" i="2"/>
  <c r="C1167" i="2"/>
  <c r="B1167" i="2"/>
  <c r="A1167" i="2"/>
  <c r="T1166" i="2"/>
  <c r="P1166" i="2"/>
  <c r="O1166" i="2"/>
  <c r="N1166" i="2"/>
  <c r="K1166" i="2"/>
  <c r="J1166" i="2"/>
  <c r="I1166" i="2"/>
  <c r="H1166" i="2"/>
  <c r="G1166" i="2"/>
  <c r="F1166" i="2"/>
  <c r="E1166" i="2"/>
  <c r="D1166" i="2"/>
  <c r="C1166" i="2"/>
  <c r="B1166" i="2"/>
  <c r="A1166" i="2"/>
  <c r="T1165" i="2"/>
  <c r="R1165" i="2"/>
  <c r="O1165" i="2"/>
  <c r="N1165" i="2"/>
  <c r="M1165" i="2"/>
  <c r="L1165" i="2"/>
  <c r="J1165" i="2"/>
  <c r="I1165" i="2"/>
  <c r="H1165" i="2"/>
  <c r="G1165" i="2"/>
  <c r="F1165" i="2"/>
  <c r="E1165" i="2"/>
  <c r="D1165" i="2"/>
  <c r="C1165" i="2"/>
  <c r="B1165" i="2"/>
  <c r="A1165" i="2"/>
  <c r="T1164" i="2"/>
  <c r="P1164" i="2"/>
  <c r="O1164" i="2"/>
  <c r="N1164" i="2"/>
  <c r="M1164" i="2"/>
  <c r="K1164" i="2"/>
  <c r="J1164" i="2"/>
  <c r="I1164" i="2"/>
  <c r="H1164" i="2"/>
  <c r="G1164" i="2"/>
  <c r="F1164" i="2"/>
  <c r="E1164" i="2"/>
  <c r="D1164" i="2"/>
  <c r="C1164" i="2"/>
  <c r="B1164" i="2"/>
  <c r="A1164" i="2"/>
  <c r="T1163" i="2"/>
  <c r="P1163" i="2"/>
  <c r="O1163" i="2"/>
  <c r="N1163" i="2"/>
  <c r="M1163" i="2"/>
  <c r="K1163" i="2"/>
  <c r="J1163" i="2"/>
  <c r="I1163" i="2"/>
  <c r="H1163" i="2"/>
  <c r="G1163" i="2"/>
  <c r="F1163" i="2"/>
  <c r="E1163" i="2"/>
  <c r="D1163" i="2"/>
  <c r="C1163" i="2"/>
  <c r="B1163" i="2"/>
  <c r="A1163" i="2"/>
  <c r="T1162" i="2"/>
  <c r="P1162" i="2"/>
  <c r="O1162" i="2"/>
  <c r="N1162" i="2"/>
  <c r="J1162" i="2"/>
  <c r="I1162" i="2"/>
  <c r="H1162" i="2"/>
  <c r="G1162" i="2"/>
  <c r="F1162" i="2"/>
  <c r="E1162" i="2"/>
  <c r="D1162" i="2"/>
  <c r="C1162" i="2"/>
  <c r="B1162" i="2"/>
  <c r="A1162" i="2"/>
  <c r="T1161" i="2"/>
  <c r="P1161" i="2"/>
  <c r="O1161" i="2"/>
  <c r="N1161" i="2"/>
  <c r="K1161" i="2"/>
  <c r="J1161" i="2"/>
  <c r="I1161" i="2"/>
  <c r="H1161" i="2"/>
  <c r="G1161" i="2"/>
  <c r="F1161" i="2"/>
  <c r="E1161" i="2"/>
  <c r="D1161" i="2"/>
  <c r="C1161" i="2"/>
  <c r="B1161" i="2"/>
  <c r="A1161" i="2"/>
  <c r="T1160" i="2"/>
  <c r="P1160" i="2"/>
  <c r="O1160" i="2"/>
  <c r="N1160" i="2"/>
  <c r="K1160" i="2"/>
  <c r="J1160" i="2"/>
  <c r="I1160" i="2"/>
  <c r="H1160" i="2"/>
  <c r="G1160" i="2"/>
  <c r="F1160" i="2"/>
  <c r="E1160" i="2"/>
  <c r="D1160" i="2"/>
  <c r="C1160" i="2"/>
  <c r="B1160" i="2"/>
  <c r="A1160" i="2"/>
  <c r="T1159" i="2"/>
  <c r="P1159" i="2"/>
  <c r="O1159" i="2"/>
  <c r="N1159" i="2"/>
  <c r="K1159" i="2"/>
  <c r="J1159" i="2"/>
  <c r="I1159" i="2"/>
  <c r="H1159" i="2"/>
  <c r="G1159" i="2"/>
  <c r="F1159" i="2"/>
  <c r="E1159" i="2"/>
  <c r="D1159" i="2"/>
  <c r="C1159" i="2"/>
  <c r="B1159" i="2"/>
  <c r="A1159" i="2"/>
  <c r="T1158" i="2"/>
  <c r="P1158" i="2"/>
  <c r="O1158" i="2"/>
  <c r="N1158" i="2"/>
  <c r="K1158" i="2"/>
  <c r="J1158" i="2"/>
  <c r="I1158" i="2"/>
  <c r="H1158" i="2"/>
  <c r="G1158" i="2"/>
  <c r="F1158" i="2"/>
  <c r="E1158" i="2"/>
  <c r="D1158" i="2"/>
  <c r="C1158" i="2"/>
  <c r="B1158" i="2"/>
  <c r="A1158" i="2"/>
  <c r="T1157" i="2"/>
  <c r="P1157" i="2"/>
  <c r="O1157" i="2"/>
  <c r="N1157" i="2"/>
  <c r="K1157" i="2"/>
  <c r="J1157" i="2"/>
  <c r="I1157" i="2"/>
  <c r="H1157" i="2"/>
  <c r="G1157" i="2"/>
  <c r="F1157" i="2"/>
  <c r="E1157" i="2"/>
  <c r="D1157" i="2"/>
  <c r="C1157" i="2"/>
  <c r="B1157" i="2"/>
  <c r="A1157" i="2"/>
  <c r="T1156" i="2"/>
  <c r="P1156" i="2"/>
  <c r="O1156" i="2"/>
  <c r="N1156" i="2"/>
  <c r="K1156" i="2"/>
  <c r="J1156" i="2"/>
  <c r="I1156" i="2"/>
  <c r="H1156" i="2"/>
  <c r="G1156" i="2"/>
  <c r="F1156" i="2"/>
  <c r="E1156" i="2"/>
  <c r="D1156" i="2"/>
  <c r="C1156" i="2"/>
  <c r="B1156" i="2"/>
  <c r="A1156" i="2"/>
  <c r="T1155" i="2"/>
  <c r="P1155" i="2"/>
  <c r="O1155" i="2"/>
  <c r="N1155" i="2"/>
  <c r="K1155" i="2"/>
  <c r="J1155" i="2"/>
  <c r="I1155" i="2"/>
  <c r="H1155" i="2"/>
  <c r="G1155" i="2"/>
  <c r="F1155" i="2"/>
  <c r="E1155" i="2"/>
  <c r="D1155" i="2"/>
  <c r="C1155" i="2"/>
  <c r="B1155" i="2"/>
  <c r="A1155" i="2"/>
  <c r="T1154" i="2"/>
  <c r="P1154" i="2"/>
  <c r="O1154" i="2"/>
  <c r="N1154" i="2"/>
  <c r="K1154" i="2"/>
  <c r="J1154" i="2"/>
  <c r="I1154" i="2"/>
  <c r="H1154" i="2"/>
  <c r="G1154" i="2"/>
  <c r="F1154" i="2"/>
  <c r="E1154" i="2"/>
  <c r="D1154" i="2"/>
  <c r="C1154" i="2"/>
  <c r="B1154" i="2"/>
  <c r="A1154" i="2"/>
  <c r="T1153" i="2"/>
  <c r="P1153" i="2"/>
  <c r="O1153" i="2"/>
  <c r="N1153" i="2"/>
  <c r="K1153" i="2"/>
  <c r="J1153" i="2"/>
  <c r="I1153" i="2"/>
  <c r="H1153" i="2"/>
  <c r="G1153" i="2"/>
  <c r="F1153" i="2"/>
  <c r="E1153" i="2"/>
  <c r="D1153" i="2"/>
  <c r="C1153" i="2"/>
  <c r="B1153" i="2"/>
  <c r="A1153" i="2"/>
  <c r="T1152" i="2"/>
  <c r="P1152" i="2"/>
  <c r="O1152" i="2"/>
  <c r="N1152" i="2"/>
  <c r="M1152" i="2"/>
  <c r="K1152" i="2"/>
  <c r="J1152" i="2"/>
  <c r="I1152" i="2"/>
  <c r="H1152" i="2"/>
  <c r="G1152" i="2"/>
  <c r="F1152" i="2"/>
  <c r="E1152" i="2"/>
  <c r="D1152" i="2"/>
  <c r="C1152" i="2"/>
  <c r="B1152" i="2"/>
  <c r="A1152" i="2"/>
  <c r="T1151" i="2"/>
  <c r="P1151" i="2"/>
  <c r="O1151" i="2"/>
  <c r="N1151" i="2"/>
  <c r="M1151" i="2"/>
  <c r="L1151" i="2"/>
  <c r="K1151" i="2"/>
  <c r="J1151" i="2"/>
  <c r="I1151" i="2"/>
  <c r="H1151" i="2"/>
  <c r="G1151" i="2"/>
  <c r="F1151" i="2"/>
  <c r="E1151" i="2"/>
  <c r="D1151" i="2"/>
  <c r="C1151" i="2"/>
  <c r="B1151" i="2"/>
  <c r="A1151" i="2"/>
  <c r="T1150" i="2"/>
  <c r="O1150" i="2"/>
  <c r="N1150" i="2"/>
  <c r="K1150" i="2"/>
  <c r="J1150" i="2"/>
  <c r="I1150" i="2"/>
  <c r="H1150" i="2"/>
  <c r="G1150" i="2"/>
  <c r="F1150" i="2"/>
  <c r="E1150" i="2"/>
  <c r="D1150" i="2"/>
  <c r="C1150" i="2"/>
  <c r="B1150" i="2"/>
  <c r="A1150" i="2"/>
  <c r="T1149" i="2"/>
  <c r="P1149" i="2"/>
  <c r="O1149" i="2"/>
  <c r="N1149" i="2"/>
  <c r="M1149" i="2"/>
  <c r="K1149" i="2"/>
  <c r="J1149" i="2"/>
  <c r="I1149" i="2"/>
  <c r="H1149" i="2"/>
  <c r="G1149" i="2"/>
  <c r="F1149" i="2"/>
  <c r="E1149" i="2"/>
  <c r="D1149" i="2"/>
  <c r="C1149" i="2"/>
  <c r="B1149" i="2"/>
  <c r="A1149" i="2"/>
  <c r="T1148" i="2"/>
  <c r="P1148" i="2"/>
  <c r="O1148" i="2"/>
  <c r="N1148" i="2"/>
  <c r="J1148" i="2"/>
  <c r="I1148" i="2"/>
  <c r="H1148" i="2"/>
  <c r="G1148" i="2"/>
  <c r="F1148" i="2"/>
  <c r="E1148" i="2"/>
  <c r="D1148" i="2"/>
  <c r="C1148" i="2"/>
  <c r="B1148" i="2"/>
  <c r="A1148" i="2"/>
  <c r="T1147" i="2"/>
  <c r="P1147" i="2"/>
  <c r="O1147" i="2"/>
  <c r="N1147" i="2"/>
  <c r="K1147" i="2"/>
  <c r="J1147" i="2"/>
  <c r="I1147" i="2"/>
  <c r="H1147" i="2"/>
  <c r="G1147" i="2"/>
  <c r="F1147" i="2"/>
  <c r="E1147" i="2"/>
  <c r="D1147" i="2"/>
  <c r="C1147" i="2"/>
  <c r="B1147" i="2"/>
  <c r="A1147" i="2"/>
  <c r="T1146" i="2"/>
  <c r="P1146" i="2"/>
  <c r="O1146" i="2"/>
  <c r="N1146" i="2"/>
  <c r="K1146" i="2"/>
  <c r="J1146" i="2"/>
  <c r="I1146" i="2"/>
  <c r="H1146" i="2"/>
  <c r="G1146" i="2"/>
  <c r="F1146" i="2"/>
  <c r="E1146" i="2"/>
  <c r="D1146" i="2"/>
  <c r="C1146" i="2"/>
  <c r="B1146" i="2"/>
  <c r="A1146" i="2"/>
  <c r="T1145" i="2"/>
  <c r="R1145" i="2"/>
  <c r="O1145" i="2"/>
  <c r="N1145" i="2"/>
  <c r="L1145" i="2"/>
  <c r="J1145" i="2"/>
  <c r="I1145" i="2"/>
  <c r="H1145" i="2"/>
  <c r="G1145" i="2"/>
  <c r="F1145" i="2"/>
  <c r="E1145" i="2"/>
  <c r="D1145" i="2"/>
  <c r="C1145" i="2"/>
  <c r="B1145" i="2"/>
  <c r="A1145" i="2"/>
  <c r="T1144" i="2"/>
  <c r="O1144" i="2"/>
  <c r="N1144" i="2"/>
  <c r="J1144" i="2"/>
  <c r="I1144" i="2"/>
  <c r="H1144" i="2"/>
  <c r="G1144" i="2"/>
  <c r="F1144" i="2"/>
  <c r="E1144" i="2"/>
  <c r="D1144" i="2"/>
  <c r="C1144" i="2"/>
  <c r="B1144" i="2"/>
  <c r="A1144" i="2"/>
  <c r="T1143" i="2"/>
  <c r="P1143" i="2"/>
  <c r="O1143" i="2"/>
  <c r="N1143" i="2"/>
  <c r="M1143" i="2"/>
  <c r="K1143" i="2"/>
  <c r="J1143" i="2"/>
  <c r="I1143" i="2"/>
  <c r="H1143" i="2"/>
  <c r="G1143" i="2"/>
  <c r="F1143" i="2"/>
  <c r="E1143" i="2"/>
  <c r="D1143" i="2"/>
  <c r="C1143" i="2"/>
  <c r="B1143" i="2"/>
  <c r="A1143" i="2"/>
  <c r="T1142" i="2"/>
  <c r="Q1142" i="2"/>
  <c r="P1142" i="2"/>
  <c r="O1142" i="2"/>
  <c r="N1142" i="2"/>
  <c r="M1142" i="2"/>
  <c r="K1142" i="2"/>
  <c r="J1142" i="2"/>
  <c r="I1142" i="2"/>
  <c r="H1142" i="2"/>
  <c r="G1142" i="2"/>
  <c r="F1142" i="2"/>
  <c r="E1142" i="2"/>
  <c r="D1142" i="2"/>
  <c r="C1142" i="2"/>
  <c r="B1142" i="2"/>
  <c r="A1142" i="2"/>
  <c r="T1141" i="2"/>
  <c r="P1141" i="2"/>
  <c r="O1141" i="2"/>
  <c r="N1141" i="2"/>
  <c r="K1141" i="2"/>
  <c r="J1141" i="2"/>
  <c r="I1141" i="2"/>
  <c r="H1141" i="2"/>
  <c r="G1141" i="2"/>
  <c r="F1141" i="2"/>
  <c r="E1141" i="2"/>
  <c r="D1141" i="2"/>
  <c r="C1141" i="2"/>
  <c r="B1141" i="2"/>
  <c r="A1141" i="2"/>
  <c r="T1140" i="2"/>
  <c r="P1140" i="2"/>
  <c r="O1140" i="2"/>
  <c r="N1140" i="2"/>
  <c r="K1140" i="2"/>
  <c r="J1140" i="2"/>
  <c r="I1140" i="2"/>
  <c r="H1140" i="2"/>
  <c r="G1140" i="2"/>
  <c r="F1140" i="2"/>
  <c r="E1140" i="2"/>
  <c r="D1140" i="2"/>
  <c r="C1140" i="2"/>
  <c r="B1140" i="2"/>
  <c r="A1140" i="2"/>
  <c r="T1139" i="2"/>
  <c r="P1139" i="2"/>
  <c r="O1139" i="2"/>
  <c r="N1139" i="2"/>
  <c r="K1139" i="2"/>
  <c r="J1139" i="2"/>
  <c r="I1139" i="2"/>
  <c r="H1139" i="2"/>
  <c r="G1139" i="2"/>
  <c r="F1139" i="2"/>
  <c r="E1139" i="2"/>
  <c r="D1139" i="2"/>
  <c r="C1139" i="2"/>
  <c r="B1139" i="2"/>
  <c r="A1139" i="2"/>
  <c r="T1138" i="2"/>
  <c r="P1138" i="2"/>
  <c r="O1138" i="2"/>
  <c r="N1138" i="2"/>
  <c r="K1138" i="2"/>
  <c r="J1138" i="2"/>
  <c r="I1138" i="2"/>
  <c r="H1138" i="2"/>
  <c r="G1138" i="2"/>
  <c r="F1138" i="2"/>
  <c r="E1138" i="2"/>
  <c r="D1138" i="2"/>
  <c r="C1138" i="2"/>
  <c r="B1138" i="2"/>
  <c r="A1138" i="2"/>
  <c r="T1137" i="2"/>
  <c r="P1137" i="2"/>
  <c r="O1137" i="2"/>
  <c r="N1137" i="2"/>
  <c r="K1137" i="2"/>
  <c r="J1137" i="2"/>
  <c r="I1137" i="2"/>
  <c r="H1137" i="2"/>
  <c r="G1137" i="2"/>
  <c r="F1137" i="2"/>
  <c r="E1137" i="2"/>
  <c r="D1137" i="2"/>
  <c r="C1137" i="2"/>
  <c r="B1137" i="2"/>
  <c r="A1137" i="2"/>
  <c r="T1136" i="2"/>
  <c r="P1136" i="2"/>
  <c r="O1136" i="2"/>
  <c r="N1136" i="2"/>
  <c r="K1136" i="2"/>
  <c r="J1136" i="2"/>
  <c r="I1136" i="2"/>
  <c r="H1136" i="2"/>
  <c r="G1136" i="2"/>
  <c r="F1136" i="2"/>
  <c r="E1136" i="2"/>
  <c r="D1136" i="2"/>
  <c r="C1136" i="2"/>
  <c r="B1136" i="2"/>
  <c r="A1136" i="2"/>
  <c r="T1135" i="2"/>
  <c r="P1135" i="2"/>
  <c r="O1135" i="2"/>
  <c r="N1135" i="2"/>
  <c r="K1135" i="2"/>
  <c r="J1135" i="2"/>
  <c r="I1135" i="2"/>
  <c r="H1135" i="2"/>
  <c r="G1135" i="2"/>
  <c r="F1135" i="2"/>
  <c r="E1135" i="2"/>
  <c r="D1135" i="2"/>
  <c r="C1135" i="2"/>
  <c r="B1135" i="2"/>
  <c r="A1135" i="2"/>
  <c r="T1134" i="2"/>
  <c r="P1134" i="2"/>
  <c r="O1134" i="2"/>
  <c r="N1134" i="2"/>
  <c r="K1134" i="2"/>
  <c r="J1134" i="2"/>
  <c r="I1134" i="2"/>
  <c r="H1134" i="2"/>
  <c r="G1134" i="2"/>
  <c r="F1134" i="2"/>
  <c r="E1134" i="2"/>
  <c r="D1134" i="2"/>
  <c r="C1134" i="2"/>
  <c r="B1134" i="2"/>
  <c r="A1134" i="2"/>
  <c r="T1133" i="2"/>
  <c r="P1133" i="2"/>
  <c r="O1133" i="2"/>
  <c r="N1133" i="2"/>
  <c r="K1133" i="2"/>
  <c r="J1133" i="2"/>
  <c r="I1133" i="2"/>
  <c r="H1133" i="2"/>
  <c r="G1133" i="2"/>
  <c r="F1133" i="2"/>
  <c r="E1133" i="2"/>
  <c r="D1133" i="2"/>
  <c r="C1133" i="2"/>
  <c r="B1133" i="2"/>
  <c r="A1133" i="2"/>
  <c r="T1132" i="2"/>
  <c r="R1132" i="2"/>
  <c r="P1132" i="2"/>
  <c r="O1132" i="2"/>
  <c r="N1132" i="2"/>
  <c r="M1132" i="2"/>
  <c r="L1132" i="2"/>
  <c r="K1132" i="2"/>
  <c r="J1132" i="2"/>
  <c r="I1132" i="2"/>
  <c r="H1132" i="2"/>
  <c r="G1132" i="2"/>
  <c r="F1132" i="2"/>
  <c r="E1132" i="2"/>
  <c r="D1132" i="2"/>
  <c r="C1132" i="2"/>
  <c r="B1132" i="2"/>
  <c r="A1132" i="2"/>
  <c r="T1131" i="2"/>
  <c r="R1131" i="2"/>
  <c r="O1131" i="2"/>
  <c r="N1131" i="2"/>
  <c r="L1131" i="2"/>
  <c r="J1131" i="2"/>
  <c r="I1131" i="2"/>
  <c r="H1131" i="2"/>
  <c r="G1131" i="2"/>
  <c r="F1131" i="2"/>
  <c r="E1131" i="2"/>
  <c r="D1131" i="2"/>
  <c r="C1131" i="2"/>
  <c r="B1131" i="2"/>
  <c r="A1131" i="2"/>
  <c r="T1130" i="2"/>
  <c r="Q1130" i="2"/>
  <c r="P1130" i="2"/>
  <c r="O1130" i="2"/>
  <c r="N1130" i="2"/>
  <c r="K1130" i="2"/>
  <c r="J1130" i="2"/>
  <c r="I1130" i="2"/>
  <c r="H1130" i="2"/>
  <c r="G1130" i="2"/>
  <c r="F1130" i="2"/>
  <c r="E1130" i="2"/>
  <c r="D1130" i="2"/>
  <c r="C1130" i="2"/>
  <c r="B1130" i="2"/>
  <c r="A1130" i="2"/>
  <c r="T1129" i="2"/>
  <c r="P1129" i="2"/>
  <c r="O1129" i="2"/>
  <c r="N1129" i="2"/>
  <c r="K1129" i="2"/>
  <c r="J1129" i="2"/>
  <c r="I1129" i="2"/>
  <c r="H1129" i="2"/>
  <c r="G1129" i="2"/>
  <c r="F1129" i="2"/>
  <c r="E1129" i="2"/>
  <c r="D1129" i="2"/>
  <c r="C1129" i="2"/>
  <c r="B1129" i="2"/>
  <c r="A1129" i="2"/>
  <c r="T1128" i="2"/>
  <c r="P1128" i="2"/>
  <c r="O1128" i="2"/>
  <c r="N1128" i="2"/>
  <c r="K1128" i="2"/>
  <c r="J1128" i="2"/>
  <c r="I1128" i="2"/>
  <c r="H1128" i="2"/>
  <c r="G1128" i="2"/>
  <c r="F1128" i="2"/>
  <c r="E1128" i="2"/>
  <c r="D1128" i="2"/>
  <c r="C1128" i="2"/>
  <c r="B1128" i="2"/>
  <c r="A1128" i="2"/>
  <c r="T1127" i="2"/>
  <c r="P1127" i="2"/>
  <c r="O1127" i="2"/>
  <c r="N1127" i="2"/>
  <c r="K1127" i="2"/>
  <c r="J1127" i="2"/>
  <c r="I1127" i="2"/>
  <c r="H1127" i="2"/>
  <c r="G1127" i="2"/>
  <c r="F1127" i="2"/>
  <c r="E1127" i="2"/>
  <c r="D1127" i="2"/>
  <c r="C1127" i="2"/>
  <c r="B1127" i="2"/>
  <c r="A1127" i="2"/>
  <c r="T1126" i="2"/>
  <c r="P1126" i="2"/>
  <c r="O1126" i="2"/>
  <c r="N1126" i="2"/>
  <c r="K1126" i="2"/>
  <c r="J1126" i="2"/>
  <c r="I1126" i="2"/>
  <c r="H1126" i="2"/>
  <c r="G1126" i="2"/>
  <c r="F1126" i="2"/>
  <c r="E1126" i="2"/>
  <c r="D1126" i="2"/>
  <c r="C1126" i="2"/>
  <c r="B1126" i="2"/>
  <c r="A1126" i="2"/>
  <c r="T1125" i="2"/>
  <c r="P1125" i="2"/>
  <c r="O1125" i="2"/>
  <c r="N1125" i="2"/>
  <c r="M1125" i="2"/>
  <c r="K1125" i="2"/>
  <c r="J1125" i="2"/>
  <c r="I1125" i="2"/>
  <c r="H1125" i="2"/>
  <c r="G1125" i="2"/>
  <c r="F1125" i="2"/>
  <c r="E1125" i="2"/>
  <c r="D1125" i="2"/>
  <c r="C1125" i="2"/>
  <c r="B1125" i="2"/>
  <c r="A1125" i="2"/>
  <c r="T1124" i="2"/>
  <c r="P1124" i="2"/>
  <c r="O1124" i="2"/>
  <c r="N1124" i="2"/>
  <c r="K1124" i="2"/>
  <c r="J1124" i="2"/>
  <c r="I1124" i="2"/>
  <c r="H1124" i="2"/>
  <c r="G1124" i="2"/>
  <c r="F1124" i="2"/>
  <c r="E1124" i="2"/>
  <c r="D1124" i="2"/>
  <c r="C1124" i="2"/>
  <c r="B1124" i="2"/>
  <c r="A1124" i="2"/>
  <c r="T1123" i="2"/>
  <c r="P1123" i="2"/>
  <c r="O1123" i="2"/>
  <c r="N1123" i="2"/>
  <c r="M1123" i="2"/>
  <c r="K1123" i="2"/>
  <c r="J1123" i="2"/>
  <c r="I1123" i="2"/>
  <c r="H1123" i="2"/>
  <c r="G1123" i="2"/>
  <c r="F1123" i="2"/>
  <c r="E1123" i="2"/>
  <c r="D1123" i="2"/>
  <c r="C1123" i="2"/>
  <c r="B1123" i="2"/>
  <c r="A1123" i="2"/>
  <c r="T1122" i="2"/>
  <c r="P1122" i="2"/>
  <c r="O1122" i="2"/>
  <c r="N1122" i="2"/>
  <c r="K1122" i="2"/>
  <c r="J1122" i="2"/>
  <c r="I1122" i="2"/>
  <c r="H1122" i="2"/>
  <c r="G1122" i="2"/>
  <c r="F1122" i="2"/>
  <c r="E1122" i="2"/>
  <c r="D1122" i="2"/>
  <c r="C1122" i="2"/>
  <c r="B1122" i="2"/>
  <c r="A1122" i="2"/>
  <c r="T1121" i="2"/>
  <c r="P1121" i="2"/>
  <c r="O1121" i="2"/>
  <c r="N1121" i="2"/>
  <c r="M1121" i="2"/>
  <c r="K1121" i="2"/>
  <c r="J1121" i="2"/>
  <c r="I1121" i="2"/>
  <c r="H1121" i="2"/>
  <c r="G1121" i="2"/>
  <c r="F1121" i="2"/>
  <c r="E1121" i="2"/>
  <c r="D1121" i="2"/>
  <c r="C1121" i="2"/>
  <c r="B1121" i="2"/>
  <c r="A1121" i="2"/>
  <c r="T1120" i="2"/>
  <c r="S1120" i="2"/>
  <c r="R1120" i="2"/>
  <c r="Q1120" i="2"/>
  <c r="P1120" i="2"/>
  <c r="O1120" i="2"/>
  <c r="N1120" i="2"/>
  <c r="L1120" i="2"/>
  <c r="K1120" i="2"/>
  <c r="J1120" i="2"/>
  <c r="I1120" i="2"/>
  <c r="H1120" i="2"/>
  <c r="G1120" i="2"/>
  <c r="F1120" i="2"/>
  <c r="E1120" i="2"/>
  <c r="D1120" i="2"/>
  <c r="C1120" i="2"/>
  <c r="B1120" i="2"/>
  <c r="A1120" i="2"/>
  <c r="T1119" i="2"/>
  <c r="Q1119" i="2"/>
  <c r="P1119" i="2"/>
  <c r="O1119" i="2"/>
  <c r="N1119" i="2"/>
  <c r="J1119" i="2"/>
  <c r="I1119" i="2"/>
  <c r="H1119" i="2"/>
  <c r="G1119" i="2"/>
  <c r="F1119" i="2"/>
  <c r="E1119" i="2"/>
  <c r="D1119" i="2"/>
  <c r="C1119" i="2"/>
  <c r="B1119" i="2"/>
  <c r="A1119" i="2"/>
  <c r="T1118" i="2"/>
  <c r="R1118" i="2"/>
  <c r="O1118" i="2"/>
  <c r="N1118" i="2"/>
  <c r="L1118" i="2"/>
  <c r="J1118" i="2"/>
  <c r="I1118" i="2"/>
  <c r="H1118" i="2"/>
  <c r="G1118" i="2"/>
  <c r="F1118" i="2"/>
  <c r="E1118" i="2"/>
  <c r="D1118" i="2"/>
  <c r="C1118" i="2"/>
  <c r="B1118" i="2"/>
  <c r="A1118" i="2"/>
  <c r="T1117" i="2"/>
  <c r="Q1117" i="2"/>
  <c r="P1117" i="2"/>
  <c r="O1117" i="2"/>
  <c r="N1117" i="2"/>
  <c r="K1117" i="2"/>
  <c r="J1117" i="2"/>
  <c r="I1117" i="2"/>
  <c r="H1117" i="2"/>
  <c r="G1117" i="2"/>
  <c r="F1117" i="2"/>
  <c r="E1117" i="2"/>
  <c r="D1117" i="2"/>
  <c r="C1117" i="2"/>
  <c r="B1117" i="2"/>
  <c r="A1117" i="2"/>
  <c r="T1116" i="2"/>
  <c r="O1116" i="2"/>
  <c r="N1116" i="2"/>
  <c r="J1116" i="2"/>
  <c r="I1116" i="2"/>
  <c r="H1116" i="2"/>
  <c r="G1116" i="2"/>
  <c r="F1116" i="2"/>
  <c r="E1116" i="2"/>
  <c r="D1116" i="2"/>
  <c r="C1116" i="2"/>
  <c r="B1116" i="2"/>
  <c r="A1116" i="2"/>
  <c r="T1115" i="2"/>
  <c r="P1115" i="2"/>
  <c r="O1115" i="2"/>
  <c r="N1115" i="2"/>
  <c r="K1115" i="2"/>
  <c r="J1115" i="2"/>
  <c r="I1115" i="2"/>
  <c r="H1115" i="2"/>
  <c r="G1115" i="2"/>
  <c r="F1115" i="2"/>
  <c r="E1115" i="2"/>
  <c r="D1115" i="2"/>
  <c r="C1115" i="2"/>
  <c r="B1115" i="2"/>
  <c r="A1115" i="2"/>
  <c r="T1114" i="2"/>
  <c r="P1114" i="2"/>
  <c r="O1114" i="2"/>
  <c r="N1114" i="2"/>
  <c r="K1114" i="2"/>
  <c r="J1114" i="2"/>
  <c r="I1114" i="2"/>
  <c r="H1114" i="2"/>
  <c r="G1114" i="2"/>
  <c r="F1114" i="2"/>
  <c r="E1114" i="2"/>
  <c r="D1114" i="2"/>
  <c r="C1114" i="2"/>
  <c r="B1114" i="2"/>
  <c r="A1114" i="2"/>
  <c r="T1113" i="2"/>
  <c r="O1113" i="2"/>
  <c r="N1113" i="2"/>
  <c r="J1113" i="2"/>
  <c r="I1113" i="2"/>
  <c r="H1113" i="2"/>
  <c r="G1113" i="2"/>
  <c r="F1113" i="2"/>
  <c r="E1113" i="2"/>
  <c r="D1113" i="2"/>
  <c r="C1113" i="2"/>
  <c r="B1113" i="2"/>
  <c r="A1113" i="2"/>
  <c r="T1112" i="2"/>
  <c r="P1112" i="2"/>
  <c r="O1112" i="2"/>
  <c r="N1112" i="2"/>
  <c r="K1112" i="2"/>
  <c r="J1112" i="2"/>
  <c r="I1112" i="2"/>
  <c r="H1112" i="2"/>
  <c r="G1112" i="2"/>
  <c r="F1112" i="2"/>
  <c r="E1112" i="2"/>
  <c r="D1112" i="2"/>
  <c r="C1112" i="2"/>
  <c r="B1112" i="2"/>
  <c r="A1112" i="2"/>
  <c r="T1111" i="2"/>
  <c r="R1111" i="2"/>
  <c r="O1111" i="2"/>
  <c r="N1111" i="2"/>
  <c r="L1111" i="2"/>
  <c r="J1111" i="2"/>
  <c r="I1111" i="2"/>
  <c r="H1111" i="2"/>
  <c r="G1111" i="2"/>
  <c r="F1111" i="2"/>
  <c r="E1111" i="2"/>
  <c r="D1111" i="2"/>
  <c r="C1111" i="2"/>
  <c r="B1111" i="2"/>
  <c r="A1111" i="2"/>
  <c r="T1110" i="2"/>
  <c r="P1110" i="2"/>
  <c r="O1110" i="2"/>
  <c r="N1110" i="2"/>
  <c r="M1110" i="2"/>
  <c r="K1110" i="2"/>
  <c r="J1110" i="2"/>
  <c r="I1110" i="2"/>
  <c r="H1110" i="2"/>
  <c r="G1110" i="2"/>
  <c r="F1110" i="2"/>
  <c r="E1110" i="2"/>
  <c r="D1110" i="2"/>
  <c r="C1110" i="2"/>
  <c r="B1110" i="2"/>
  <c r="A1110" i="2"/>
  <c r="T1109" i="2"/>
  <c r="P1109" i="2"/>
  <c r="O1109" i="2"/>
  <c r="N1109" i="2"/>
  <c r="K1109" i="2"/>
  <c r="J1109" i="2"/>
  <c r="I1109" i="2"/>
  <c r="H1109" i="2"/>
  <c r="G1109" i="2"/>
  <c r="F1109" i="2"/>
  <c r="E1109" i="2"/>
  <c r="D1109" i="2"/>
  <c r="C1109" i="2"/>
  <c r="B1109" i="2"/>
  <c r="A1109" i="2"/>
  <c r="T1108" i="2"/>
  <c r="P1108" i="2"/>
  <c r="O1108" i="2"/>
  <c r="N1108" i="2"/>
  <c r="K1108" i="2"/>
  <c r="J1108" i="2"/>
  <c r="I1108" i="2"/>
  <c r="H1108" i="2"/>
  <c r="G1108" i="2"/>
  <c r="F1108" i="2"/>
  <c r="E1108" i="2"/>
  <c r="D1108" i="2"/>
  <c r="C1108" i="2"/>
  <c r="B1108" i="2"/>
  <c r="A1108" i="2"/>
  <c r="T1107" i="2"/>
  <c r="O1107" i="2"/>
  <c r="N1107" i="2"/>
  <c r="J1107" i="2"/>
  <c r="I1107" i="2"/>
  <c r="H1107" i="2"/>
  <c r="G1107" i="2"/>
  <c r="F1107" i="2"/>
  <c r="E1107" i="2"/>
  <c r="D1107" i="2"/>
  <c r="C1107" i="2"/>
  <c r="B1107" i="2"/>
  <c r="A1107" i="2"/>
  <c r="T1106" i="2"/>
  <c r="P1106" i="2"/>
  <c r="O1106" i="2"/>
  <c r="N1106" i="2"/>
  <c r="K1106" i="2"/>
  <c r="J1106" i="2"/>
  <c r="I1106" i="2"/>
  <c r="H1106" i="2"/>
  <c r="G1106" i="2"/>
  <c r="F1106" i="2"/>
  <c r="E1106" i="2"/>
  <c r="D1106" i="2"/>
  <c r="C1106" i="2"/>
  <c r="B1106" i="2"/>
  <c r="A1106" i="2"/>
  <c r="T1105" i="2"/>
  <c r="O1105" i="2"/>
  <c r="N1105" i="2"/>
  <c r="J1105" i="2"/>
  <c r="I1105" i="2"/>
  <c r="H1105" i="2"/>
  <c r="G1105" i="2"/>
  <c r="F1105" i="2"/>
  <c r="E1105" i="2"/>
  <c r="D1105" i="2"/>
  <c r="C1105" i="2"/>
  <c r="B1105" i="2"/>
  <c r="A1105" i="2"/>
  <c r="T1104" i="2"/>
  <c r="P1104" i="2"/>
  <c r="O1104" i="2"/>
  <c r="N1104" i="2"/>
  <c r="K1104" i="2"/>
  <c r="J1104" i="2"/>
  <c r="I1104" i="2"/>
  <c r="H1104" i="2"/>
  <c r="G1104" i="2"/>
  <c r="F1104" i="2"/>
  <c r="E1104" i="2"/>
  <c r="D1104" i="2"/>
  <c r="C1104" i="2"/>
  <c r="B1104" i="2"/>
  <c r="A1104" i="2"/>
  <c r="T1103" i="2"/>
  <c r="P1103" i="2"/>
  <c r="O1103" i="2"/>
  <c r="N1103" i="2"/>
  <c r="K1103" i="2"/>
  <c r="J1103" i="2"/>
  <c r="I1103" i="2"/>
  <c r="H1103" i="2"/>
  <c r="G1103" i="2"/>
  <c r="F1103" i="2"/>
  <c r="E1103" i="2"/>
  <c r="D1103" i="2"/>
  <c r="C1103" i="2"/>
  <c r="B1103" i="2"/>
  <c r="A1103" i="2"/>
  <c r="T1102" i="2"/>
  <c r="Q1102" i="2"/>
  <c r="P1102" i="2"/>
  <c r="O1102" i="2"/>
  <c r="N1102" i="2"/>
  <c r="K1102" i="2"/>
  <c r="J1102" i="2"/>
  <c r="I1102" i="2"/>
  <c r="H1102" i="2"/>
  <c r="G1102" i="2"/>
  <c r="F1102" i="2"/>
  <c r="E1102" i="2"/>
  <c r="D1102" i="2"/>
  <c r="C1102" i="2"/>
  <c r="B1102" i="2"/>
  <c r="A1102" i="2"/>
  <c r="T1101" i="2"/>
  <c r="O1101" i="2"/>
  <c r="N1101" i="2"/>
  <c r="J1101" i="2"/>
  <c r="I1101" i="2"/>
  <c r="H1101" i="2"/>
  <c r="G1101" i="2"/>
  <c r="F1101" i="2"/>
  <c r="E1101" i="2"/>
  <c r="D1101" i="2"/>
  <c r="C1101" i="2"/>
  <c r="B1101" i="2"/>
  <c r="A1101" i="2"/>
  <c r="T1100" i="2"/>
  <c r="P1100" i="2"/>
  <c r="O1100" i="2"/>
  <c r="N1100" i="2"/>
  <c r="K1100" i="2"/>
  <c r="J1100" i="2"/>
  <c r="I1100" i="2"/>
  <c r="H1100" i="2"/>
  <c r="G1100" i="2"/>
  <c r="F1100" i="2"/>
  <c r="E1100" i="2"/>
  <c r="D1100" i="2"/>
  <c r="C1100" i="2"/>
  <c r="B1100" i="2"/>
  <c r="A1100" i="2"/>
  <c r="T1099" i="2"/>
  <c r="O1099" i="2"/>
  <c r="N1099" i="2"/>
  <c r="J1099" i="2"/>
  <c r="I1099" i="2"/>
  <c r="H1099" i="2"/>
  <c r="G1099" i="2"/>
  <c r="F1099" i="2"/>
  <c r="E1099" i="2"/>
  <c r="D1099" i="2"/>
  <c r="C1099" i="2"/>
  <c r="B1099" i="2"/>
  <c r="A1099" i="2"/>
  <c r="T1098" i="2"/>
  <c r="O1098" i="2"/>
  <c r="N1098" i="2"/>
  <c r="J1098" i="2"/>
  <c r="I1098" i="2"/>
  <c r="H1098" i="2"/>
  <c r="G1098" i="2"/>
  <c r="F1098" i="2"/>
  <c r="E1098" i="2"/>
  <c r="D1098" i="2"/>
  <c r="C1098" i="2"/>
  <c r="B1098" i="2"/>
  <c r="A1098" i="2"/>
  <c r="T1097" i="2"/>
  <c r="P1097" i="2"/>
  <c r="O1097" i="2"/>
  <c r="N1097" i="2"/>
  <c r="K1097" i="2"/>
  <c r="J1097" i="2"/>
  <c r="I1097" i="2"/>
  <c r="H1097" i="2"/>
  <c r="G1097" i="2"/>
  <c r="F1097" i="2"/>
  <c r="E1097" i="2"/>
  <c r="D1097" i="2"/>
  <c r="C1097" i="2"/>
  <c r="B1097" i="2"/>
  <c r="A1097" i="2"/>
  <c r="T1096" i="2"/>
  <c r="R1096" i="2"/>
  <c r="O1096" i="2"/>
  <c r="N1096" i="2"/>
  <c r="L1096" i="2"/>
  <c r="J1096" i="2"/>
  <c r="I1096" i="2"/>
  <c r="H1096" i="2"/>
  <c r="G1096" i="2"/>
  <c r="F1096" i="2"/>
  <c r="E1096" i="2"/>
  <c r="D1096" i="2"/>
  <c r="C1096" i="2"/>
  <c r="B1096" i="2"/>
  <c r="A1096" i="2"/>
  <c r="T1095" i="2"/>
  <c r="P1095" i="2"/>
  <c r="O1095" i="2"/>
  <c r="N1095" i="2"/>
  <c r="K1095" i="2"/>
  <c r="J1095" i="2"/>
  <c r="I1095" i="2"/>
  <c r="H1095" i="2"/>
  <c r="G1095" i="2"/>
  <c r="F1095" i="2"/>
  <c r="E1095" i="2"/>
  <c r="D1095" i="2"/>
  <c r="C1095" i="2"/>
  <c r="B1095" i="2"/>
  <c r="A1095" i="2"/>
  <c r="T1094" i="2"/>
  <c r="P1094" i="2"/>
  <c r="O1094" i="2"/>
  <c r="N1094" i="2"/>
  <c r="K1094" i="2"/>
  <c r="J1094" i="2"/>
  <c r="I1094" i="2"/>
  <c r="H1094" i="2"/>
  <c r="G1094" i="2"/>
  <c r="F1094" i="2"/>
  <c r="E1094" i="2"/>
  <c r="D1094" i="2"/>
  <c r="C1094" i="2"/>
  <c r="B1094" i="2"/>
  <c r="A1094" i="2"/>
  <c r="T1093" i="2"/>
  <c r="R1093" i="2"/>
  <c r="O1093" i="2"/>
  <c r="N1093" i="2"/>
  <c r="L1093" i="2"/>
  <c r="J1093" i="2"/>
  <c r="I1093" i="2"/>
  <c r="H1093" i="2"/>
  <c r="G1093" i="2"/>
  <c r="F1093" i="2"/>
  <c r="E1093" i="2"/>
  <c r="D1093" i="2"/>
  <c r="C1093" i="2"/>
  <c r="B1093" i="2"/>
  <c r="A1093" i="2"/>
  <c r="T1092" i="2"/>
  <c r="P1092" i="2"/>
  <c r="O1092" i="2"/>
  <c r="N1092" i="2"/>
  <c r="K1092" i="2"/>
  <c r="J1092" i="2"/>
  <c r="I1092" i="2"/>
  <c r="H1092" i="2"/>
  <c r="G1092" i="2"/>
  <c r="F1092" i="2"/>
  <c r="E1092" i="2"/>
  <c r="D1092" i="2"/>
  <c r="C1092" i="2"/>
  <c r="B1092" i="2"/>
  <c r="A1092" i="2"/>
  <c r="T1091" i="2"/>
  <c r="P1091" i="2"/>
  <c r="O1091" i="2"/>
  <c r="N1091" i="2"/>
  <c r="M1091" i="2"/>
  <c r="L1091" i="2"/>
  <c r="K1091" i="2"/>
  <c r="J1091" i="2"/>
  <c r="I1091" i="2"/>
  <c r="H1091" i="2"/>
  <c r="G1091" i="2"/>
  <c r="F1091" i="2"/>
  <c r="E1091" i="2"/>
  <c r="D1091" i="2"/>
  <c r="C1091" i="2"/>
  <c r="B1091" i="2"/>
  <c r="A1091" i="2"/>
  <c r="T1090" i="2"/>
  <c r="O1090" i="2"/>
  <c r="N1090" i="2"/>
  <c r="J1090" i="2"/>
  <c r="I1090" i="2"/>
  <c r="H1090" i="2"/>
  <c r="G1090" i="2"/>
  <c r="F1090" i="2"/>
  <c r="E1090" i="2"/>
  <c r="D1090" i="2"/>
  <c r="C1090" i="2"/>
  <c r="B1090" i="2"/>
  <c r="A1090" i="2"/>
  <c r="T1089" i="2"/>
  <c r="P1089" i="2"/>
  <c r="O1089" i="2"/>
  <c r="N1089" i="2"/>
  <c r="K1089" i="2"/>
  <c r="J1089" i="2"/>
  <c r="I1089" i="2"/>
  <c r="H1089" i="2"/>
  <c r="G1089" i="2"/>
  <c r="F1089" i="2"/>
  <c r="E1089" i="2"/>
  <c r="D1089" i="2"/>
  <c r="C1089" i="2"/>
  <c r="B1089" i="2"/>
  <c r="A1089" i="2"/>
  <c r="T1088" i="2"/>
  <c r="P1088" i="2"/>
  <c r="O1088" i="2"/>
  <c r="N1088" i="2"/>
  <c r="M1088" i="2"/>
  <c r="K1088" i="2"/>
  <c r="J1088" i="2"/>
  <c r="I1088" i="2"/>
  <c r="H1088" i="2"/>
  <c r="G1088" i="2"/>
  <c r="F1088" i="2"/>
  <c r="E1088" i="2"/>
  <c r="D1088" i="2"/>
  <c r="C1088" i="2"/>
  <c r="B1088" i="2"/>
  <c r="A1088" i="2"/>
  <c r="T1087" i="2"/>
  <c r="R1087" i="2"/>
  <c r="O1087" i="2"/>
  <c r="N1087" i="2"/>
  <c r="L1087" i="2"/>
  <c r="J1087" i="2"/>
  <c r="I1087" i="2"/>
  <c r="H1087" i="2"/>
  <c r="G1087" i="2"/>
  <c r="F1087" i="2"/>
  <c r="E1087" i="2"/>
  <c r="D1087" i="2"/>
  <c r="C1087" i="2"/>
  <c r="B1087" i="2"/>
  <c r="A1087" i="2"/>
  <c r="T1086" i="2"/>
  <c r="P1086" i="2"/>
  <c r="O1086" i="2"/>
  <c r="N1086" i="2"/>
  <c r="K1086" i="2"/>
  <c r="J1086" i="2"/>
  <c r="I1086" i="2"/>
  <c r="H1086" i="2"/>
  <c r="G1086" i="2"/>
  <c r="F1086" i="2"/>
  <c r="E1086" i="2"/>
  <c r="D1086" i="2"/>
  <c r="C1086" i="2"/>
  <c r="B1086" i="2"/>
  <c r="A1086" i="2"/>
  <c r="T1085" i="2"/>
  <c r="P1085" i="2"/>
  <c r="O1085" i="2"/>
  <c r="N1085" i="2"/>
  <c r="K1085" i="2"/>
  <c r="J1085" i="2"/>
  <c r="I1085" i="2"/>
  <c r="H1085" i="2"/>
  <c r="G1085" i="2"/>
  <c r="F1085" i="2"/>
  <c r="E1085" i="2"/>
  <c r="D1085" i="2"/>
  <c r="C1085" i="2"/>
  <c r="B1085" i="2"/>
  <c r="A1085" i="2"/>
  <c r="T1084" i="2"/>
  <c r="P1084" i="2"/>
  <c r="O1084" i="2"/>
  <c r="N1084" i="2"/>
  <c r="K1084" i="2"/>
  <c r="J1084" i="2"/>
  <c r="I1084" i="2"/>
  <c r="H1084" i="2"/>
  <c r="G1084" i="2"/>
  <c r="F1084" i="2"/>
  <c r="E1084" i="2"/>
  <c r="D1084" i="2"/>
  <c r="C1084" i="2"/>
  <c r="B1084" i="2"/>
  <c r="A1084" i="2"/>
  <c r="T1083" i="2"/>
  <c r="P1083" i="2"/>
  <c r="O1083" i="2"/>
  <c r="N1083" i="2"/>
  <c r="M1083" i="2"/>
  <c r="K1083" i="2"/>
  <c r="J1083" i="2"/>
  <c r="I1083" i="2"/>
  <c r="H1083" i="2"/>
  <c r="G1083" i="2"/>
  <c r="F1083" i="2"/>
  <c r="E1083" i="2"/>
  <c r="D1083" i="2"/>
  <c r="C1083" i="2"/>
  <c r="B1083" i="2"/>
  <c r="A1083" i="2"/>
  <c r="T1082" i="2"/>
  <c r="P1082" i="2"/>
  <c r="O1082" i="2"/>
  <c r="N1082" i="2"/>
  <c r="K1082" i="2"/>
  <c r="J1082" i="2"/>
  <c r="I1082" i="2"/>
  <c r="H1082" i="2"/>
  <c r="G1082" i="2"/>
  <c r="F1082" i="2"/>
  <c r="E1082" i="2"/>
  <c r="D1082" i="2"/>
  <c r="C1082" i="2"/>
  <c r="B1082" i="2"/>
  <c r="A1082" i="2"/>
  <c r="T1081" i="2"/>
  <c r="P1081" i="2"/>
  <c r="O1081" i="2"/>
  <c r="N1081" i="2"/>
  <c r="K1081" i="2"/>
  <c r="J1081" i="2"/>
  <c r="I1081" i="2"/>
  <c r="H1081" i="2"/>
  <c r="G1081" i="2"/>
  <c r="F1081" i="2"/>
  <c r="E1081" i="2"/>
  <c r="D1081" i="2"/>
  <c r="C1081" i="2"/>
  <c r="B1081" i="2"/>
  <c r="A1081" i="2"/>
  <c r="T1080" i="2"/>
  <c r="P1080" i="2"/>
  <c r="O1080" i="2"/>
  <c r="N1080" i="2"/>
  <c r="K1080" i="2"/>
  <c r="J1080" i="2"/>
  <c r="I1080" i="2"/>
  <c r="H1080" i="2"/>
  <c r="G1080" i="2"/>
  <c r="F1080" i="2"/>
  <c r="E1080" i="2"/>
  <c r="D1080" i="2"/>
  <c r="C1080" i="2"/>
  <c r="B1080" i="2"/>
  <c r="A1080" i="2"/>
  <c r="T1079" i="2"/>
  <c r="P1079" i="2"/>
  <c r="O1079" i="2"/>
  <c r="N1079" i="2"/>
  <c r="K1079" i="2"/>
  <c r="J1079" i="2"/>
  <c r="I1079" i="2"/>
  <c r="H1079" i="2"/>
  <c r="G1079" i="2"/>
  <c r="F1079" i="2"/>
  <c r="E1079" i="2"/>
  <c r="D1079" i="2"/>
  <c r="C1079" i="2"/>
  <c r="B1079" i="2"/>
  <c r="A1079" i="2"/>
  <c r="T1078" i="2"/>
  <c r="P1078" i="2"/>
  <c r="O1078" i="2"/>
  <c r="N1078" i="2"/>
  <c r="K1078" i="2"/>
  <c r="J1078" i="2"/>
  <c r="I1078" i="2"/>
  <c r="H1078" i="2"/>
  <c r="G1078" i="2"/>
  <c r="F1078" i="2"/>
  <c r="E1078" i="2"/>
  <c r="D1078" i="2"/>
  <c r="C1078" i="2"/>
  <c r="B1078" i="2"/>
  <c r="A1078" i="2"/>
  <c r="T1077" i="2"/>
  <c r="P1077" i="2"/>
  <c r="O1077" i="2"/>
  <c r="N1077" i="2"/>
  <c r="K1077" i="2"/>
  <c r="J1077" i="2"/>
  <c r="I1077" i="2"/>
  <c r="H1077" i="2"/>
  <c r="G1077" i="2"/>
  <c r="F1077" i="2"/>
  <c r="E1077" i="2"/>
  <c r="D1077" i="2"/>
  <c r="C1077" i="2"/>
  <c r="B1077" i="2"/>
  <c r="A1077" i="2"/>
  <c r="T1076" i="2"/>
  <c r="P1076" i="2"/>
  <c r="O1076" i="2"/>
  <c r="N1076" i="2"/>
  <c r="K1076" i="2"/>
  <c r="J1076" i="2"/>
  <c r="I1076" i="2"/>
  <c r="H1076" i="2"/>
  <c r="G1076" i="2"/>
  <c r="F1076" i="2"/>
  <c r="E1076" i="2"/>
  <c r="D1076" i="2"/>
  <c r="C1076" i="2"/>
  <c r="B1076" i="2"/>
  <c r="A1076" i="2"/>
  <c r="T1075" i="2"/>
  <c r="P1075" i="2"/>
  <c r="O1075" i="2"/>
  <c r="N1075" i="2"/>
  <c r="K1075" i="2"/>
  <c r="J1075" i="2"/>
  <c r="I1075" i="2"/>
  <c r="H1075" i="2"/>
  <c r="G1075" i="2"/>
  <c r="F1075" i="2"/>
  <c r="E1075" i="2"/>
  <c r="D1075" i="2"/>
  <c r="C1075" i="2"/>
  <c r="B1075" i="2"/>
  <c r="A1075" i="2"/>
  <c r="T1074" i="2"/>
  <c r="Q1074" i="2"/>
  <c r="P1074" i="2"/>
  <c r="O1074" i="2"/>
  <c r="N1074" i="2"/>
  <c r="K1074" i="2"/>
  <c r="J1074" i="2"/>
  <c r="I1074" i="2"/>
  <c r="H1074" i="2"/>
  <c r="G1074" i="2"/>
  <c r="F1074" i="2"/>
  <c r="E1074" i="2"/>
  <c r="D1074" i="2"/>
  <c r="C1074" i="2"/>
  <c r="B1074" i="2"/>
  <c r="A1074" i="2"/>
  <c r="T1073" i="2"/>
  <c r="P1073" i="2"/>
  <c r="O1073" i="2"/>
  <c r="N1073" i="2"/>
  <c r="K1073" i="2"/>
  <c r="J1073" i="2"/>
  <c r="I1073" i="2"/>
  <c r="H1073" i="2"/>
  <c r="G1073" i="2"/>
  <c r="F1073" i="2"/>
  <c r="E1073" i="2"/>
  <c r="D1073" i="2"/>
  <c r="C1073" i="2"/>
  <c r="B1073" i="2"/>
  <c r="A1073" i="2"/>
  <c r="T1072" i="2"/>
  <c r="P1072" i="2"/>
  <c r="O1072" i="2"/>
  <c r="N1072" i="2"/>
  <c r="K1072" i="2"/>
  <c r="J1072" i="2"/>
  <c r="I1072" i="2"/>
  <c r="H1072" i="2"/>
  <c r="G1072" i="2"/>
  <c r="F1072" i="2"/>
  <c r="E1072" i="2"/>
  <c r="D1072" i="2"/>
  <c r="C1072" i="2"/>
  <c r="B1072" i="2"/>
  <c r="A1072" i="2"/>
  <c r="T1071" i="2"/>
  <c r="P1071" i="2"/>
  <c r="O1071" i="2"/>
  <c r="N1071" i="2"/>
  <c r="M1071" i="2"/>
  <c r="K1071" i="2"/>
  <c r="J1071" i="2"/>
  <c r="I1071" i="2"/>
  <c r="H1071" i="2"/>
  <c r="G1071" i="2"/>
  <c r="F1071" i="2"/>
  <c r="E1071" i="2"/>
  <c r="D1071" i="2"/>
  <c r="C1071" i="2"/>
  <c r="B1071" i="2"/>
  <c r="A1071" i="2"/>
  <c r="T1070" i="2"/>
  <c r="P1070" i="2"/>
  <c r="O1070" i="2"/>
  <c r="N1070" i="2"/>
  <c r="J1070" i="2"/>
  <c r="I1070" i="2"/>
  <c r="H1070" i="2"/>
  <c r="G1070" i="2"/>
  <c r="F1070" i="2"/>
  <c r="E1070" i="2"/>
  <c r="D1070" i="2"/>
  <c r="C1070" i="2"/>
  <c r="B1070" i="2"/>
  <c r="A1070" i="2"/>
  <c r="T1069" i="2"/>
  <c r="R1069" i="2"/>
  <c r="O1069" i="2"/>
  <c r="N1069" i="2"/>
  <c r="L1069" i="2"/>
  <c r="J1069" i="2"/>
  <c r="I1069" i="2"/>
  <c r="H1069" i="2"/>
  <c r="G1069" i="2"/>
  <c r="F1069" i="2"/>
  <c r="E1069" i="2"/>
  <c r="D1069" i="2"/>
  <c r="C1069" i="2"/>
  <c r="B1069" i="2"/>
  <c r="A1069" i="2"/>
  <c r="T1068" i="2"/>
  <c r="R1068" i="2"/>
  <c r="O1068" i="2"/>
  <c r="N1068" i="2"/>
  <c r="L1068" i="2"/>
  <c r="J1068" i="2"/>
  <c r="I1068" i="2"/>
  <c r="H1068" i="2"/>
  <c r="G1068" i="2"/>
  <c r="F1068" i="2"/>
  <c r="E1068" i="2"/>
  <c r="D1068" i="2"/>
  <c r="C1068" i="2"/>
  <c r="B1068" i="2"/>
  <c r="A1068" i="2"/>
  <c r="T1067" i="2"/>
  <c r="P1067" i="2"/>
  <c r="O1067" i="2"/>
  <c r="N1067" i="2"/>
  <c r="K1067" i="2"/>
  <c r="J1067" i="2"/>
  <c r="I1067" i="2"/>
  <c r="H1067" i="2"/>
  <c r="G1067" i="2"/>
  <c r="F1067" i="2"/>
  <c r="E1067" i="2"/>
  <c r="D1067" i="2"/>
  <c r="C1067" i="2"/>
  <c r="B1067" i="2"/>
  <c r="A1067" i="2"/>
  <c r="T1066" i="2"/>
  <c r="P1066" i="2"/>
  <c r="O1066" i="2"/>
  <c r="N1066" i="2"/>
  <c r="M1066" i="2"/>
  <c r="K1066" i="2"/>
  <c r="J1066" i="2"/>
  <c r="I1066" i="2"/>
  <c r="H1066" i="2"/>
  <c r="G1066" i="2"/>
  <c r="F1066" i="2"/>
  <c r="E1066" i="2"/>
  <c r="D1066" i="2"/>
  <c r="C1066" i="2"/>
  <c r="B1066" i="2"/>
  <c r="A1066" i="2"/>
  <c r="T1065" i="2"/>
  <c r="P1065" i="2"/>
  <c r="O1065" i="2"/>
  <c r="N1065" i="2"/>
  <c r="K1065" i="2"/>
  <c r="J1065" i="2"/>
  <c r="I1065" i="2"/>
  <c r="H1065" i="2"/>
  <c r="G1065" i="2"/>
  <c r="F1065" i="2"/>
  <c r="E1065" i="2"/>
  <c r="D1065" i="2"/>
  <c r="C1065" i="2"/>
  <c r="B1065" i="2"/>
  <c r="A1065" i="2"/>
  <c r="T1064" i="2"/>
  <c r="P1064" i="2"/>
  <c r="O1064" i="2"/>
  <c r="N1064" i="2"/>
  <c r="K1064" i="2"/>
  <c r="J1064" i="2"/>
  <c r="I1064" i="2"/>
  <c r="H1064" i="2"/>
  <c r="G1064" i="2"/>
  <c r="F1064" i="2"/>
  <c r="E1064" i="2"/>
  <c r="D1064" i="2"/>
  <c r="C1064" i="2"/>
  <c r="B1064" i="2"/>
  <c r="A1064" i="2"/>
  <c r="T1063" i="2"/>
  <c r="R1063" i="2"/>
  <c r="O1063" i="2"/>
  <c r="N1063" i="2"/>
  <c r="L1063" i="2"/>
  <c r="J1063" i="2"/>
  <c r="I1063" i="2"/>
  <c r="H1063" i="2"/>
  <c r="G1063" i="2"/>
  <c r="F1063" i="2"/>
  <c r="E1063" i="2"/>
  <c r="D1063" i="2"/>
  <c r="C1063" i="2"/>
  <c r="B1063" i="2"/>
  <c r="A1063" i="2"/>
  <c r="T1062" i="2"/>
  <c r="R1062" i="2"/>
  <c r="O1062" i="2"/>
  <c r="N1062" i="2"/>
  <c r="L1062" i="2"/>
  <c r="J1062" i="2"/>
  <c r="I1062" i="2"/>
  <c r="H1062" i="2"/>
  <c r="G1062" i="2"/>
  <c r="F1062" i="2"/>
  <c r="E1062" i="2"/>
  <c r="D1062" i="2"/>
  <c r="C1062" i="2"/>
  <c r="B1062" i="2"/>
  <c r="A1062" i="2"/>
  <c r="T1061" i="2"/>
  <c r="P1061" i="2"/>
  <c r="O1061" i="2"/>
  <c r="N1061" i="2"/>
  <c r="K1061" i="2"/>
  <c r="J1061" i="2"/>
  <c r="I1061" i="2"/>
  <c r="H1061" i="2"/>
  <c r="G1061" i="2"/>
  <c r="F1061" i="2"/>
  <c r="E1061" i="2"/>
  <c r="D1061" i="2"/>
  <c r="C1061" i="2"/>
  <c r="B1061" i="2"/>
  <c r="A1061" i="2"/>
  <c r="T1060" i="2"/>
  <c r="O1060" i="2"/>
  <c r="N1060" i="2"/>
  <c r="L1060" i="2"/>
  <c r="J1060" i="2"/>
  <c r="I1060" i="2"/>
  <c r="H1060" i="2"/>
  <c r="G1060" i="2"/>
  <c r="F1060" i="2"/>
  <c r="E1060" i="2"/>
  <c r="D1060" i="2"/>
  <c r="C1060" i="2"/>
  <c r="B1060" i="2"/>
  <c r="A1060" i="2"/>
  <c r="T1059" i="2"/>
  <c r="P1059" i="2"/>
  <c r="O1059" i="2"/>
  <c r="N1059" i="2"/>
  <c r="K1059" i="2"/>
  <c r="J1059" i="2"/>
  <c r="I1059" i="2"/>
  <c r="H1059" i="2"/>
  <c r="G1059" i="2"/>
  <c r="F1059" i="2"/>
  <c r="E1059" i="2"/>
  <c r="D1059" i="2"/>
  <c r="C1059" i="2"/>
  <c r="B1059" i="2"/>
  <c r="A1059" i="2"/>
  <c r="T1058" i="2"/>
  <c r="P1058" i="2"/>
  <c r="O1058" i="2"/>
  <c r="N1058" i="2"/>
  <c r="K1058" i="2"/>
  <c r="J1058" i="2"/>
  <c r="I1058" i="2"/>
  <c r="H1058" i="2"/>
  <c r="G1058" i="2"/>
  <c r="F1058" i="2"/>
  <c r="E1058" i="2"/>
  <c r="D1058" i="2"/>
  <c r="C1058" i="2"/>
  <c r="B1058" i="2"/>
  <c r="A1058" i="2"/>
  <c r="T1057" i="2"/>
  <c r="P1057" i="2"/>
  <c r="O1057" i="2"/>
  <c r="N1057" i="2"/>
  <c r="K1057" i="2"/>
  <c r="J1057" i="2"/>
  <c r="I1057" i="2"/>
  <c r="H1057" i="2"/>
  <c r="G1057" i="2"/>
  <c r="F1057" i="2"/>
  <c r="E1057" i="2"/>
  <c r="D1057" i="2"/>
  <c r="C1057" i="2"/>
  <c r="B1057" i="2"/>
  <c r="A1057" i="2"/>
  <c r="T1056" i="2"/>
  <c r="S1056" i="2"/>
  <c r="R1056" i="2"/>
  <c r="Q1056" i="2"/>
  <c r="P1056" i="2"/>
  <c r="O1056" i="2"/>
  <c r="N1056" i="2"/>
  <c r="L1056" i="2"/>
  <c r="K1056" i="2"/>
  <c r="J1056" i="2"/>
  <c r="I1056" i="2"/>
  <c r="H1056" i="2"/>
  <c r="G1056" i="2"/>
  <c r="F1056" i="2"/>
  <c r="E1056" i="2"/>
  <c r="D1056" i="2"/>
  <c r="C1056" i="2"/>
  <c r="B1056" i="2"/>
  <c r="A1056" i="2"/>
  <c r="T1055" i="2"/>
  <c r="P1055" i="2"/>
  <c r="O1055" i="2"/>
  <c r="N1055" i="2"/>
  <c r="K1055" i="2"/>
  <c r="J1055" i="2"/>
  <c r="I1055" i="2"/>
  <c r="H1055" i="2"/>
  <c r="G1055" i="2"/>
  <c r="F1055" i="2"/>
  <c r="E1055" i="2"/>
  <c r="D1055" i="2"/>
  <c r="C1055" i="2"/>
  <c r="B1055" i="2"/>
  <c r="A1055" i="2"/>
  <c r="T1054" i="2"/>
  <c r="O1054" i="2"/>
  <c r="N1054" i="2"/>
  <c r="J1054" i="2"/>
  <c r="I1054" i="2"/>
  <c r="H1054" i="2"/>
  <c r="G1054" i="2"/>
  <c r="F1054" i="2"/>
  <c r="E1054" i="2"/>
  <c r="D1054" i="2"/>
  <c r="C1054" i="2"/>
  <c r="B1054" i="2"/>
  <c r="A1054" i="2"/>
  <c r="T1053" i="2"/>
  <c r="S1053" i="2"/>
  <c r="R1053" i="2"/>
  <c r="O1053" i="2"/>
  <c r="N1053" i="2"/>
  <c r="M1053" i="2"/>
  <c r="L1053" i="2"/>
  <c r="J1053" i="2"/>
  <c r="I1053" i="2"/>
  <c r="H1053" i="2"/>
  <c r="G1053" i="2"/>
  <c r="F1053" i="2"/>
  <c r="E1053" i="2"/>
  <c r="D1053" i="2"/>
  <c r="C1053" i="2"/>
  <c r="B1053" i="2"/>
  <c r="A1053" i="2"/>
  <c r="T1052" i="2"/>
  <c r="P1052" i="2"/>
  <c r="O1052" i="2"/>
  <c r="N1052" i="2"/>
  <c r="M1052" i="2"/>
  <c r="K1052" i="2"/>
  <c r="J1052" i="2"/>
  <c r="I1052" i="2"/>
  <c r="H1052" i="2"/>
  <c r="G1052" i="2"/>
  <c r="F1052" i="2"/>
  <c r="E1052" i="2"/>
  <c r="D1052" i="2"/>
  <c r="C1052" i="2"/>
  <c r="B1052" i="2"/>
  <c r="A1052" i="2"/>
  <c r="T1051" i="2"/>
  <c r="P1051" i="2"/>
  <c r="O1051" i="2"/>
  <c r="N1051" i="2"/>
  <c r="K1051" i="2"/>
  <c r="J1051" i="2"/>
  <c r="I1051" i="2"/>
  <c r="H1051" i="2"/>
  <c r="G1051" i="2"/>
  <c r="F1051" i="2"/>
  <c r="E1051" i="2"/>
  <c r="D1051" i="2"/>
  <c r="C1051" i="2"/>
  <c r="B1051" i="2"/>
  <c r="A1051" i="2"/>
  <c r="T1050" i="2"/>
  <c r="P1050" i="2"/>
  <c r="O1050" i="2"/>
  <c r="N1050" i="2"/>
  <c r="K1050" i="2"/>
  <c r="J1050" i="2"/>
  <c r="I1050" i="2"/>
  <c r="H1050" i="2"/>
  <c r="G1050" i="2"/>
  <c r="F1050" i="2"/>
  <c r="E1050" i="2"/>
  <c r="D1050" i="2"/>
  <c r="C1050" i="2"/>
  <c r="B1050" i="2"/>
  <c r="A1050" i="2"/>
  <c r="T1049" i="2"/>
  <c r="O1049" i="2"/>
  <c r="N1049" i="2"/>
  <c r="J1049" i="2"/>
  <c r="I1049" i="2"/>
  <c r="H1049" i="2"/>
  <c r="G1049" i="2"/>
  <c r="F1049" i="2"/>
  <c r="E1049" i="2"/>
  <c r="D1049" i="2"/>
  <c r="C1049" i="2"/>
  <c r="B1049" i="2"/>
  <c r="A1049" i="2"/>
  <c r="T1048" i="2"/>
  <c r="P1048" i="2"/>
  <c r="O1048" i="2"/>
  <c r="N1048" i="2"/>
  <c r="M1048" i="2"/>
  <c r="K1048" i="2"/>
  <c r="J1048" i="2"/>
  <c r="I1048" i="2"/>
  <c r="H1048" i="2"/>
  <c r="G1048" i="2"/>
  <c r="F1048" i="2"/>
  <c r="E1048" i="2"/>
  <c r="D1048" i="2"/>
  <c r="C1048" i="2"/>
  <c r="B1048" i="2"/>
  <c r="A1048" i="2"/>
  <c r="T1047" i="2"/>
  <c r="S1047" i="2"/>
  <c r="R1047" i="2"/>
  <c r="Q1047" i="2"/>
  <c r="P1047" i="2"/>
  <c r="O1047" i="2"/>
  <c r="N1047" i="2"/>
  <c r="M1047" i="2"/>
  <c r="L1047" i="2"/>
  <c r="K1047" i="2"/>
  <c r="J1047" i="2"/>
  <c r="I1047" i="2"/>
  <c r="H1047" i="2"/>
  <c r="G1047" i="2"/>
  <c r="F1047" i="2"/>
  <c r="E1047" i="2"/>
  <c r="D1047" i="2"/>
  <c r="C1047" i="2"/>
  <c r="B1047" i="2"/>
  <c r="A1047" i="2"/>
  <c r="T1046" i="2"/>
  <c r="P1046" i="2"/>
  <c r="O1046" i="2"/>
  <c r="N1046" i="2"/>
  <c r="K1046" i="2"/>
  <c r="J1046" i="2"/>
  <c r="I1046" i="2"/>
  <c r="H1046" i="2"/>
  <c r="G1046" i="2"/>
  <c r="F1046" i="2"/>
  <c r="E1046" i="2"/>
  <c r="D1046" i="2"/>
  <c r="C1046" i="2"/>
  <c r="B1046" i="2"/>
  <c r="A1046" i="2"/>
  <c r="T1045" i="2"/>
  <c r="P1045" i="2"/>
  <c r="O1045" i="2"/>
  <c r="N1045" i="2"/>
  <c r="K1045" i="2"/>
  <c r="J1045" i="2"/>
  <c r="I1045" i="2"/>
  <c r="H1045" i="2"/>
  <c r="G1045" i="2"/>
  <c r="F1045" i="2"/>
  <c r="E1045" i="2"/>
  <c r="D1045" i="2"/>
  <c r="C1045" i="2"/>
  <c r="B1045" i="2"/>
  <c r="A1045" i="2"/>
  <c r="T1044" i="2"/>
  <c r="P1044" i="2"/>
  <c r="O1044" i="2"/>
  <c r="N1044" i="2"/>
  <c r="K1044" i="2"/>
  <c r="J1044" i="2"/>
  <c r="I1044" i="2"/>
  <c r="H1044" i="2"/>
  <c r="G1044" i="2"/>
  <c r="F1044" i="2"/>
  <c r="E1044" i="2"/>
  <c r="D1044" i="2"/>
  <c r="C1044" i="2"/>
  <c r="B1044" i="2"/>
  <c r="A1044" i="2"/>
  <c r="T1043" i="2"/>
  <c r="O1043" i="2"/>
  <c r="N1043" i="2"/>
  <c r="J1043" i="2"/>
  <c r="I1043" i="2"/>
  <c r="H1043" i="2"/>
  <c r="G1043" i="2"/>
  <c r="F1043" i="2"/>
  <c r="E1043" i="2"/>
  <c r="D1043" i="2"/>
  <c r="C1043" i="2"/>
  <c r="B1043" i="2"/>
  <c r="A1043" i="2"/>
  <c r="T1042" i="2"/>
  <c r="P1042" i="2"/>
  <c r="O1042" i="2"/>
  <c r="N1042" i="2"/>
  <c r="K1042" i="2"/>
  <c r="J1042" i="2"/>
  <c r="I1042" i="2"/>
  <c r="H1042" i="2"/>
  <c r="G1042" i="2"/>
  <c r="F1042" i="2"/>
  <c r="E1042" i="2"/>
  <c r="D1042" i="2"/>
  <c r="C1042" i="2"/>
  <c r="B1042" i="2"/>
  <c r="A1042" i="2"/>
  <c r="T1041" i="2"/>
  <c r="O1041" i="2"/>
  <c r="N1041" i="2"/>
  <c r="J1041" i="2"/>
  <c r="I1041" i="2"/>
  <c r="H1041" i="2"/>
  <c r="G1041" i="2"/>
  <c r="F1041" i="2"/>
  <c r="E1041" i="2"/>
  <c r="D1041" i="2"/>
  <c r="C1041" i="2"/>
  <c r="B1041" i="2"/>
  <c r="A1041" i="2"/>
  <c r="T1040" i="2"/>
  <c r="O1040" i="2"/>
  <c r="N1040" i="2"/>
  <c r="J1040" i="2"/>
  <c r="I1040" i="2"/>
  <c r="H1040" i="2"/>
  <c r="G1040" i="2"/>
  <c r="F1040" i="2"/>
  <c r="E1040" i="2"/>
  <c r="D1040" i="2"/>
  <c r="C1040" i="2"/>
  <c r="B1040" i="2"/>
  <c r="A1040" i="2"/>
  <c r="T1039" i="2"/>
  <c r="P1039" i="2"/>
  <c r="O1039" i="2"/>
  <c r="N1039" i="2"/>
  <c r="K1039" i="2"/>
  <c r="J1039" i="2"/>
  <c r="I1039" i="2"/>
  <c r="H1039" i="2"/>
  <c r="G1039" i="2"/>
  <c r="F1039" i="2"/>
  <c r="E1039" i="2"/>
  <c r="D1039" i="2"/>
  <c r="C1039" i="2"/>
  <c r="B1039" i="2"/>
  <c r="A1039" i="2"/>
  <c r="T1038" i="2"/>
  <c r="P1038" i="2"/>
  <c r="O1038" i="2"/>
  <c r="N1038" i="2"/>
  <c r="K1038" i="2"/>
  <c r="J1038" i="2"/>
  <c r="I1038" i="2"/>
  <c r="H1038" i="2"/>
  <c r="G1038" i="2"/>
  <c r="F1038" i="2"/>
  <c r="E1038" i="2"/>
  <c r="D1038" i="2"/>
  <c r="C1038" i="2"/>
  <c r="B1038" i="2"/>
  <c r="A1038" i="2"/>
  <c r="T1037" i="2"/>
  <c r="P1037" i="2"/>
  <c r="O1037" i="2"/>
  <c r="N1037" i="2"/>
  <c r="K1037" i="2"/>
  <c r="J1037" i="2"/>
  <c r="I1037" i="2"/>
  <c r="H1037" i="2"/>
  <c r="G1037" i="2"/>
  <c r="F1037" i="2"/>
  <c r="E1037" i="2"/>
  <c r="D1037" i="2"/>
  <c r="C1037" i="2"/>
  <c r="B1037" i="2"/>
  <c r="A1037" i="2"/>
  <c r="T1036" i="2"/>
  <c r="O1036" i="2"/>
  <c r="N1036" i="2"/>
  <c r="J1036" i="2"/>
  <c r="I1036" i="2"/>
  <c r="H1036" i="2"/>
  <c r="G1036" i="2"/>
  <c r="F1036" i="2"/>
  <c r="E1036" i="2"/>
  <c r="D1036" i="2"/>
  <c r="C1036" i="2"/>
  <c r="B1036" i="2"/>
  <c r="A1036" i="2"/>
  <c r="O1035" i="2"/>
  <c r="N1035" i="2"/>
  <c r="K1035" i="2"/>
  <c r="J1035" i="2"/>
  <c r="I1035" i="2"/>
  <c r="H1035" i="2"/>
  <c r="G1035" i="2"/>
  <c r="F1035" i="2"/>
  <c r="E1035" i="2"/>
  <c r="D1035" i="2"/>
  <c r="C1035" i="2"/>
  <c r="B1035" i="2"/>
  <c r="A1035" i="2"/>
  <c r="T1034" i="2"/>
  <c r="O1034" i="2"/>
  <c r="N1034" i="2"/>
  <c r="J1034" i="2"/>
  <c r="I1034" i="2"/>
  <c r="H1034" i="2"/>
  <c r="G1034" i="2"/>
  <c r="F1034" i="2"/>
  <c r="E1034" i="2"/>
  <c r="D1034" i="2"/>
  <c r="C1034" i="2"/>
  <c r="B1034" i="2"/>
  <c r="A1034" i="2"/>
  <c r="T1033" i="2"/>
  <c r="O1033" i="2"/>
  <c r="N1033" i="2"/>
  <c r="M1033" i="2"/>
  <c r="K1033" i="2"/>
  <c r="J1033" i="2"/>
  <c r="I1033" i="2"/>
  <c r="H1033" i="2"/>
  <c r="G1033" i="2"/>
  <c r="F1033" i="2"/>
  <c r="E1033" i="2"/>
  <c r="D1033" i="2"/>
  <c r="C1033" i="2"/>
  <c r="B1033" i="2"/>
  <c r="A1033" i="2"/>
  <c r="T1032" i="2"/>
  <c r="P1032" i="2"/>
  <c r="O1032" i="2"/>
  <c r="N1032" i="2"/>
  <c r="K1032" i="2"/>
  <c r="J1032" i="2"/>
  <c r="I1032" i="2"/>
  <c r="H1032" i="2"/>
  <c r="G1032" i="2"/>
  <c r="F1032" i="2"/>
  <c r="E1032" i="2"/>
  <c r="D1032" i="2"/>
  <c r="C1032" i="2"/>
  <c r="B1032" i="2"/>
  <c r="A1032" i="2"/>
  <c r="T1031" i="2"/>
  <c r="P1031" i="2"/>
  <c r="O1031" i="2"/>
  <c r="N1031" i="2"/>
  <c r="K1031" i="2"/>
  <c r="J1031" i="2"/>
  <c r="I1031" i="2"/>
  <c r="H1031" i="2"/>
  <c r="G1031" i="2"/>
  <c r="F1031" i="2"/>
  <c r="E1031" i="2"/>
  <c r="D1031" i="2"/>
  <c r="C1031" i="2"/>
  <c r="B1031" i="2"/>
  <c r="A1031" i="2"/>
  <c r="T1030" i="2"/>
  <c r="P1030" i="2"/>
  <c r="O1030" i="2"/>
  <c r="N1030" i="2"/>
  <c r="K1030" i="2"/>
  <c r="J1030" i="2"/>
  <c r="I1030" i="2"/>
  <c r="H1030" i="2"/>
  <c r="G1030" i="2"/>
  <c r="F1030" i="2"/>
  <c r="E1030" i="2"/>
  <c r="D1030" i="2"/>
  <c r="C1030" i="2"/>
  <c r="B1030" i="2"/>
  <c r="A1030" i="2"/>
  <c r="T1029" i="2"/>
  <c r="P1029" i="2"/>
  <c r="O1029" i="2"/>
  <c r="N1029" i="2"/>
  <c r="K1029" i="2"/>
  <c r="J1029" i="2"/>
  <c r="I1029" i="2"/>
  <c r="H1029" i="2"/>
  <c r="G1029" i="2"/>
  <c r="F1029" i="2"/>
  <c r="E1029" i="2"/>
  <c r="D1029" i="2"/>
  <c r="C1029" i="2"/>
  <c r="B1029" i="2"/>
  <c r="A1029" i="2"/>
  <c r="T1028" i="2"/>
  <c r="P1028" i="2"/>
  <c r="O1028" i="2"/>
  <c r="N1028" i="2"/>
  <c r="M1028" i="2"/>
  <c r="K1028" i="2"/>
  <c r="J1028" i="2"/>
  <c r="I1028" i="2"/>
  <c r="H1028" i="2"/>
  <c r="G1028" i="2"/>
  <c r="F1028" i="2"/>
  <c r="E1028" i="2"/>
  <c r="D1028" i="2"/>
  <c r="C1028" i="2"/>
  <c r="B1028" i="2"/>
  <c r="A1028" i="2"/>
  <c r="T1027" i="2"/>
  <c r="Q1027" i="2"/>
  <c r="P1027" i="2"/>
  <c r="O1027" i="2"/>
  <c r="N1027" i="2"/>
  <c r="M1027" i="2"/>
  <c r="L1027" i="2"/>
  <c r="K1027" i="2"/>
  <c r="J1027" i="2"/>
  <c r="I1027" i="2"/>
  <c r="H1027" i="2"/>
  <c r="G1027" i="2"/>
  <c r="F1027" i="2"/>
  <c r="E1027" i="2"/>
  <c r="D1027" i="2"/>
  <c r="C1027" i="2"/>
  <c r="B1027" i="2"/>
  <c r="A1027" i="2"/>
  <c r="Q1026" i="2"/>
  <c r="P1026" i="2"/>
  <c r="O1026" i="2"/>
  <c r="N1026" i="2"/>
  <c r="K1026" i="2"/>
  <c r="J1026" i="2"/>
  <c r="I1026" i="2"/>
  <c r="H1026" i="2"/>
  <c r="G1026" i="2"/>
  <c r="F1026" i="2"/>
  <c r="E1026" i="2"/>
  <c r="D1026" i="2"/>
  <c r="C1026" i="2"/>
  <c r="B1026" i="2"/>
  <c r="A1026" i="2"/>
  <c r="T1025" i="2"/>
  <c r="S1025" i="2"/>
  <c r="R1025" i="2"/>
  <c r="Q1025" i="2"/>
  <c r="P1025" i="2"/>
  <c r="O1025" i="2"/>
  <c r="N1025" i="2"/>
  <c r="M1025" i="2"/>
  <c r="L1025" i="2"/>
  <c r="K1025" i="2"/>
  <c r="J1025" i="2"/>
  <c r="I1025" i="2"/>
  <c r="H1025" i="2"/>
  <c r="G1025" i="2"/>
  <c r="F1025" i="2"/>
  <c r="E1025" i="2"/>
  <c r="D1025" i="2"/>
  <c r="C1025" i="2"/>
  <c r="B1025" i="2"/>
  <c r="A1025" i="2"/>
  <c r="T1024" i="2"/>
  <c r="P1024" i="2"/>
  <c r="O1024" i="2"/>
  <c r="N1024" i="2"/>
  <c r="K1024" i="2"/>
  <c r="J1024" i="2"/>
  <c r="I1024" i="2"/>
  <c r="H1024" i="2"/>
  <c r="G1024" i="2"/>
  <c r="F1024" i="2"/>
  <c r="E1024" i="2"/>
  <c r="D1024" i="2"/>
  <c r="C1024" i="2"/>
  <c r="B1024" i="2"/>
  <c r="A1024" i="2"/>
  <c r="T1023" i="2"/>
  <c r="P1023" i="2"/>
  <c r="O1023" i="2"/>
  <c r="N1023" i="2"/>
  <c r="K1023" i="2"/>
  <c r="J1023" i="2"/>
  <c r="I1023" i="2"/>
  <c r="H1023" i="2"/>
  <c r="G1023" i="2"/>
  <c r="F1023" i="2"/>
  <c r="E1023" i="2"/>
  <c r="D1023" i="2"/>
  <c r="C1023" i="2"/>
  <c r="B1023" i="2"/>
  <c r="A1023" i="2"/>
  <c r="T1022" i="2"/>
  <c r="O1022" i="2"/>
  <c r="N1022" i="2"/>
  <c r="K1022" i="2"/>
  <c r="J1022" i="2"/>
  <c r="I1022" i="2"/>
  <c r="H1022" i="2"/>
  <c r="G1022" i="2"/>
  <c r="F1022" i="2"/>
  <c r="E1022" i="2"/>
  <c r="D1022" i="2"/>
  <c r="C1022" i="2"/>
  <c r="B1022" i="2"/>
  <c r="A1022" i="2"/>
  <c r="T1021" i="2"/>
  <c r="O1021" i="2"/>
  <c r="N1021" i="2"/>
  <c r="M1021" i="2"/>
  <c r="J1021" i="2"/>
  <c r="I1021" i="2"/>
  <c r="H1021" i="2"/>
  <c r="G1021" i="2"/>
  <c r="F1021" i="2"/>
  <c r="E1021" i="2"/>
  <c r="D1021" i="2"/>
  <c r="C1021" i="2"/>
  <c r="B1021" i="2"/>
  <c r="A1021" i="2"/>
  <c r="T1020" i="2"/>
  <c r="P1020" i="2"/>
  <c r="O1020" i="2"/>
  <c r="N1020" i="2"/>
  <c r="M1020" i="2"/>
  <c r="K1020" i="2"/>
  <c r="J1020" i="2"/>
  <c r="I1020" i="2"/>
  <c r="H1020" i="2"/>
  <c r="G1020" i="2"/>
  <c r="F1020" i="2"/>
  <c r="E1020" i="2"/>
  <c r="D1020" i="2"/>
  <c r="C1020" i="2"/>
  <c r="B1020" i="2"/>
  <c r="A1020" i="2"/>
  <c r="T1019" i="2"/>
  <c r="P1019" i="2"/>
  <c r="O1019" i="2"/>
  <c r="N1019" i="2"/>
  <c r="K1019" i="2"/>
  <c r="J1019" i="2"/>
  <c r="I1019" i="2"/>
  <c r="H1019" i="2"/>
  <c r="G1019" i="2"/>
  <c r="F1019" i="2"/>
  <c r="E1019" i="2"/>
  <c r="D1019" i="2"/>
  <c r="C1019" i="2"/>
  <c r="B1019" i="2"/>
  <c r="A1019" i="2"/>
  <c r="T1018" i="2"/>
  <c r="P1018" i="2"/>
  <c r="O1018" i="2"/>
  <c r="N1018" i="2"/>
  <c r="M1018" i="2"/>
  <c r="K1018" i="2"/>
  <c r="J1018" i="2"/>
  <c r="I1018" i="2"/>
  <c r="H1018" i="2"/>
  <c r="G1018" i="2"/>
  <c r="F1018" i="2"/>
  <c r="E1018" i="2"/>
  <c r="D1018" i="2"/>
  <c r="C1018" i="2"/>
  <c r="B1018" i="2"/>
  <c r="A1018" i="2"/>
  <c r="T1017" i="2"/>
  <c r="P1017" i="2"/>
  <c r="O1017" i="2"/>
  <c r="N1017" i="2"/>
  <c r="L1017" i="2"/>
  <c r="K1017" i="2"/>
  <c r="J1017" i="2"/>
  <c r="I1017" i="2"/>
  <c r="H1017" i="2"/>
  <c r="G1017" i="2"/>
  <c r="F1017" i="2"/>
  <c r="E1017" i="2"/>
  <c r="D1017" i="2"/>
  <c r="C1017" i="2"/>
  <c r="B1017" i="2"/>
  <c r="A1017" i="2"/>
  <c r="T1016" i="2"/>
  <c r="P1016" i="2"/>
  <c r="O1016" i="2"/>
  <c r="N1016" i="2"/>
  <c r="M1016" i="2"/>
  <c r="K1016" i="2"/>
  <c r="J1016" i="2"/>
  <c r="I1016" i="2"/>
  <c r="H1016" i="2"/>
  <c r="G1016" i="2"/>
  <c r="F1016" i="2"/>
  <c r="E1016" i="2"/>
  <c r="D1016" i="2"/>
  <c r="C1016" i="2"/>
  <c r="B1016" i="2"/>
  <c r="A1016" i="2"/>
  <c r="T1015" i="2"/>
  <c r="P1015" i="2"/>
  <c r="O1015" i="2"/>
  <c r="N1015" i="2"/>
  <c r="K1015" i="2"/>
  <c r="J1015" i="2"/>
  <c r="I1015" i="2"/>
  <c r="H1015" i="2"/>
  <c r="G1015" i="2"/>
  <c r="F1015" i="2"/>
  <c r="E1015" i="2"/>
  <c r="D1015" i="2"/>
  <c r="C1015" i="2"/>
  <c r="B1015" i="2"/>
  <c r="A1015" i="2"/>
  <c r="T1014" i="2"/>
  <c r="P1014" i="2"/>
  <c r="O1014" i="2"/>
  <c r="N1014" i="2"/>
  <c r="K1014" i="2"/>
  <c r="J1014" i="2"/>
  <c r="I1014" i="2"/>
  <c r="H1014" i="2"/>
  <c r="G1014" i="2"/>
  <c r="F1014" i="2"/>
  <c r="E1014" i="2"/>
  <c r="D1014" i="2"/>
  <c r="C1014" i="2"/>
  <c r="B1014" i="2"/>
  <c r="A1014" i="2"/>
  <c r="T1013" i="2"/>
  <c r="P1013" i="2"/>
  <c r="O1013" i="2"/>
  <c r="N1013" i="2"/>
  <c r="K1013" i="2"/>
  <c r="J1013" i="2"/>
  <c r="I1013" i="2"/>
  <c r="H1013" i="2"/>
  <c r="G1013" i="2"/>
  <c r="F1013" i="2"/>
  <c r="E1013" i="2"/>
  <c r="D1013" i="2"/>
  <c r="C1013" i="2"/>
  <c r="B1013" i="2"/>
  <c r="A1013" i="2"/>
  <c r="T1012" i="2"/>
  <c r="R1012" i="2"/>
  <c r="O1012" i="2"/>
  <c r="N1012" i="2"/>
  <c r="L1012" i="2"/>
  <c r="J1012" i="2"/>
  <c r="I1012" i="2"/>
  <c r="H1012" i="2"/>
  <c r="G1012" i="2"/>
  <c r="F1012" i="2"/>
  <c r="E1012" i="2"/>
  <c r="D1012" i="2"/>
  <c r="C1012" i="2"/>
  <c r="B1012" i="2"/>
  <c r="A1012" i="2"/>
  <c r="T1011" i="2"/>
  <c r="P1011" i="2"/>
  <c r="O1011" i="2"/>
  <c r="N1011" i="2"/>
  <c r="K1011" i="2"/>
  <c r="J1011" i="2"/>
  <c r="I1011" i="2"/>
  <c r="H1011" i="2"/>
  <c r="G1011" i="2"/>
  <c r="F1011" i="2"/>
  <c r="E1011" i="2"/>
  <c r="D1011" i="2"/>
  <c r="C1011" i="2"/>
  <c r="B1011" i="2"/>
  <c r="A1011" i="2"/>
  <c r="T1010" i="2"/>
  <c r="P1010" i="2"/>
  <c r="O1010" i="2"/>
  <c r="N1010" i="2"/>
  <c r="K1010" i="2"/>
  <c r="J1010" i="2"/>
  <c r="I1010" i="2"/>
  <c r="H1010" i="2"/>
  <c r="G1010" i="2"/>
  <c r="F1010" i="2"/>
  <c r="E1010" i="2"/>
  <c r="D1010" i="2"/>
  <c r="C1010" i="2"/>
  <c r="B1010" i="2"/>
  <c r="A1010" i="2"/>
  <c r="T1009" i="2"/>
  <c r="P1009" i="2"/>
  <c r="O1009" i="2"/>
  <c r="N1009" i="2"/>
  <c r="K1009" i="2"/>
  <c r="J1009" i="2"/>
  <c r="I1009" i="2"/>
  <c r="H1009" i="2"/>
  <c r="G1009" i="2"/>
  <c r="F1009" i="2"/>
  <c r="E1009" i="2"/>
  <c r="D1009" i="2"/>
  <c r="C1009" i="2"/>
  <c r="B1009" i="2"/>
  <c r="A1009" i="2"/>
  <c r="T1008" i="2"/>
  <c r="P1008" i="2"/>
  <c r="O1008" i="2"/>
  <c r="N1008" i="2"/>
  <c r="K1008" i="2"/>
  <c r="J1008" i="2"/>
  <c r="I1008" i="2"/>
  <c r="H1008" i="2"/>
  <c r="G1008" i="2"/>
  <c r="F1008" i="2"/>
  <c r="E1008" i="2"/>
  <c r="D1008" i="2"/>
  <c r="C1008" i="2"/>
  <c r="B1008" i="2"/>
  <c r="A1008" i="2"/>
  <c r="T1007" i="2"/>
  <c r="P1007" i="2"/>
  <c r="O1007" i="2"/>
  <c r="N1007" i="2"/>
  <c r="K1007" i="2"/>
  <c r="J1007" i="2"/>
  <c r="I1007" i="2"/>
  <c r="H1007" i="2"/>
  <c r="G1007" i="2"/>
  <c r="F1007" i="2"/>
  <c r="E1007" i="2"/>
  <c r="D1007" i="2"/>
  <c r="C1007" i="2"/>
  <c r="B1007" i="2"/>
  <c r="A1007" i="2"/>
  <c r="T1006" i="2"/>
  <c r="P1006" i="2"/>
  <c r="O1006" i="2"/>
  <c r="N1006" i="2"/>
  <c r="K1006" i="2"/>
  <c r="J1006" i="2"/>
  <c r="I1006" i="2"/>
  <c r="H1006" i="2"/>
  <c r="G1006" i="2"/>
  <c r="F1006" i="2"/>
  <c r="E1006" i="2"/>
  <c r="D1006" i="2"/>
  <c r="C1006" i="2"/>
  <c r="B1006" i="2"/>
  <c r="A1006" i="2"/>
  <c r="T1005" i="2"/>
  <c r="P1005" i="2"/>
  <c r="O1005" i="2"/>
  <c r="N1005" i="2"/>
  <c r="K1005" i="2"/>
  <c r="J1005" i="2"/>
  <c r="I1005" i="2"/>
  <c r="H1005" i="2"/>
  <c r="G1005" i="2"/>
  <c r="F1005" i="2"/>
  <c r="E1005" i="2"/>
  <c r="D1005" i="2"/>
  <c r="C1005" i="2"/>
  <c r="B1005" i="2"/>
  <c r="A1005" i="2"/>
  <c r="T1004" i="2"/>
  <c r="P1004" i="2"/>
  <c r="O1004" i="2"/>
  <c r="N1004" i="2"/>
  <c r="K1004" i="2"/>
  <c r="J1004" i="2"/>
  <c r="I1004" i="2"/>
  <c r="H1004" i="2"/>
  <c r="G1004" i="2"/>
  <c r="F1004" i="2"/>
  <c r="E1004" i="2"/>
  <c r="D1004" i="2"/>
  <c r="C1004" i="2"/>
  <c r="B1004" i="2"/>
  <c r="A1004" i="2"/>
  <c r="T1003" i="2"/>
  <c r="P1003" i="2"/>
  <c r="O1003" i="2"/>
  <c r="N1003" i="2"/>
  <c r="K1003" i="2"/>
  <c r="J1003" i="2"/>
  <c r="I1003" i="2"/>
  <c r="H1003" i="2"/>
  <c r="G1003" i="2"/>
  <c r="F1003" i="2"/>
  <c r="E1003" i="2"/>
  <c r="D1003" i="2"/>
  <c r="C1003" i="2"/>
  <c r="B1003" i="2"/>
  <c r="A1003" i="2"/>
  <c r="T1002" i="2"/>
  <c r="P1002" i="2"/>
  <c r="O1002" i="2"/>
  <c r="N1002" i="2"/>
  <c r="K1002" i="2"/>
  <c r="J1002" i="2"/>
  <c r="I1002" i="2"/>
  <c r="H1002" i="2"/>
  <c r="G1002" i="2"/>
  <c r="F1002" i="2"/>
  <c r="E1002" i="2"/>
  <c r="D1002" i="2"/>
  <c r="C1002" i="2"/>
  <c r="B1002" i="2"/>
  <c r="A1002" i="2"/>
  <c r="T1001" i="2"/>
  <c r="O1001" i="2"/>
  <c r="N1001" i="2"/>
  <c r="M1001" i="2"/>
  <c r="J1001" i="2"/>
  <c r="I1001" i="2"/>
  <c r="H1001" i="2"/>
  <c r="G1001" i="2"/>
  <c r="F1001" i="2"/>
  <c r="E1001" i="2"/>
  <c r="D1001" i="2"/>
  <c r="C1001" i="2"/>
  <c r="B1001" i="2"/>
  <c r="A1001" i="2"/>
  <c r="T1000" i="2"/>
  <c r="O1000" i="2"/>
  <c r="N1000" i="2"/>
  <c r="L1000" i="2"/>
  <c r="J1000" i="2"/>
  <c r="I1000" i="2"/>
  <c r="H1000" i="2"/>
  <c r="G1000" i="2"/>
  <c r="F1000" i="2"/>
  <c r="E1000" i="2"/>
  <c r="D1000" i="2"/>
  <c r="C1000" i="2"/>
  <c r="B1000" i="2"/>
  <c r="A1000" i="2"/>
  <c r="T999" i="2"/>
  <c r="Q999" i="2"/>
  <c r="P999" i="2"/>
  <c r="O999" i="2"/>
  <c r="N999" i="2"/>
  <c r="M999" i="2"/>
  <c r="K999" i="2"/>
  <c r="J999" i="2"/>
  <c r="I999" i="2"/>
  <c r="H999" i="2"/>
  <c r="G999" i="2"/>
  <c r="F999" i="2"/>
  <c r="E999" i="2"/>
  <c r="D999" i="2"/>
  <c r="C999" i="2"/>
  <c r="B999" i="2"/>
  <c r="A999" i="2"/>
  <c r="T998" i="2"/>
  <c r="P998" i="2"/>
  <c r="O998" i="2"/>
  <c r="N998" i="2"/>
  <c r="K998" i="2"/>
  <c r="J998" i="2"/>
  <c r="I998" i="2"/>
  <c r="H998" i="2"/>
  <c r="G998" i="2"/>
  <c r="F998" i="2"/>
  <c r="E998" i="2"/>
  <c r="D998" i="2"/>
  <c r="C998" i="2"/>
  <c r="B998" i="2"/>
  <c r="A998" i="2"/>
  <c r="T997" i="2"/>
  <c r="Q997" i="2"/>
  <c r="P997" i="2"/>
  <c r="O997" i="2"/>
  <c r="N997" i="2"/>
  <c r="M997" i="2"/>
  <c r="L997" i="2"/>
  <c r="K997" i="2"/>
  <c r="J997" i="2"/>
  <c r="I997" i="2"/>
  <c r="H997" i="2"/>
  <c r="G997" i="2"/>
  <c r="F997" i="2"/>
  <c r="E997" i="2"/>
  <c r="D997" i="2"/>
  <c r="C997" i="2"/>
  <c r="B997" i="2"/>
  <c r="A997" i="2"/>
  <c r="T996" i="2"/>
  <c r="P996" i="2"/>
  <c r="O996" i="2"/>
  <c r="N996" i="2"/>
  <c r="K996" i="2"/>
  <c r="J996" i="2"/>
  <c r="I996" i="2"/>
  <c r="H996" i="2"/>
  <c r="G996" i="2"/>
  <c r="F996" i="2"/>
  <c r="E996" i="2"/>
  <c r="D996" i="2"/>
  <c r="C996" i="2"/>
  <c r="B996" i="2"/>
  <c r="A996" i="2"/>
  <c r="T995" i="2"/>
  <c r="P995" i="2"/>
  <c r="O995" i="2"/>
  <c r="N995" i="2"/>
  <c r="M995" i="2"/>
  <c r="K995" i="2"/>
  <c r="J995" i="2"/>
  <c r="I995" i="2"/>
  <c r="H995" i="2"/>
  <c r="G995" i="2"/>
  <c r="F995" i="2"/>
  <c r="E995" i="2"/>
  <c r="D995" i="2"/>
  <c r="C995" i="2"/>
  <c r="B995" i="2"/>
  <c r="A995" i="2"/>
  <c r="T994" i="2"/>
  <c r="P994" i="2"/>
  <c r="O994" i="2"/>
  <c r="N994" i="2"/>
  <c r="K994" i="2"/>
  <c r="J994" i="2"/>
  <c r="I994" i="2"/>
  <c r="H994" i="2"/>
  <c r="G994" i="2"/>
  <c r="F994" i="2"/>
  <c r="E994" i="2"/>
  <c r="D994" i="2"/>
  <c r="C994" i="2"/>
  <c r="B994" i="2"/>
  <c r="A994" i="2"/>
  <c r="T993" i="2"/>
  <c r="O993" i="2"/>
  <c r="N993" i="2"/>
  <c r="J993" i="2"/>
  <c r="I993" i="2"/>
  <c r="H993" i="2"/>
  <c r="G993" i="2"/>
  <c r="F993" i="2"/>
  <c r="E993" i="2"/>
  <c r="D993" i="2"/>
  <c r="C993" i="2"/>
  <c r="B993" i="2"/>
  <c r="A993" i="2"/>
  <c r="T992" i="2"/>
  <c r="P992" i="2"/>
  <c r="O992" i="2"/>
  <c r="N992" i="2"/>
  <c r="K992" i="2"/>
  <c r="J992" i="2"/>
  <c r="I992" i="2"/>
  <c r="H992" i="2"/>
  <c r="G992" i="2"/>
  <c r="F992" i="2"/>
  <c r="E992" i="2"/>
  <c r="D992" i="2"/>
  <c r="C992" i="2"/>
  <c r="B992" i="2"/>
  <c r="A992" i="2"/>
  <c r="T991" i="2"/>
  <c r="P991" i="2"/>
  <c r="O991" i="2"/>
  <c r="N991" i="2"/>
  <c r="L991" i="2"/>
  <c r="J991" i="2"/>
  <c r="I991" i="2"/>
  <c r="H991" i="2"/>
  <c r="G991" i="2"/>
  <c r="F991" i="2"/>
  <c r="E991" i="2"/>
  <c r="D991" i="2"/>
  <c r="C991" i="2"/>
  <c r="B991" i="2"/>
  <c r="A991" i="2"/>
  <c r="T990" i="2"/>
  <c r="P990" i="2"/>
  <c r="O990" i="2"/>
  <c r="N990" i="2"/>
  <c r="L990" i="2"/>
  <c r="J990" i="2"/>
  <c r="I990" i="2"/>
  <c r="H990" i="2"/>
  <c r="G990" i="2"/>
  <c r="F990" i="2"/>
  <c r="E990" i="2"/>
  <c r="D990" i="2"/>
  <c r="C990" i="2"/>
  <c r="B990" i="2"/>
  <c r="A990" i="2"/>
  <c r="T989" i="2"/>
  <c r="R989" i="2"/>
  <c r="O989" i="2"/>
  <c r="N989" i="2"/>
  <c r="L989" i="2"/>
  <c r="J989" i="2"/>
  <c r="I989" i="2"/>
  <c r="H989" i="2"/>
  <c r="G989" i="2"/>
  <c r="F989" i="2"/>
  <c r="E989" i="2"/>
  <c r="D989" i="2"/>
  <c r="C989" i="2"/>
  <c r="B989" i="2"/>
  <c r="A989" i="2"/>
  <c r="T988" i="2"/>
  <c r="R988" i="2"/>
  <c r="Q988" i="2"/>
  <c r="P988" i="2"/>
  <c r="O988" i="2"/>
  <c r="N988" i="2"/>
  <c r="L988" i="2"/>
  <c r="K988" i="2"/>
  <c r="J988" i="2"/>
  <c r="I988" i="2"/>
  <c r="H988" i="2"/>
  <c r="G988" i="2"/>
  <c r="F988" i="2"/>
  <c r="E988" i="2"/>
  <c r="D988" i="2"/>
  <c r="C988" i="2"/>
  <c r="B988" i="2"/>
  <c r="A988" i="2"/>
  <c r="T987" i="2"/>
  <c r="P987" i="2"/>
  <c r="O987" i="2"/>
  <c r="N987" i="2"/>
  <c r="K987" i="2"/>
  <c r="J987" i="2"/>
  <c r="I987" i="2"/>
  <c r="H987" i="2"/>
  <c r="G987" i="2"/>
  <c r="F987" i="2"/>
  <c r="E987" i="2"/>
  <c r="D987" i="2"/>
  <c r="C987" i="2"/>
  <c r="B987" i="2"/>
  <c r="A987" i="2"/>
  <c r="T986" i="2"/>
  <c r="R986" i="2"/>
  <c r="O986" i="2"/>
  <c r="N986" i="2"/>
  <c r="L986" i="2"/>
  <c r="J986" i="2"/>
  <c r="I986" i="2"/>
  <c r="H986" i="2"/>
  <c r="G986" i="2"/>
  <c r="F986" i="2"/>
  <c r="E986" i="2"/>
  <c r="D986" i="2"/>
  <c r="C986" i="2"/>
  <c r="B986" i="2"/>
  <c r="A986" i="2"/>
  <c r="T985" i="2"/>
  <c r="P985" i="2"/>
  <c r="O985" i="2"/>
  <c r="N985" i="2"/>
  <c r="M985" i="2"/>
  <c r="K985" i="2"/>
  <c r="J985" i="2"/>
  <c r="I985" i="2"/>
  <c r="H985" i="2"/>
  <c r="G985" i="2"/>
  <c r="F985" i="2"/>
  <c r="E985" i="2"/>
  <c r="D985" i="2"/>
  <c r="C985" i="2"/>
  <c r="B985" i="2"/>
  <c r="A985" i="2"/>
  <c r="T984" i="2"/>
  <c r="P984" i="2"/>
  <c r="O984" i="2"/>
  <c r="N984" i="2"/>
  <c r="M984" i="2"/>
  <c r="K984" i="2"/>
  <c r="J984" i="2"/>
  <c r="I984" i="2"/>
  <c r="H984" i="2"/>
  <c r="G984" i="2"/>
  <c r="F984" i="2"/>
  <c r="E984" i="2"/>
  <c r="D984" i="2"/>
  <c r="C984" i="2"/>
  <c r="B984" i="2"/>
  <c r="A984" i="2"/>
  <c r="T983" i="2"/>
  <c r="P983" i="2"/>
  <c r="O983" i="2"/>
  <c r="N983" i="2"/>
  <c r="M983" i="2"/>
  <c r="K983" i="2"/>
  <c r="J983" i="2"/>
  <c r="I983" i="2"/>
  <c r="H983" i="2"/>
  <c r="G983" i="2"/>
  <c r="F983" i="2"/>
  <c r="E983" i="2"/>
  <c r="D983" i="2"/>
  <c r="C983" i="2"/>
  <c r="B983" i="2"/>
  <c r="A983" i="2"/>
  <c r="T982" i="2"/>
  <c r="O982" i="2"/>
  <c r="N982" i="2"/>
  <c r="L982" i="2"/>
  <c r="J982" i="2"/>
  <c r="I982" i="2"/>
  <c r="H982" i="2"/>
  <c r="G982" i="2"/>
  <c r="F982" i="2"/>
  <c r="E982" i="2"/>
  <c r="D982" i="2"/>
  <c r="C982" i="2"/>
  <c r="B982" i="2"/>
  <c r="A982" i="2"/>
  <c r="T981" i="2"/>
  <c r="P981" i="2"/>
  <c r="O981" i="2"/>
  <c r="N981" i="2"/>
  <c r="M981" i="2"/>
  <c r="K981" i="2"/>
  <c r="J981" i="2"/>
  <c r="I981" i="2"/>
  <c r="H981" i="2"/>
  <c r="G981" i="2"/>
  <c r="F981" i="2"/>
  <c r="E981" i="2"/>
  <c r="D981" i="2"/>
  <c r="C981" i="2"/>
  <c r="B981" i="2"/>
  <c r="A981" i="2"/>
  <c r="T980" i="2"/>
  <c r="R980" i="2"/>
  <c r="O980" i="2"/>
  <c r="N980" i="2"/>
  <c r="L980" i="2"/>
  <c r="J980" i="2"/>
  <c r="I980" i="2"/>
  <c r="H980" i="2"/>
  <c r="G980" i="2"/>
  <c r="F980" i="2"/>
  <c r="E980" i="2"/>
  <c r="D980" i="2"/>
  <c r="C980" i="2"/>
  <c r="B980" i="2"/>
  <c r="A980" i="2"/>
  <c r="T979" i="2"/>
  <c r="P979" i="2"/>
  <c r="O979" i="2"/>
  <c r="N979" i="2"/>
  <c r="K979" i="2"/>
  <c r="J979" i="2"/>
  <c r="I979" i="2"/>
  <c r="H979" i="2"/>
  <c r="G979" i="2"/>
  <c r="F979" i="2"/>
  <c r="E979" i="2"/>
  <c r="D979" i="2"/>
  <c r="C979" i="2"/>
  <c r="B979" i="2"/>
  <c r="A979" i="2"/>
  <c r="T978" i="2"/>
  <c r="O978" i="2"/>
  <c r="N978" i="2"/>
  <c r="K978" i="2"/>
  <c r="J978" i="2"/>
  <c r="I978" i="2"/>
  <c r="H978" i="2"/>
  <c r="G978" i="2"/>
  <c r="F978" i="2"/>
  <c r="E978" i="2"/>
  <c r="D978" i="2"/>
  <c r="C978" i="2"/>
  <c r="B978" i="2"/>
  <c r="A978" i="2"/>
  <c r="T977" i="2"/>
  <c r="P977" i="2"/>
  <c r="O977" i="2"/>
  <c r="N977" i="2"/>
  <c r="K977" i="2"/>
  <c r="J977" i="2"/>
  <c r="I977" i="2"/>
  <c r="H977" i="2"/>
  <c r="G977" i="2"/>
  <c r="F977" i="2"/>
  <c r="E977" i="2"/>
  <c r="D977" i="2"/>
  <c r="C977" i="2"/>
  <c r="B977" i="2"/>
  <c r="A977" i="2"/>
  <c r="T976" i="2"/>
  <c r="P976" i="2"/>
  <c r="O976" i="2"/>
  <c r="N976" i="2"/>
  <c r="M976" i="2"/>
  <c r="K976" i="2"/>
  <c r="J976" i="2"/>
  <c r="I976" i="2"/>
  <c r="H976" i="2"/>
  <c r="G976" i="2"/>
  <c r="F976" i="2"/>
  <c r="E976" i="2"/>
  <c r="D976" i="2"/>
  <c r="C976" i="2"/>
  <c r="B976" i="2"/>
  <c r="A976" i="2"/>
  <c r="T975" i="2"/>
  <c r="R975" i="2"/>
  <c r="O975" i="2"/>
  <c r="N975" i="2"/>
  <c r="L975" i="2"/>
  <c r="J975" i="2"/>
  <c r="I975" i="2"/>
  <c r="H975" i="2"/>
  <c r="G975" i="2"/>
  <c r="F975" i="2"/>
  <c r="E975" i="2"/>
  <c r="D975" i="2"/>
  <c r="C975" i="2"/>
  <c r="B975" i="2"/>
  <c r="A975" i="2"/>
  <c r="T974" i="2"/>
  <c r="P974" i="2"/>
  <c r="O974" i="2"/>
  <c r="N974" i="2"/>
  <c r="M974" i="2"/>
  <c r="K974" i="2"/>
  <c r="J974" i="2"/>
  <c r="I974" i="2"/>
  <c r="H974" i="2"/>
  <c r="G974" i="2"/>
  <c r="F974" i="2"/>
  <c r="E974" i="2"/>
  <c r="D974" i="2"/>
  <c r="C974" i="2"/>
  <c r="B974" i="2"/>
  <c r="A974" i="2"/>
  <c r="T973" i="2"/>
  <c r="P973" i="2"/>
  <c r="O973" i="2"/>
  <c r="N973" i="2"/>
  <c r="K973" i="2"/>
  <c r="J973" i="2"/>
  <c r="I973" i="2"/>
  <c r="H973" i="2"/>
  <c r="G973" i="2"/>
  <c r="F973" i="2"/>
  <c r="E973" i="2"/>
  <c r="D973" i="2"/>
  <c r="C973" i="2"/>
  <c r="B973" i="2"/>
  <c r="A973" i="2"/>
  <c r="T972" i="2"/>
  <c r="P972" i="2"/>
  <c r="O972" i="2"/>
  <c r="N972" i="2"/>
  <c r="K972" i="2"/>
  <c r="J972" i="2"/>
  <c r="I972" i="2"/>
  <c r="H972" i="2"/>
  <c r="G972" i="2"/>
  <c r="F972" i="2"/>
  <c r="E972" i="2"/>
  <c r="D972" i="2"/>
  <c r="C972" i="2"/>
  <c r="B972" i="2"/>
  <c r="A972" i="2"/>
  <c r="T971" i="2"/>
  <c r="P971" i="2"/>
  <c r="O971" i="2"/>
  <c r="N971" i="2"/>
  <c r="M971" i="2"/>
  <c r="K971" i="2"/>
  <c r="J971" i="2"/>
  <c r="I971" i="2"/>
  <c r="H971" i="2"/>
  <c r="G971" i="2"/>
  <c r="F971" i="2"/>
  <c r="E971" i="2"/>
  <c r="D971" i="2"/>
  <c r="C971" i="2"/>
  <c r="B971" i="2"/>
  <c r="A971" i="2"/>
  <c r="T970" i="2"/>
  <c r="P970" i="2"/>
  <c r="O970" i="2"/>
  <c r="N970" i="2"/>
  <c r="K970" i="2"/>
  <c r="J970" i="2"/>
  <c r="I970" i="2"/>
  <c r="H970" i="2"/>
  <c r="G970" i="2"/>
  <c r="F970" i="2"/>
  <c r="E970" i="2"/>
  <c r="D970" i="2"/>
  <c r="C970" i="2"/>
  <c r="B970" i="2"/>
  <c r="A970" i="2"/>
  <c r="T969" i="2"/>
  <c r="P969" i="2"/>
  <c r="O969" i="2"/>
  <c r="N969" i="2"/>
  <c r="M969" i="2"/>
  <c r="K969" i="2"/>
  <c r="J969" i="2"/>
  <c r="I969" i="2"/>
  <c r="H969" i="2"/>
  <c r="G969" i="2"/>
  <c r="F969" i="2"/>
  <c r="E969" i="2"/>
  <c r="D969" i="2"/>
  <c r="C969" i="2"/>
  <c r="B969" i="2"/>
  <c r="A969" i="2"/>
  <c r="T968" i="2"/>
  <c r="P968" i="2"/>
  <c r="O968" i="2"/>
  <c r="N968" i="2"/>
  <c r="K968" i="2"/>
  <c r="J968" i="2"/>
  <c r="I968" i="2"/>
  <c r="H968" i="2"/>
  <c r="G968" i="2"/>
  <c r="F968" i="2"/>
  <c r="E968" i="2"/>
  <c r="D968" i="2"/>
  <c r="C968" i="2"/>
  <c r="B968" i="2"/>
  <c r="A968" i="2"/>
  <c r="T967" i="2"/>
  <c r="P967" i="2"/>
  <c r="O967" i="2"/>
  <c r="N967" i="2"/>
  <c r="K967" i="2"/>
  <c r="J967" i="2"/>
  <c r="I967" i="2"/>
  <c r="H967" i="2"/>
  <c r="G967" i="2"/>
  <c r="F967" i="2"/>
  <c r="E967" i="2"/>
  <c r="D967" i="2"/>
  <c r="C967" i="2"/>
  <c r="B967" i="2"/>
  <c r="A967" i="2"/>
  <c r="T966" i="2"/>
  <c r="P966" i="2"/>
  <c r="O966" i="2"/>
  <c r="N966" i="2"/>
  <c r="K966" i="2"/>
  <c r="J966" i="2"/>
  <c r="I966" i="2"/>
  <c r="H966" i="2"/>
  <c r="G966" i="2"/>
  <c r="F966" i="2"/>
  <c r="E966" i="2"/>
  <c r="D966" i="2"/>
  <c r="C966" i="2"/>
  <c r="B966" i="2"/>
  <c r="A966" i="2"/>
  <c r="T965" i="2"/>
  <c r="O965" i="2"/>
  <c r="N965" i="2"/>
  <c r="M965" i="2"/>
  <c r="L965" i="2"/>
  <c r="J965" i="2"/>
  <c r="I965" i="2"/>
  <c r="H965" i="2"/>
  <c r="G965" i="2"/>
  <c r="F965" i="2"/>
  <c r="E965" i="2"/>
  <c r="D965" i="2"/>
  <c r="C965" i="2"/>
  <c r="B965" i="2"/>
  <c r="A965" i="2"/>
  <c r="T964" i="2"/>
  <c r="P964" i="2"/>
  <c r="O964" i="2"/>
  <c r="N964" i="2"/>
  <c r="M964" i="2"/>
  <c r="K964" i="2"/>
  <c r="J964" i="2"/>
  <c r="I964" i="2"/>
  <c r="H964" i="2"/>
  <c r="G964" i="2"/>
  <c r="F964" i="2"/>
  <c r="E964" i="2"/>
  <c r="D964" i="2"/>
  <c r="C964" i="2"/>
  <c r="B964" i="2"/>
  <c r="A964" i="2"/>
  <c r="T963" i="2"/>
  <c r="P963" i="2"/>
  <c r="O963" i="2"/>
  <c r="N963" i="2"/>
  <c r="K963" i="2"/>
  <c r="J963" i="2"/>
  <c r="I963" i="2"/>
  <c r="H963" i="2"/>
  <c r="G963" i="2"/>
  <c r="F963" i="2"/>
  <c r="E963" i="2"/>
  <c r="D963" i="2"/>
  <c r="C963" i="2"/>
  <c r="B963" i="2"/>
  <c r="A963" i="2"/>
  <c r="T962" i="2"/>
  <c r="P962" i="2"/>
  <c r="O962" i="2"/>
  <c r="N962" i="2"/>
  <c r="M962" i="2"/>
  <c r="K962" i="2"/>
  <c r="J962" i="2"/>
  <c r="I962" i="2"/>
  <c r="H962" i="2"/>
  <c r="G962" i="2"/>
  <c r="F962" i="2"/>
  <c r="E962" i="2"/>
  <c r="D962" i="2"/>
  <c r="C962" i="2"/>
  <c r="B962" i="2"/>
  <c r="A962" i="2"/>
  <c r="T961" i="2"/>
  <c r="R961" i="2"/>
  <c r="O961" i="2"/>
  <c r="N961" i="2"/>
  <c r="M961" i="2"/>
  <c r="L961" i="2"/>
  <c r="J961" i="2"/>
  <c r="I961" i="2"/>
  <c r="H961" i="2"/>
  <c r="G961" i="2"/>
  <c r="F961" i="2"/>
  <c r="E961" i="2"/>
  <c r="D961" i="2"/>
  <c r="C961" i="2"/>
  <c r="B961" i="2"/>
  <c r="A961" i="2"/>
  <c r="T960" i="2"/>
  <c r="P960" i="2"/>
  <c r="O960" i="2"/>
  <c r="N960" i="2"/>
  <c r="K960" i="2"/>
  <c r="J960" i="2"/>
  <c r="I960" i="2"/>
  <c r="H960" i="2"/>
  <c r="G960" i="2"/>
  <c r="F960" i="2"/>
  <c r="E960" i="2"/>
  <c r="D960" i="2"/>
  <c r="C960" i="2"/>
  <c r="B960" i="2"/>
  <c r="A960" i="2"/>
  <c r="T959" i="2"/>
  <c r="P959" i="2"/>
  <c r="O959" i="2"/>
  <c r="N959" i="2"/>
  <c r="M959" i="2"/>
  <c r="K959" i="2"/>
  <c r="J959" i="2"/>
  <c r="I959" i="2"/>
  <c r="H959" i="2"/>
  <c r="G959" i="2"/>
  <c r="F959" i="2"/>
  <c r="E959" i="2"/>
  <c r="D959" i="2"/>
  <c r="C959" i="2"/>
  <c r="B959" i="2"/>
  <c r="A959" i="2"/>
  <c r="T958" i="2"/>
  <c r="P958" i="2"/>
  <c r="O958" i="2"/>
  <c r="N958" i="2"/>
  <c r="M958" i="2"/>
  <c r="K958" i="2"/>
  <c r="J958" i="2"/>
  <c r="I958" i="2"/>
  <c r="H958" i="2"/>
  <c r="G958" i="2"/>
  <c r="F958" i="2"/>
  <c r="E958" i="2"/>
  <c r="D958" i="2"/>
  <c r="C958" i="2"/>
  <c r="B958" i="2"/>
  <c r="A958" i="2"/>
  <c r="T957" i="2"/>
  <c r="P957" i="2"/>
  <c r="O957" i="2"/>
  <c r="N957" i="2"/>
  <c r="K957" i="2"/>
  <c r="J957" i="2"/>
  <c r="I957" i="2"/>
  <c r="H957" i="2"/>
  <c r="G957" i="2"/>
  <c r="F957" i="2"/>
  <c r="E957" i="2"/>
  <c r="D957" i="2"/>
  <c r="C957" i="2"/>
  <c r="B957" i="2"/>
  <c r="A957" i="2"/>
  <c r="T956" i="2"/>
  <c r="R956" i="2"/>
  <c r="P956" i="2"/>
  <c r="O956" i="2"/>
  <c r="N956" i="2"/>
  <c r="L956" i="2"/>
  <c r="K956" i="2"/>
  <c r="J956" i="2"/>
  <c r="I956" i="2"/>
  <c r="H956" i="2"/>
  <c r="G956" i="2"/>
  <c r="F956" i="2"/>
  <c r="E956" i="2"/>
  <c r="D956" i="2"/>
  <c r="C956" i="2"/>
  <c r="B956" i="2"/>
  <c r="A956" i="2"/>
  <c r="T955" i="2"/>
  <c r="O955" i="2"/>
  <c r="N955" i="2"/>
  <c r="L955" i="2"/>
  <c r="J955" i="2"/>
  <c r="I955" i="2"/>
  <c r="H955" i="2"/>
  <c r="G955" i="2"/>
  <c r="F955" i="2"/>
  <c r="E955" i="2"/>
  <c r="D955" i="2"/>
  <c r="C955" i="2"/>
  <c r="B955" i="2"/>
  <c r="A955" i="2"/>
  <c r="T954" i="2"/>
  <c r="P954" i="2"/>
  <c r="O954" i="2"/>
  <c r="N954" i="2"/>
  <c r="M954" i="2"/>
  <c r="K954" i="2"/>
  <c r="J954" i="2"/>
  <c r="I954" i="2"/>
  <c r="H954" i="2"/>
  <c r="G954" i="2"/>
  <c r="F954" i="2"/>
  <c r="E954" i="2"/>
  <c r="D954" i="2"/>
  <c r="C954" i="2"/>
  <c r="B954" i="2"/>
  <c r="A954" i="2"/>
  <c r="T953" i="2"/>
  <c r="P953" i="2"/>
  <c r="O953" i="2"/>
  <c r="N953" i="2"/>
  <c r="K953" i="2"/>
  <c r="J953" i="2"/>
  <c r="I953" i="2"/>
  <c r="H953" i="2"/>
  <c r="G953" i="2"/>
  <c r="F953" i="2"/>
  <c r="E953" i="2"/>
  <c r="D953" i="2"/>
  <c r="C953" i="2"/>
  <c r="B953" i="2"/>
  <c r="A953" i="2"/>
  <c r="T952" i="2"/>
  <c r="P952" i="2"/>
  <c r="O952" i="2"/>
  <c r="N952" i="2"/>
  <c r="K952" i="2"/>
  <c r="J952" i="2"/>
  <c r="I952" i="2"/>
  <c r="H952" i="2"/>
  <c r="G952" i="2"/>
  <c r="F952" i="2"/>
  <c r="E952" i="2"/>
  <c r="D952" i="2"/>
  <c r="C952" i="2"/>
  <c r="B952" i="2"/>
  <c r="A952" i="2"/>
  <c r="T951" i="2"/>
  <c r="P951" i="2"/>
  <c r="O951" i="2"/>
  <c r="N951" i="2"/>
  <c r="K951" i="2"/>
  <c r="J951" i="2"/>
  <c r="I951" i="2"/>
  <c r="H951" i="2"/>
  <c r="G951" i="2"/>
  <c r="F951" i="2"/>
  <c r="E951" i="2"/>
  <c r="D951" i="2"/>
  <c r="C951" i="2"/>
  <c r="B951" i="2"/>
  <c r="A951" i="2"/>
  <c r="T950" i="2"/>
  <c r="P950" i="2"/>
  <c r="O950" i="2"/>
  <c r="N950" i="2"/>
  <c r="M950" i="2"/>
  <c r="K950" i="2"/>
  <c r="J950" i="2"/>
  <c r="I950" i="2"/>
  <c r="H950" i="2"/>
  <c r="G950" i="2"/>
  <c r="F950" i="2"/>
  <c r="E950" i="2"/>
  <c r="D950" i="2"/>
  <c r="C950" i="2"/>
  <c r="B950" i="2"/>
  <c r="A950" i="2"/>
  <c r="T949" i="2"/>
  <c r="P949" i="2"/>
  <c r="O949" i="2"/>
  <c r="N949" i="2"/>
  <c r="M949" i="2"/>
  <c r="K949" i="2"/>
  <c r="J949" i="2"/>
  <c r="I949" i="2"/>
  <c r="H949" i="2"/>
  <c r="G949" i="2"/>
  <c r="F949" i="2"/>
  <c r="E949" i="2"/>
  <c r="D949" i="2"/>
  <c r="C949" i="2"/>
  <c r="B949" i="2"/>
  <c r="A949" i="2"/>
  <c r="T948" i="2"/>
  <c r="P948" i="2"/>
  <c r="O948" i="2"/>
  <c r="N948" i="2"/>
  <c r="M948" i="2"/>
  <c r="K948" i="2"/>
  <c r="J948" i="2"/>
  <c r="I948" i="2"/>
  <c r="H948" i="2"/>
  <c r="G948" i="2"/>
  <c r="F948" i="2"/>
  <c r="E948" i="2"/>
  <c r="D948" i="2"/>
  <c r="C948" i="2"/>
  <c r="B948" i="2"/>
  <c r="A948" i="2"/>
  <c r="T947" i="2"/>
  <c r="R947" i="2"/>
  <c r="P947" i="2"/>
  <c r="O947" i="2"/>
  <c r="N947" i="2"/>
  <c r="M947" i="2"/>
  <c r="L947" i="2"/>
  <c r="K947" i="2"/>
  <c r="J947" i="2"/>
  <c r="I947" i="2"/>
  <c r="H947" i="2"/>
  <c r="G947" i="2"/>
  <c r="F947" i="2"/>
  <c r="E947" i="2"/>
  <c r="D947" i="2"/>
  <c r="C947" i="2"/>
  <c r="B947" i="2"/>
  <c r="A947" i="2"/>
  <c r="T946" i="2"/>
  <c r="P946" i="2"/>
  <c r="O946" i="2"/>
  <c r="N946" i="2"/>
  <c r="M946" i="2"/>
  <c r="K946" i="2"/>
  <c r="J946" i="2"/>
  <c r="I946" i="2"/>
  <c r="H946" i="2"/>
  <c r="G946" i="2"/>
  <c r="F946" i="2"/>
  <c r="E946" i="2"/>
  <c r="D946" i="2"/>
  <c r="C946" i="2"/>
  <c r="B946" i="2"/>
  <c r="A946" i="2"/>
  <c r="T945" i="2"/>
  <c r="P945" i="2"/>
  <c r="O945" i="2"/>
  <c r="N945" i="2"/>
  <c r="M945" i="2"/>
  <c r="K945" i="2"/>
  <c r="J945" i="2"/>
  <c r="I945" i="2"/>
  <c r="H945" i="2"/>
  <c r="G945" i="2"/>
  <c r="F945" i="2"/>
  <c r="E945" i="2"/>
  <c r="D945" i="2"/>
  <c r="C945" i="2"/>
  <c r="B945" i="2"/>
  <c r="A945" i="2"/>
  <c r="P944" i="2"/>
  <c r="O944" i="2"/>
  <c r="N944" i="2"/>
  <c r="M944" i="2"/>
  <c r="K944" i="2"/>
  <c r="J944" i="2"/>
  <c r="I944" i="2"/>
  <c r="H944" i="2"/>
  <c r="G944" i="2"/>
  <c r="F944" i="2"/>
  <c r="E944" i="2"/>
  <c r="D944" i="2"/>
  <c r="C944" i="2"/>
  <c r="B944" i="2"/>
  <c r="A944" i="2"/>
  <c r="T943" i="2"/>
  <c r="P943" i="2"/>
  <c r="O943" i="2"/>
  <c r="N943" i="2"/>
  <c r="K943" i="2"/>
  <c r="J943" i="2"/>
  <c r="I943" i="2"/>
  <c r="H943" i="2"/>
  <c r="G943" i="2"/>
  <c r="F943" i="2"/>
  <c r="E943" i="2"/>
  <c r="D943" i="2"/>
  <c r="C943" i="2"/>
  <c r="B943" i="2"/>
  <c r="A943" i="2"/>
  <c r="T942" i="2"/>
  <c r="Q942" i="2"/>
  <c r="P942" i="2"/>
  <c r="O942" i="2"/>
  <c r="N942" i="2"/>
  <c r="M942" i="2"/>
  <c r="K942" i="2"/>
  <c r="J942" i="2"/>
  <c r="I942" i="2"/>
  <c r="H942" i="2"/>
  <c r="G942" i="2"/>
  <c r="F942" i="2"/>
  <c r="E942" i="2"/>
  <c r="D942" i="2"/>
  <c r="C942" i="2"/>
  <c r="B942" i="2"/>
  <c r="A942" i="2"/>
  <c r="T941" i="2"/>
  <c r="P941" i="2"/>
  <c r="O941" i="2"/>
  <c r="N941" i="2"/>
  <c r="K941" i="2"/>
  <c r="J941" i="2"/>
  <c r="I941" i="2"/>
  <c r="H941" i="2"/>
  <c r="G941" i="2"/>
  <c r="F941" i="2"/>
  <c r="E941" i="2"/>
  <c r="D941" i="2"/>
  <c r="C941" i="2"/>
  <c r="B941" i="2"/>
  <c r="A941" i="2"/>
  <c r="T940" i="2"/>
  <c r="P940" i="2"/>
  <c r="O940" i="2"/>
  <c r="N940" i="2"/>
  <c r="K940" i="2"/>
  <c r="J940" i="2"/>
  <c r="I940" i="2"/>
  <c r="H940" i="2"/>
  <c r="G940" i="2"/>
  <c r="F940" i="2"/>
  <c r="E940" i="2"/>
  <c r="D940" i="2"/>
  <c r="C940" i="2"/>
  <c r="B940" i="2"/>
  <c r="A940" i="2"/>
  <c r="T939" i="2"/>
  <c r="R939" i="2"/>
  <c r="P939" i="2"/>
  <c r="O939" i="2"/>
  <c r="N939" i="2"/>
  <c r="M939" i="2"/>
  <c r="L939" i="2"/>
  <c r="K939" i="2"/>
  <c r="J939" i="2"/>
  <c r="I939" i="2"/>
  <c r="H939" i="2"/>
  <c r="G939" i="2"/>
  <c r="F939" i="2"/>
  <c r="E939" i="2"/>
  <c r="D939" i="2"/>
  <c r="C939" i="2"/>
  <c r="B939" i="2"/>
  <c r="A939" i="2"/>
  <c r="T938" i="2"/>
  <c r="P938" i="2"/>
  <c r="O938" i="2"/>
  <c r="N938" i="2"/>
  <c r="M938" i="2"/>
  <c r="K938" i="2"/>
  <c r="J938" i="2"/>
  <c r="I938" i="2"/>
  <c r="H938" i="2"/>
  <c r="G938" i="2"/>
  <c r="F938" i="2"/>
  <c r="E938" i="2"/>
  <c r="D938" i="2"/>
  <c r="C938" i="2"/>
  <c r="B938" i="2"/>
  <c r="A938" i="2"/>
  <c r="T937" i="2"/>
  <c r="P937" i="2"/>
  <c r="O937" i="2"/>
  <c r="N937" i="2"/>
  <c r="K937" i="2"/>
  <c r="J937" i="2"/>
  <c r="I937" i="2"/>
  <c r="H937" i="2"/>
  <c r="G937" i="2"/>
  <c r="F937" i="2"/>
  <c r="E937" i="2"/>
  <c r="D937" i="2"/>
  <c r="C937" i="2"/>
  <c r="B937" i="2"/>
  <c r="A937" i="2"/>
  <c r="T936" i="2"/>
  <c r="Q936" i="2"/>
  <c r="P936" i="2"/>
  <c r="O936" i="2"/>
  <c r="N936" i="2"/>
  <c r="M936" i="2"/>
  <c r="K936" i="2"/>
  <c r="J936" i="2"/>
  <c r="I936" i="2"/>
  <c r="H936" i="2"/>
  <c r="G936" i="2"/>
  <c r="F936" i="2"/>
  <c r="E936" i="2"/>
  <c r="D936" i="2"/>
  <c r="C936" i="2"/>
  <c r="B936" i="2"/>
  <c r="A936" i="2"/>
  <c r="T935" i="2"/>
  <c r="P935" i="2"/>
  <c r="O935" i="2"/>
  <c r="N935" i="2"/>
  <c r="K935" i="2"/>
  <c r="J935" i="2"/>
  <c r="I935" i="2"/>
  <c r="H935" i="2"/>
  <c r="G935" i="2"/>
  <c r="F935" i="2"/>
  <c r="E935" i="2"/>
  <c r="D935" i="2"/>
  <c r="C935" i="2"/>
  <c r="B935" i="2"/>
  <c r="A935" i="2"/>
  <c r="T934" i="2"/>
  <c r="P934" i="2"/>
  <c r="O934" i="2"/>
  <c r="N934" i="2"/>
  <c r="K934" i="2"/>
  <c r="J934" i="2"/>
  <c r="I934" i="2"/>
  <c r="H934" i="2"/>
  <c r="G934" i="2"/>
  <c r="F934" i="2"/>
  <c r="E934" i="2"/>
  <c r="D934" i="2"/>
  <c r="C934" i="2"/>
  <c r="B934" i="2"/>
  <c r="A934" i="2"/>
  <c r="T933" i="2"/>
  <c r="P933" i="2"/>
  <c r="O933" i="2"/>
  <c r="N933" i="2"/>
  <c r="M933" i="2"/>
  <c r="K933" i="2"/>
  <c r="J933" i="2"/>
  <c r="I933" i="2"/>
  <c r="H933" i="2"/>
  <c r="G933" i="2"/>
  <c r="F933" i="2"/>
  <c r="E933" i="2"/>
  <c r="D933" i="2"/>
  <c r="C933" i="2"/>
  <c r="B933" i="2"/>
  <c r="A933" i="2"/>
  <c r="T932" i="2"/>
  <c r="Q932" i="2"/>
  <c r="P932" i="2"/>
  <c r="O932" i="2"/>
  <c r="N932" i="2"/>
  <c r="M932" i="2"/>
  <c r="K932" i="2"/>
  <c r="J932" i="2"/>
  <c r="I932" i="2"/>
  <c r="H932" i="2"/>
  <c r="G932" i="2"/>
  <c r="F932" i="2"/>
  <c r="E932" i="2"/>
  <c r="D932" i="2"/>
  <c r="C932" i="2"/>
  <c r="B932" i="2"/>
  <c r="A932" i="2"/>
  <c r="T931" i="2"/>
  <c r="P931" i="2"/>
  <c r="O931" i="2"/>
  <c r="N931" i="2"/>
  <c r="K931" i="2"/>
  <c r="J931" i="2"/>
  <c r="I931" i="2"/>
  <c r="H931" i="2"/>
  <c r="G931" i="2"/>
  <c r="F931" i="2"/>
  <c r="E931" i="2"/>
  <c r="D931" i="2"/>
  <c r="C931" i="2"/>
  <c r="B931" i="2"/>
  <c r="A931" i="2"/>
  <c r="T930" i="2"/>
  <c r="O930" i="2"/>
  <c r="N930" i="2"/>
  <c r="M930" i="2"/>
  <c r="J930" i="2"/>
  <c r="I930" i="2"/>
  <c r="H930" i="2"/>
  <c r="G930" i="2"/>
  <c r="F930" i="2"/>
  <c r="E930" i="2"/>
  <c r="D930" i="2"/>
  <c r="C930" i="2"/>
  <c r="B930" i="2"/>
  <c r="A930" i="2"/>
  <c r="T929" i="2"/>
  <c r="P929" i="2"/>
  <c r="O929" i="2"/>
  <c r="N929" i="2"/>
  <c r="K929" i="2"/>
  <c r="J929" i="2"/>
  <c r="I929" i="2"/>
  <c r="H929" i="2"/>
  <c r="G929" i="2"/>
  <c r="F929" i="2"/>
  <c r="E929" i="2"/>
  <c r="D929" i="2"/>
  <c r="C929" i="2"/>
  <c r="B929" i="2"/>
  <c r="A929" i="2"/>
  <c r="T928" i="2"/>
  <c r="O928" i="2"/>
  <c r="N928" i="2"/>
  <c r="M928" i="2"/>
  <c r="K928" i="2"/>
  <c r="J928" i="2"/>
  <c r="I928" i="2"/>
  <c r="H928" i="2"/>
  <c r="G928" i="2"/>
  <c r="F928" i="2"/>
  <c r="E928" i="2"/>
  <c r="D928" i="2"/>
  <c r="C928" i="2"/>
  <c r="B928" i="2"/>
  <c r="A928" i="2"/>
  <c r="T927" i="2"/>
  <c r="Q927" i="2"/>
  <c r="P927" i="2"/>
  <c r="O927" i="2"/>
  <c r="N927" i="2"/>
  <c r="M927" i="2"/>
  <c r="K927" i="2"/>
  <c r="J927" i="2"/>
  <c r="I927" i="2"/>
  <c r="H927" i="2"/>
  <c r="G927" i="2"/>
  <c r="F927" i="2"/>
  <c r="E927" i="2"/>
  <c r="D927" i="2"/>
  <c r="C927" i="2"/>
  <c r="B927" i="2"/>
  <c r="A927" i="2"/>
  <c r="T926" i="2"/>
  <c r="P926" i="2"/>
  <c r="O926" i="2"/>
  <c r="N926" i="2"/>
  <c r="K926" i="2"/>
  <c r="J926" i="2"/>
  <c r="I926" i="2"/>
  <c r="H926" i="2"/>
  <c r="G926" i="2"/>
  <c r="F926" i="2"/>
  <c r="E926" i="2"/>
  <c r="D926" i="2"/>
  <c r="C926" i="2"/>
  <c r="B926" i="2"/>
  <c r="A926" i="2"/>
  <c r="T925" i="2"/>
  <c r="O925" i="2"/>
  <c r="N925" i="2"/>
  <c r="J925" i="2"/>
  <c r="I925" i="2"/>
  <c r="H925" i="2"/>
  <c r="G925" i="2"/>
  <c r="F925" i="2"/>
  <c r="E925" i="2"/>
  <c r="D925" i="2"/>
  <c r="C925" i="2"/>
  <c r="B925" i="2"/>
  <c r="A925" i="2"/>
  <c r="T924" i="2"/>
  <c r="O924" i="2"/>
  <c r="N924" i="2"/>
  <c r="J924" i="2"/>
  <c r="I924" i="2"/>
  <c r="H924" i="2"/>
  <c r="G924" i="2"/>
  <c r="F924" i="2"/>
  <c r="E924" i="2"/>
  <c r="D924" i="2"/>
  <c r="C924" i="2"/>
  <c r="B924" i="2"/>
  <c r="A924" i="2"/>
  <c r="T923" i="2"/>
  <c r="P923" i="2"/>
  <c r="O923" i="2"/>
  <c r="N923" i="2"/>
  <c r="K923" i="2"/>
  <c r="J923" i="2"/>
  <c r="I923" i="2"/>
  <c r="H923" i="2"/>
  <c r="G923" i="2"/>
  <c r="F923" i="2"/>
  <c r="E923" i="2"/>
  <c r="D923" i="2"/>
  <c r="C923" i="2"/>
  <c r="B923" i="2"/>
  <c r="A923" i="2"/>
  <c r="T922" i="2"/>
  <c r="Q922" i="2"/>
  <c r="P922" i="2"/>
  <c r="O922" i="2"/>
  <c r="N922" i="2"/>
  <c r="K922" i="2"/>
  <c r="J922" i="2"/>
  <c r="I922" i="2"/>
  <c r="H922" i="2"/>
  <c r="G922" i="2"/>
  <c r="F922" i="2"/>
  <c r="E922" i="2"/>
  <c r="D922" i="2"/>
  <c r="C922" i="2"/>
  <c r="B922" i="2"/>
  <c r="A922" i="2"/>
  <c r="T921" i="2"/>
  <c r="P921" i="2"/>
  <c r="O921" i="2"/>
  <c r="N921" i="2"/>
  <c r="K921" i="2"/>
  <c r="J921" i="2"/>
  <c r="I921" i="2"/>
  <c r="H921" i="2"/>
  <c r="G921" i="2"/>
  <c r="F921" i="2"/>
  <c r="E921" i="2"/>
  <c r="D921" i="2"/>
  <c r="C921" i="2"/>
  <c r="B921" i="2"/>
  <c r="A921" i="2"/>
  <c r="T920" i="2"/>
  <c r="R920" i="2"/>
  <c r="P920" i="2"/>
  <c r="O920" i="2"/>
  <c r="N920" i="2"/>
  <c r="M920" i="2"/>
  <c r="L920" i="2"/>
  <c r="K920" i="2"/>
  <c r="J920" i="2"/>
  <c r="I920" i="2"/>
  <c r="H920" i="2"/>
  <c r="G920" i="2"/>
  <c r="F920" i="2"/>
  <c r="E920" i="2"/>
  <c r="D920" i="2"/>
  <c r="C920" i="2"/>
  <c r="B920" i="2"/>
  <c r="A920" i="2"/>
  <c r="T919" i="2"/>
  <c r="O919" i="2"/>
  <c r="N919" i="2"/>
  <c r="M919" i="2"/>
  <c r="J919" i="2"/>
  <c r="I919" i="2"/>
  <c r="H919" i="2"/>
  <c r="G919" i="2"/>
  <c r="F919" i="2"/>
  <c r="E919" i="2"/>
  <c r="D919" i="2"/>
  <c r="C919" i="2"/>
  <c r="B919" i="2"/>
  <c r="A919" i="2"/>
  <c r="T918" i="2"/>
  <c r="P918" i="2"/>
  <c r="O918" i="2"/>
  <c r="N918" i="2"/>
  <c r="K918" i="2"/>
  <c r="J918" i="2"/>
  <c r="I918" i="2"/>
  <c r="H918" i="2"/>
  <c r="G918" i="2"/>
  <c r="F918" i="2"/>
  <c r="E918" i="2"/>
  <c r="D918" i="2"/>
  <c r="C918" i="2"/>
  <c r="B918" i="2"/>
  <c r="A918" i="2"/>
  <c r="T917" i="2"/>
  <c r="O917" i="2"/>
  <c r="N917" i="2"/>
  <c r="M917" i="2"/>
  <c r="J917" i="2"/>
  <c r="I917" i="2"/>
  <c r="H917" i="2"/>
  <c r="G917" i="2"/>
  <c r="F917" i="2"/>
  <c r="E917" i="2"/>
  <c r="D917" i="2"/>
  <c r="C917" i="2"/>
  <c r="B917" i="2"/>
  <c r="A917" i="2"/>
  <c r="T916" i="2"/>
  <c r="O916" i="2"/>
  <c r="N916" i="2"/>
  <c r="M916" i="2"/>
  <c r="J916" i="2"/>
  <c r="I916" i="2"/>
  <c r="H916" i="2"/>
  <c r="G916" i="2"/>
  <c r="F916" i="2"/>
  <c r="E916" i="2"/>
  <c r="D916" i="2"/>
  <c r="C916" i="2"/>
  <c r="B916" i="2"/>
  <c r="A916" i="2"/>
  <c r="T915" i="2"/>
  <c r="P915" i="2"/>
  <c r="O915" i="2"/>
  <c r="N915" i="2"/>
  <c r="K915" i="2"/>
  <c r="J915" i="2"/>
  <c r="I915" i="2"/>
  <c r="H915" i="2"/>
  <c r="G915" i="2"/>
  <c r="F915" i="2"/>
  <c r="E915" i="2"/>
  <c r="D915" i="2"/>
  <c r="C915" i="2"/>
  <c r="B915" i="2"/>
  <c r="A915" i="2"/>
  <c r="T914" i="2"/>
  <c r="O914" i="2"/>
  <c r="N914" i="2"/>
  <c r="J914" i="2"/>
  <c r="I914" i="2"/>
  <c r="H914" i="2"/>
  <c r="G914" i="2"/>
  <c r="F914" i="2"/>
  <c r="E914" i="2"/>
  <c r="D914" i="2"/>
  <c r="C914" i="2"/>
  <c r="B914" i="2"/>
  <c r="A914" i="2"/>
  <c r="T913" i="2"/>
  <c r="R913" i="2"/>
  <c r="P913" i="2"/>
  <c r="O913" i="2"/>
  <c r="N913" i="2"/>
  <c r="M913" i="2"/>
  <c r="L913" i="2"/>
  <c r="K913" i="2"/>
  <c r="J913" i="2"/>
  <c r="I913" i="2"/>
  <c r="H913" i="2"/>
  <c r="G913" i="2"/>
  <c r="F913" i="2"/>
  <c r="E913" i="2"/>
  <c r="D913" i="2"/>
  <c r="C913" i="2"/>
  <c r="B913" i="2"/>
  <c r="A913" i="2"/>
  <c r="T912" i="2"/>
  <c r="P912" i="2"/>
  <c r="O912" i="2"/>
  <c r="N912" i="2"/>
  <c r="K912" i="2"/>
  <c r="J912" i="2"/>
  <c r="I912" i="2"/>
  <c r="H912" i="2"/>
  <c r="G912" i="2"/>
  <c r="F912" i="2"/>
  <c r="E912" i="2"/>
  <c r="D912" i="2"/>
  <c r="C912" i="2"/>
  <c r="B912" i="2"/>
  <c r="A912" i="2"/>
  <c r="T911" i="2"/>
  <c r="P911" i="2"/>
  <c r="O911" i="2"/>
  <c r="N911" i="2"/>
  <c r="K911" i="2"/>
  <c r="J911" i="2"/>
  <c r="I911" i="2"/>
  <c r="H911" i="2"/>
  <c r="G911" i="2"/>
  <c r="F911" i="2"/>
  <c r="E911" i="2"/>
  <c r="D911" i="2"/>
  <c r="C911" i="2"/>
  <c r="B911" i="2"/>
  <c r="A911" i="2"/>
  <c r="T910" i="2"/>
  <c r="O910" i="2"/>
  <c r="N910" i="2"/>
  <c r="J910" i="2"/>
  <c r="I910" i="2"/>
  <c r="H910" i="2"/>
  <c r="G910" i="2"/>
  <c r="F910" i="2"/>
  <c r="E910" i="2"/>
  <c r="D910" i="2"/>
  <c r="C910" i="2"/>
  <c r="B910" i="2"/>
  <c r="A910" i="2"/>
  <c r="T909" i="2"/>
  <c r="P909" i="2"/>
  <c r="O909" i="2"/>
  <c r="N909" i="2"/>
  <c r="M909" i="2"/>
  <c r="K909" i="2"/>
  <c r="J909" i="2"/>
  <c r="I909" i="2"/>
  <c r="H909" i="2"/>
  <c r="G909" i="2"/>
  <c r="F909" i="2"/>
  <c r="E909" i="2"/>
  <c r="D909" i="2"/>
  <c r="C909" i="2"/>
  <c r="B909" i="2"/>
  <c r="A909" i="2"/>
  <c r="T908" i="2"/>
  <c r="P908" i="2"/>
  <c r="O908" i="2"/>
  <c r="N908" i="2"/>
  <c r="K908" i="2"/>
  <c r="J908" i="2"/>
  <c r="I908" i="2"/>
  <c r="H908" i="2"/>
  <c r="G908" i="2"/>
  <c r="F908" i="2"/>
  <c r="E908" i="2"/>
  <c r="D908" i="2"/>
  <c r="C908" i="2"/>
  <c r="B908" i="2"/>
  <c r="A908" i="2"/>
  <c r="T907" i="2"/>
  <c r="R907" i="2"/>
  <c r="P907" i="2"/>
  <c r="O907" i="2"/>
  <c r="N907" i="2"/>
  <c r="L907" i="2"/>
  <c r="K907" i="2"/>
  <c r="J907" i="2"/>
  <c r="I907" i="2"/>
  <c r="H907" i="2"/>
  <c r="G907" i="2"/>
  <c r="F907" i="2"/>
  <c r="E907" i="2"/>
  <c r="D907" i="2"/>
  <c r="C907" i="2"/>
  <c r="B907" i="2"/>
  <c r="A907" i="2"/>
  <c r="T906" i="2"/>
  <c r="O906" i="2"/>
  <c r="N906" i="2"/>
  <c r="J906" i="2"/>
  <c r="I906" i="2"/>
  <c r="H906" i="2"/>
  <c r="G906" i="2"/>
  <c r="F906" i="2"/>
  <c r="E906" i="2"/>
  <c r="D906" i="2"/>
  <c r="C906" i="2"/>
  <c r="B906" i="2"/>
  <c r="A906" i="2"/>
  <c r="T905" i="2"/>
  <c r="P905" i="2"/>
  <c r="O905" i="2"/>
  <c r="N905" i="2"/>
  <c r="K905" i="2"/>
  <c r="J905" i="2"/>
  <c r="I905" i="2"/>
  <c r="H905" i="2"/>
  <c r="G905" i="2"/>
  <c r="F905" i="2"/>
  <c r="E905" i="2"/>
  <c r="D905" i="2"/>
  <c r="C905" i="2"/>
  <c r="B905" i="2"/>
  <c r="A905" i="2"/>
  <c r="T904" i="2"/>
  <c r="P904" i="2"/>
  <c r="O904" i="2"/>
  <c r="N904" i="2"/>
  <c r="K904" i="2"/>
  <c r="J904" i="2"/>
  <c r="I904" i="2"/>
  <c r="H904" i="2"/>
  <c r="G904" i="2"/>
  <c r="F904" i="2"/>
  <c r="E904" i="2"/>
  <c r="D904" i="2"/>
  <c r="C904" i="2"/>
  <c r="B904" i="2"/>
  <c r="A904" i="2"/>
  <c r="T903" i="2"/>
  <c r="P903" i="2"/>
  <c r="O903" i="2"/>
  <c r="N903" i="2"/>
  <c r="K903" i="2"/>
  <c r="J903" i="2"/>
  <c r="I903" i="2"/>
  <c r="H903" i="2"/>
  <c r="G903" i="2"/>
  <c r="F903" i="2"/>
  <c r="E903" i="2"/>
  <c r="D903" i="2"/>
  <c r="C903" i="2"/>
  <c r="B903" i="2"/>
  <c r="A903" i="2"/>
  <c r="T902" i="2"/>
  <c r="O902" i="2"/>
  <c r="N902" i="2"/>
  <c r="J902" i="2"/>
  <c r="I902" i="2"/>
  <c r="H902" i="2"/>
  <c r="G902" i="2"/>
  <c r="F902" i="2"/>
  <c r="E902" i="2"/>
  <c r="D902" i="2"/>
  <c r="C902" i="2"/>
  <c r="B902" i="2"/>
  <c r="A902" i="2"/>
  <c r="T901" i="2"/>
  <c r="P901" i="2"/>
  <c r="O901" i="2"/>
  <c r="N901" i="2"/>
  <c r="K901" i="2"/>
  <c r="J901" i="2"/>
  <c r="I901" i="2"/>
  <c r="H901" i="2"/>
  <c r="G901" i="2"/>
  <c r="F901" i="2"/>
  <c r="E901" i="2"/>
  <c r="D901" i="2"/>
  <c r="C901" i="2"/>
  <c r="B901" i="2"/>
  <c r="A901" i="2"/>
  <c r="T900" i="2"/>
  <c r="P900" i="2"/>
  <c r="O900" i="2"/>
  <c r="N900" i="2"/>
  <c r="M900" i="2"/>
  <c r="K900" i="2"/>
  <c r="J900" i="2"/>
  <c r="I900" i="2"/>
  <c r="H900" i="2"/>
  <c r="G900" i="2"/>
  <c r="F900" i="2"/>
  <c r="E900" i="2"/>
  <c r="D900" i="2"/>
  <c r="C900" i="2"/>
  <c r="B900" i="2"/>
  <c r="A900" i="2"/>
  <c r="T899" i="2"/>
  <c r="R899" i="2"/>
  <c r="O899" i="2"/>
  <c r="N899" i="2"/>
  <c r="L899" i="2"/>
  <c r="J899" i="2"/>
  <c r="I899" i="2"/>
  <c r="H899" i="2"/>
  <c r="G899" i="2"/>
  <c r="F899" i="2"/>
  <c r="E899" i="2"/>
  <c r="D899" i="2"/>
  <c r="C899" i="2"/>
  <c r="B899" i="2"/>
  <c r="A899" i="2"/>
  <c r="T898" i="2"/>
  <c r="P898" i="2"/>
  <c r="O898" i="2"/>
  <c r="N898" i="2"/>
  <c r="K898" i="2"/>
  <c r="J898" i="2"/>
  <c r="I898" i="2"/>
  <c r="H898" i="2"/>
  <c r="G898" i="2"/>
  <c r="F898" i="2"/>
  <c r="E898" i="2"/>
  <c r="D898" i="2"/>
  <c r="C898" i="2"/>
  <c r="B898" i="2"/>
  <c r="A898" i="2"/>
  <c r="T897" i="2"/>
  <c r="P897" i="2"/>
  <c r="O897" i="2"/>
  <c r="N897" i="2"/>
  <c r="K897" i="2"/>
  <c r="J897" i="2"/>
  <c r="I897" i="2"/>
  <c r="H897" i="2"/>
  <c r="G897" i="2"/>
  <c r="F897" i="2"/>
  <c r="E897" i="2"/>
  <c r="D897" i="2"/>
  <c r="C897" i="2"/>
  <c r="B897" i="2"/>
  <c r="A897" i="2"/>
  <c r="T896" i="2"/>
  <c r="P896" i="2"/>
  <c r="O896" i="2"/>
  <c r="N896" i="2"/>
  <c r="K896" i="2"/>
  <c r="J896" i="2"/>
  <c r="I896" i="2"/>
  <c r="H896" i="2"/>
  <c r="G896" i="2"/>
  <c r="F896" i="2"/>
  <c r="E896" i="2"/>
  <c r="D896" i="2"/>
  <c r="C896" i="2"/>
  <c r="B896" i="2"/>
  <c r="A896" i="2"/>
  <c r="T895" i="2"/>
  <c r="P895" i="2"/>
  <c r="O895" i="2"/>
  <c r="N895" i="2"/>
  <c r="K895" i="2"/>
  <c r="J895" i="2"/>
  <c r="I895" i="2"/>
  <c r="H895" i="2"/>
  <c r="G895" i="2"/>
  <c r="F895" i="2"/>
  <c r="E895" i="2"/>
  <c r="D895" i="2"/>
  <c r="C895" i="2"/>
  <c r="B895" i="2"/>
  <c r="A895" i="2"/>
  <c r="T894" i="2"/>
  <c r="R894" i="2"/>
  <c r="O894" i="2"/>
  <c r="N894" i="2"/>
  <c r="L894" i="2"/>
  <c r="J894" i="2"/>
  <c r="I894" i="2"/>
  <c r="H894" i="2"/>
  <c r="G894" i="2"/>
  <c r="F894" i="2"/>
  <c r="E894" i="2"/>
  <c r="D894" i="2"/>
  <c r="C894" i="2"/>
  <c r="B894" i="2"/>
  <c r="A894" i="2"/>
  <c r="T893" i="2"/>
  <c r="R893" i="2"/>
  <c r="O893" i="2"/>
  <c r="N893" i="2"/>
  <c r="L893" i="2"/>
  <c r="J893" i="2"/>
  <c r="I893" i="2"/>
  <c r="H893" i="2"/>
  <c r="G893" i="2"/>
  <c r="F893" i="2"/>
  <c r="E893" i="2"/>
  <c r="D893" i="2"/>
  <c r="C893" i="2"/>
  <c r="B893" i="2"/>
  <c r="A893" i="2"/>
  <c r="T892" i="2"/>
  <c r="P892" i="2"/>
  <c r="O892" i="2"/>
  <c r="N892" i="2"/>
  <c r="K892" i="2"/>
  <c r="J892" i="2"/>
  <c r="I892" i="2"/>
  <c r="H892" i="2"/>
  <c r="G892" i="2"/>
  <c r="F892" i="2"/>
  <c r="E892" i="2"/>
  <c r="D892" i="2"/>
  <c r="C892" i="2"/>
  <c r="B892" i="2"/>
  <c r="A892" i="2"/>
  <c r="T891" i="2"/>
  <c r="R891" i="2"/>
  <c r="O891" i="2"/>
  <c r="N891" i="2"/>
  <c r="L891" i="2"/>
  <c r="J891" i="2"/>
  <c r="I891" i="2"/>
  <c r="H891" i="2"/>
  <c r="G891" i="2"/>
  <c r="F891" i="2"/>
  <c r="E891" i="2"/>
  <c r="D891" i="2"/>
  <c r="C891" i="2"/>
  <c r="B891" i="2"/>
  <c r="A891" i="2"/>
  <c r="T890" i="2"/>
  <c r="P890" i="2"/>
  <c r="O890" i="2"/>
  <c r="N890" i="2"/>
  <c r="M890" i="2"/>
  <c r="K890" i="2"/>
  <c r="J890" i="2"/>
  <c r="I890" i="2"/>
  <c r="H890" i="2"/>
  <c r="G890" i="2"/>
  <c r="F890" i="2"/>
  <c r="E890" i="2"/>
  <c r="D890" i="2"/>
  <c r="C890" i="2"/>
  <c r="B890" i="2"/>
  <c r="A890" i="2"/>
  <c r="T889" i="2"/>
  <c r="P889" i="2"/>
  <c r="O889" i="2"/>
  <c r="N889" i="2"/>
  <c r="K889" i="2"/>
  <c r="J889" i="2"/>
  <c r="I889" i="2"/>
  <c r="H889" i="2"/>
  <c r="G889" i="2"/>
  <c r="F889" i="2"/>
  <c r="E889" i="2"/>
  <c r="D889" i="2"/>
  <c r="C889" i="2"/>
  <c r="B889" i="2"/>
  <c r="A889" i="2"/>
  <c r="T888" i="2"/>
  <c r="R888" i="2"/>
  <c r="O888" i="2"/>
  <c r="N888" i="2"/>
  <c r="L888" i="2"/>
  <c r="J888" i="2"/>
  <c r="I888" i="2"/>
  <c r="H888" i="2"/>
  <c r="G888" i="2"/>
  <c r="F888" i="2"/>
  <c r="E888" i="2"/>
  <c r="D888" i="2"/>
  <c r="C888" i="2"/>
  <c r="B888" i="2"/>
  <c r="A888" i="2"/>
  <c r="T887" i="2"/>
  <c r="R887" i="2"/>
  <c r="O887" i="2"/>
  <c r="N887" i="2"/>
  <c r="L887" i="2"/>
  <c r="J887" i="2"/>
  <c r="I887" i="2"/>
  <c r="H887" i="2"/>
  <c r="G887" i="2"/>
  <c r="F887" i="2"/>
  <c r="E887" i="2"/>
  <c r="D887" i="2"/>
  <c r="C887" i="2"/>
  <c r="B887" i="2"/>
  <c r="A887" i="2"/>
  <c r="T886" i="2"/>
  <c r="R886" i="2"/>
  <c r="O886" i="2"/>
  <c r="N886" i="2"/>
  <c r="M886" i="2"/>
  <c r="L886" i="2"/>
  <c r="J886" i="2"/>
  <c r="I886" i="2"/>
  <c r="H886" i="2"/>
  <c r="G886" i="2"/>
  <c r="F886" i="2"/>
  <c r="E886" i="2"/>
  <c r="D886" i="2"/>
  <c r="C886" i="2"/>
  <c r="B886" i="2"/>
  <c r="A886" i="2"/>
  <c r="T885" i="2"/>
  <c r="R885" i="2"/>
  <c r="O885" i="2"/>
  <c r="N885" i="2"/>
  <c r="L885" i="2"/>
  <c r="J885" i="2"/>
  <c r="I885" i="2"/>
  <c r="H885" i="2"/>
  <c r="G885" i="2"/>
  <c r="F885" i="2"/>
  <c r="E885" i="2"/>
  <c r="D885" i="2"/>
  <c r="C885" i="2"/>
  <c r="B885" i="2"/>
  <c r="A885" i="2"/>
  <c r="T884" i="2"/>
  <c r="P884" i="2"/>
  <c r="O884" i="2"/>
  <c r="N884" i="2"/>
  <c r="K884" i="2"/>
  <c r="J884" i="2"/>
  <c r="I884" i="2"/>
  <c r="H884" i="2"/>
  <c r="G884" i="2"/>
  <c r="F884" i="2"/>
  <c r="E884" i="2"/>
  <c r="D884" i="2"/>
  <c r="C884" i="2"/>
  <c r="B884" i="2"/>
  <c r="A884" i="2"/>
  <c r="T883" i="2"/>
  <c r="P883" i="2"/>
  <c r="O883" i="2"/>
  <c r="N883" i="2"/>
  <c r="K883" i="2"/>
  <c r="J883" i="2"/>
  <c r="I883" i="2"/>
  <c r="H883" i="2"/>
  <c r="G883" i="2"/>
  <c r="F883" i="2"/>
  <c r="E883" i="2"/>
  <c r="D883" i="2"/>
  <c r="C883" i="2"/>
  <c r="B883" i="2"/>
  <c r="A883" i="2"/>
  <c r="T882" i="2"/>
  <c r="P882" i="2"/>
  <c r="O882" i="2"/>
  <c r="N882" i="2"/>
  <c r="J882" i="2"/>
  <c r="I882" i="2"/>
  <c r="H882" i="2"/>
  <c r="G882" i="2"/>
  <c r="F882" i="2"/>
  <c r="E882" i="2"/>
  <c r="D882" i="2"/>
  <c r="C882" i="2"/>
  <c r="B882" i="2"/>
  <c r="A882" i="2"/>
  <c r="T881" i="2"/>
  <c r="P881" i="2"/>
  <c r="O881" i="2"/>
  <c r="N881" i="2"/>
  <c r="K881" i="2"/>
  <c r="J881" i="2"/>
  <c r="I881" i="2"/>
  <c r="H881" i="2"/>
  <c r="G881" i="2"/>
  <c r="F881" i="2"/>
  <c r="E881" i="2"/>
  <c r="D881" i="2"/>
  <c r="C881" i="2"/>
  <c r="B881" i="2"/>
  <c r="A881" i="2"/>
  <c r="T880" i="2"/>
  <c r="P880" i="2"/>
  <c r="O880" i="2"/>
  <c r="N880" i="2"/>
  <c r="K880" i="2"/>
  <c r="J880" i="2"/>
  <c r="I880" i="2"/>
  <c r="H880" i="2"/>
  <c r="G880" i="2"/>
  <c r="F880" i="2"/>
  <c r="E880" i="2"/>
  <c r="D880" i="2"/>
  <c r="C880" i="2"/>
  <c r="B880" i="2"/>
  <c r="A880" i="2"/>
  <c r="T879" i="2"/>
  <c r="Q879" i="2"/>
  <c r="P879" i="2"/>
  <c r="O879" i="2"/>
  <c r="N879" i="2"/>
  <c r="K879" i="2"/>
  <c r="J879" i="2"/>
  <c r="I879" i="2"/>
  <c r="H879" i="2"/>
  <c r="G879" i="2"/>
  <c r="F879" i="2"/>
  <c r="E879" i="2"/>
  <c r="D879" i="2"/>
  <c r="C879" i="2"/>
  <c r="B879" i="2"/>
  <c r="A879" i="2"/>
  <c r="T878" i="2"/>
  <c r="R878" i="2"/>
  <c r="O878" i="2"/>
  <c r="N878" i="2"/>
  <c r="L878" i="2"/>
  <c r="J878" i="2"/>
  <c r="I878" i="2"/>
  <c r="H878" i="2"/>
  <c r="G878" i="2"/>
  <c r="F878" i="2"/>
  <c r="E878" i="2"/>
  <c r="D878" i="2"/>
  <c r="C878" i="2"/>
  <c r="B878" i="2"/>
  <c r="A878" i="2"/>
  <c r="T877" i="2"/>
  <c r="O877" i="2"/>
  <c r="N877" i="2"/>
  <c r="M877" i="2"/>
  <c r="J877" i="2"/>
  <c r="I877" i="2"/>
  <c r="H877" i="2"/>
  <c r="G877" i="2"/>
  <c r="F877" i="2"/>
  <c r="E877" i="2"/>
  <c r="D877" i="2"/>
  <c r="C877" i="2"/>
  <c r="B877" i="2"/>
  <c r="A877" i="2"/>
  <c r="T876" i="2"/>
  <c r="O876" i="2"/>
  <c r="N876" i="2"/>
  <c r="M876" i="2"/>
  <c r="J876" i="2"/>
  <c r="I876" i="2"/>
  <c r="H876" i="2"/>
  <c r="G876" i="2"/>
  <c r="F876" i="2"/>
  <c r="E876" i="2"/>
  <c r="D876" i="2"/>
  <c r="C876" i="2"/>
  <c r="B876" i="2"/>
  <c r="A876" i="2"/>
  <c r="T875" i="2"/>
  <c r="P875" i="2"/>
  <c r="O875" i="2"/>
  <c r="N875" i="2"/>
  <c r="K875" i="2"/>
  <c r="J875" i="2"/>
  <c r="I875" i="2"/>
  <c r="H875" i="2"/>
  <c r="G875" i="2"/>
  <c r="F875" i="2"/>
  <c r="E875" i="2"/>
  <c r="D875" i="2"/>
  <c r="C875" i="2"/>
  <c r="B875" i="2"/>
  <c r="A875" i="2"/>
  <c r="T874" i="2"/>
  <c r="R874" i="2"/>
  <c r="O874" i="2"/>
  <c r="N874" i="2"/>
  <c r="L874" i="2"/>
  <c r="J874" i="2"/>
  <c r="I874" i="2"/>
  <c r="H874" i="2"/>
  <c r="G874" i="2"/>
  <c r="F874" i="2"/>
  <c r="E874" i="2"/>
  <c r="D874" i="2"/>
  <c r="C874" i="2"/>
  <c r="B874" i="2"/>
  <c r="A874" i="2"/>
  <c r="T873" i="2"/>
  <c r="P873" i="2"/>
  <c r="O873" i="2"/>
  <c r="N873" i="2"/>
  <c r="M873" i="2"/>
  <c r="L873" i="2"/>
  <c r="K873" i="2"/>
  <c r="J873" i="2"/>
  <c r="I873" i="2"/>
  <c r="H873" i="2"/>
  <c r="G873" i="2"/>
  <c r="F873" i="2"/>
  <c r="E873" i="2"/>
  <c r="D873" i="2"/>
  <c r="C873" i="2"/>
  <c r="B873" i="2"/>
  <c r="A873" i="2"/>
  <c r="T872" i="2"/>
  <c r="O872" i="2"/>
  <c r="N872" i="2"/>
  <c r="J872" i="2"/>
  <c r="I872" i="2"/>
  <c r="H872" i="2"/>
  <c r="G872" i="2"/>
  <c r="F872" i="2"/>
  <c r="E872" i="2"/>
  <c r="D872" i="2"/>
  <c r="C872" i="2"/>
  <c r="B872" i="2"/>
  <c r="A872" i="2"/>
  <c r="T871" i="2"/>
  <c r="R871" i="2"/>
  <c r="O871" i="2"/>
  <c r="N871" i="2"/>
  <c r="M871" i="2"/>
  <c r="L871" i="2"/>
  <c r="J871" i="2"/>
  <c r="I871" i="2"/>
  <c r="H871" i="2"/>
  <c r="G871" i="2"/>
  <c r="F871" i="2"/>
  <c r="E871" i="2"/>
  <c r="D871" i="2"/>
  <c r="C871" i="2"/>
  <c r="B871" i="2"/>
  <c r="A871" i="2"/>
  <c r="P870" i="2"/>
  <c r="O870" i="2"/>
  <c r="N870" i="2"/>
  <c r="M870" i="2"/>
  <c r="K870" i="2"/>
  <c r="J870" i="2"/>
  <c r="I870" i="2"/>
  <c r="H870" i="2"/>
  <c r="G870" i="2"/>
  <c r="F870" i="2"/>
  <c r="E870" i="2"/>
  <c r="D870" i="2"/>
  <c r="C870" i="2"/>
  <c r="B870" i="2"/>
  <c r="A870" i="2"/>
  <c r="P869" i="2"/>
  <c r="O869" i="2"/>
  <c r="N869" i="2"/>
  <c r="K869" i="2"/>
  <c r="J869" i="2"/>
  <c r="I869" i="2"/>
  <c r="H869" i="2"/>
  <c r="G869" i="2"/>
  <c r="F869" i="2"/>
  <c r="E869" i="2"/>
  <c r="D869" i="2"/>
  <c r="C869" i="2"/>
  <c r="B869" i="2"/>
  <c r="A869" i="2"/>
  <c r="P868" i="2"/>
  <c r="O868" i="2"/>
  <c r="N868" i="2"/>
  <c r="K868" i="2"/>
  <c r="J868" i="2"/>
  <c r="I868" i="2"/>
  <c r="H868" i="2"/>
  <c r="G868" i="2"/>
  <c r="F868" i="2"/>
  <c r="E868" i="2"/>
  <c r="D868" i="2"/>
  <c r="C868" i="2"/>
  <c r="B868" i="2"/>
  <c r="A868" i="2"/>
  <c r="P867" i="2"/>
  <c r="O867" i="2"/>
  <c r="N867" i="2"/>
  <c r="M867" i="2"/>
  <c r="K867" i="2"/>
  <c r="J867" i="2"/>
  <c r="I867" i="2"/>
  <c r="H867" i="2"/>
  <c r="G867" i="2"/>
  <c r="F867" i="2"/>
  <c r="E867" i="2"/>
  <c r="D867" i="2"/>
  <c r="C867" i="2"/>
  <c r="B867" i="2"/>
  <c r="A867" i="2"/>
  <c r="P866" i="2"/>
  <c r="O866" i="2"/>
  <c r="N866" i="2"/>
  <c r="K866" i="2"/>
  <c r="J866" i="2"/>
  <c r="I866" i="2"/>
  <c r="H866" i="2"/>
  <c r="G866" i="2"/>
  <c r="F866" i="2"/>
  <c r="E866" i="2"/>
  <c r="D866" i="2"/>
  <c r="C866" i="2"/>
  <c r="B866" i="2"/>
  <c r="A866" i="2"/>
  <c r="P865" i="2"/>
  <c r="O865" i="2"/>
  <c r="N865" i="2"/>
  <c r="M865" i="2"/>
  <c r="K865" i="2"/>
  <c r="J865" i="2"/>
  <c r="I865" i="2"/>
  <c r="H865" i="2"/>
  <c r="G865" i="2"/>
  <c r="F865" i="2"/>
  <c r="E865" i="2"/>
  <c r="D865" i="2"/>
  <c r="C865" i="2"/>
  <c r="B865" i="2"/>
  <c r="A865" i="2"/>
  <c r="P864" i="2"/>
  <c r="O864" i="2"/>
  <c r="N864" i="2"/>
  <c r="K864" i="2"/>
  <c r="J864" i="2"/>
  <c r="I864" i="2"/>
  <c r="H864" i="2"/>
  <c r="G864" i="2"/>
  <c r="F864" i="2"/>
  <c r="E864" i="2"/>
  <c r="D864" i="2"/>
  <c r="C864" i="2"/>
  <c r="B864" i="2"/>
  <c r="A864" i="2"/>
  <c r="P863" i="2"/>
  <c r="O863" i="2"/>
  <c r="N863" i="2"/>
  <c r="K863" i="2"/>
  <c r="J863" i="2"/>
  <c r="I863" i="2"/>
  <c r="H863" i="2"/>
  <c r="G863" i="2"/>
  <c r="F863" i="2"/>
  <c r="E863" i="2"/>
  <c r="D863" i="2"/>
  <c r="C863" i="2"/>
  <c r="B863" i="2"/>
  <c r="A863" i="2"/>
  <c r="P862" i="2"/>
  <c r="O862" i="2"/>
  <c r="N862" i="2"/>
  <c r="K862" i="2"/>
  <c r="J862" i="2"/>
  <c r="I862" i="2"/>
  <c r="H862" i="2"/>
  <c r="G862" i="2"/>
  <c r="F862" i="2"/>
  <c r="E862" i="2"/>
  <c r="D862" i="2"/>
  <c r="C862" i="2"/>
  <c r="B862" i="2"/>
  <c r="A862" i="2"/>
  <c r="R861" i="2"/>
  <c r="O861" i="2"/>
  <c r="N861" i="2"/>
  <c r="L861" i="2"/>
  <c r="J861" i="2"/>
  <c r="I861" i="2"/>
  <c r="H861" i="2"/>
  <c r="G861" i="2"/>
  <c r="F861" i="2"/>
  <c r="E861" i="2"/>
  <c r="D861" i="2"/>
  <c r="C861" i="2"/>
  <c r="B861" i="2"/>
  <c r="A861" i="2"/>
  <c r="P860" i="2"/>
  <c r="O860" i="2"/>
  <c r="N860" i="2"/>
  <c r="K860" i="2"/>
  <c r="J860" i="2"/>
  <c r="I860" i="2"/>
  <c r="H860" i="2"/>
  <c r="G860" i="2"/>
  <c r="F860" i="2"/>
  <c r="E860" i="2"/>
  <c r="D860" i="2"/>
  <c r="C860" i="2"/>
  <c r="B860" i="2"/>
  <c r="A860" i="2"/>
  <c r="P859" i="2"/>
  <c r="O859" i="2"/>
  <c r="N859" i="2"/>
  <c r="K859" i="2"/>
  <c r="J859" i="2"/>
  <c r="I859" i="2"/>
  <c r="H859" i="2"/>
  <c r="G859" i="2"/>
  <c r="F859" i="2"/>
  <c r="E859" i="2"/>
  <c r="D859" i="2"/>
  <c r="C859" i="2"/>
  <c r="B859" i="2"/>
  <c r="A859" i="2"/>
  <c r="P858" i="2"/>
  <c r="O858" i="2"/>
  <c r="N858" i="2"/>
  <c r="K858" i="2"/>
  <c r="J858" i="2"/>
  <c r="I858" i="2"/>
  <c r="H858" i="2"/>
  <c r="G858" i="2"/>
  <c r="F858" i="2"/>
  <c r="E858" i="2"/>
  <c r="D858" i="2"/>
  <c r="C858" i="2"/>
  <c r="B858" i="2"/>
  <c r="A858" i="2"/>
  <c r="S857" i="2"/>
  <c r="R857" i="2"/>
  <c r="Q857" i="2"/>
  <c r="P857" i="2"/>
  <c r="O857" i="2"/>
  <c r="N857" i="2"/>
  <c r="M857" i="2"/>
  <c r="L857" i="2"/>
  <c r="K857" i="2"/>
  <c r="J857" i="2"/>
  <c r="I857" i="2"/>
  <c r="H857" i="2"/>
  <c r="G857" i="2"/>
  <c r="F857" i="2"/>
  <c r="E857" i="2"/>
  <c r="D857" i="2"/>
  <c r="C857" i="2"/>
  <c r="B857" i="2"/>
  <c r="A857" i="2"/>
  <c r="R856" i="2"/>
  <c r="P856" i="2"/>
  <c r="O856" i="2"/>
  <c r="N856" i="2"/>
  <c r="L856" i="2"/>
  <c r="K856" i="2"/>
  <c r="J856" i="2"/>
  <c r="I856" i="2"/>
  <c r="H856" i="2"/>
  <c r="G856" i="2"/>
  <c r="F856" i="2"/>
  <c r="E856" i="2"/>
  <c r="D856" i="2"/>
  <c r="C856" i="2"/>
  <c r="B856" i="2"/>
  <c r="A856" i="2"/>
  <c r="P855" i="2"/>
  <c r="O855" i="2"/>
  <c r="N855" i="2"/>
  <c r="M855" i="2"/>
  <c r="K855" i="2"/>
  <c r="J855" i="2"/>
  <c r="I855" i="2"/>
  <c r="H855" i="2"/>
  <c r="G855" i="2"/>
  <c r="F855" i="2"/>
  <c r="E855" i="2"/>
  <c r="D855" i="2"/>
  <c r="C855" i="2"/>
  <c r="B855" i="2"/>
  <c r="A855" i="2"/>
  <c r="P854" i="2"/>
  <c r="O854" i="2"/>
  <c r="N854" i="2"/>
  <c r="K854" i="2"/>
  <c r="J854" i="2"/>
  <c r="I854" i="2"/>
  <c r="H854" i="2"/>
  <c r="G854" i="2"/>
  <c r="F854" i="2"/>
  <c r="E854" i="2"/>
  <c r="D854" i="2"/>
  <c r="C854" i="2"/>
  <c r="B854" i="2"/>
  <c r="A854" i="2"/>
  <c r="P853" i="2"/>
  <c r="O853" i="2"/>
  <c r="N853" i="2"/>
  <c r="K853" i="2"/>
  <c r="J853" i="2"/>
  <c r="I853" i="2"/>
  <c r="H853" i="2"/>
  <c r="G853" i="2"/>
  <c r="F853" i="2"/>
  <c r="E853" i="2"/>
  <c r="D853" i="2"/>
  <c r="C853" i="2"/>
  <c r="B853" i="2"/>
  <c r="A853" i="2"/>
  <c r="P852" i="2"/>
  <c r="O852" i="2"/>
  <c r="N852" i="2"/>
  <c r="K852" i="2"/>
  <c r="J852" i="2"/>
  <c r="I852" i="2"/>
  <c r="H852" i="2"/>
  <c r="G852" i="2"/>
  <c r="F852" i="2"/>
  <c r="E852" i="2"/>
  <c r="D852" i="2"/>
  <c r="C852" i="2"/>
  <c r="B852" i="2"/>
  <c r="A852" i="2"/>
  <c r="P851" i="2"/>
  <c r="O851" i="2"/>
  <c r="N851" i="2"/>
  <c r="K851" i="2"/>
  <c r="J851" i="2"/>
  <c r="I851" i="2"/>
  <c r="H851" i="2"/>
  <c r="G851" i="2"/>
  <c r="F851" i="2"/>
  <c r="E851" i="2"/>
  <c r="D851" i="2"/>
  <c r="C851" i="2"/>
  <c r="B851" i="2"/>
  <c r="A851" i="2"/>
  <c r="P850" i="2"/>
  <c r="O850" i="2"/>
  <c r="N850" i="2"/>
  <c r="K850" i="2"/>
  <c r="J850" i="2"/>
  <c r="I850" i="2"/>
  <c r="H850" i="2"/>
  <c r="G850" i="2"/>
  <c r="F850" i="2"/>
  <c r="E850" i="2"/>
  <c r="D850" i="2"/>
  <c r="C850" i="2"/>
  <c r="B850" i="2"/>
  <c r="A850" i="2"/>
  <c r="P849" i="2"/>
  <c r="O849" i="2"/>
  <c r="N849" i="2"/>
  <c r="K849" i="2"/>
  <c r="J849" i="2"/>
  <c r="I849" i="2"/>
  <c r="H849" i="2"/>
  <c r="G849" i="2"/>
  <c r="F849" i="2"/>
  <c r="E849" i="2"/>
  <c r="D849" i="2"/>
  <c r="C849" i="2"/>
  <c r="B849" i="2"/>
  <c r="A849" i="2"/>
  <c r="P848" i="2"/>
  <c r="O848" i="2"/>
  <c r="N848" i="2"/>
  <c r="K848" i="2"/>
  <c r="J848" i="2"/>
  <c r="I848" i="2"/>
  <c r="H848" i="2"/>
  <c r="G848" i="2"/>
  <c r="F848" i="2"/>
  <c r="E848" i="2"/>
  <c r="D848" i="2"/>
  <c r="C848" i="2"/>
  <c r="B848" i="2"/>
  <c r="A848" i="2"/>
  <c r="P847" i="2"/>
  <c r="O847" i="2"/>
  <c r="N847" i="2"/>
  <c r="M847" i="2"/>
  <c r="K847" i="2"/>
  <c r="J847" i="2"/>
  <c r="I847" i="2"/>
  <c r="H847" i="2"/>
  <c r="G847" i="2"/>
  <c r="F847" i="2"/>
  <c r="E847" i="2"/>
  <c r="D847" i="2"/>
  <c r="C847" i="2"/>
  <c r="B847" i="2"/>
  <c r="A847" i="2"/>
  <c r="P846" i="2"/>
  <c r="O846" i="2"/>
  <c r="N846" i="2"/>
  <c r="K846" i="2"/>
  <c r="J846" i="2"/>
  <c r="I846" i="2"/>
  <c r="H846" i="2"/>
  <c r="G846" i="2"/>
  <c r="F846" i="2"/>
  <c r="E846" i="2"/>
  <c r="D846" i="2"/>
  <c r="C846" i="2"/>
  <c r="B846" i="2"/>
  <c r="A846" i="2"/>
  <c r="O845" i="2"/>
  <c r="N845" i="2"/>
  <c r="M845" i="2"/>
  <c r="K845" i="2"/>
  <c r="J845" i="2"/>
  <c r="I845" i="2"/>
  <c r="H845" i="2"/>
  <c r="G845" i="2"/>
  <c r="F845" i="2"/>
  <c r="E845" i="2"/>
  <c r="D845" i="2"/>
  <c r="C845" i="2"/>
  <c r="B845" i="2"/>
  <c r="A845" i="2"/>
  <c r="P844" i="2"/>
  <c r="O844" i="2"/>
  <c r="N844" i="2"/>
  <c r="K844" i="2"/>
  <c r="J844" i="2"/>
  <c r="I844" i="2"/>
  <c r="H844" i="2"/>
  <c r="G844" i="2"/>
  <c r="F844" i="2"/>
  <c r="E844" i="2"/>
  <c r="D844" i="2"/>
  <c r="C844" i="2"/>
  <c r="B844" i="2"/>
  <c r="A844" i="2"/>
  <c r="Q843" i="2"/>
  <c r="P843" i="2"/>
  <c r="O843" i="2"/>
  <c r="N843" i="2"/>
  <c r="K843" i="2"/>
  <c r="J843" i="2"/>
  <c r="I843" i="2"/>
  <c r="H843" i="2"/>
  <c r="G843" i="2"/>
  <c r="F843" i="2"/>
  <c r="E843" i="2"/>
  <c r="D843" i="2"/>
  <c r="C843" i="2"/>
  <c r="B843" i="2"/>
  <c r="A843" i="2"/>
  <c r="P842" i="2"/>
  <c r="O842" i="2"/>
  <c r="N842" i="2"/>
  <c r="K842" i="2"/>
  <c r="J842" i="2"/>
  <c r="I842" i="2"/>
  <c r="H842" i="2"/>
  <c r="G842" i="2"/>
  <c r="F842" i="2"/>
  <c r="E842" i="2"/>
  <c r="D842" i="2"/>
  <c r="C842" i="2"/>
  <c r="B842" i="2"/>
  <c r="A842" i="2"/>
  <c r="R841" i="2"/>
  <c r="P841" i="2"/>
  <c r="O841" i="2"/>
  <c r="N841" i="2"/>
  <c r="L841" i="2"/>
  <c r="K841" i="2"/>
  <c r="J841" i="2"/>
  <c r="I841" i="2"/>
  <c r="H841" i="2"/>
  <c r="G841" i="2"/>
  <c r="F841" i="2"/>
  <c r="E841" i="2"/>
  <c r="D841" i="2"/>
  <c r="C841" i="2"/>
  <c r="B841" i="2"/>
  <c r="A841" i="2"/>
  <c r="P840" i="2"/>
  <c r="O840" i="2"/>
  <c r="N840" i="2"/>
  <c r="K840" i="2"/>
  <c r="J840" i="2"/>
  <c r="I840" i="2"/>
  <c r="H840" i="2"/>
  <c r="G840" i="2"/>
  <c r="F840" i="2"/>
  <c r="E840" i="2"/>
  <c r="D840" i="2"/>
  <c r="C840" i="2"/>
  <c r="B840" i="2"/>
  <c r="A840" i="2"/>
  <c r="Q839" i="2"/>
  <c r="P839" i="2"/>
  <c r="O839" i="2"/>
  <c r="N839" i="2"/>
  <c r="K839" i="2"/>
  <c r="J839" i="2"/>
  <c r="I839" i="2"/>
  <c r="H839" i="2"/>
  <c r="G839" i="2"/>
  <c r="F839" i="2"/>
  <c r="E839" i="2"/>
  <c r="D839" i="2"/>
  <c r="C839" i="2"/>
  <c r="B839" i="2"/>
  <c r="A839" i="2"/>
  <c r="P838" i="2"/>
  <c r="O838" i="2"/>
  <c r="N838" i="2"/>
  <c r="K838" i="2"/>
  <c r="J838" i="2"/>
  <c r="I838" i="2"/>
  <c r="H838" i="2"/>
  <c r="G838" i="2"/>
  <c r="F838" i="2"/>
  <c r="E838" i="2"/>
  <c r="D838" i="2"/>
  <c r="C838" i="2"/>
  <c r="B838" i="2"/>
  <c r="A838" i="2"/>
  <c r="R837" i="2"/>
  <c r="O837" i="2"/>
  <c r="N837" i="2"/>
  <c r="M837" i="2"/>
  <c r="L837" i="2"/>
  <c r="J837" i="2"/>
  <c r="I837" i="2"/>
  <c r="H837" i="2"/>
  <c r="G837" i="2"/>
  <c r="F837" i="2"/>
  <c r="E837" i="2"/>
  <c r="D837" i="2"/>
  <c r="C837" i="2"/>
  <c r="B837" i="2"/>
  <c r="A837" i="2"/>
  <c r="P836" i="2"/>
  <c r="O836" i="2"/>
  <c r="N836" i="2"/>
  <c r="K836" i="2"/>
  <c r="J836" i="2"/>
  <c r="I836" i="2"/>
  <c r="H836" i="2"/>
  <c r="G836" i="2"/>
  <c r="F836" i="2"/>
  <c r="E836" i="2"/>
  <c r="D836" i="2"/>
  <c r="C836" i="2"/>
  <c r="B836" i="2"/>
  <c r="A836" i="2"/>
  <c r="R835" i="2"/>
  <c r="O835" i="2"/>
  <c r="N835" i="2"/>
  <c r="L835" i="2"/>
  <c r="J835" i="2"/>
  <c r="I835" i="2"/>
  <c r="H835" i="2"/>
  <c r="G835" i="2"/>
  <c r="F835" i="2"/>
  <c r="E835" i="2"/>
  <c r="D835" i="2"/>
  <c r="C835" i="2"/>
  <c r="B835" i="2"/>
  <c r="A835" i="2"/>
  <c r="P834" i="2"/>
  <c r="O834" i="2"/>
  <c r="N834" i="2"/>
  <c r="K834" i="2"/>
  <c r="J834" i="2"/>
  <c r="I834" i="2"/>
  <c r="H834" i="2"/>
  <c r="G834" i="2"/>
  <c r="F834" i="2"/>
  <c r="E834" i="2"/>
  <c r="D834" i="2"/>
  <c r="C834" i="2"/>
  <c r="B834" i="2"/>
  <c r="A834" i="2"/>
  <c r="P833" i="2"/>
  <c r="O833" i="2"/>
  <c r="N833" i="2"/>
  <c r="M833" i="2"/>
  <c r="K833" i="2"/>
  <c r="J833" i="2"/>
  <c r="I833" i="2"/>
  <c r="H833" i="2"/>
  <c r="G833" i="2"/>
  <c r="F833" i="2"/>
  <c r="E833" i="2"/>
  <c r="D833" i="2"/>
  <c r="C833" i="2"/>
  <c r="B833" i="2"/>
  <c r="A833" i="2"/>
  <c r="R832" i="2"/>
  <c r="P832" i="2"/>
  <c r="O832" i="2"/>
  <c r="N832" i="2"/>
  <c r="M832" i="2"/>
  <c r="L832" i="2"/>
  <c r="K832" i="2"/>
  <c r="J832" i="2"/>
  <c r="I832" i="2"/>
  <c r="H832" i="2"/>
  <c r="G832" i="2"/>
  <c r="F832" i="2"/>
  <c r="E832" i="2"/>
  <c r="D832" i="2"/>
  <c r="C832" i="2"/>
  <c r="B832" i="2"/>
  <c r="A832" i="2"/>
  <c r="P831" i="2"/>
  <c r="O831" i="2"/>
  <c r="N831" i="2"/>
  <c r="K831" i="2"/>
  <c r="J831" i="2"/>
  <c r="I831" i="2"/>
  <c r="H831" i="2"/>
  <c r="G831" i="2"/>
  <c r="F831" i="2"/>
  <c r="E831" i="2"/>
  <c r="D831" i="2"/>
  <c r="C831" i="2"/>
  <c r="B831" i="2"/>
  <c r="A831" i="2"/>
  <c r="P830" i="2"/>
  <c r="O830" i="2"/>
  <c r="N830" i="2"/>
  <c r="K830" i="2"/>
  <c r="J830" i="2"/>
  <c r="I830" i="2"/>
  <c r="H830" i="2"/>
  <c r="G830" i="2"/>
  <c r="F830" i="2"/>
  <c r="E830" i="2"/>
  <c r="D830" i="2"/>
  <c r="C830" i="2"/>
  <c r="B830" i="2"/>
  <c r="A830" i="2"/>
  <c r="O829" i="2"/>
  <c r="N829" i="2"/>
  <c r="L829" i="2"/>
  <c r="J829" i="2"/>
  <c r="I829" i="2"/>
  <c r="H829" i="2"/>
  <c r="G829" i="2"/>
  <c r="F829" i="2"/>
  <c r="E829" i="2"/>
  <c r="D829" i="2"/>
  <c r="C829" i="2"/>
  <c r="B829" i="2"/>
  <c r="A829" i="2"/>
  <c r="P828" i="2"/>
  <c r="O828" i="2"/>
  <c r="N828" i="2"/>
  <c r="K828" i="2"/>
  <c r="J828" i="2"/>
  <c r="I828" i="2"/>
  <c r="H828" i="2"/>
  <c r="G828" i="2"/>
  <c r="F828" i="2"/>
  <c r="E828" i="2"/>
  <c r="D828" i="2"/>
  <c r="C828" i="2"/>
  <c r="B828" i="2"/>
  <c r="A828" i="2"/>
  <c r="O827" i="2"/>
  <c r="N827" i="2"/>
  <c r="L827" i="2"/>
  <c r="K827" i="2"/>
  <c r="J827" i="2"/>
  <c r="I827" i="2"/>
  <c r="H827" i="2"/>
  <c r="G827" i="2"/>
  <c r="F827" i="2"/>
  <c r="E827" i="2"/>
  <c r="D827" i="2"/>
  <c r="C827" i="2"/>
  <c r="B827" i="2"/>
  <c r="A827" i="2"/>
  <c r="P826" i="2"/>
  <c r="O826" i="2"/>
  <c r="N826" i="2"/>
  <c r="K826" i="2"/>
  <c r="J826" i="2"/>
  <c r="I826" i="2"/>
  <c r="H826" i="2"/>
  <c r="G826" i="2"/>
  <c r="F826" i="2"/>
  <c r="E826" i="2"/>
  <c r="D826" i="2"/>
  <c r="C826" i="2"/>
  <c r="B826" i="2"/>
  <c r="A826" i="2"/>
  <c r="P825" i="2"/>
  <c r="O825" i="2"/>
  <c r="N825" i="2"/>
  <c r="M825" i="2"/>
  <c r="K825" i="2"/>
  <c r="J825" i="2"/>
  <c r="I825" i="2"/>
  <c r="H825" i="2"/>
  <c r="G825" i="2"/>
  <c r="F825" i="2"/>
  <c r="E825" i="2"/>
  <c r="D825" i="2"/>
  <c r="C825" i="2"/>
  <c r="B825" i="2"/>
  <c r="A825" i="2"/>
  <c r="P824" i="2"/>
  <c r="O824" i="2"/>
  <c r="N824" i="2"/>
  <c r="M824" i="2"/>
  <c r="K824" i="2"/>
  <c r="J824" i="2"/>
  <c r="I824" i="2"/>
  <c r="H824" i="2"/>
  <c r="G824" i="2"/>
  <c r="F824" i="2"/>
  <c r="E824" i="2"/>
  <c r="D824" i="2"/>
  <c r="C824" i="2"/>
  <c r="B824" i="2"/>
  <c r="A824" i="2"/>
  <c r="P823" i="2"/>
  <c r="O823" i="2"/>
  <c r="N823" i="2"/>
  <c r="K823" i="2"/>
  <c r="J823" i="2"/>
  <c r="I823" i="2"/>
  <c r="H823" i="2"/>
  <c r="G823" i="2"/>
  <c r="F823" i="2"/>
  <c r="E823" i="2"/>
  <c r="D823" i="2"/>
  <c r="C823" i="2"/>
  <c r="B823" i="2"/>
  <c r="A823" i="2"/>
  <c r="P822" i="2"/>
  <c r="O822" i="2"/>
  <c r="N822" i="2"/>
  <c r="K822" i="2"/>
  <c r="J822" i="2"/>
  <c r="I822" i="2"/>
  <c r="H822" i="2"/>
  <c r="G822" i="2"/>
  <c r="F822" i="2"/>
  <c r="E822" i="2"/>
  <c r="D822" i="2"/>
  <c r="C822" i="2"/>
  <c r="B822" i="2"/>
  <c r="A822" i="2"/>
  <c r="P821" i="2"/>
  <c r="O821" i="2"/>
  <c r="N821" i="2"/>
  <c r="K821" i="2"/>
  <c r="J821" i="2"/>
  <c r="I821" i="2"/>
  <c r="H821" i="2"/>
  <c r="G821" i="2"/>
  <c r="F821" i="2"/>
  <c r="E821" i="2"/>
  <c r="D821" i="2"/>
  <c r="C821" i="2"/>
  <c r="B821" i="2"/>
  <c r="A821" i="2"/>
  <c r="R820" i="2"/>
  <c r="P820" i="2"/>
  <c r="O820" i="2"/>
  <c r="N820" i="2"/>
  <c r="M820" i="2"/>
  <c r="L820" i="2"/>
  <c r="K820" i="2"/>
  <c r="J820" i="2"/>
  <c r="I820" i="2"/>
  <c r="H820" i="2"/>
  <c r="G820" i="2"/>
  <c r="F820" i="2"/>
  <c r="E820" i="2"/>
  <c r="D820" i="2"/>
  <c r="C820" i="2"/>
  <c r="B820" i="2"/>
  <c r="A820" i="2"/>
  <c r="P819" i="2"/>
  <c r="O819" i="2"/>
  <c r="N819" i="2"/>
  <c r="M819" i="2"/>
  <c r="K819" i="2"/>
  <c r="J819" i="2"/>
  <c r="I819" i="2"/>
  <c r="H819" i="2"/>
  <c r="G819" i="2"/>
  <c r="F819" i="2"/>
  <c r="E819" i="2"/>
  <c r="D819" i="2"/>
  <c r="C819" i="2"/>
  <c r="B819" i="2"/>
  <c r="A819" i="2"/>
  <c r="P818" i="2"/>
  <c r="O818" i="2"/>
  <c r="N818" i="2"/>
  <c r="M818" i="2"/>
  <c r="K818" i="2"/>
  <c r="J818" i="2"/>
  <c r="I818" i="2"/>
  <c r="H818" i="2"/>
  <c r="G818" i="2"/>
  <c r="F818" i="2"/>
  <c r="E818" i="2"/>
  <c r="D818" i="2"/>
  <c r="C818" i="2"/>
  <c r="B818" i="2"/>
  <c r="A818" i="2"/>
  <c r="P817" i="2"/>
  <c r="O817" i="2"/>
  <c r="N817" i="2"/>
  <c r="M817" i="2"/>
  <c r="L817" i="2"/>
  <c r="K817" i="2"/>
  <c r="J817" i="2"/>
  <c r="I817" i="2"/>
  <c r="H817" i="2"/>
  <c r="G817" i="2"/>
  <c r="F817" i="2"/>
  <c r="E817" i="2"/>
  <c r="D817" i="2"/>
  <c r="C817" i="2"/>
  <c r="B817" i="2"/>
  <c r="A817" i="2"/>
  <c r="O816" i="2"/>
  <c r="N816" i="2"/>
  <c r="M816" i="2"/>
  <c r="L816" i="2"/>
  <c r="K816" i="2"/>
  <c r="J816" i="2"/>
  <c r="I816" i="2"/>
  <c r="H816" i="2"/>
  <c r="G816" i="2"/>
  <c r="F816" i="2"/>
  <c r="E816" i="2"/>
  <c r="D816" i="2"/>
  <c r="C816" i="2"/>
  <c r="B816" i="2"/>
  <c r="A816" i="2"/>
  <c r="P815" i="2"/>
  <c r="O815" i="2"/>
  <c r="N815" i="2"/>
  <c r="M815" i="2"/>
  <c r="K815" i="2"/>
  <c r="J815" i="2"/>
  <c r="I815" i="2"/>
  <c r="H815" i="2"/>
  <c r="G815" i="2"/>
  <c r="F815" i="2"/>
  <c r="E815" i="2"/>
  <c r="D815" i="2"/>
  <c r="C815" i="2"/>
  <c r="B815" i="2"/>
  <c r="A815" i="2"/>
  <c r="P814" i="2"/>
  <c r="O814" i="2"/>
  <c r="N814" i="2"/>
  <c r="M814" i="2"/>
  <c r="K814" i="2"/>
  <c r="J814" i="2"/>
  <c r="I814" i="2"/>
  <c r="H814" i="2"/>
  <c r="G814" i="2"/>
  <c r="F814" i="2"/>
  <c r="E814" i="2"/>
  <c r="D814" i="2"/>
  <c r="C814" i="2"/>
  <c r="B814" i="2"/>
  <c r="A814" i="2"/>
  <c r="P813" i="2"/>
  <c r="O813" i="2"/>
  <c r="N813" i="2"/>
  <c r="M813" i="2"/>
  <c r="K813" i="2"/>
  <c r="J813" i="2"/>
  <c r="I813" i="2"/>
  <c r="H813" i="2"/>
  <c r="G813" i="2"/>
  <c r="F813" i="2"/>
  <c r="E813" i="2"/>
  <c r="D813" i="2"/>
  <c r="C813" i="2"/>
  <c r="B813" i="2"/>
  <c r="A813" i="2"/>
  <c r="R812" i="2"/>
  <c r="O812" i="2"/>
  <c r="N812" i="2"/>
  <c r="M812" i="2"/>
  <c r="J812" i="2"/>
  <c r="I812" i="2"/>
  <c r="H812" i="2"/>
  <c r="G812" i="2"/>
  <c r="F812" i="2"/>
  <c r="E812" i="2"/>
  <c r="D812" i="2"/>
  <c r="C812" i="2"/>
  <c r="B812" i="2"/>
  <c r="A812" i="2"/>
  <c r="P811" i="2"/>
  <c r="O811" i="2"/>
  <c r="N811" i="2"/>
  <c r="M811" i="2"/>
  <c r="K811" i="2"/>
  <c r="J811" i="2"/>
  <c r="I811" i="2"/>
  <c r="H811" i="2"/>
  <c r="G811" i="2"/>
  <c r="F811" i="2"/>
  <c r="E811" i="2"/>
  <c r="D811" i="2"/>
  <c r="C811" i="2"/>
  <c r="B811" i="2"/>
  <c r="A811" i="2"/>
  <c r="Q810" i="2"/>
  <c r="O810" i="2"/>
  <c r="N810" i="2"/>
  <c r="M810" i="2"/>
  <c r="K810" i="2"/>
  <c r="J810" i="2"/>
  <c r="I810" i="2"/>
  <c r="H810" i="2"/>
  <c r="G810" i="2"/>
  <c r="F810" i="2"/>
  <c r="E810" i="2"/>
  <c r="D810" i="2"/>
  <c r="C810" i="2"/>
  <c r="B810" i="2"/>
  <c r="A810" i="2"/>
  <c r="P809" i="2"/>
  <c r="O809" i="2"/>
  <c r="N809" i="2"/>
  <c r="K809" i="2"/>
  <c r="J809" i="2"/>
  <c r="I809" i="2"/>
  <c r="H809" i="2"/>
  <c r="G809" i="2"/>
  <c r="F809" i="2"/>
  <c r="E809" i="2"/>
  <c r="D809" i="2"/>
  <c r="C809" i="2"/>
  <c r="B809" i="2"/>
  <c r="A809" i="2"/>
  <c r="P808" i="2"/>
  <c r="O808" i="2"/>
  <c r="N808" i="2"/>
  <c r="K808" i="2"/>
  <c r="J808" i="2"/>
  <c r="I808" i="2"/>
  <c r="H808" i="2"/>
  <c r="G808" i="2"/>
  <c r="F808" i="2"/>
  <c r="E808" i="2"/>
  <c r="D808" i="2"/>
  <c r="C808" i="2"/>
  <c r="B808" i="2"/>
  <c r="A808" i="2"/>
  <c r="P807" i="2"/>
  <c r="O807" i="2"/>
  <c r="N807" i="2"/>
  <c r="M807" i="2"/>
  <c r="K807" i="2"/>
  <c r="J807" i="2"/>
  <c r="I807" i="2"/>
  <c r="H807" i="2"/>
  <c r="G807" i="2"/>
  <c r="F807" i="2"/>
  <c r="E807" i="2"/>
  <c r="D807" i="2"/>
  <c r="C807" i="2"/>
  <c r="B807" i="2"/>
  <c r="A807" i="2"/>
  <c r="R806" i="2"/>
  <c r="P806" i="2"/>
  <c r="O806" i="2"/>
  <c r="N806" i="2"/>
  <c r="M806" i="2"/>
  <c r="L806" i="2"/>
  <c r="K806" i="2"/>
  <c r="J806" i="2"/>
  <c r="I806" i="2"/>
  <c r="H806" i="2"/>
  <c r="G806" i="2"/>
  <c r="F806" i="2"/>
  <c r="E806" i="2"/>
  <c r="D806" i="2"/>
  <c r="C806" i="2"/>
  <c r="B806" i="2"/>
  <c r="A806" i="2"/>
  <c r="Q805" i="2"/>
  <c r="P805" i="2"/>
  <c r="O805" i="2"/>
  <c r="N805" i="2"/>
  <c r="M805" i="2"/>
  <c r="K805" i="2"/>
  <c r="J805" i="2"/>
  <c r="I805" i="2"/>
  <c r="H805" i="2"/>
  <c r="G805" i="2"/>
  <c r="F805" i="2"/>
  <c r="E805" i="2"/>
  <c r="D805" i="2"/>
  <c r="C805" i="2"/>
  <c r="B805" i="2"/>
  <c r="A805" i="2"/>
  <c r="P804" i="2"/>
  <c r="O804" i="2"/>
  <c r="N804" i="2"/>
  <c r="K804" i="2"/>
  <c r="J804" i="2"/>
  <c r="I804" i="2"/>
  <c r="H804" i="2"/>
  <c r="G804" i="2"/>
  <c r="F804" i="2"/>
  <c r="E804" i="2"/>
  <c r="D804" i="2"/>
  <c r="C804" i="2"/>
  <c r="B804" i="2"/>
  <c r="A804" i="2"/>
  <c r="P803" i="2"/>
  <c r="O803" i="2"/>
  <c r="N803" i="2"/>
  <c r="M803" i="2"/>
  <c r="K803" i="2"/>
  <c r="J803" i="2"/>
  <c r="I803" i="2"/>
  <c r="H803" i="2"/>
  <c r="G803" i="2"/>
  <c r="F803" i="2"/>
  <c r="E803" i="2"/>
  <c r="D803" i="2"/>
  <c r="C803" i="2"/>
  <c r="B803" i="2"/>
  <c r="A803" i="2"/>
  <c r="P802" i="2"/>
  <c r="O802" i="2"/>
  <c r="N802" i="2"/>
  <c r="M802" i="2"/>
  <c r="K802" i="2"/>
  <c r="J802" i="2"/>
  <c r="I802" i="2"/>
  <c r="H802" i="2"/>
  <c r="G802" i="2"/>
  <c r="F802" i="2"/>
  <c r="E802" i="2"/>
  <c r="D802" i="2"/>
  <c r="C802" i="2"/>
  <c r="B802" i="2"/>
  <c r="A802" i="2"/>
  <c r="R801" i="2"/>
  <c r="O801" i="2"/>
  <c r="N801" i="2"/>
  <c r="L801" i="2"/>
  <c r="J801" i="2"/>
  <c r="I801" i="2"/>
  <c r="H801" i="2"/>
  <c r="G801" i="2"/>
  <c r="F801" i="2"/>
  <c r="E801" i="2"/>
  <c r="D801" i="2"/>
  <c r="C801" i="2"/>
  <c r="B801" i="2"/>
  <c r="A801" i="2"/>
  <c r="Q800" i="2"/>
  <c r="P800" i="2"/>
  <c r="O800" i="2"/>
  <c r="N800" i="2"/>
  <c r="M800" i="2"/>
  <c r="K800" i="2"/>
  <c r="J800" i="2"/>
  <c r="I800" i="2"/>
  <c r="H800" i="2"/>
  <c r="G800" i="2"/>
  <c r="F800" i="2"/>
  <c r="E800" i="2"/>
  <c r="D800" i="2"/>
  <c r="C800" i="2"/>
  <c r="B800" i="2"/>
  <c r="A800" i="2"/>
  <c r="P799" i="2"/>
  <c r="O799" i="2"/>
  <c r="N799" i="2"/>
  <c r="K799" i="2"/>
  <c r="J799" i="2"/>
  <c r="I799" i="2"/>
  <c r="H799" i="2"/>
  <c r="G799" i="2"/>
  <c r="F799" i="2"/>
  <c r="E799" i="2"/>
  <c r="D799" i="2"/>
  <c r="C799" i="2"/>
  <c r="B799" i="2"/>
  <c r="A799" i="2"/>
  <c r="O798" i="2"/>
  <c r="N798" i="2"/>
  <c r="M798" i="2"/>
  <c r="J798" i="2"/>
  <c r="I798" i="2"/>
  <c r="H798" i="2"/>
  <c r="G798" i="2"/>
  <c r="F798" i="2"/>
  <c r="E798" i="2"/>
  <c r="D798" i="2"/>
  <c r="C798" i="2"/>
  <c r="B798" i="2"/>
  <c r="A798" i="2"/>
  <c r="R797" i="2"/>
  <c r="O797" i="2"/>
  <c r="N797" i="2"/>
  <c r="M797" i="2"/>
  <c r="L797" i="2"/>
  <c r="J797" i="2"/>
  <c r="I797" i="2"/>
  <c r="H797" i="2"/>
  <c r="G797" i="2"/>
  <c r="F797" i="2"/>
  <c r="E797" i="2"/>
  <c r="D797" i="2"/>
  <c r="C797" i="2"/>
  <c r="B797" i="2"/>
  <c r="A797" i="2"/>
  <c r="Q796" i="2"/>
  <c r="P796" i="2"/>
  <c r="O796" i="2"/>
  <c r="N796" i="2"/>
  <c r="M796" i="2"/>
  <c r="K796" i="2"/>
  <c r="J796" i="2"/>
  <c r="I796" i="2"/>
  <c r="H796" i="2"/>
  <c r="G796" i="2"/>
  <c r="F796" i="2"/>
  <c r="E796" i="2"/>
  <c r="D796" i="2"/>
  <c r="C796" i="2"/>
  <c r="B796" i="2"/>
  <c r="A796" i="2"/>
  <c r="P795" i="2"/>
  <c r="O795" i="2"/>
  <c r="N795" i="2"/>
  <c r="K795" i="2"/>
  <c r="J795" i="2"/>
  <c r="I795" i="2"/>
  <c r="H795" i="2"/>
  <c r="G795" i="2"/>
  <c r="F795" i="2"/>
  <c r="E795" i="2"/>
  <c r="D795" i="2"/>
  <c r="C795" i="2"/>
  <c r="B795" i="2"/>
  <c r="A795" i="2"/>
  <c r="P794" i="2"/>
  <c r="O794" i="2"/>
  <c r="N794" i="2"/>
  <c r="K794" i="2"/>
  <c r="J794" i="2"/>
  <c r="I794" i="2"/>
  <c r="H794" i="2"/>
  <c r="G794" i="2"/>
  <c r="F794" i="2"/>
  <c r="E794" i="2"/>
  <c r="D794" i="2"/>
  <c r="C794" i="2"/>
  <c r="B794" i="2"/>
  <c r="A794" i="2"/>
  <c r="P793" i="2"/>
  <c r="O793" i="2"/>
  <c r="N793" i="2"/>
  <c r="K793" i="2"/>
  <c r="J793" i="2"/>
  <c r="I793" i="2"/>
  <c r="H793" i="2"/>
  <c r="G793" i="2"/>
  <c r="F793" i="2"/>
  <c r="E793" i="2"/>
  <c r="D793" i="2"/>
  <c r="C793" i="2"/>
  <c r="B793" i="2"/>
  <c r="A793" i="2"/>
  <c r="S792" i="2"/>
  <c r="R792" i="2"/>
  <c r="Q792" i="2"/>
  <c r="P792" i="2"/>
  <c r="O792" i="2"/>
  <c r="N792" i="2"/>
  <c r="M792" i="2"/>
  <c r="L792" i="2"/>
  <c r="K792" i="2"/>
  <c r="J792" i="2"/>
  <c r="I792" i="2"/>
  <c r="H792" i="2"/>
  <c r="G792" i="2"/>
  <c r="F792" i="2"/>
  <c r="E792" i="2"/>
  <c r="D792" i="2"/>
  <c r="C792" i="2"/>
  <c r="B792" i="2"/>
  <c r="A792" i="2"/>
  <c r="P791" i="2"/>
  <c r="O791" i="2"/>
  <c r="N791" i="2"/>
  <c r="M791" i="2"/>
  <c r="L791" i="2"/>
  <c r="K791" i="2"/>
  <c r="J791" i="2"/>
  <c r="I791" i="2"/>
  <c r="H791" i="2"/>
  <c r="G791" i="2"/>
  <c r="F791" i="2"/>
  <c r="E791" i="2"/>
  <c r="D791" i="2"/>
  <c r="C791" i="2"/>
  <c r="B791" i="2"/>
  <c r="A791" i="2"/>
  <c r="R790" i="2"/>
  <c r="O790" i="2"/>
  <c r="N790" i="2"/>
  <c r="J790" i="2"/>
  <c r="I790" i="2"/>
  <c r="H790" i="2"/>
  <c r="G790" i="2"/>
  <c r="F790" i="2"/>
  <c r="E790" i="2"/>
  <c r="D790" i="2"/>
  <c r="C790" i="2"/>
  <c r="B790" i="2"/>
  <c r="A790" i="2"/>
  <c r="Q789" i="2"/>
  <c r="P789" i="2"/>
  <c r="O789" i="2"/>
  <c r="N789" i="2"/>
  <c r="M789" i="2"/>
  <c r="K789" i="2"/>
  <c r="J789" i="2"/>
  <c r="I789" i="2"/>
  <c r="H789" i="2"/>
  <c r="G789" i="2"/>
  <c r="F789" i="2"/>
  <c r="E789" i="2"/>
  <c r="D789" i="2"/>
  <c r="C789" i="2"/>
  <c r="B789" i="2"/>
  <c r="A789" i="2"/>
  <c r="O788" i="2"/>
  <c r="N788" i="2"/>
  <c r="J788" i="2"/>
  <c r="I788" i="2"/>
  <c r="H788" i="2"/>
  <c r="G788" i="2"/>
  <c r="F788" i="2"/>
  <c r="E788" i="2"/>
  <c r="D788" i="2"/>
  <c r="C788" i="2"/>
  <c r="B788" i="2"/>
  <c r="A788" i="2"/>
  <c r="O787" i="2"/>
  <c r="N787" i="2"/>
  <c r="M787" i="2"/>
  <c r="K787" i="2"/>
  <c r="J787" i="2"/>
  <c r="I787" i="2"/>
  <c r="H787" i="2"/>
  <c r="G787" i="2"/>
  <c r="F787" i="2"/>
  <c r="E787" i="2"/>
  <c r="D787" i="2"/>
  <c r="C787" i="2"/>
  <c r="B787" i="2"/>
  <c r="A787" i="2"/>
  <c r="Q786" i="2"/>
  <c r="P786" i="2"/>
  <c r="O786" i="2"/>
  <c r="N786" i="2"/>
  <c r="M786" i="2"/>
  <c r="K786" i="2"/>
  <c r="J786" i="2"/>
  <c r="I786" i="2"/>
  <c r="H786" i="2"/>
  <c r="G786" i="2"/>
  <c r="F786" i="2"/>
  <c r="E786" i="2"/>
  <c r="D786" i="2"/>
  <c r="C786" i="2"/>
  <c r="B786" i="2"/>
  <c r="A786" i="2"/>
  <c r="R785" i="2"/>
  <c r="O785" i="2"/>
  <c r="N785" i="2"/>
  <c r="L785" i="2"/>
  <c r="J785" i="2"/>
  <c r="I785" i="2"/>
  <c r="H785" i="2"/>
  <c r="G785" i="2"/>
  <c r="F785" i="2"/>
  <c r="E785" i="2"/>
  <c r="D785" i="2"/>
  <c r="C785" i="2"/>
  <c r="B785" i="2"/>
  <c r="A785" i="2"/>
  <c r="P784" i="2"/>
  <c r="O784" i="2"/>
  <c r="N784" i="2"/>
  <c r="M784" i="2"/>
  <c r="L784" i="2"/>
  <c r="K784" i="2"/>
  <c r="J784" i="2"/>
  <c r="I784" i="2"/>
  <c r="H784" i="2"/>
  <c r="G784" i="2"/>
  <c r="F784" i="2"/>
  <c r="E784" i="2"/>
  <c r="D784" i="2"/>
  <c r="C784" i="2"/>
  <c r="B784" i="2"/>
  <c r="A784" i="2"/>
  <c r="O783" i="2"/>
  <c r="N783" i="2"/>
  <c r="L783" i="2"/>
  <c r="J783" i="2"/>
  <c r="I783" i="2"/>
  <c r="H783" i="2"/>
  <c r="G783" i="2"/>
  <c r="F783" i="2"/>
  <c r="E783" i="2"/>
  <c r="D783" i="2"/>
  <c r="C783" i="2"/>
  <c r="B783" i="2"/>
  <c r="A783" i="2"/>
  <c r="P782" i="2"/>
  <c r="O782" i="2"/>
  <c r="N782" i="2"/>
  <c r="K782" i="2"/>
  <c r="J782" i="2"/>
  <c r="I782" i="2"/>
  <c r="H782" i="2"/>
  <c r="G782" i="2"/>
  <c r="F782" i="2"/>
  <c r="E782" i="2"/>
  <c r="D782" i="2"/>
  <c r="C782" i="2"/>
  <c r="B782" i="2"/>
  <c r="A782" i="2"/>
  <c r="Q781" i="2"/>
  <c r="P781" i="2"/>
  <c r="O781" i="2"/>
  <c r="N781" i="2"/>
  <c r="M781" i="2"/>
  <c r="K781" i="2"/>
  <c r="J781" i="2"/>
  <c r="I781" i="2"/>
  <c r="H781" i="2"/>
  <c r="G781" i="2"/>
  <c r="F781" i="2"/>
  <c r="E781" i="2"/>
  <c r="D781" i="2"/>
  <c r="C781" i="2"/>
  <c r="B781" i="2"/>
  <c r="A781" i="2"/>
  <c r="O780" i="2"/>
  <c r="N780" i="2"/>
  <c r="J780" i="2"/>
  <c r="I780" i="2"/>
  <c r="H780" i="2"/>
  <c r="G780" i="2"/>
  <c r="F780" i="2"/>
  <c r="E780" i="2"/>
  <c r="D780" i="2"/>
  <c r="C780" i="2"/>
  <c r="B780" i="2"/>
  <c r="A780" i="2"/>
  <c r="Q779" i="2"/>
  <c r="P779" i="2"/>
  <c r="O779" i="2"/>
  <c r="N779" i="2"/>
  <c r="M779" i="2"/>
  <c r="K779" i="2"/>
  <c r="J779" i="2"/>
  <c r="I779" i="2"/>
  <c r="H779" i="2"/>
  <c r="G779" i="2"/>
  <c r="F779" i="2"/>
  <c r="E779" i="2"/>
  <c r="D779" i="2"/>
  <c r="C779" i="2"/>
  <c r="B779" i="2"/>
  <c r="A779" i="2"/>
  <c r="S778" i="2"/>
  <c r="R778" i="2"/>
  <c r="Q778" i="2"/>
  <c r="P778" i="2"/>
  <c r="O778" i="2"/>
  <c r="N778" i="2"/>
  <c r="M778" i="2"/>
  <c r="L778" i="2"/>
  <c r="K778" i="2"/>
  <c r="J778" i="2"/>
  <c r="I778" i="2"/>
  <c r="H778" i="2"/>
  <c r="G778" i="2"/>
  <c r="F778" i="2"/>
  <c r="E778" i="2"/>
  <c r="D778" i="2"/>
  <c r="C778" i="2"/>
  <c r="B778" i="2"/>
  <c r="A778" i="2"/>
  <c r="S777" i="2"/>
  <c r="R777" i="2"/>
  <c r="Q777" i="2"/>
  <c r="P777" i="2"/>
  <c r="O777" i="2"/>
  <c r="N777" i="2"/>
  <c r="M777" i="2"/>
  <c r="L777" i="2"/>
  <c r="K777" i="2"/>
  <c r="J777" i="2"/>
  <c r="I777" i="2"/>
  <c r="H777" i="2"/>
  <c r="G777" i="2"/>
  <c r="F777" i="2"/>
  <c r="E777" i="2"/>
  <c r="D777" i="2"/>
  <c r="C777" i="2"/>
  <c r="B777" i="2"/>
  <c r="A777" i="2"/>
  <c r="P776" i="2"/>
  <c r="O776" i="2"/>
  <c r="N776" i="2"/>
  <c r="M776" i="2"/>
  <c r="K776" i="2"/>
  <c r="J776" i="2"/>
  <c r="I776" i="2"/>
  <c r="H776" i="2"/>
  <c r="G776" i="2"/>
  <c r="F776" i="2"/>
  <c r="E776" i="2"/>
  <c r="D776" i="2"/>
  <c r="C776" i="2"/>
  <c r="B776" i="2"/>
  <c r="A776" i="2"/>
  <c r="P775" i="2"/>
  <c r="O775" i="2"/>
  <c r="N775" i="2"/>
  <c r="M775" i="2"/>
  <c r="K775" i="2"/>
  <c r="J775" i="2"/>
  <c r="I775" i="2"/>
  <c r="H775" i="2"/>
  <c r="G775" i="2"/>
  <c r="F775" i="2"/>
  <c r="E775" i="2"/>
  <c r="D775" i="2"/>
  <c r="C775" i="2"/>
  <c r="B775" i="2"/>
  <c r="A775" i="2"/>
  <c r="P774" i="2"/>
  <c r="O774" i="2"/>
  <c r="N774" i="2"/>
  <c r="K774" i="2"/>
  <c r="J774" i="2"/>
  <c r="I774" i="2"/>
  <c r="H774" i="2"/>
  <c r="G774" i="2"/>
  <c r="F774" i="2"/>
  <c r="E774" i="2"/>
  <c r="D774" i="2"/>
  <c r="C774" i="2"/>
  <c r="B774" i="2"/>
  <c r="A774" i="2"/>
  <c r="P773" i="2"/>
  <c r="O773" i="2"/>
  <c r="N773" i="2"/>
  <c r="M773" i="2"/>
  <c r="K773" i="2"/>
  <c r="J773" i="2"/>
  <c r="I773" i="2"/>
  <c r="H773" i="2"/>
  <c r="G773" i="2"/>
  <c r="F773" i="2"/>
  <c r="E773" i="2"/>
  <c r="D773" i="2"/>
  <c r="C773" i="2"/>
  <c r="B773" i="2"/>
  <c r="A773" i="2"/>
  <c r="O772" i="2"/>
  <c r="N772" i="2"/>
  <c r="L772" i="2"/>
  <c r="J772" i="2"/>
  <c r="I772" i="2"/>
  <c r="H772" i="2"/>
  <c r="G772" i="2"/>
  <c r="F772" i="2"/>
  <c r="E772" i="2"/>
  <c r="D772" i="2"/>
  <c r="C772" i="2"/>
  <c r="B772" i="2"/>
  <c r="A772" i="2"/>
  <c r="O771" i="2"/>
  <c r="N771" i="2"/>
  <c r="J771" i="2"/>
  <c r="I771" i="2"/>
  <c r="H771" i="2"/>
  <c r="G771" i="2"/>
  <c r="F771" i="2"/>
  <c r="E771" i="2"/>
  <c r="D771" i="2"/>
  <c r="C771" i="2"/>
  <c r="B771" i="2"/>
  <c r="A771" i="2"/>
  <c r="P770" i="2"/>
  <c r="O770" i="2"/>
  <c r="N770" i="2"/>
  <c r="M770" i="2"/>
  <c r="K770" i="2"/>
  <c r="J770" i="2"/>
  <c r="I770" i="2"/>
  <c r="H770" i="2"/>
  <c r="G770" i="2"/>
  <c r="F770" i="2"/>
  <c r="E770" i="2"/>
  <c r="D770" i="2"/>
  <c r="C770" i="2"/>
  <c r="B770" i="2"/>
  <c r="A770" i="2"/>
  <c r="O769" i="2"/>
  <c r="N769" i="2"/>
  <c r="J769" i="2"/>
  <c r="I769" i="2"/>
  <c r="H769" i="2"/>
  <c r="G769" i="2"/>
  <c r="F769" i="2"/>
  <c r="E769" i="2"/>
  <c r="D769" i="2"/>
  <c r="C769" i="2"/>
  <c r="B769" i="2"/>
  <c r="A769" i="2"/>
  <c r="P768" i="2"/>
  <c r="O768" i="2"/>
  <c r="N768" i="2"/>
  <c r="K768" i="2"/>
  <c r="J768" i="2"/>
  <c r="I768" i="2"/>
  <c r="H768" i="2"/>
  <c r="G768" i="2"/>
  <c r="F768" i="2"/>
  <c r="E768" i="2"/>
  <c r="D768" i="2"/>
  <c r="C768" i="2"/>
  <c r="B768" i="2"/>
  <c r="A768" i="2"/>
  <c r="P767" i="2"/>
  <c r="O767" i="2"/>
  <c r="N767" i="2"/>
  <c r="K767" i="2"/>
  <c r="J767" i="2"/>
  <c r="I767" i="2"/>
  <c r="H767" i="2"/>
  <c r="G767" i="2"/>
  <c r="F767" i="2"/>
  <c r="E767" i="2"/>
  <c r="D767" i="2"/>
  <c r="C767" i="2"/>
  <c r="B767" i="2"/>
  <c r="A767" i="2"/>
  <c r="P766" i="2"/>
  <c r="O766" i="2"/>
  <c r="N766" i="2"/>
  <c r="K766" i="2"/>
  <c r="J766" i="2"/>
  <c r="I766" i="2"/>
  <c r="H766" i="2"/>
  <c r="G766" i="2"/>
  <c r="F766" i="2"/>
  <c r="E766" i="2"/>
  <c r="D766" i="2"/>
  <c r="C766" i="2"/>
  <c r="B766" i="2"/>
  <c r="A766" i="2"/>
  <c r="O765" i="2"/>
  <c r="N765" i="2"/>
  <c r="J765" i="2"/>
  <c r="I765" i="2"/>
  <c r="H765" i="2"/>
  <c r="G765" i="2"/>
  <c r="F765" i="2"/>
  <c r="E765" i="2"/>
  <c r="D765" i="2"/>
  <c r="C765" i="2"/>
  <c r="B765" i="2"/>
  <c r="A765" i="2"/>
  <c r="P764" i="2"/>
  <c r="O764" i="2"/>
  <c r="N764" i="2"/>
  <c r="K764" i="2"/>
  <c r="J764" i="2"/>
  <c r="I764" i="2"/>
  <c r="H764" i="2"/>
  <c r="G764" i="2"/>
  <c r="F764" i="2"/>
  <c r="E764" i="2"/>
  <c r="D764" i="2"/>
  <c r="C764" i="2"/>
  <c r="B764" i="2"/>
  <c r="A764" i="2"/>
  <c r="O763" i="2"/>
  <c r="N763" i="2"/>
  <c r="J763" i="2"/>
  <c r="I763" i="2"/>
  <c r="H763" i="2"/>
  <c r="G763" i="2"/>
  <c r="F763" i="2"/>
  <c r="E763" i="2"/>
  <c r="D763" i="2"/>
  <c r="C763" i="2"/>
  <c r="B763" i="2"/>
  <c r="A763" i="2"/>
  <c r="R762" i="2"/>
  <c r="O762" i="2"/>
  <c r="N762" i="2"/>
  <c r="L762" i="2"/>
  <c r="J762" i="2"/>
  <c r="I762" i="2"/>
  <c r="H762" i="2"/>
  <c r="G762" i="2"/>
  <c r="F762" i="2"/>
  <c r="E762" i="2"/>
  <c r="D762" i="2"/>
  <c r="C762" i="2"/>
  <c r="B762" i="2"/>
  <c r="A762" i="2"/>
  <c r="R761" i="2"/>
  <c r="O761" i="2"/>
  <c r="N761" i="2"/>
  <c r="L761" i="2"/>
  <c r="J761" i="2"/>
  <c r="I761" i="2"/>
  <c r="H761" i="2"/>
  <c r="G761" i="2"/>
  <c r="F761" i="2"/>
  <c r="E761" i="2"/>
  <c r="D761" i="2"/>
  <c r="C761" i="2"/>
  <c r="B761" i="2"/>
  <c r="A761" i="2"/>
  <c r="P760" i="2"/>
  <c r="O760" i="2"/>
  <c r="N760" i="2"/>
  <c r="L760" i="2"/>
  <c r="K760" i="2"/>
  <c r="J760" i="2"/>
  <c r="I760" i="2"/>
  <c r="H760" i="2"/>
  <c r="G760" i="2"/>
  <c r="F760" i="2"/>
  <c r="E760" i="2"/>
  <c r="D760" i="2"/>
  <c r="C760" i="2"/>
  <c r="B760" i="2"/>
  <c r="A760" i="2"/>
  <c r="P759" i="2"/>
  <c r="O759" i="2"/>
  <c r="N759" i="2"/>
  <c r="M759" i="2"/>
  <c r="K759" i="2"/>
  <c r="J759" i="2"/>
  <c r="I759" i="2"/>
  <c r="H759" i="2"/>
  <c r="G759" i="2"/>
  <c r="F759" i="2"/>
  <c r="E759" i="2"/>
  <c r="D759" i="2"/>
  <c r="C759" i="2"/>
  <c r="B759" i="2"/>
  <c r="A759" i="2"/>
  <c r="P758" i="2"/>
  <c r="O758" i="2"/>
  <c r="N758" i="2"/>
  <c r="M758" i="2"/>
  <c r="K758" i="2"/>
  <c r="J758" i="2"/>
  <c r="I758" i="2"/>
  <c r="H758" i="2"/>
  <c r="G758" i="2"/>
  <c r="F758" i="2"/>
  <c r="E758" i="2"/>
  <c r="D758" i="2"/>
  <c r="C758" i="2"/>
  <c r="B758" i="2"/>
  <c r="A758" i="2"/>
  <c r="O757" i="2"/>
  <c r="N757" i="2"/>
  <c r="J757" i="2"/>
  <c r="I757" i="2"/>
  <c r="H757" i="2"/>
  <c r="G757" i="2"/>
  <c r="F757" i="2"/>
  <c r="E757" i="2"/>
  <c r="D757" i="2"/>
  <c r="C757" i="2"/>
  <c r="B757" i="2"/>
  <c r="A757" i="2"/>
  <c r="P756" i="2"/>
  <c r="O756" i="2"/>
  <c r="N756" i="2"/>
  <c r="K756" i="2"/>
  <c r="J756" i="2"/>
  <c r="I756" i="2"/>
  <c r="H756" i="2"/>
  <c r="G756" i="2"/>
  <c r="F756" i="2"/>
  <c r="E756" i="2"/>
  <c r="D756" i="2"/>
  <c r="C756" i="2"/>
  <c r="B756" i="2"/>
  <c r="A756" i="2"/>
  <c r="R755" i="2"/>
  <c r="O755" i="2"/>
  <c r="N755" i="2"/>
  <c r="L755" i="2"/>
  <c r="J755" i="2"/>
  <c r="I755" i="2"/>
  <c r="H755" i="2"/>
  <c r="G755" i="2"/>
  <c r="F755" i="2"/>
  <c r="E755" i="2"/>
  <c r="D755" i="2"/>
  <c r="C755" i="2"/>
  <c r="B755" i="2"/>
  <c r="A755" i="2"/>
  <c r="R754" i="2"/>
  <c r="O754" i="2"/>
  <c r="N754" i="2"/>
  <c r="L754" i="2"/>
  <c r="J754" i="2"/>
  <c r="I754" i="2"/>
  <c r="H754" i="2"/>
  <c r="G754" i="2"/>
  <c r="F754" i="2"/>
  <c r="E754" i="2"/>
  <c r="D754" i="2"/>
  <c r="C754" i="2"/>
  <c r="B754" i="2"/>
  <c r="A754" i="2"/>
  <c r="O753" i="2"/>
  <c r="N753" i="2"/>
  <c r="M753" i="2"/>
  <c r="J753" i="2"/>
  <c r="I753" i="2"/>
  <c r="H753" i="2"/>
  <c r="G753" i="2"/>
  <c r="F753" i="2"/>
  <c r="E753" i="2"/>
  <c r="D753" i="2"/>
  <c r="C753" i="2"/>
  <c r="B753" i="2"/>
  <c r="A753" i="2"/>
  <c r="P752" i="2"/>
  <c r="O752" i="2"/>
  <c r="N752" i="2"/>
  <c r="K752" i="2"/>
  <c r="J752" i="2"/>
  <c r="I752" i="2"/>
  <c r="H752" i="2"/>
  <c r="G752" i="2"/>
  <c r="F752" i="2"/>
  <c r="E752" i="2"/>
  <c r="D752" i="2"/>
  <c r="C752" i="2"/>
  <c r="B752" i="2"/>
  <c r="A752" i="2"/>
  <c r="R751" i="2"/>
  <c r="P751" i="2"/>
  <c r="O751" i="2"/>
  <c r="N751" i="2"/>
  <c r="L751" i="2"/>
  <c r="K751" i="2"/>
  <c r="J751" i="2"/>
  <c r="I751" i="2"/>
  <c r="H751" i="2"/>
  <c r="G751" i="2"/>
  <c r="F751" i="2"/>
  <c r="E751" i="2"/>
  <c r="D751" i="2"/>
  <c r="C751" i="2"/>
  <c r="B751" i="2"/>
  <c r="A751" i="2"/>
  <c r="P750" i="2"/>
  <c r="O750" i="2"/>
  <c r="N750" i="2"/>
  <c r="K750" i="2"/>
  <c r="J750" i="2"/>
  <c r="I750" i="2"/>
  <c r="H750" i="2"/>
  <c r="G750" i="2"/>
  <c r="F750" i="2"/>
  <c r="E750" i="2"/>
  <c r="D750" i="2"/>
  <c r="C750" i="2"/>
  <c r="B750" i="2"/>
  <c r="A750" i="2"/>
  <c r="R749" i="2"/>
  <c r="O749" i="2"/>
  <c r="N749" i="2"/>
  <c r="L749" i="2"/>
  <c r="J749" i="2"/>
  <c r="I749" i="2"/>
  <c r="H749" i="2"/>
  <c r="G749" i="2"/>
  <c r="F749" i="2"/>
  <c r="E749" i="2"/>
  <c r="D749" i="2"/>
  <c r="C749" i="2"/>
  <c r="B749" i="2"/>
  <c r="A749" i="2"/>
  <c r="O748" i="2"/>
  <c r="N748" i="2"/>
  <c r="J748" i="2"/>
  <c r="I748" i="2"/>
  <c r="H748" i="2"/>
  <c r="G748" i="2"/>
  <c r="F748" i="2"/>
  <c r="E748" i="2"/>
  <c r="D748" i="2"/>
  <c r="C748" i="2"/>
  <c r="B748" i="2"/>
  <c r="A748" i="2"/>
  <c r="S747" i="2"/>
  <c r="Q747" i="2"/>
  <c r="P747" i="2"/>
  <c r="O747" i="2"/>
  <c r="N747" i="2"/>
  <c r="K747" i="2"/>
  <c r="J747" i="2"/>
  <c r="I747" i="2"/>
  <c r="H747" i="2"/>
  <c r="G747" i="2"/>
  <c r="F747" i="2"/>
  <c r="E747" i="2"/>
  <c r="D747" i="2"/>
  <c r="C747" i="2"/>
  <c r="B747" i="2"/>
  <c r="A747" i="2"/>
  <c r="R746" i="2"/>
  <c r="P746" i="2"/>
  <c r="O746" i="2"/>
  <c r="N746" i="2"/>
  <c r="M746" i="2"/>
  <c r="L746" i="2"/>
  <c r="K746" i="2"/>
  <c r="J746" i="2"/>
  <c r="I746" i="2"/>
  <c r="H746" i="2"/>
  <c r="G746" i="2"/>
  <c r="F746" i="2"/>
  <c r="E746" i="2"/>
  <c r="D746" i="2"/>
  <c r="C746" i="2"/>
  <c r="B746" i="2"/>
  <c r="A746" i="2"/>
  <c r="S745" i="2"/>
  <c r="R745" i="2"/>
  <c r="Q745" i="2"/>
  <c r="P745" i="2"/>
  <c r="O745" i="2"/>
  <c r="N745" i="2"/>
  <c r="M745" i="2"/>
  <c r="L745" i="2"/>
  <c r="K745" i="2"/>
  <c r="J745" i="2"/>
  <c r="I745" i="2"/>
  <c r="H745" i="2"/>
  <c r="G745" i="2"/>
  <c r="F745" i="2"/>
  <c r="E745" i="2"/>
  <c r="D745" i="2"/>
  <c r="C745" i="2"/>
  <c r="B745" i="2"/>
  <c r="A745" i="2"/>
  <c r="P744" i="2"/>
  <c r="O744" i="2"/>
  <c r="N744" i="2"/>
  <c r="K744" i="2"/>
  <c r="J744" i="2"/>
  <c r="I744" i="2"/>
  <c r="H744" i="2"/>
  <c r="G744" i="2"/>
  <c r="F744" i="2"/>
  <c r="E744" i="2"/>
  <c r="D744" i="2"/>
  <c r="C744" i="2"/>
  <c r="B744" i="2"/>
  <c r="A744" i="2"/>
  <c r="R743" i="2"/>
  <c r="O743" i="2"/>
  <c r="N743" i="2"/>
  <c r="L743" i="2"/>
  <c r="J743" i="2"/>
  <c r="I743" i="2"/>
  <c r="H743" i="2"/>
  <c r="G743" i="2"/>
  <c r="F743" i="2"/>
  <c r="E743" i="2"/>
  <c r="D743" i="2"/>
  <c r="C743" i="2"/>
  <c r="B743" i="2"/>
  <c r="A743" i="2"/>
  <c r="S742" i="2"/>
  <c r="R742" i="2"/>
  <c r="O742" i="2"/>
  <c r="N742" i="2"/>
  <c r="M742" i="2"/>
  <c r="L742" i="2"/>
  <c r="J742" i="2"/>
  <c r="I742" i="2"/>
  <c r="H742" i="2"/>
  <c r="G742" i="2"/>
  <c r="F742" i="2"/>
  <c r="E742" i="2"/>
  <c r="D742" i="2"/>
  <c r="C742" i="2"/>
  <c r="B742" i="2"/>
  <c r="A742" i="2"/>
  <c r="P741" i="2"/>
  <c r="O741" i="2"/>
  <c r="N741" i="2"/>
  <c r="K741" i="2"/>
  <c r="J741" i="2"/>
  <c r="I741" i="2"/>
  <c r="H741" i="2"/>
  <c r="G741" i="2"/>
  <c r="F741" i="2"/>
  <c r="E741" i="2"/>
  <c r="D741" i="2"/>
  <c r="C741" i="2"/>
  <c r="B741" i="2"/>
  <c r="A741" i="2"/>
  <c r="P740" i="2"/>
  <c r="O740" i="2"/>
  <c r="N740" i="2"/>
  <c r="K740" i="2"/>
  <c r="J740" i="2"/>
  <c r="I740" i="2"/>
  <c r="H740" i="2"/>
  <c r="G740" i="2"/>
  <c r="F740" i="2"/>
  <c r="E740" i="2"/>
  <c r="D740" i="2"/>
  <c r="C740" i="2"/>
  <c r="B740" i="2"/>
  <c r="A740" i="2"/>
  <c r="R739" i="2"/>
  <c r="P739" i="2"/>
  <c r="O739" i="2"/>
  <c r="N739" i="2"/>
  <c r="L739" i="2"/>
  <c r="K739" i="2"/>
  <c r="J739" i="2"/>
  <c r="I739" i="2"/>
  <c r="H739" i="2"/>
  <c r="G739" i="2"/>
  <c r="F739" i="2"/>
  <c r="E739" i="2"/>
  <c r="D739" i="2"/>
  <c r="C739" i="2"/>
  <c r="B739" i="2"/>
  <c r="A739" i="2"/>
  <c r="P738" i="2"/>
  <c r="O738" i="2"/>
  <c r="N738" i="2"/>
  <c r="K738" i="2"/>
  <c r="J738" i="2"/>
  <c r="I738" i="2"/>
  <c r="H738" i="2"/>
  <c r="G738" i="2"/>
  <c r="F738" i="2"/>
  <c r="E738" i="2"/>
  <c r="D738" i="2"/>
  <c r="C738" i="2"/>
  <c r="B738" i="2"/>
  <c r="A738" i="2"/>
  <c r="P737" i="2"/>
  <c r="O737" i="2"/>
  <c r="N737" i="2"/>
  <c r="K737" i="2"/>
  <c r="J737" i="2"/>
  <c r="I737" i="2"/>
  <c r="H737" i="2"/>
  <c r="G737" i="2"/>
  <c r="F737" i="2"/>
  <c r="E737" i="2"/>
  <c r="D737" i="2"/>
  <c r="C737" i="2"/>
  <c r="B737" i="2"/>
  <c r="A737" i="2"/>
  <c r="P736" i="2"/>
  <c r="O736" i="2"/>
  <c r="N736" i="2"/>
  <c r="K736" i="2"/>
  <c r="J736" i="2"/>
  <c r="I736" i="2"/>
  <c r="H736" i="2"/>
  <c r="G736" i="2"/>
  <c r="F736" i="2"/>
  <c r="E736" i="2"/>
  <c r="D736" i="2"/>
  <c r="C736" i="2"/>
  <c r="B736" i="2"/>
  <c r="A736" i="2"/>
  <c r="Q735" i="2"/>
  <c r="P735" i="2"/>
  <c r="O735" i="2"/>
  <c r="N735" i="2"/>
  <c r="K735" i="2"/>
  <c r="J735" i="2"/>
  <c r="I735" i="2"/>
  <c r="H735" i="2"/>
  <c r="G735" i="2"/>
  <c r="F735" i="2"/>
  <c r="E735" i="2"/>
  <c r="D735" i="2"/>
  <c r="C735" i="2"/>
  <c r="B735" i="2"/>
  <c r="A735" i="2"/>
  <c r="P734" i="2"/>
  <c r="O734" i="2"/>
  <c r="N734" i="2"/>
  <c r="K734" i="2"/>
  <c r="J734" i="2"/>
  <c r="I734" i="2"/>
  <c r="H734" i="2"/>
  <c r="G734" i="2"/>
  <c r="F734" i="2"/>
  <c r="E734" i="2"/>
  <c r="D734" i="2"/>
  <c r="C734" i="2"/>
  <c r="B734" i="2"/>
  <c r="A734" i="2"/>
  <c r="P733" i="2"/>
  <c r="O733" i="2"/>
  <c r="N733" i="2"/>
  <c r="K733" i="2"/>
  <c r="J733" i="2"/>
  <c r="I733" i="2"/>
  <c r="H733" i="2"/>
  <c r="G733" i="2"/>
  <c r="F733" i="2"/>
  <c r="E733" i="2"/>
  <c r="D733" i="2"/>
  <c r="C733" i="2"/>
  <c r="B733" i="2"/>
  <c r="A733" i="2"/>
  <c r="P732" i="2"/>
  <c r="O732" i="2"/>
  <c r="N732" i="2"/>
  <c r="K732" i="2"/>
  <c r="J732" i="2"/>
  <c r="I732" i="2"/>
  <c r="H732" i="2"/>
  <c r="G732" i="2"/>
  <c r="F732" i="2"/>
  <c r="E732" i="2"/>
  <c r="D732" i="2"/>
  <c r="C732" i="2"/>
  <c r="B732" i="2"/>
  <c r="A732" i="2"/>
  <c r="P731" i="2"/>
  <c r="O731" i="2"/>
  <c r="N731" i="2"/>
  <c r="K731" i="2"/>
  <c r="J731" i="2"/>
  <c r="I731" i="2"/>
  <c r="H731" i="2"/>
  <c r="G731" i="2"/>
  <c r="F731" i="2"/>
  <c r="E731" i="2"/>
  <c r="D731" i="2"/>
  <c r="C731" i="2"/>
  <c r="B731" i="2"/>
  <c r="A731" i="2"/>
  <c r="P730" i="2"/>
  <c r="O730" i="2"/>
  <c r="N730" i="2"/>
  <c r="K730" i="2"/>
  <c r="J730" i="2"/>
  <c r="I730" i="2"/>
  <c r="H730" i="2"/>
  <c r="G730" i="2"/>
  <c r="F730" i="2"/>
  <c r="E730" i="2"/>
  <c r="D730" i="2"/>
  <c r="C730" i="2"/>
  <c r="B730" i="2"/>
  <c r="A730" i="2"/>
  <c r="P729" i="2"/>
  <c r="O729" i="2"/>
  <c r="N729" i="2"/>
  <c r="K729" i="2"/>
  <c r="J729" i="2"/>
  <c r="I729" i="2"/>
  <c r="H729" i="2"/>
  <c r="G729" i="2"/>
  <c r="F729" i="2"/>
  <c r="E729" i="2"/>
  <c r="D729" i="2"/>
  <c r="C729" i="2"/>
  <c r="B729" i="2"/>
  <c r="A729" i="2"/>
  <c r="P728" i="2"/>
  <c r="O728" i="2"/>
  <c r="N728" i="2"/>
  <c r="M728" i="2"/>
  <c r="K728" i="2"/>
  <c r="J728" i="2"/>
  <c r="I728" i="2"/>
  <c r="H728" i="2"/>
  <c r="G728" i="2"/>
  <c r="F728" i="2"/>
  <c r="E728" i="2"/>
  <c r="D728" i="2"/>
  <c r="C728" i="2"/>
  <c r="B728" i="2"/>
  <c r="A728" i="2"/>
  <c r="P727" i="2"/>
  <c r="O727" i="2"/>
  <c r="N727" i="2"/>
  <c r="M727" i="2"/>
  <c r="K727" i="2"/>
  <c r="J727" i="2"/>
  <c r="I727" i="2"/>
  <c r="H727" i="2"/>
  <c r="G727" i="2"/>
  <c r="F727" i="2"/>
  <c r="E727" i="2"/>
  <c r="D727" i="2"/>
  <c r="C727" i="2"/>
  <c r="B727" i="2"/>
  <c r="A727" i="2"/>
  <c r="R726" i="2"/>
  <c r="P726" i="2"/>
  <c r="O726" i="2"/>
  <c r="N726" i="2"/>
  <c r="L726" i="2"/>
  <c r="K726" i="2"/>
  <c r="J726" i="2"/>
  <c r="I726" i="2"/>
  <c r="H726" i="2"/>
  <c r="G726" i="2"/>
  <c r="F726" i="2"/>
  <c r="E726" i="2"/>
  <c r="D726" i="2"/>
  <c r="C726" i="2"/>
  <c r="B726" i="2"/>
  <c r="A726" i="2"/>
  <c r="P725" i="2"/>
  <c r="O725" i="2"/>
  <c r="N725" i="2"/>
  <c r="K725" i="2"/>
  <c r="J725" i="2"/>
  <c r="I725" i="2"/>
  <c r="H725" i="2"/>
  <c r="G725" i="2"/>
  <c r="F725" i="2"/>
  <c r="E725" i="2"/>
  <c r="D725" i="2"/>
  <c r="C725" i="2"/>
  <c r="B725" i="2"/>
  <c r="A725" i="2"/>
  <c r="Q724" i="2"/>
  <c r="P724" i="2"/>
  <c r="O724" i="2"/>
  <c r="N724" i="2"/>
  <c r="K724" i="2"/>
  <c r="J724" i="2"/>
  <c r="I724" i="2"/>
  <c r="H724" i="2"/>
  <c r="G724" i="2"/>
  <c r="F724" i="2"/>
  <c r="E724" i="2"/>
  <c r="D724" i="2"/>
  <c r="C724" i="2"/>
  <c r="B724" i="2"/>
  <c r="A724" i="2"/>
  <c r="P723" i="2"/>
  <c r="O723" i="2"/>
  <c r="N723" i="2"/>
  <c r="K723" i="2"/>
  <c r="J723" i="2"/>
  <c r="I723" i="2"/>
  <c r="H723" i="2"/>
  <c r="G723" i="2"/>
  <c r="F723" i="2"/>
  <c r="E723" i="2"/>
  <c r="D723" i="2"/>
  <c r="C723" i="2"/>
  <c r="B723" i="2"/>
  <c r="A723" i="2"/>
  <c r="Q722" i="2"/>
  <c r="P722" i="2"/>
  <c r="O722" i="2"/>
  <c r="N722" i="2"/>
  <c r="K722" i="2"/>
  <c r="J722" i="2"/>
  <c r="I722" i="2"/>
  <c r="H722" i="2"/>
  <c r="G722" i="2"/>
  <c r="F722" i="2"/>
  <c r="E722" i="2"/>
  <c r="D722" i="2"/>
  <c r="C722" i="2"/>
  <c r="B722" i="2"/>
  <c r="A722" i="2"/>
  <c r="P721" i="2"/>
  <c r="O721" i="2"/>
  <c r="N721" i="2"/>
  <c r="K721" i="2"/>
  <c r="J721" i="2"/>
  <c r="I721" i="2"/>
  <c r="H721" i="2"/>
  <c r="G721" i="2"/>
  <c r="F721" i="2"/>
  <c r="E721" i="2"/>
  <c r="D721" i="2"/>
  <c r="C721" i="2"/>
  <c r="B721" i="2"/>
  <c r="A721" i="2"/>
  <c r="P720" i="2"/>
  <c r="O720" i="2"/>
  <c r="N720" i="2"/>
  <c r="K720" i="2"/>
  <c r="J720" i="2"/>
  <c r="I720" i="2"/>
  <c r="H720" i="2"/>
  <c r="G720" i="2"/>
  <c r="F720" i="2"/>
  <c r="E720" i="2"/>
  <c r="D720" i="2"/>
  <c r="C720" i="2"/>
  <c r="B720" i="2"/>
  <c r="A720" i="2"/>
  <c r="P719" i="2"/>
  <c r="O719" i="2"/>
  <c r="N719" i="2"/>
  <c r="M719" i="2"/>
  <c r="K719" i="2"/>
  <c r="J719" i="2"/>
  <c r="I719" i="2"/>
  <c r="H719" i="2"/>
  <c r="G719" i="2"/>
  <c r="F719" i="2"/>
  <c r="E719" i="2"/>
  <c r="D719" i="2"/>
  <c r="C719" i="2"/>
  <c r="B719" i="2"/>
  <c r="A719" i="2"/>
  <c r="P718" i="2"/>
  <c r="O718" i="2"/>
  <c r="N718" i="2"/>
  <c r="K718" i="2"/>
  <c r="J718" i="2"/>
  <c r="I718" i="2"/>
  <c r="H718" i="2"/>
  <c r="G718" i="2"/>
  <c r="F718" i="2"/>
  <c r="E718" i="2"/>
  <c r="D718" i="2"/>
  <c r="C718" i="2"/>
  <c r="B718" i="2"/>
  <c r="A718" i="2"/>
  <c r="P717" i="2"/>
  <c r="O717" i="2"/>
  <c r="N717" i="2"/>
  <c r="K717" i="2"/>
  <c r="J717" i="2"/>
  <c r="I717" i="2"/>
  <c r="H717" i="2"/>
  <c r="G717" i="2"/>
  <c r="F717" i="2"/>
  <c r="E717" i="2"/>
  <c r="D717" i="2"/>
  <c r="C717" i="2"/>
  <c r="B717" i="2"/>
  <c r="A717" i="2"/>
  <c r="P716" i="2"/>
  <c r="O716" i="2"/>
  <c r="N716" i="2"/>
  <c r="M716" i="2"/>
  <c r="K716" i="2"/>
  <c r="J716" i="2"/>
  <c r="I716" i="2"/>
  <c r="H716" i="2"/>
  <c r="G716" i="2"/>
  <c r="F716" i="2"/>
  <c r="E716" i="2"/>
  <c r="D716" i="2"/>
  <c r="C716" i="2"/>
  <c r="B716" i="2"/>
  <c r="A716" i="2"/>
  <c r="S715" i="2"/>
  <c r="R715" i="2"/>
  <c r="P715" i="2"/>
  <c r="O715" i="2"/>
  <c r="N715" i="2"/>
  <c r="M715" i="2"/>
  <c r="L715" i="2"/>
  <c r="K715" i="2"/>
  <c r="J715" i="2"/>
  <c r="I715" i="2"/>
  <c r="H715" i="2"/>
  <c r="G715" i="2"/>
  <c r="F715" i="2"/>
  <c r="E715" i="2"/>
  <c r="D715" i="2"/>
  <c r="C715" i="2"/>
  <c r="B715" i="2"/>
  <c r="A715" i="2"/>
  <c r="Q714" i="2"/>
  <c r="P714" i="2"/>
  <c r="O714" i="2"/>
  <c r="N714" i="2"/>
  <c r="M714" i="2"/>
  <c r="K714" i="2"/>
  <c r="J714" i="2"/>
  <c r="I714" i="2"/>
  <c r="H714" i="2"/>
  <c r="G714" i="2"/>
  <c r="F714" i="2"/>
  <c r="E714" i="2"/>
  <c r="D714" i="2"/>
  <c r="C714" i="2"/>
  <c r="B714" i="2"/>
  <c r="A714" i="2"/>
  <c r="P713" i="2"/>
  <c r="O713" i="2"/>
  <c r="N713" i="2"/>
  <c r="M713" i="2"/>
  <c r="K713" i="2"/>
  <c r="J713" i="2"/>
  <c r="I713" i="2"/>
  <c r="H713" i="2"/>
  <c r="G713" i="2"/>
  <c r="F713" i="2"/>
  <c r="E713" i="2"/>
  <c r="D713" i="2"/>
  <c r="C713" i="2"/>
  <c r="B713" i="2"/>
  <c r="A713" i="2"/>
  <c r="P712" i="2"/>
  <c r="O712" i="2"/>
  <c r="N712" i="2"/>
  <c r="K712" i="2"/>
  <c r="J712" i="2"/>
  <c r="I712" i="2"/>
  <c r="H712" i="2"/>
  <c r="G712" i="2"/>
  <c r="F712" i="2"/>
  <c r="E712" i="2"/>
  <c r="D712" i="2"/>
  <c r="C712" i="2"/>
  <c r="B712" i="2"/>
  <c r="A712" i="2"/>
  <c r="Q711" i="2"/>
  <c r="P711" i="2"/>
  <c r="O711" i="2"/>
  <c r="N711" i="2"/>
  <c r="M711" i="2"/>
  <c r="K711" i="2"/>
  <c r="J711" i="2"/>
  <c r="I711" i="2"/>
  <c r="H711" i="2"/>
  <c r="G711" i="2"/>
  <c r="F711" i="2"/>
  <c r="E711" i="2"/>
  <c r="D711" i="2"/>
  <c r="C711" i="2"/>
  <c r="B711" i="2"/>
  <c r="A711" i="2"/>
  <c r="O710" i="2"/>
  <c r="N710" i="2"/>
  <c r="J710" i="2"/>
  <c r="I710" i="2"/>
  <c r="H710" i="2"/>
  <c r="G710" i="2"/>
  <c r="F710" i="2"/>
  <c r="E710" i="2"/>
  <c r="D710" i="2"/>
  <c r="C710" i="2"/>
  <c r="B710" i="2"/>
  <c r="A710" i="2"/>
  <c r="Q709" i="2"/>
  <c r="P709" i="2"/>
  <c r="O709" i="2"/>
  <c r="N709" i="2"/>
  <c r="K709" i="2"/>
  <c r="J709" i="2"/>
  <c r="I709" i="2"/>
  <c r="H709" i="2"/>
  <c r="G709" i="2"/>
  <c r="F709" i="2"/>
  <c r="E709" i="2"/>
  <c r="D709" i="2"/>
  <c r="C709" i="2"/>
  <c r="B709" i="2"/>
  <c r="A709" i="2"/>
  <c r="P708" i="2"/>
  <c r="O708" i="2"/>
  <c r="N708" i="2"/>
  <c r="M708" i="2"/>
  <c r="K708" i="2"/>
  <c r="J708" i="2"/>
  <c r="I708" i="2"/>
  <c r="H708" i="2"/>
  <c r="G708" i="2"/>
  <c r="F708" i="2"/>
  <c r="E708" i="2"/>
  <c r="D708" i="2"/>
  <c r="C708" i="2"/>
  <c r="B708" i="2"/>
  <c r="A708" i="2"/>
  <c r="R707" i="2"/>
  <c r="O707" i="2"/>
  <c r="N707" i="2"/>
  <c r="L707" i="2"/>
  <c r="J707" i="2"/>
  <c r="I707" i="2"/>
  <c r="H707" i="2"/>
  <c r="G707" i="2"/>
  <c r="F707" i="2"/>
  <c r="E707" i="2"/>
  <c r="D707" i="2"/>
  <c r="C707" i="2"/>
  <c r="B707" i="2"/>
  <c r="A707" i="2"/>
  <c r="P706" i="2"/>
  <c r="O706" i="2"/>
  <c r="N706" i="2"/>
  <c r="M706" i="2"/>
  <c r="K706" i="2"/>
  <c r="J706" i="2"/>
  <c r="I706" i="2"/>
  <c r="H706" i="2"/>
  <c r="G706" i="2"/>
  <c r="F706" i="2"/>
  <c r="E706" i="2"/>
  <c r="D706" i="2"/>
  <c r="C706" i="2"/>
  <c r="B706" i="2"/>
  <c r="A706" i="2"/>
  <c r="P705" i="2"/>
  <c r="O705" i="2"/>
  <c r="N705" i="2"/>
  <c r="M705" i="2"/>
  <c r="J705" i="2"/>
  <c r="I705" i="2"/>
  <c r="H705" i="2"/>
  <c r="G705" i="2"/>
  <c r="F705" i="2"/>
  <c r="E705" i="2"/>
  <c r="D705" i="2"/>
  <c r="C705" i="2"/>
  <c r="B705" i="2"/>
  <c r="A705" i="2"/>
  <c r="R704" i="2"/>
  <c r="O704" i="2"/>
  <c r="N704" i="2"/>
  <c r="L704" i="2"/>
  <c r="J704" i="2"/>
  <c r="I704" i="2"/>
  <c r="H704" i="2"/>
  <c r="G704" i="2"/>
  <c r="F704" i="2"/>
  <c r="E704" i="2"/>
  <c r="D704" i="2"/>
  <c r="C704" i="2"/>
  <c r="B704" i="2"/>
  <c r="A704" i="2"/>
  <c r="R703" i="2"/>
  <c r="O703" i="2"/>
  <c r="N703" i="2"/>
  <c r="L703" i="2"/>
  <c r="J703" i="2"/>
  <c r="I703" i="2"/>
  <c r="H703" i="2"/>
  <c r="G703" i="2"/>
  <c r="F703" i="2"/>
  <c r="E703" i="2"/>
  <c r="D703" i="2"/>
  <c r="C703" i="2"/>
  <c r="B703" i="2"/>
  <c r="A703" i="2"/>
  <c r="O702" i="2"/>
  <c r="N702" i="2"/>
  <c r="J702" i="2"/>
  <c r="I702" i="2"/>
  <c r="H702" i="2"/>
  <c r="G702" i="2"/>
  <c r="F702" i="2"/>
  <c r="E702" i="2"/>
  <c r="D702" i="2"/>
  <c r="C702" i="2"/>
  <c r="B702" i="2"/>
  <c r="A702" i="2"/>
  <c r="R701" i="2"/>
  <c r="P701" i="2"/>
  <c r="O701" i="2"/>
  <c r="N701" i="2"/>
  <c r="M701" i="2"/>
  <c r="L701" i="2"/>
  <c r="J701" i="2"/>
  <c r="I701" i="2"/>
  <c r="H701" i="2"/>
  <c r="G701" i="2"/>
  <c r="F701" i="2"/>
  <c r="E701" i="2"/>
  <c r="D701" i="2"/>
  <c r="C701" i="2"/>
  <c r="B701" i="2"/>
  <c r="A701" i="2"/>
  <c r="P700" i="2"/>
  <c r="O700" i="2"/>
  <c r="N700" i="2"/>
  <c r="K700" i="2"/>
  <c r="J700" i="2"/>
  <c r="I700" i="2"/>
  <c r="H700" i="2"/>
  <c r="G700" i="2"/>
  <c r="F700" i="2"/>
  <c r="E700" i="2"/>
  <c r="D700" i="2"/>
  <c r="C700" i="2"/>
  <c r="B700" i="2"/>
  <c r="A700" i="2"/>
  <c r="P699" i="2"/>
  <c r="O699" i="2"/>
  <c r="N699" i="2"/>
  <c r="K699" i="2"/>
  <c r="J699" i="2"/>
  <c r="I699" i="2"/>
  <c r="H699" i="2"/>
  <c r="G699" i="2"/>
  <c r="F699" i="2"/>
  <c r="E699" i="2"/>
  <c r="D699" i="2"/>
  <c r="C699" i="2"/>
  <c r="B699" i="2"/>
  <c r="A699" i="2"/>
  <c r="Q698" i="2"/>
  <c r="P698" i="2"/>
  <c r="O698" i="2"/>
  <c r="N698" i="2"/>
  <c r="M698" i="2"/>
  <c r="K698" i="2"/>
  <c r="J698" i="2"/>
  <c r="I698" i="2"/>
  <c r="H698" i="2"/>
  <c r="G698" i="2"/>
  <c r="F698" i="2"/>
  <c r="E698" i="2"/>
  <c r="D698" i="2"/>
  <c r="C698" i="2"/>
  <c r="B698" i="2"/>
  <c r="A698" i="2"/>
  <c r="O697" i="2"/>
  <c r="N697" i="2"/>
  <c r="L697" i="2"/>
  <c r="J697" i="2"/>
  <c r="I697" i="2"/>
  <c r="H697" i="2"/>
  <c r="G697" i="2"/>
  <c r="F697" i="2"/>
  <c r="E697" i="2"/>
  <c r="D697" i="2"/>
  <c r="C697" i="2"/>
  <c r="B697" i="2"/>
  <c r="A697" i="2"/>
  <c r="P696" i="2"/>
  <c r="O696" i="2"/>
  <c r="N696" i="2"/>
  <c r="K696" i="2"/>
  <c r="J696" i="2"/>
  <c r="I696" i="2"/>
  <c r="H696" i="2"/>
  <c r="G696" i="2"/>
  <c r="F696" i="2"/>
  <c r="E696" i="2"/>
  <c r="D696" i="2"/>
  <c r="C696" i="2"/>
  <c r="B696" i="2"/>
  <c r="A696" i="2"/>
  <c r="P695" i="2"/>
  <c r="O695" i="2"/>
  <c r="N695" i="2"/>
  <c r="M695" i="2"/>
  <c r="K695" i="2"/>
  <c r="J695" i="2"/>
  <c r="I695" i="2"/>
  <c r="H695" i="2"/>
  <c r="G695" i="2"/>
  <c r="F695" i="2"/>
  <c r="E695" i="2"/>
  <c r="D695" i="2"/>
  <c r="C695" i="2"/>
  <c r="B695" i="2"/>
  <c r="A695" i="2"/>
  <c r="Q694" i="2"/>
  <c r="P694" i="2"/>
  <c r="O694" i="2"/>
  <c r="N694" i="2"/>
  <c r="M694" i="2"/>
  <c r="K694" i="2"/>
  <c r="J694" i="2"/>
  <c r="I694" i="2"/>
  <c r="H694" i="2"/>
  <c r="G694" i="2"/>
  <c r="F694" i="2"/>
  <c r="E694" i="2"/>
  <c r="D694" i="2"/>
  <c r="C694" i="2"/>
  <c r="B694" i="2"/>
  <c r="A694" i="2"/>
  <c r="Q693" i="2"/>
  <c r="P693" i="2"/>
  <c r="O693" i="2"/>
  <c r="N693" i="2"/>
  <c r="K693" i="2"/>
  <c r="J693" i="2"/>
  <c r="I693" i="2"/>
  <c r="H693" i="2"/>
  <c r="G693" i="2"/>
  <c r="F693" i="2"/>
  <c r="E693" i="2"/>
  <c r="D693" i="2"/>
  <c r="C693" i="2"/>
  <c r="B693" i="2"/>
  <c r="A693" i="2"/>
  <c r="P692" i="2"/>
  <c r="O692" i="2"/>
  <c r="N692" i="2"/>
  <c r="M692" i="2"/>
  <c r="K692" i="2"/>
  <c r="J692" i="2"/>
  <c r="I692" i="2"/>
  <c r="H692" i="2"/>
  <c r="G692" i="2"/>
  <c r="F692" i="2"/>
  <c r="E692" i="2"/>
  <c r="D692" i="2"/>
  <c r="C692" i="2"/>
  <c r="B692" i="2"/>
  <c r="A692" i="2"/>
  <c r="P691" i="2"/>
  <c r="O691" i="2"/>
  <c r="N691" i="2"/>
  <c r="K691" i="2"/>
  <c r="J691" i="2"/>
  <c r="I691" i="2"/>
  <c r="H691" i="2"/>
  <c r="G691" i="2"/>
  <c r="F691" i="2"/>
  <c r="E691" i="2"/>
  <c r="D691" i="2"/>
  <c r="C691" i="2"/>
  <c r="B691" i="2"/>
  <c r="A691" i="2"/>
  <c r="R690" i="2"/>
  <c r="O690" i="2"/>
  <c r="N690" i="2"/>
  <c r="L690" i="2"/>
  <c r="J690" i="2"/>
  <c r="I690" i="2"/>
  <c r="H690" i="2"/>
  <c r="G690" i="2"/>
  <c r="F690" i="2"/>
  <c r="E690" i="2"/>
  <c r="D690" i="2"/>
  <c r="C690" i="2"/>
  <c r="B690" i="2"/>
  <c r="A690" i="2"/>
  <c r="Q689" i="2"/>
  <c r="P689" i="2"/>
  <c r="O689" i="2"/>
  <c r="N689" i="2"/>
  <c r="M689" i="2"/>
  <c r="K689" i="2"/>
  <c r="J689" i="2"/>
  <c r="I689" i="2"/>
  <c r="H689" i="2"/>
  <c r="G689" i="2"/>
  <c r="F689" i="2"/>
  <c r="E689" i="2"/>
  <c r="D689" i="2"/>
  <c r="C689" i="2"/>
  <c r="B689" i="2"/>
  <c r="A689" i="2"/>
  <c r="O688" i="2"/>
  <c r="N688" i="2"/>
  <c r="J688" i="2"/>
  <c r="I688" i="2"/>
  <c r="H688" i="2"/>
  <c r="G688" i="2"/>
  <c r="F688" i="2"/>
  <c r="E688" i="2"/>
  <c r="D688" i="2"/>
  <c r="C688" i="2"/>
  <c r="B688" i="2"/>
  <c r="A688" i="2"/>
  <c r="P687" i="2"/>
  <c r="O687" i="2"/>
  <c r="N687" i="2"/>
  <c r="K687" i="2"/>
  <c r="J687" i="2"/>
  <c r="I687" i="2"/>
  <c r="H687" i="2"/>
  <c r="G687" i="2"/>
  <c r="F687" i="2"/>
  <c r="E687" i="2"/>
  <c r="D687" i="2"/>
  <c r="C687" i="2"/>
  <c r="B687" i="2"/>
  <c r="A687" i="2"/>
  <c r="O686" i="2"/>
  <c r="N686" i="2"/>
  <c r="J686" i="2"/>
  <c r="I686" i="2"/>
  <c r="H686" i="2"/>
  <c r="G686" i="2"/>
  <c r="F686" i="2"/>
  <c r="E686" i="2"/>
  <c r="D686" i="2"/>
  <c r="C686" i="2"/>
  <c r="B686" i="2"/>
  <c r="A686" i="2"/>
  <c r="P685" i="2"/>
  <c r="O685" i="2"/>
  <c r="N685" i="2"/>
  <c r="K685" i="2"/>
  <c r="J685" i="2"/>
  <c r="I685" i="2"/>
  <c r="H685" i="2"/>
  <c r="G685" i="2"/>
  <c r="F685" i="2"/>
  <c r="E685" i="2"/>
  <c r="D685" i="2"/>
  <c r="C685" i="2"/>
  <c r="B685" i="2"/>
  <c r="A685" i="2"/>
  <c r="Q684" i="2"/>
  <c r="P684" i="2"/>
  <c r="O684" i="2"/>
  <c r="N684" i="2"/>
  <c r="K684" i="2"/>
  <c r="J684" i="2"/>
  <c r="I684" i="2"/>
  <c r="H684" i="2"/>
  <c r="G684" i="2"/>
  <c r="F684" i="2"/>
  <c r="E684" i="2"/>
  <c r="D684" i="2"/>
  <c r="C684" i="2"/>
  <c r="B684" i="2"/>
  <c r="A684" i="2"/>
  <c r="O683" i="2"/>
  <c r="N683" i="2"/>
  <c r="J683" i="2"/>
  <c r="I683" i="2"/>
  <c r="H683" i="2"/>
  <c r="G683" i="2"/>
  <c r="F683" i="2"/>
  <c r="E683" i="2"/>
  <c r="D683" i="2"/>
  <c r="C683" i="2"/>
  <c r="B683" i="2"/>
  <c r="A683" i="2"/>
  <c r="O682" i="2"/>
  <c r="N682" i="2"/>
  <c r="M682" i="2"/>
  <c r="J682" i="2"/>
  <c r="I682" i="2"/>
  <c r="H682" i="2"/>
  <c r="G682" i="2"/>
  <c r="F682" i="2"/>
  <c r="E682" i="2"/>
  <c r="D682" i="2"/>
  <c r="C682" i="2"/>
  <c r="B682" i="2"/>
  <c r="A682" i="2"/>
  <c r="Q681" i="2"/>
  <c r="P681" i="2"/>
  <c r="O681" i="2"/>
  <c r="N681" i="2"/>
  <c r="K681" i="2"/>
  <c r="J681" i="2"/>
  <c r="I681" i="2"/>
  <c r="H681" i="2"/>
  <c r="G681" i="2"/>
  <c r="F681" i="2"/>
  <c r="E681" i="2"/>
  <c r="D681" i="2"/>
  <c r="C681" i="2"/>
  <c r="B681" i="2"/>
  <c r="A681" i="2"/>
  <c r="P680" i="2"/>
  <c r="O680" i="2"/>
  <c r="N680" i="2"/>
  <c r="K680" i="2"/>
  <c r="J680" i="2"/>
  <c r="I680" i="2"/>
  <c r="H680" i="2"/>
  <c r="G680" i="2"/>
  <c r="F680" i="2"/>
  <c r="E680" i="2"/>
  <c r="D680" i="2"/>
  <c r="C680" i="2"/>
  <c r="B680" i="2"/>
  <c r="A680" i="2"/>
  <c r="S679" i="2"/>
  <c r="R679" i="2"/>
  <c r="Q679" i="2"/>
  <c r="P679" i="2"/>
  <c r="O679" i="2"/>
  <c r="N679" i="2"/>
  <c r="M679" i="2"/>
  <c r="L679" i="2"/>
  <c r="K679" i="2"/>
  <c r="J679" i="2"/>
  <c r="I679" i="2"/>
  <c r="H679" i="2"/>
  <c r="G679" i="2"/>
  <c r="F679" i="2"/>
  <c r="E679" i="2"/>
  <c r="D679" i="2"/>
  <c r="C679" i="2"/>
  <c r="B679" i="2"/>
  <c r="A679" i="2"/>
  <c r="Q678" i="2"/>
  <c r="P678" i="2"/>
  <c r="O678" i="2"/>
  <c r="N678" i="2"/>
  <c r="K678" i="2"/>
  <c r="J678" i="2"/>
  <c r="I678" i="2"/>
  <c r="H678" i="2"/>
  <c r="G678" i="2"/>
  <c r="F678" i="2"/>
  <c r="E678" i="2"/>
  <c r="D678" i="2"/>
  <c r="C678" i="2"/>
  <c r="B678" i="2"/>
  <c r="A678" i="2"/>
  <c r="P677" i="2"/>
  <c r="O677" i="2"/>
  <c r="N677" i="2"/>
  <c r="M677" i="2"/>
  <c r="K677" i="2"/>
  <c r="J677" i="2"/>
  <c r="I677" i="2"/>
  <c r="H677" i="2"/>
  <c r="G677" i="2"/>
  <c r="F677" i="2"/>
  <c r="E677" i="2"/>
  <c r="D677" i="2"/>
  <c r="C677" i="2"/>
  <c r="B677" i="2"/>
  <c r="A677" i="2"/>
  <c r="Q676" i="2"/>
  <c r="P676" i="2"/>
  <c r="O676" i="2"/>
  <c r="N676" i="2"/>
  <c r="K676" i="2"/>
  <c r="J676" i="2"/>
  <c r="I676" i="2"/>
  <c r="H676" i="2"/>
  <c r="G676" i="2"/>
  <c r="F676" i="2"/>
  <c r="E676" i="2"/>
  <c r="D676" i="2"/>
  <c r="C676" i="2"/>
  <c r="B676" i="2"/>
  <c r="A676" i="2"/>
  <c r="S675" i="2"/>
  <c r="Q675" i="2"/>
  <c r="P675" i="2"/>
  <c r="O675" i="2"/>
  <c r="N675" i="2"/>
  <c r="M675" i="2"/>
  <c r="K675" i="2"/>
  <c r="J675" i="2"/>
  <c r="I675" i="2"/>
  <c r="H675" i="2"/>
  <c r="G675" i="2"/>
  <c r="F675" i="2"/>
  <c r="E675" i="2"/>
  <c r="D675" i="2"/>
  <c r="C675" i="2"/>
  <c r="B675" i="2"/>
  <c r="A675" i="2"/>
  <c r="Q674" i="2"/>
  <c r="P674" i="2"/>
  <c r="O674" i="2"/>
  <c r="N674" i="2"/>
  <c r="K674" i="2"/>
  <c r="J674" i="2"/>
  <c r="I674" i="2"/>
  <c r="H674" i="2"/>
  <c r="G674" i="2"/>
  <c r="F674" i="2"/>
  <c r="E674" i="2"/>
  <c r="D674" i="2"/>
  <c r="C674" i="2"/>
  <c r="B674" i="2"/>
  <c r="A674" i="2"/>
  <c r="Q673" i="2"/>
  <c r="P673" i="2"/>
  <c r="O673" i="2"/>
  <c r="N673" i="2"/>
  <c r="K673" i="2"/>
  <c r="J673" i="2"/>
  <c r="I673" i="2"/>
  <c r="H673" i="2"/>
  <c r="G673" i="2"/>
  <c r="F673" i="2"/>
  <c r="E673" i="2"/>
  <c r="D673" i="2"/>
  <c r="C673" i="2"/>
  <c r="B673" i="2"/>
  <c r="A673" i="2"/>
  <c r="Q672" i="2"/>
  <c r="P672" i="2"/>
  <c r="O672" i="2"/>
  <c r="N672" i="2"/>
  <c r="K672" i="2"/>
  <c r="J672" i="2"/>
  <c r="I672" i="2"/>
  <c r="H672" i="2"/>
  <c r="G672" i="2"/>
  <c r="F672" i="2"/>
  <c r="E672" i="2"/>
  <c r="D672" i="2"/>
  <c r="C672" i="2"/>
  <c r="B672" i="2"/>
  <c r="A672" i="2"/>
  <c r="R671" i="2"/>
  <c r="P671" i="2"/>
  <c r="O671" i="2"/>
  <c r="N671" i="2"/>
  <c r="M671" i="2"/>
  <c r="L671" i="2"/>
  <c r="K671" i="2"/>
  <c r="J671" i="2"/>
  <c r="I671" i="2"/>
  <c r="H671" i="2"/>
  <c r="G671" i="2"/>
  <c r="F671" i="2"/>
  <c r="E671" i="2"/>
  <c r="D671" i="2"/>
  <c r="C671" i="2"/>
  <c r="B671" i="2"/>
  <c r="A671" i="2"/>
  <c r="R670" i="2"/>
  <c r="O670" i="2"/>
  <c r="N670" i="2"/>
  <c r="M670" i="2"/>
  <c r="L670" i="2"/>
  <c r="J670" i="2"/>
  <c r="I670" i="2"/>
  <c r="H670" i="2"/>
  <c r="G670" i="2"/>
  <c r="F670" i="2"/>
  <c r="E670" i="2"/>
  <c r="D670" i="2"/>
  <c r="C670" i="2"/>
  <c r="B670" i="2"/>
  <c r="A670" i="2"/>
  <c r="Q669" i="2"/>
  <c r="P669" i="2"/>
  <c r="O669" i="2"/>
  <c r="N669" i="2"/>
  <c r="M669" i="2"/>
  <c r="K669" i="2"/>
  <c r="J669" i="2"/>
  <c r="I669" i="2"/>
  <c r="H669" i="2"/>
  <c r="G669" i="2"/>
  <c r="F669" i="2"/>
  <c r="E669" i="2"/>
  <c r="D669" i="2"/>
  <c r="C669" i="2"/>
  <c r="B669" i="2"/>
  <c r="A669" i="2"/>
  <c r="R668" i="2"/>
  <c r="O668" i="2"/>
  <c r="N668" i="2"/>
  <c r="L668" i="2"/>
  <c r="J668" i="2"/>
  <c r="I668" i="2"/>
  <c r="H668" i="2"/>
  <c r="G668" i="2"/>
  <c r="F668" i="2"/>
  <c r="E668" i="2"/>
  <c r="D668" i="2"/>
  <c r="C668" i="2"/>
  <c r="B668" i="2"/>
  <c r="A668" i="2"/>
  <c r="P667" i="2"/>
  <c r="O667" i="2"/>
  <c r="N667" i="2"/>
  <c r="K667" i="2"/>
  <c r="J667" i="2"/>
  <c r="I667" i="2"/>
  <c r="H667" i="2"/>
  <c r="G667" i="2"/>
  <c r="F667" i="2"/>
  <c r="E667" i="2"/>
  <c r="D667" i="2"/>
  <c r="C667" i="2"/>
  <c r="B667" i="2"/>
  <c r="A667" i="2"/>
  <c r="R666" i="2"/>
  <c r="O666" i="2"/>
  <c r="N666" i="2"/>
  <c r="M666" i="2"/>
  <c r="J666" i="2"/>
  <c r="I666" i="2"/>
  <c r="H666" i="2"/>
  <c r="G666" i="2"/>
  <c r="F666" i="2"/>
  <c r="E666" i="2"/>
  <c r="D666" i="2"/>
  <c r="C666" i="2"/>
  <c r="B666" i="2"/>
  <c r="A666" i="2"/>
  <c r="P665" i="2"/>
  <c r="O665" i="2"/>
  <c r="N665" i="2"/>
  <c r="K665" i="2"/>
  <c r="J665" i="2"/>
  <c r="I665" i="2"/>
  <c r="H665" i="2"/>
  <c r="G665" i="2"/>
  <c r="F665" i="2"/>
  <c r="E665" i="2"/>
  <c r="D665" i="2"/>
  <c r="C665" i="2"/>
  <c r="B665" i="2"/>
  <c r="A665" i="2"/>
  <c r="Q664" i="2"/>
  <c r="P664" i="2"/>
  <c r="O664" i="2"/>
  <c r="N664" i="2"/>
  <c r="K664" i="2"/>
  <c r="J664" i="2"/>
  <c r="I664" i="2"/>
  <c r="H664" i="2"/>
  <c r="G664" i="2"/>
  <c r="F664" i="2"/>
  <c r="E664" i="2"/>
  <c r="D664" i="2"/>
  <c r="C664" i="2"/>
  <c r="B664" i="2"/>
  <c r="A664" i="2"/>
  <c r="P663" i="2"/>
  <c r="O663" i="2"/>
  <c r="N663" i="2"/>
  <c r="K663" i="2"/>
  <c r="J663" i="2"/>
  <c r="I663" i="2"/>
  <c r="H663" i="2"/>
  <c r="G663" i="2"/>
  <c r="F663" i="2"/>
  <c r="E663" i="2"/>
  <c r="D663" i="2"/>
  <c r="C663" i="2"/>
  <c r="B663" i="2"/>
  <c r="A663" i="2"/>
  <c r="R662" i="2"/>
  <c r="O662" i="2"/>
  <c r="N662" i="2"/>
  <c r="L662" i="2"/>
  <c r="J662" i="2"/>
  <c r="I662" i="2"/>
  <c r="H662" i="2"/>
  <c r="G662" i="2"/>
  <c r="F662" i="2"/>
  <c r="E662" i="2"/>
  <c r="D662" i="2"/>
  <c r="C662" i="2"/>
  <c r="B662" i="2"/>
  <c r="A662" i="2"/>
  <c r="R661" i="2"/>
  <c r="O661" i="2"/>
  <c r="N661" i="2"/>
  <c r="M661" i="2"/>
  <c r="J661" i="2"/>
  <c r="I661" i="2"/>
  <c r="H661" i="2"/>
  <c r="G661" i="2"/>
  <c r="F661" i="2"/>
  <c r="E661" i="2"/>
  <c r="D661" i="2"/>
  <c r="C661" i="2"/>
  <c r="B661" i="2"/>
  <c r="A661" i="2"/>
  <c r="P660" i="2"/>
  <c r="O660" i="2"/>
  <c r="N660" i="2"/>
  <c r="M660" i="2"/>
  <c r="K660" i="2"/>
  <c r="J660" i="2"/>
  <c r="I660" i="2"/>
  <c r="H660" i="2"/>
  <c r="G660" i="2"/>
  <c r="F660" i="2"/>
  <c r="E660" i="2"/>
  <c r="D660" i="2"/>
  <c r="C660" i="2"/>
  <c r="B660" i="2"/>
  <c r="A660" i="2"/>
  <c r="P659" i="2"/>
  <c r="O659" i="2"/>
  <c r="N659" i="2"/>
  <c r="K659" i="2"/>
  <c r="J659" i="2"/>
  <c r="I659" i="2"/>
  <c r="H659" i="2"/>
  <c r="G659" i="2"/>
  <c r="F659" i="2"/>
  <c r="E659" i="2"/>
  <c r="D659" i="2"/>
  <c r="C659" i="2"/>
  <c r="B659" i="2"/>
  <c r="A659" i="2"/>
  <c r="P658" i="2"/>
  <c r="O658" i="2"/>
  <c r="N658" i="2"/>
  <c r="M658" i="2"/>
  <c r="K658" i="2"/>
  <c r="J658" i="2"/>
  <c r="I658" i="2"/>
  <c r="H658" i="2"/>
  <c r="G658" i="2"/>
  <c r="F658" i="2"/>
  <c r="E658" i="2"/>
  <c r="D658" i="2"/>
  <c r="C658" i="2"/>
  <c r="B658" i="2"/>
  <c r="A658" i="2"/>
  <c r="P657" i="2"/>
  <c r="O657" i="2"/>
  <c r="N657" i="2"/>
  <c r="K657" i="2"/>
  <c r="J657" i="2"/>
  <c r="I657" i="2"/>
  <c r="H657" i="2"/>
  <c r="G657" i="2"/>
  <c r="F657" i="2"/>
  <c r="E657" i="2"/>
  <c r="D657" i="2"/>
  <c r="C657" i="2"/>
  <c r="B657" i="2"/>
  <c r="A657" i="2"/>
  <c r="P656" i="2"/>
  <c r="O656" i="2"/>
  <c r="N656" i="2"/>
  <c r="K656" i="2"/>
  <c r="J656" i="2"/>
  <c r="I656" i="2"/>
  <c r="H656" i="2"/>
  <c r="G656" i="2"/>
  <c r="F656" i="2"/>
  <c r="E656" i="2"/>
  <c r="D656" i="2"/>
  <c r="C656" i="2"/>
  <c r="B656" i="2"/>
  <c r="A656" i="2"/>
  <c r="O655" i="2"/>
  <c r="N655" i="2"/>
  <c r="L655" i="2"/>
  <c r="J655" i="2"/>
  <c r="I655" i="2"/>
  <c r="H655" i="2"/>
  <c r="G655" i="2"/>
  <c r="F655" i="2"/>
  <c r="E655" i="2"/>
  <c r="D655" i="2"/>
  <c r="C655" i="2"/>
  <c r="B655" i="2"/>
  <c r="A655" i="2"/>
  <c r="P654" i="2"/>
  <c r="O654" i="2"/>
  <c r="N654" i="2"/>
  <c r="M654" i="2"/>
  <c r="K654" i="2"/>
  <c r="J654" i="2"/>
  <c r="I654" i="2"/>
  <c r="H654" i="2"/>
  <c r="G654" i="2"/>
  <c r="F654" i="2"/>
  <c r="E654" i="2"/>
  <c r="D654" i="2"/>
  <c r="C654" i="2"/>
  <c r="B654" i="2"/>
  <c r="A654" i="2"/>
  <c r="P653" i="2"/>
  <c r="O653" i="2"/>
  <c r="N653" i="2"/>
  <c r="K653" i="2"/>
  <c r="J653" i="2"/>
  <c r="I653" i="2"/>
  <c r="H653" i="2"/>
  <c r="G653" i="2"/>
  <c r="F653" i="2"/>
  <c r="E653" i="2"/>
  <c r="D653" i="2"/>
  <c r="C653" i="2"/>
  <c r="B653" i="2"/>
  <c r="A653" i="2"/>
  <c r="R652" i="2"/>
  <c r="O652" i="2"/>
  <c r="N652" i="2"/>
  <c r="L652" i="2"/>
  <c r="J652" i="2"/>
  <c r="I652" i="2"/>
  <c r="H652" i="2"/>
  <c r="G652" i="2"/>
  <c r="F652" i="2"/>
  <c r="E652" i="2"/>
  <c r="D652" i="2"/>
  <c r="C652" i="2"/>
  <c r="B652" i="2"/>
  <c r="A652" i="2"/>
  <c r="P651" i="2"/>
  <c r="O651" i="2"/>
  <c r="N651" i="2"/>
  <c r="K651" i="2"/>
  <c r="J651" i="2"/>
  <c r="I651" i="2"/>
  <c r="H651" i="2"/>
  <c r="G651" i="2"/>
  <c r="F651" i="2"/>
  <c r="E651" i="2"/>
  <c r="D651" i="2"/>
  <c r="C651" i="2"/>
  <c r="B651" i="2"/>
  <c r="A651" i="2"/>
  <c r="R650" i="2"/>
  <c r="P650" i="2"/>
  <c r="O650" i="2"/>
  <c r="N650" i="2"/>
  <c r="M650" i="2"/>
  <c r="L650" i="2"/>
  <c r="K650" i="2"/>
  <c r="J650" i="2"/>
  <c r="I650" i="2"/>
  <c r="H650" i="2"/>
  <c r="G650" i="2"/>
  <c r="F650" i="2"/>
  <c r="E650" i="2"/>
  <c r="D650" i="2"/>
  <c r="C650" i="2"/>
  <c r="B650" i="2"/>
  <c r="A650" i="2"/>
  <c r="R649" i="2"/>
  <c r="O649" i="2"/>
  <c r="N649" i="2"/>
  <c r="L649" i="2"/>
  <c r="J649" i="2"/>
  <c r="I649" i="2"/>
  <c r="H649" i="2"/>
  <c r="G649" i="2"/>
  <c r="F649" i="2"/>
  <c r="E649" i="2"/>
  <c r="D649" i="2"/>
  <c r="C649" i="2"/>
  <c r="B649" i="2"/>
  <c r="A649" i="2"/>
  <c r="P648" i="2"/>
  <c r="O648" i="2"/>
  <c r="N648" i="2"/>
  <c r="K648" i="2"/>
  <c r="J648" i="2"/>
  <c r="I648" i="2"/>
  <c r="H648" i="2"/>
  <c r="G648" i="2"/>
  <c r="F648" i="2"/>
  <c r="E648" i="2"/>
  <c r="D648" i="2"/>
  <c r="C648" i="2"/>
  <c r="B648" i="2"/>
  <c r="A648" i="2"/>
  <c r="R647" i="2"/>
  <c r="O647" i="2"/>
  <c r="N647" i="2"/>
  <c r="L647" i="2"/>
  <c r="J647" i="2"/>
  <c r="I647" i="2"/>
  <c r="H647" i="2"/>
  <c r="G647" i="2"/>
  <c r="F647" i="2"/>
  <c r="E647" i="2"/>
  <c r="D647" i="2"/>
  <c r="C647" i="2"/>
  <c r="B647" i="2"/>
  <c r="A647" i="2"/>
  <c r="P646" i="2"/>
  <c r="O646" i="2"/>
  <c r="N646" i="2"/>
  <c r="M646" i="2"/>
  <c r="K646" i="2"/>
  <c r="J646" i="2"/>
  <c r="I646" i="2"/>
  <c r="H646" i="2"/>
  <c r="G646" i="2"/>
  <c r="F646" i="2"/>
  <c r="E646" i="2"/>
  <c r="D646" i="2"/>
  <c r="C646" i="2"/>
  <c r="B646" i="2"/>
  <c r="A646" i="2"/>
  <c r="P645" i="2"/>
  <c r="O645" i="2"/>
  <c r="N645" i="2"/>
  <c r="K645" i="2"/>
  <c r="J645" i="2"/>
  <c r="I645" i="2"/>
  <c r="H645" i="2"/>
  <c r="G645" i="2"/>
  <c r="F645" i="2"/>
  <c r="E645" i="2"/>
  <c r="D645" i="2"/>
  <c r="C645" i="2"/>
  <c r="B645" i="2"/>
  <c r="A645" i="2"/>
  <c r="P644" i="2"/>
  <c r="O644" i="2"/>
  <c r="N644" i="2"/>
  <c r="K644" i="2"/>
  <c r="J644" i="2"/>
  <c r="I644" i="2"/>
  <c r="H644" i="2"/>
  <c r="G644" i="2"/>
  <c r="F644" i="2"/>
  <c r="E644" i="2"/>
  <c r="D644" i="2"/>
  <c r="C644" i="2"/>
  <c r="B644" i="2"/>
  <c r="A644" i="2"/>
  <c r="P643" i="2"/>
  <c r="O643" i="2"/>
  <c r="N643" i="2"/>
  <c r="K643" i="2"/>
  <c r="J643" i="2"/>
  <c r="I643" i="2"/>
  <c r="H643" i="2"/>
  <c r="G643" i="2"/>
  <c r="F643" i="2"/>
  <c r="E643" i="2"/>
  <c r="D643" i="2"/>
  <c r="C643" i="2"/>
  <c r="B643" i="2"/>
  <c r="A643" i="2"/>
  <c r="P642" i="2"/>
  <c r="O642" i="2"/>
  <c r="N642" i="2"/>
  <c r="M642" i="2"/>
  <c r="K642" i="2"/>
  <c r="J642" i="2"/>
  <c r="I642" i="2"/>
  <c r="H642" i="2"/>
  <c r="G642" i="2"/>
  <c r="F642" i="2"/>
  <c r="E642" i="2"/>
  <c r="D642" i="2"/>
  <c r="C642" i="2"/>
  <c r="B642" i="2"/>
  <c r="A642" i="2"/>
  <c r="P641" i="2"/>
  <c r="O641" i="2"/>
  <c r="N641" i="2"/>
  <c r="K641" i="2"/>
  <c r="J641" i="2"/>
  <c r="I641" i="2"/>
  <c r="H641" i="2"/>
  <c r="G641" i="2"/>
  <c r="F641" i="2"/>
  <c r="E641" i="2"/>
  <c r="D641" i="2"/>
  <c r="C641" i="2"/>
  <c r="B641" i="2"/>
  <c r="A641" i="2"/>
  <c r="P640" i="2"/>
  <c r="O640" i="2"/>
  <c r="N640" i="2"/>
  <c r="K640" i="2"/>
  <c r="J640" i="2"/>
  <c r="I640" i="2"/>
  <c r="H640" i="2"/>
  <c r="G640" i="2"/>
  <c r="F640" i="2"/>
  <c r="E640" i="2"/>
  <c r="D640" i="2"/>
  <c r="C640" i="2"/>
  <c r="B640" i="2"/>
  <c r="A640" i="2"/>
  <c r="Q639" i="2"/>
  <c r="P639" i="2"/>
  <c r="O639" i="2"/>
  <c r="N639" i="2"/>
  <c r="M639" i="2"/>
  <c r="K639" i="2"/>
  <c r="J639" i="2"/>
  <c r="I639" i="2"/>
  <c r="H639" i="2"/>
  <c r="G639" i="2"/>
  <c r="F639" i="2"/>
  <c r="E639" i="2"/>
  <c r="D639" i="2"/>
  <c r="C639" i="2"/>
  <c r="B639" i="2"/>
  <c r="A639" i="2"/>
  <c r="P638" i="2"/>
  <c r="O638" i="2"/>
  <c r="N638" i="2"/>
  <c r="M638" i="2"/>
  <c r="K638" i="2"/>
  <c r="J638" i="2"/>
  <c r="I638" i="2"/>
  <c r="H638" i="2"/>
  <c r="G638" i="2"/>
  <c r="F638" i="2"/>
  <c r="E638" i="2"/>
  <c r="D638" i="2"/>
  <c r="C638" i="2"/>
  <c r="B638" i="2"/>
  <c r="A638" i="2"/>
  <c r="P637" i="2"/>
  <c r="O637" i="2"/>
  <c r="N637" i="2"/>
  <c r="K637" i="2"/>
  <c r="J637" i="2"/>
  <c r="I637" i="2"/>
  <c r="H637" i="2"/>
  <c r="G637" i="2"/>
  <c r="F637" i="2"/>
  <c r="E637" i="2"/>
  <c r="D637" i="2"/>
  <c r="C637" i="2"/>
  <c r="B637" i="2"/>
  <c r="A637" i="2"/>
  <c r="R636" i="2"/>
  <c r="O636" i="2"/>
  <c r="N636" i="2"/>
  <c r="M636" i="2"/>
  <c r="L636" i="2"/>
  <c r="J636" i="2"/>
  <c r="I636" i="2"/>
  <c r="H636" i="2"/>
  <c r="G636" i="2"/>
  <c r="F636" i="2"/>
  <c r="E636" i="2"/>
  <c r="D636" i="2"/>
  <c r="C636" i="2"/>
  <c r="B636" i="2"/>
  <c r="A636" i="2"/>
  <c r="Q635" i="2"/>
  <c r="P635" i="2"/>
  <c r="O635" i="2"/>
  <c r="N635" i="2"/>
  <c r="K635" i="2"/>
  <c r="J635" i="2"/>
  <c r="I635" i="2"/>
  <c r="H635" i="2"/>
  <c r="G635" i="2"/>
  <c r="F635" i="2"/>
  <c r="E635" i="2"/>
  <c r="D635" i="2"/>
  <c r="C635" i="2"/>
  <c r="B635" i="2"/>
  <c r="A635" i="2"/>
  <c r="P634" i="2"/>
  <c r="O634" i="2"/>
  <c r="N634" i="2"/>
  <c r="K634" i="2"/>
  <c r="J634" i="2"/>
  <c r="I634" i="2"/>
  <c r="H634" i="2"/>
  <c r="G634" i="2"/>
  <c r="F634" i="2"/>
  <c r="E634" i="2"/>
  <c r="D634" i="2"/>
  <c r="C634" i="2"/>
  <c r="B634" i="2"/>
  <c r="A634" i="2"/>
  <c r="P633" i="2"/>
  <c r="O633" i="2"/>
  <c r="N633" i="2"/>
  <c r="K633" i="2"/>
  <c r="J633" i="2"/>
  <c r="I633" i="2"/>
  <c r="H633" i="2"/>
  <c r="G633" i="2"/>
  <c r="F633" i="2"/>
  <c r="E633" i="2"/>
  <c r="D633" i="2"/>
  <c r="C633" i="2"/>
  <c r="B633" i="2"/>
  <c r="A633" i="2"/>
  <c r="P632" i="2"/>
  <c r="O632" i="2"/>
  <c r="N632" i="2"/>
  <c r="K632" i="2"/>
  <c r="J632" i="2"/>
  <c r="I632" i="2"/>
  <c r="H632" i="2"/>
  <c r="G632" i="2"/>
  <c r="F632" i="2"/>
  <c r="E632" i="2"/>
  <c r="D632" i="2"/>
  <c r="C632" i="2"/>
  <c r="B632" i="2"/>
  <c r="A632" i="2"/>
  <c r="P631" i="2"/>
  <c r="O631" i="2"/>
  <c r="N631" i="2"/>
  <c r="K631" i="2"/>
  <c r="J631" i="2"/>
  <c r="I631" i="2"/>
  <c r="H631" i="2"/>
  <c r="G631" i="2"/>
  <c r="F631" i="2"/>
  <c r="E631" i="2"/>
  <c r="D631" i="2"/>
  <c r="C631" i="2"/>
  <c r="B631" i="2"/>
  <c r="A631" i="2"/>
  <c r="Q630" i="2"/>
  <c r="P630" i="2"/>
  <c r="O630" i="2"/>
  <c r="N630" i="2"/>
  <c r="M630" i="2"/>
  <c r="K630" i="2"/>
  <c r="J630" i="2"/>
  <c r="I630" i="2"/>
  <c r="H630" i="2"/>
  <c r="G630" i="2"/>
  <c r="F630" i="2"/>
  <c r="E630" i="2"/>
  <c r="D630" i="2"/>
  <c r="C630" i="2"/>
  <c r="B630" i="2"/>
  <c r="A630" i="2"/>
  <c r="Q629" i="2"/>
  <c r="P629" i="2"/>
  <c r="O629" i="2"/>
  <c r="N629" i="2"/>
  <c r="M629" i="2"/>
  <c r="K629" i="2"/>
  <c r="J629" i="2"/>
  <c r="I629" i="2"/>
  <c r="H629" i="2"/>
  <c r="G629" i="2"/>
  <c r="F629" i="2"/>
  <c r="E629" i="2"/>
  <c r="D629" i="2"/>
  <c r="C629" i="2"/>
  <c r="B629" i="2"/>
  <c r="A629" i="2"/>
  <c r="Q628" i="2"/>
  <c r="P628" i="2"/>
  <c r="O628" i="2"/>
  <c r="N628" i="2"/>
  <c r="M628" i="2"/>
  <c r="K628" i="2"/>
  <c r="J628" i="2"/>
  <c r="I628" i="2"/>
  <c r="H628" i="2"/>
  <c r="G628" i="2"/>
  <c r="F628" i="2"/>
  <c r="E628" i="2"/>
  <c r="D628" i="2"/>
  <c r="C628" i="2"/>
  <c r="B628" i="2"/>
  <c r="A628" i="2"/>
  <c r="P627" i="2"/>
  <c r="O627" i="2"/>
  <c r="N627" i="2"/>
  <c r="M627" i="2"/>
  <c r="K627" i="2"/>
  <c r="J627" i="2"/>
  <c r="I627" i="2"/>
  <c r="H627" i="2"/>
  <c r="G627" i="2"/>
  <c r="F627" i="2"/>
  <c r="E627" i="2"/>
  <c r="D627" i="2"/>
  <c r="C627" i="2"/>
  <c r="B627" i="2"/>
  <c r="A627" i="2"/>
  <c r="P626" i="2"/>
  <c r="O626" i="2"/>
  <c r="N626" i="2"/>
  <c r="K626" i="2"/>
  <c r="J626" i="2"/>
  <c r="I626" i="2"/>
  <c r="H626" i="2"/>
  <c r="G626" i="2"/>
  <c r="F626" i="2"/>
  <c r="E626" i="2"/>
  <c r="D626" i="2"/>
  <c r="C626" i="2"/>
  <c r="B626" i="2"/>
  <c r="A626" i="2"/>
  <c r="P625" i="2"/>
  <c r="O625" i="2"/>
  <c r="N625" i="2"/>
  <c r="K625" i="2"/>
  <c r="J625" i="2"/>
  <c r="I625" i="2"/>
  <c r="H625" i="2"/>
  <c r="G625" i="2"/>
  <c r="F625" i="2"/>
  <c r="E625" i="2"/>
  <c r="D625" i="2"/>
  <c r="C625" i="2"/>
  <c r="B625" i="2"/>
  <c r="A625" i="2"/>
  <c r="R624" i="2"/>
  <c r="P624" i="2"/>
  <c r="O624" i="2"/>
  <c r="N624" i="2"/>
  <c r="M624" i="2"/>
  <c r="L624" i="2"/>
  <c r="K624" i="2"/>
  <c r="J624" i="2"/>
  <c r="I624" i="2"/>
  <c r="H624" i="2"/>
  <c r="G624" i="2"/>
  <c r="F624" i="2"/>
  <c r="E624" i="2"/>
  <c r="D624" i="2"/>
  <c r="C624" i="2"/>
  <c r="B624" i="2"/>
  <c r="A624" i="2"/>
  <c r="O623" i="2"/>
  <c r="N623" i="2"/>
  <c r="M623" i="2"/>
  <c r="L623" i="2"/>
  <c r="J623" i="2"/>
  <c r="I623" i="2"/>
  <c r="H623" i="2"/>
  <c r="G623" i="2"/>
  <c r="F623" i="2"/>
  <c r="E623" i="2"/>
  <c r="D623" i="2"/>
  <c r="C623" i="2"/>
  <c r="B623" i="2"/>
  <c r="A623" i="2"/>
  <c r="Q622" i="2"/>
  <c r="P622" i="2"/>
  <c r="O622" i="2"/>
  <c r="N622" i="2"/>
  <c r="K622" i="2"/>
  <c r="J622" i="2"/>
  <c r="I622" i="2"/>
  <c r="H622" i="2"/>
  <c r="G622" i="2"/>
  <c r="F622" i="2"/>
  <c r="E622" i="2"/>
  <c r="D622" i="2"/>
  <c r="C622" i="2"/>
  <c r="B622" i="2"/>
  <c r="A622" i="2"/>
  <c r="P621" i="2"/>
  <c r="O621" i="2"/>
  <c r="N621" i="2"/>
  <c r="M621" i="2"/>
  <c r="K621" i="2"/>
  <c r="J621" i="2"/>
  <c r="I621" i="2"/>
  <c r="H621" i="2"/>
  <c r="G621" i="2"/>
  <c r="F621" i="2"/>
  <c r="E621" i="2"/>
  <c r="D621" i="2"/>
  <c r="C621" i="2"/>
  <c r="B621" i="2"/>
  <c r="A621" i="2"/>
  <c r="P620" i="2"/>
  <c r="O620" i="2"/>
  <c r="N620" i="2"/>
  <c r="K620" i="2"/>
  <c r="J620" i="2"/>
  <c r="I620" i="2"/>
  <c r="H620" i="2"/>
  <c r="G620" i="2"/>
  <c r="F620" i="2"/>
  <c r="E620" i="2"/>
  <c r="D620" i="2"/>
  <c r="C620" i="2"/>
  <c r="B620" i="2"/>
  <c r="A620" i="2"/>
  <c r="R619" i="2"/>
  <c r="O619" i="2"/>
  <c r="N619" i="2"/>
  <c r="L619" i="2"/>
  <c r="J619" i="2"/>
  <c r="I619" i="2"/>
  <c r="H619" i="2"/>
  <c r="G619" i="2"/>
  <c r="F619" i="2"/>
  <c r="E619" i="2"/>
  <c r="D619" i="2"/>
  <c r="C619" i="2"/>
  <c r="B619" i="2"/>
  <c r="A619" i="2"/>
  <c r="P618" i="2"/>
  <c r="O618" i="2"/>
  <c r="N618" i="2"/>
  <c r="M618" i="2"/>
  <c r="K618" i="2"/>
  <c r="J618" i="2"/>
  <c r="I618" i="2"/>
  <c r="H618" i="2"/>
  <c r="G618" i="2"/>
  <c r="F618" i="2"/>
  <c r="E618" i="2"/>
  <c r="D618" i="2"/>
  <c r="C618" i="2"/>
  <c r="B618" i="2"/>
  <c r="A618" i="2"/>
  <c r="O617" i="2"/>
  <c r="N617" i="2"/>
  <c r="J617" i="2"/>
  <c r="I617" i="2"/>
  <c r="H617" i="2"/>
  <c r="G617" i="2"/>
  <c r="F617" i="2"/>
  <c r="E617" i="2"/>
  <c r="D617" i="2"/>
  <c r="C617" i="2"/>
  <c r="B617" i="2"/>
  <c r="A617" i="2"/>
  <c r="R616" i="2"/>
  <c r="O616" i="2"/>
  <c r="N616" i="2"/>
  <c r="L616" i="2"/>
  <c r="J616" i="2"/>
  <c r="I616" i="2"/>
  <c r="H616" i="2"/>
  <c r="G616" i="2"/>
  <c r="F616" i="2"/>
  <c r="E616" i="2"/>
  <c r="D616" i="2"/>
  <c r="C616" i="2"/>
  <c r="B616" i="2"/>
  <c r="A616" i="2"/>
  <c r="P615" i="2"/>
  <c r="O615" i="2"/>
  <c r="N615" i="2"/>
  <c r="K615" i="2"/>
  <c r="J615" i="2"/>
  <c r="I615" i="2"/>
  <c r="H615" i="2"/>
  <c r="G615" i="2"/>
  <c r="F615" i="2"/>
  <c r="E615" i="2"/>
  <c r="D615" i="2"/>
  <c r="C615" i="2"/>
  <c r="B615" i="2"/>
  <c r="A615" i="2"/>
  <c r="P614" i="2"/>
  <c r="O614" i="2"/>
  <c r="N614" i="2"/>
  <c r="K614" i="2"/>
  <c r="J614" i="2"/>
  <c r="I614" i="2"/>
  <c r="H614" i="2"/>
  <c r="G614" i="2"/>
  <c r="F614" i="2"/>
  <c r="E614" i="2"/>
  <c r="D614" i="2"/>
  <c r="C614" i="2"/>
  <c r="B614" i="2"/>
  <c r="A614" i="2"/>
  <c r="P613" i="2"/>
  <c r="O613" i="2"/>
  <c r="N613" i="2"/>
  <c r="K613" i="2"/>
  <c r="J613" i="2"/>
  <c r="I613" i="2"/>
  <c r="H613" i="2"/>
  <c r="G613" i="2"/>
  <c r="F613" i="2"/>
  <c r="E613" i="2"/>
  <c r="D613" i="2"/>
  <c r="C613" i="2"/>
  <c r="B613" i="2"/>
  <c r="A613" i="2"/>
  <c r="R612" i="2"/>
  <c r="O612" i="2"/>
  <c r="N612" i="2"/>
  <c r="M612" i="2"/>
  <c r="L612" i="2"/>
  <c r="J612" i="2"/>
  <c r="I612" i="2"/>
  <c r="H612" i="2"/>
  <c r="G612" i="2"/>
  <c r="F612" i="2"/>
  <c r="E612" i="2"/>
  <c r="D612" i="2"/>
  <c r="C612" i="2"/>
  <c r="B612" i="2"/>
  <c r="A612" i="2"/>
  <c r="R611" i="2"/>
  <c r="O611" i="2"/>
  <c r="N611" i="2"/>
  <c r="M611" i="2"/>
  <c r="L611" i="2"/>
  <c r="J611" i="2"/>
  <c r="I611" i="2"/>
  <c r="H611" i="2"/>
  <c r="G611" i="2"/>
  <c r="F611" i="2"/>
  <c r="E611" i="2"/>
  <c r="D611" i="2"/>
  <c r="C611" i="2"/>
  <c r="B611" i="2"/>
  <c r="A611" i="2"/>
  <c r="R610" i="2"/>
  <c r="O610" i="2"/>
  <c r="N610" i="2"/>
  <c r="M610" i="2"/>
  <c r="L610" i="2"/>
  <c r="J610" i="2"/>
  <c r="I610" i="2"/>
  <c r="H610" i="2"/>
  <c r="G610" i="2"/>
  <c r="F610" i="2"/>
  <c r="E610" i="2"/>
  <c r="D610" i="2"/>
  <c r="C610" i="2"/>
  <c r="B610" i="2"/>
  <c r="A610" i="2"/>
  <c r="S609" i="2"/>
  <c r="R609" i="2"/>
  <c r="O609" i="2"/>
  <c r="N609" i="2"/>
  <c r="L609" i="2"/>
  <c r="J609" i="2"/>
  <c r="I609" i="2"/>
  <c r="H609" i="2"/>
  <c r="G609" i="2"/>
  <c r="F609" i="2"/>
  <c r="E609" i="2"/>
  <c r="D609" i="2"/>
  <c r="C609" i="2"/>
  <c r="B609" i="2"/>
  <c r="A609" i="2"/>
  <c r="S608" i="2"/>
  <c r="R608" i="2"/>
  <c r="Q608" i="2"/>
  <c r="P608" i="2"/>
  <c r="O608" i="2"/>
  <c r="N608" i="2"/>
  <c r="M608" i="2"/>
  <c r="L608" i="2"/>
  <c r="K608" i="2"/>
  <c r="J608" i="2"/>
  <c r="I608" i="2"/>
  <c r="H608" i="2"/>
  <c r="G608" i="2"/>
  <c r="F608" i="2"/>
  <c r="E608" i="2"/>
  <c r="D608" i="2"/>
  <c r="C608" i="2"/>
  <c r="B608" i="2"/>
  <c r="A608" i="2"/>
  <c r="R607" i="2"/>
  <c r="O607" i="2"/>
  <c r="N607" i="2"/>
  <c r="M607" i="2"/>
  <c r="L607" i="2"/>
  <c r="J607" i="2"/>
  <c r="I607" i="2"/>
  <c r="H607" i="2"/>
  <c r="G607" i="2"/>
  <c r="F607" i="2"/>
  <c r="E607" i="2"/>
  <c r="D607" i="2"/>
  <c r="C607" i="2"/>
  <c r="B607" i="2"/>
  <c r="A607" i="2"/>
  <c r="O606" i="2"/>
  <c r="N606" i="2"/>
  <c r="J606" i="2"/>
  <c r="I606" i="2"/>
  <c r="H606" i="2"/>
  <c r="G606" i="2"/>
  <c r="F606" i="2"/>
  <c r="E606" i="2"/>
  <c r="D606" i="2"/>
  <c r="C606" i="2"/>
  <c r="B606" i="2"/>
  <c r="A606" i="2"/>
  <c r="R605" i="2"/>
  <c r="O605" i="2"/>
  <c r="N605" i="2"/>
  <c r="M605" i="2"/>
  <c r="L605" i="2"/>
  <c r="J605" i="2"/>
  <c r="I605" i="2"/>
  <c r="H605" i="2"/>
  <c r="G605" i="2"/>
  <c r="F605" i="2"/>
  <c r="E605" i="2"/>
  <c r="D605" i="2"/>
  <c r="C605" i="2"/>
  <c r="B605" i="2"/>
  <c r="A605" i="2"/>
  <c r="O604" i="2"/>
  <c r="N604" i="2"/>
  <c r="K604" i="2"/>
  <c r="J604" i="2"/>
  <c r="I604" i="2"/>
  <c r="H604" i="2"/>
  <c r="G604" i="2"/>
  <c r="F604" i="2"/>
  <c r="E604" i="2"/>
  <c r="D604" i="2"/>
  <c r="C604" i="2"/>
  <c r="B604" i="2"/>
  <c r="A604" i="2"/>
  <c r="R603" i="2"/>
  <c r="O603" i="2"/>
  <c r="N603" i="2"/>
  <c r="M603" i="2"/>
  <c r="L603" i="2"/>
  <c r="J603" i="2"/>
  <c r="I603" i="2"/>
  <c r="H603" i="2"/>
  <c r="G603" i="2"/>
  <c r="F603" i="2"/>
  <c r="E603" i="2"/>
  <c r="D603" i="2"/>
  <c r="C603" i="2"/>
  <c r="B603" i="2"/>
  <c r="A603" i="2"/>
  <c r="R602" i="2"/>
  <c r="O602" i="2"/>
  <c r="N602" i="2"/>
  <c r="M602" i="2"/>
  <c r="L602" i="2"/>
  <c r="J602" i="2"/>
  <c r="I602" i="2"/>
  <c r="H602" i="2"/>
  <c r="G602" i="2"/>
  <c r="F602" i="2"/>
  <c r="E602" i="2"/>
  <c r="D602" i="2"/>
  <c r="C602" i="2"/>
  <c r="B602" i="2"/>
  <c r="A602" i="2"/>
  <c r="O601" i="2"/>
  <c r="N601" i="2"/>
  <c r="J601" i="2"/>
  <c r="I601" i="2"/>
  <c r="H601" i="2"/>
  <c r="G601" i="2"/>
  <c r="F601" i="2"/>
  <c r="E601" i="2"/>
  <c r="D601" i="2"/>
  <c r="C601" i="2"/>
  <c r="B601" i="2"/>
  <c r="A601" i="2"/>
  <c r="P600" i="2"/>
  <c r="O600" i="2"/>
  <c r="N600" i="2"/>
  <c r="M600" i="2"/>
  <c r="K600" i="2"/>
  <c r="J600" i="2"/>
  <c r="I600" i="2"/>
  <c r="H600" i="2"/>
  <c r="G600" i="2"/>
  <c r="F600" i="2"/>
  <c r="E600" i="2"/>
  <c r="D600" i="2"/>
  <c r="C600" i="2"/>
  <c r="B600" i="2"/>
  <c r="A600" i="2"/>
  <c r="P599" i="2"/>
  <c r="O599" i="2"/>
  <c r="N599" i="2"/>
  <c r="M599" i="2"/>
  <c r="K599" i="2"/>
  <c r="J599" i="2"/>
  <c r="I599" i="2"/>
  <c r="H599" i="2"/>
  <c r="G599" i="2"/>
  <c r="F599" i="2"/>
  <c r="E599" i="2"/>
  <c r="D599" i="2"/>
  <c r="C599" i="2"/>
  <c r="B599" i="2"/>
  <c r="A599" i="2"/>
  <c r="O598" i="2"/>
  <c r="N598" i="2"/>
  <c r="J598" i="2"/>
  <c r="I598" i="2"/>
  <c r="H598" i="2"/>
  <c r="G598" i="2"/>
  <c r="F598" i="2"/>
  <c r="E598" i="2"/>
  <c r="D598" i="2"/>
  <c r="C598" i="2"/>
  <c r="B598" i="2"/>
  <c r="A598" i="2"/>
  <c r="O597" i="2"/>
  <c r="N597" i="2"/>
  <c r="M597" i="2"/>
  <c r="L597" i="2"/>
  <c r="J597" i="2"/>
  <c r="I597" i="2"/>
  <c r="H597" i="2"/>
  <c r="G597" i="2"/>
  <c r="F597" i="2"/>
  <c r="E597" i="2"/>
  <c r="D597" i="2"/>
  <c r="C597" i="2"/>
  <c r="B597" i="2"/>
  <c r="A597" i="2"/>
  <c r="R596" i="2"/>
  <c r="O596" i="2"/>
  <c r="N596" i="2"/>
  <c r="M596" i="2"/>
  <c r="L596" i="2"/>
  <c r="J596" i="2"/>
  <c r="I596" i="2"/>
  <c r="H596" i="2"/>
  <c r="G596" i="2"/>
  <c r="F596" i="2"/>
  <c r="E596" i="2"/>
  <c r="D596" i="2"/>
  <c r="C596" i="2"/>
  <c r="B596" i="2"/>
  <c r="A596" i="2"/>
  <c r="P595" i="2"/>
  <c r="O595" i="2"/>
  <c r="N595" i="2"/>
  <c r="M595" i="2"/>
  <c r="K595" i="2"/>
  <c r="J595" i="2"/>
  <c r="I595" i="2"/>
  <c r="H595" i="2"/>
  <c r="G595" i="2"/>
  <c r="F595" i="2"/>
  <c r="E595" i="2"/>
  <c r="D595" i="2"/>
  <c r="C595" i="2"/>
  <c r="B595" i="2"/>
  <c r="A595" i="2"/>
  <c r="P594" i="2"/>
  <c r="O594" i="2"/>
  <c r="N594" i="2"/>
  <c r="M594" i="2"/>
  <c r="K594" i="2"/>
  <c r="J594" i="2"/>
  <c r="I594" i="2"/>
  <c r="H594" i="2"/>
  <c r="G594" i="2"/>
  <c r="F594" i="2"/>
  <c r="E594" i="2"/>
  <c r="D594" i="2"/>
  <c r="C594" i="2"/>
  <c r="B594" i="2"/>
  <c r="A594" i="2"/>
  <c r="P593" i="2"/>
  <c r="O593" i="2"/>
  <c r="N593" i="2"/>
  <c r="K593" i="2"/>
  <c r="J593" i="2"/>
  <c r="I593" i="2"/>
  <c r="H593" i="2"/>
  <c r="G593" i="2"/>
  <c r="F593" i="2"/>
  <c r="E593" i="2"/>
  <c r="D593" i="2"/>
  <c r="C593" i="2"/>
  <c r="B593" i="2"/>
  <c r="A593" i="2"/>
  <c r="P592" i="2"/>
  <c r="O592" i="2"/>
  <c r="N592" i="2"/>
  <c r="M592" i="2"/>
  <c r="K592" i="2"/>
  <c r="J592" i="2"/>
  <c r="I592" i="2"/>
  <c r="H592" i="2"/>
  <c r="G592" i="2"/>
  <c r="F592" i="2"/>
  <c r="E592" i="2"/>
  <c r="D592" i="2"/>
  <c r="C592" i="2"/>
  <c r="B592" i="2"/>
  <c r="A592" i="2"/>
  <c r="R591" i="2"/>
  <c r="O591" i="2"/>
  <c r="N591" i="2"/>
  <c r="M591" i="2"/>
  <c r="L591" i="2"/>
  <c r="J591" i="2"/>
  <c r="I591" i="2"/>
  <c r="H591" i="2"/>
  <c r="G591" i="2"/>
  <c r="F591" i="2"/>
  <c r="E591" i="2"/>
  <c r="D591" i="2"/>
  <c r="C591" i="2"/>
  <c r="B591" i="2"/>
  <c r="A591" i="2"/>
  <c r="P590" i="2"/>
  <c r="O590" i="2"/>
  <c r="N590" i="2"/>
  <c r="K590" i="2"/>
  <c r="J590" i="2"/>
  <c r="I590" i="2"/>
  <c r="H590" i="2"/>
  <c r="G590" i="2"/>
  <c r="F590" i="2"/>
  <c r="E590" i="2"/>
  <c r="D590" i="2"/>
  <c r="C590" i="2"/>
  <c r="B590" i="2"/>
  <c r="A590" i="2"/>
  <c r="P589" i="2"/>
  <c r="O589" i="2"/>
  <c r="N589" i="2"/>
  <c r="M589" i="2"/>
  <c r="K589" i="2"/>
  <c r="J589" i="2"/>
  <c r="I589" i="2"/>
  <c r="H589" i="2"/>
  <c r="G589" i="2"/>
  <c r="F589" i="2"/>
  <c r="E589" i="2"/>
  <c r="D589" i="2"/>
  <c r="C589" i="2"/>
  <c r="B589" i="2"/>
  <c r="A589" i="2"/>
  <c r="P588" i="2"/>
  <c r="O588" i="2"/>
  <c r="N588" i="2"/>
  <c r="K588" i="2"/>
  <c r="J588" i="2"/>
  <c r="I588" i="2"/>
  <c r="H588" i="2"/>
  <c r="G588" i="2"/>
  <c r="F588" i="2"/>
  <c r="E588" i="2"/>
  <c r="D588" i="2"/>
  <c r="C588" i="2"/>
  <c r="B588" i="2"/>
  <c r="A588" i="2"/>
  <c r="R587" i="2"/>
  <c r="O587" i="2"/>
  <c r="N587" i="2"/>
  <c r="L587" i="2"/>
  <c r="J587" i="2"/>
  <c r="I587" i="2"/>
  <c r="H587" i="2"/>
  <c r="G587" i="2"/>
  <c r="F587" i="2"/>
  <c r="E587" i="2"/>
  <c r="D587" i="2"/>
  <c r="C587" i="2"/>
  <c r="B587" i="2"/>
  <c r="A587" i="2"/>
  <c r="P586" i="2"/>
  <c r="O586" i="2"/>
  <c r="N586" i="2"/>
  <c r="K586" i="2"/>
  <c r="J586" i="2"/>
  <c r="I586" i="2"/>
  <c r="H586" i="2"/>
  <c r="G586" i="2"/>
  <c r="F586" i="2"/>
  <c r="E586" i="2"/>
  <c r="D586" i="2"/>
  <c r="C586" i="2"/>
  <c r="B586" i="2"/>
  <c r="A586" i="2"/>
  <c r="R585" i="2"/>
  <c r="O585" i="2"/>
  <c r="N585" i="2"/>
  <c r="L585" i="2"/>
  <c r="J585" i="2"/>
  <c r="I585" i="2"/>
  <c r="H585" i="2"/>
  <c r="G585" i="2"/>
  <c r="F585" i="2"/>
  <c r="E585" i="2"/>
  <c r="D585" i="2"/>
  <c r="C585" i="2"/>
  <c r="B585" i="2"/>
  <c r="A585" i="2"/>
  <c r="P584" i="2"/>
  <c r="O584" i="2"/>
  <c r="N584" i="2"/>
  <c r="M584" i="2"/>
  <c r="L584" i="2"/>
  <c r="K584" i="2"/>
  <c r="J584" i="2"/>
  <c r="I584" i="2"/>
  <c r="H584" i="2"/>
  <c r="G584" i="2"/>
  <c r="F584" i="2"/>
  <c r="E584" i="2"/>
  <c r="D584" i="2"/>
  <c r="C584" i="2"/>
  <c r="B584" i="2"/>
  <c r="A584" i="2"/>
  <c r="R583" i="2"/>
  <c r="O583" i="2"/>
  <c r="N583" i="2"/>
  <c r="L583" i="2"/>
  <c r="J583" i="2"/>
  <c r="I583" i="2"/>
  <c r="H583" i="2"/>
  <c r="G583" i="2"/>
  <c r="F583" i="2"/>
  <c r="E583" i="2"/>
  <c r="D583" i="2"/>
  <c r="C583" i="2"/>
  <c r="B583" i="2"/>
  <c r="A583" i="2"/>
  <c r="R582" i="2"/>
  <c r="O582" i="2"/>
  <c r="N582" i="2"/>
  <c r="M582" i="2"/>
  <c r="L582" i="2"/>
  <c r="J582" i="2"/>
  <c r="I582" i="2"/>
  <c r="H582" i="2"/>
  <c r="G582" i="2"/>
  <c r="F582" i="2"/>
  <c r="E582" i="2"/>
  <c r="D582" i="2"/>
  <c r="C582" i="2"/>
  <c r="B582" i="2"/>
  <c r="A582" i="2"/>
  <c r="P581" i="2"/>
  <c r="O581" i="2"/>
  <c r="N581" i="2"/>
  <c r="M581" i="2"/>
  <c r="K581" i="2"/>
  <c r="J581" i="2"/>
  <c r="I581" i="2"/>
  <c r="H581" i="2"/>
  <c r="G581" i="2"/>
  <c r="F581" i="2"/>
  <c r="E581" i="2"/>
  <c r="D581" i="2"/>
  <c r="C581" i="2"/>
  <c r="B581" i="2"/>
  <c r="A581" i="2"/>
  <c r="R580" i="2"/>
  <c r="O580" i="2"/>
  <c r="N580" i="2"/>
  <c r="M580" i="2"/>
  <c r="L580" i="2"/>
  <c r="J580" i="2"/>
  <c r="I580" i="2"/>
  <c r="H580" i="2"/>
  <c r="G580" i="2"/>
  <c r="F580" i="2"/>
  <c r="E580" i="2"/>
  <c r="D580" i="2"/>
  <c r="C580" i="2"/>
  <c r="B580" i="2"/>
  <c r="A580" i="2"/>
  <c r="P579" i="2"/>
  <c r="O579" i="2"/>
  <c r="N579" i="2"/>
  <c r="L579" i="2"/>
  <c r="K579" i="2"/>
  <c r="J579" i="2"/>
  <c r="I579" i="2"/>
  <c r="H579" i="2"/>
  <c r="G579" i="2"/>
  <c r="F579" i="2"/>
  <c r="E579" i="2"/>
  <c r="D579" i="2"/>
  <c r="C579" i="2"/>
  <c r="B579" i="2"/>
  <c r="A579" i="2"/>
  <c r="P578" i="2"/>
  <c r="O578" i="2"/>
  <c r="N578" i="2"/>
  <c r="M578" i="2"/>
  <c r="K578" i="2"/>
  <c r="J578" i="2"/>
  <c r="I578" i="2"/>
  <c r="H578" i="2"/>
  <c r="G578" i="2"/>
  <c r="F578" i="2"/>
  <c r="E578" i="2"/>
  <c r="D578" i="2"/>
  <c r="C578" i="2"/>
  <c r="B578" i="2"/>
  <c r="A578" i="2"/>
  <c r="P577" i="2"/>
  <c r="O577" i="2"/>
  <c r="N577" i="2"/>
  <c r="J577" i="2"/>
  <c r="I577" i="2"/>
  <c r="H577" i="2"/>
  <c r="G577" i="2"/>
  <c r="F577" i="2"/>
  <c r="E577" i="2"/>
  <c r="D577" i="2"/>
  <c r="C577" i="2"/>
  <c r="B577" i="2"/>
  <c r="A577" i="2"/>
  <c r="P576" i="2"/>
  <c r="O576" i="2"/>
  <c r="N576" i="2"/>
  <c r="K576" i="2"/>
  <c r="J576" i="2"/>
  <c r="I576" i="2"/>
  <c r="H576" i="2"/>
  <c r="G576" i="2"/>
  <c r="F576" i="2"/>
  <c r="E576" i="2"/>
  <c r="D576" i="2"/>
  <c r="C576" i="2"/>
  <c r="B576" i="2"/>
  <c r="A576" i="2"/>
  <c r="P575" i="2"/>
  <c r="O575" i="2"/>
  <c r="N575" i="2"/>
  <c r="K575" i="2"/>
  <c r="J575" i="2"/>
  <c r="I575" i="2"/>
  <c r="H575" i="2"/>
  <c r="G575" i="2"/>
  <c r="F575" i="2"/>
  <c r="E575" i="2"/>
  <c r="D575" i="2"/>
  <c r="C575" i="2"/>
  <c r="B575" i="2"/>
  <c r="A575" i="2"/>
  <c r="P574" i="2"/>
  <c r="O574" i="2"/>
  <c r="N574" i="2"/>
  <c r="K574" i="2"/>
  <c r="J574" i="2"/>
  <c r="I574" i="2"/>
  <c r="H574" i="2"/>
  <c r="G574" i="2"/>
  <c r="F574" i="2"/>
  <c r="E574" i="2"/>
  <c r="D574" i="2"/>
  <c r="C574" i="2"/>
  <c r="B574" i="2"/>
  <c r="A574" i="2"/>
  <c r="O573" i="2"/>
  <c r="N573" i="2"/>
  <c r="M573" i="2"/>
  <c r="L573" i="2"/>
  <c r="J573" i="2"/>
  <c r="I573" i="2"/>
  <c r="H573" i="2"/>
  <c r="G573" i="2"/>
  <c r="F573" i="2"/>
  <c r="E573" i="2"/>
  <c r="D573" i="2"/>
  <c r="C573" i="2"/>
  <c r="B573" i="2"/>
  <c r="A573" i="2"/>
  <c r="R572" i="2"/>
  <c r="O572" i="2"/>
  <c r="N572" i="2"/>
  <c r="M572" i="2"/>
  <c r="L572" i="2"/>
  <c r="J572" i="2"/>
  <c r="I572" i="2"/>
  <c r="H572" i="2"/>
  <c r="G572" i="2"/>
  <c r="F572" i="2"/>
  <c r="E572" i="2"/>
  <c r="D572" i="2"/>
  <c r="C572" i="2"/>
  <c r="B572" i="2"/>
  <c r="A572" i="2"/>
  <c r="P571" i="2"/>
  <c r="O571" i="2"/>
  <c r="N571" i="2"/>
  <c r="M571" i="2"/>
  <c r="K571" i="2"/>
  <c r="J571" i="2"/>
  <c r="I571" i="2"/>
  <c r="H571" i="2"/>
  <c r="G571" i="2"/>
  <c r="F571" i="2"/>
  <c r="E571" i="2"/>
  <c r="D571" i="2"/>
  <c r="C571" i="2"/>
  <c r="B571" i="2"/>
  <c r="A571" i="2"/>
  <c r="Q570" i="2"/>
  <c r="P570" i="2"/>
  <c r="O570" i="2"/>
  <c r="N570" i="2"/>
  <c r="K570" i="2"/>
  <c r="J570" i="2"/>
  <c r="I570" i="2"/>
  <c r="H570" i="2"/>
  <c r="G570" i="2"/>
  <c r="F570" i="2"/>
  <c r="E570" i="2"/>
  <c r="D570" i="2"/>
  <c r="C570" i="2"/>
  <c r="B570" i="2"/>
  <c r="A570" i="2"/>
  <c r="O569" i="2"/>
  <c r="N569" i="2"/>
  <c r="J569" i="2"/>
  <c r="I569" i="2"/>
  <c r="H569" i="2"/>
  <c r="G569" i="2"/>
  <c r="F569" i="2"/>
  <c r="E569" i="2"/>
  <c r="D569" i="2"/>
  <c r="C569" i="2"/>
  <c r="B569" i="2"/>
  <c r="A569" i="2"/>
  <c r="R568" i="2"/>
  <c r="O568" i="2"/>
  <c r="N568" i="2"/>
  <c r="L568" i="2"/>
  <c r="J568" i="2"/>
  <c r="I568" i="2"/>
  <c r="H568" i="2"/>
  <c r="G568" i="2"/>
  <c r="F568" i="2"/>
  <c r="E568" i="2"/>
  <c r="D568" i="2"/>
  <c r="C568" i="2"/>
  <c r="B568" i="2"/>
  <c r="A568" i="2"/>
  <c r="P567" i="2"/>
  <c r="O567" i="2"/>
  <c r="N567" i="2"/>
  <c r="M567" i="2"/>
  <c r="K567" i="2"/>
  <c r="J567" i="2"/>
  <c r="I567" i="2"/>
  <c r="H567" i="2"/>
  <c r="G567" i="2"/>
  <c r="F567" i="2"/>
  <c r="E567" i="2"/>
  <c r="D567" i="2"/>
  <c r="C567" i="2"/>
  <c r="B567" i="2"/>
  <c r="A567" i="2"/>
  <c r="P566" i="2"/>
  <c r="O566" i="2"/>
  <c r="N566" i="2"/>
  <c r="K566" i="2"/>
  <c r="J566" i="2"/>
  <c r="I566" i="2"/>
  <c r="H566" i="2"/>
  <c r="G566" i="2"/>
  <c r="F566" i="2"/>
  <c r="E566" i="2"/>
  <c r="D566" i="2"/>
  <c r="C566" i="2"/>
  <c r="B566" i="2"/>
  <c r="A566" i="2"/>
  <c r="Q565" i="2"/>
  <c r="P565" i="2"/>
  <c r="O565" i="2"/>
  <c r="N565" i="2"/>
  <c r="K565" i="2"/>
  <c r="J565" i="2"/>
  <c r="I565" i="2"/>
  <c r="H565" i="2"/>
  <c r="G565" i="2"/>
  <c r="F565" i="2"/>
  <c r="E565" i="2"/>
  <c r="D565" i="2"/>
  <c r="C565" i="2"/>
  <c r="B565" i="2"/>
  <c r="A565" i="2"/>
  <c r="R564" i="2"/>
  <c r="O564" i="2"/>
  <c r="N564" i="2"/>
  <c r="M564" i="2"/>
  <c r="L564" i="2"/>
  <c r="J564" i="2"/>
  <c r="I564" i="2"/>
  <c r="H564" i="2"/>
  <c r="G564" i="2"/>
  <c r="F564" i="2"/>
  <c r="E564" i="2"/>
  <c r="D564" i="2"/>
  <c r="C564" i="2"/>
  <c r="B564" i="2"/>
  <c r="A564" i="2"/>
  <c r="P563" i="2"/>
  <c r="O563" i="2"/>
  <c r="N563" i="2"/>
  <c r="K563" i="2"/>
  <c r="J563" i="2"/>
  <c r="I563" i="2"/>
  <c r="H563" i="2"/>
  <c r="G563" i="2"/>
  <c r="F563" i="2"/>
  <c r="E563" i="2"/>
  <c r="D563" i="2"/>
  <c r="C563" i="2"/>
  <c r="B563" i="2"/>
  <c r="A563" i="2"/>
  <c r="P562" i="2"/>
  <c r="O562" i="2"/>
  <c r="N562" i="2"/>
  <c r="M562" i="2"/>
  <c r="K562" i="2"/>
  <c r="J562" i="2"/>
  <c r="I562" i="2"/>
  <c r="H562" i="2"/>
  <c r="G562" i="2"/>
  <c r="F562" i="2"/>
  <c r="E562" i="2"/>
  <c r="D562" i="2"/>
  <c r="C562" i="2"/>
  <c r="B562" i="2"/>
  <c r="A562" i="2"/>
  <c r="P561" i="2"/>
  <c r="O561" i="2"/>
  <c r="N561" i="2"/>
  <c r="K561" i="2"/>
  <c r="J561" i="2"/>
  <c r="I561" i="2"/>
  <c r="H561" i="2"/>
  <c r="G561" i="2"/>
  <c r="F561" i="2"/>
  <c r="E561" i="2"/>
  <c r="D561" i="2"/>
  <c r="C561" i="2"/>
  <c r="B561" i="2"/>
  <c r="A561" i="2"/>
  <c r="O560" i="2"/>
  <c r="N560" i="2"/>
  <c r="J560" i="2"/>
  <c r="I560" i="2"/>
  <c r="H560" i="2"/>
  <c r="G560" i="2"/>
  <c r="F560" i="2"/>
  <c r="E560" i="2"/>
  <c r="D560" i="2"/>
  <c r="C560" i="2"/>
  <c r="B560" i="2"/>
  <c r="A560" i="2"/>
  <c r="Q559" i="2"/>
  <c r="P559" i="2"/>
  <c r="O559" i="2"/>
  <c r="N559" i="2"/>
  <c r="K559" i="2"/>
  <c r="J559" i="2"/>
  <c r="I559" i="2"/>
  <c r="H559" i="2"/>
  <c r="G559" i="2"/>
  <c r="F559" i="2"/>
  <c r="E559" i="2"/>
  <c r="D559" i="2"/>
  <c r="C559" i="2"/>
  <c r="B559" i="2"/>
  <c r="A559" i="2"/>
  <c r="P558" i="2"/>
  <c r="O558" i="2"/>
  <c r="N558" i="2"/>
  <c r="M558" i="2"/>
  <c r="K558" i="2"/>
  <c r="J558" i="2"/>
  <c r="I558" i="2"/>
  <c r="H558" i="2"/>
  <c r="G558" i="2"/>
  <c r="F558" i="2"/>
  <c r="E558" i="2"/>
  <c r="D558" i="2"/>
  <c r="C558" i="2"/>
  <c r="B558" i="2"/>
  <c r="A558" i="2"/>
  <c r="Q557" i="2"/>
  <c r="P557" i="2"/>
  <c r="O557" i="2"/>
  <c r="N557" i="2"/>
  <c r="L557" i="2"/>
  <c r="K557" i="2"/>
  <c r="J557" i="2"/>
  <c r="I557" i="2"/>
  <c r="H557" i="2"/>
  <c r="G557" i="2"/>
  <c r="F557" i="2"/>
  <c r="E557" i="2"/>
  <c r="D557" i="2"/>
  <c r="C557" i="2"/>
  <c r="B557" i="2"/>
  <c r="A557" i="2"/>
  <c r="R556" i="2"/>
  <c r="O556" i="2"/>
  <c r="N556" i="2"/>
  <c r="L556" i="2"/>
  <c r="J556" i="2"/>
  <c r="I556" i="2"/>
  <c r="H556" i="2"/>
  <c r="G556" i="2"/>
  <c r="F556" i="2"/>
  <c r="E556" i="2"/>
  <c r="D556" i="2"/>
  <c r="C556" i="2"/>
  <c r="B556" i="2"/>
  <c r="A556" i="2"/>
  <c r="P555" i="2"/>
  <c r="O555" i="2"/>
  <c r="N555" i="2"/>
  <c r="K555" i="2"/>
  <c r="J555" i="2"/>
  <c r="I555" i="2"/>
  <c r="H555" i="2"/>
  <c r="G555" i="2"/>
  <c r="F555" i="2"/>
  <c r="E555" i="2"/>
  <c r="D555" i="2"/>
  <c r="C555" i="2"/>
  <c r="B555" i="2"/>
  <c r="A555" i="2"/>
  <c r="R554" i="2"/>
  <c r="O554" i="2"/>
  <c r="N554" i="2"/>
  <c r="L554" i="2"/>
  <c r="J554" i="2"/>
  <c r="I554" i="2"/>
  <c r="H554" i="2"/>
  <c r="G554" i="2"/>
  <c r="F554" i="2"/>
  <c r="E554" i="2"/>
  <c r="D554" i="2"/>
  <c r="C554" i="2"/>
  <c r="B554" i="2"/>
  <c r="A554" i="2"/>
  <c r="P553" i="2"/>
  <c r="O553" i="2"/>
  <c r="N553" i="2"/>
  <c r="K553" i="2"/>
  <c r="J553" i="2"/>
  <c r="I553" i="2"/>
  <c r="H553" i="2"/>
  <c r="G553" i="2"/>
  <c r="F553" i="2"/>
  <c r="E553" i="2"/>
  <c r="D553" i="2"/>
  <c r="C553" i="2"/>
  <c r="B553" i="2"/>
  <c r="A553" i="2"/>
  <c r="P552" i="2"/>
  <c r="O552" i="2"/>
  <c r="N552" i="2"/>
  <c r="M552" i="2"/>
  <c r="K552" i="2"/>
  <c r="J552" i="2"/>
  <c r="I552" i="2"/>
  <c r="H552" i="2"/>
  <c r="G552" i="2"/>
  <c r="F552" i="2"/>
  <c r="E552" i="2"/>
  <c r="D552" i="2"/>
  <c r="C552" i="2"/>
  <c r="B552" i="2"/>
  <c r="A552" i="2"/>
  <c r="P551" i="2"/>
  <c r="O551" i="2"/>
  <c r="N551" i="2"/>
  <c r="K551" i="2"/>
  <c r="J551" i="2"/>
  <c r="I551" i="2"/>
  <c r="H551" i="2"/>
  <c r="G551" i="2"/>
  <c r="F551" i="2"/>
  <c r="E551" i="2"/>
  <c r="D551" i="2"/>
  <c r="C551" i="2"/>
  <c r="B551" i="2"/>
  <c r="A551" i="2"/>
  <c r="Q550" i="2"/>
  <c r="P550" i="2"/>
  <c r="O550" i="2"/>
  <c r="N550" i="2"/>
  <c r="M550" i="2"/>
  <c r="L550" i="2"/>
  <c r="K550" i="2"/>
  <c r="J550" i="2"/>
  <c r="I550" i="2"/>
  <c r="H550" i="2"/>
  <c r="G550" i="2"/>
  <c r="F550" i="2"/>
  <c r="E550" i="2"/>
  <c r="D550" i="2"/>
  <c r="C550" i="2"/>
  <c r="B550" i="2"/>
  <c r="A550" i="2"/>
  <c r="R549" i="2"/>
  <c r="O549" i="2"/>
  <c r="N549" i="2"/>
  <c r="L549" i="2"/>
  <c r="J549" i="2"/>
  <c r="I549" i="2"/>
  <c r="H549" i="2"/>
  <c r="G549" i="2"/>
  <c r="F549" i="2"/>
  <c r="E549" i="2"/>
  <c r="D549" i="2"/>
  <c r="C549" i="2"/>
  <c r="B549" i="2"/>
  <c r="A549" i="2"/>
  <c r="P548" i="2"/>
  <c r="O548" i="2"/>
  <c r="N548" i="2"/>
  <c r="K548" i="2"/>
  <c r="J548" i="2"/>
  <c r="I548" i="2"/>
  <c r="H548" i="2"/>
  <c r="G548" i="2"/>
  <c r="F548" i="2"/>
  <c r="E548" i="2"/>
  <c r="D548" i="2"/>
  <c r="C548" i="2"/>
  <c r="B548" i="2"/>
  <c r="A548" i="2"/>
  <c r="P547" i="2"/>
  <c r="O547" i="2"/>
  <c r="N547" i="2"/>
  <c r="M547" i="2"/>
  <c r="K547" i="2"/>
  <c r="J547" i="2"/>
  <c r="I547" i="2"/>
  <c r="H547" i="2"/>
  <c r="G547" i="2"/>
  <c r="F547" i="2"/>
  <c r="E547" i="2"/>
  <c r="D547" i="2"/>
  <c r="C547" i="2"/>
  <c r="B547" i="2"/>
  <c r="A547" i="2"/>
  <c r="P546" i="2"/>
  <c r="O546" i="2"/>
  <c r="N546" i="2"/>
  <c r="M546" i="2"/>
  <c r="K546" i="2"/>
  <c r="J546" i="2"/>
  <c r="I546" i="2"/>
  <c r="H546" i="2"/>
  <c r="G546" i="2"/>
  <c r="F546" i="2"/>
  <c r="E546" i="2"/>
  <c r="D546" i="2"/>
  <c r="C546" i="2"/>
  <c r="B546" i="2"/>
  <c r="A546" i="2"/>
  <c r="R545" i="2"/>
  <c r="P545" i="2"/>
  <c r="O545" i="2"/>
  <c r="N545" i="2"/>
  <c r="M545" i="2"/>
  <c r="L545" i="2"/>
  <c r="K545" i="2"/>
  <c r="J545" i="2"/>
  <c r="I545" i="2"/>
  <c r="H545" i="2"/>
  <c r="G545" i="2"/>
  <c r="F545" i="2"/>
  <c r="E545" i="2"/>
  <c r="D545" i="2"/>
  <c r="C545" i="2"/>
  <c r="B545" i="2"/>
  <c r="A545" i="2"/>
  <c r="P544" i="2"/>
  <c r="O544" i="2"/>
  <c r="N544" i="2"/>
  <c r="M544" i="2"/>
  <c r="K544" i="2"/>
  <c r="J544" i="2"/>
  <c r="I544" i="2"/>
  <c r="H544" i="2"/>
  <c r="G544" i="2"/>
  <c r="F544" i="2"/>
  <c r="E544" i="2"/>
  <c r="D544" i="2"/>
  <c r="C544" i="2"/>
  <c r="B544" i="2"/>
  <c r="A544" i="2"/>
  <c r="Q543" i="2"/>
  <c r="P543" i="2"/>
  <c r="O543" i="2"/>
  <c r="N543" i="2"/>
  <c r="K543" i="2"/>
  <c r="J543" i="2"/>
  <c r="I543" i="2"/>
  <c r="H543" i="2"/>
  <c r="G543" i="2"/>
  <c r="F543" i="2"/>
  <c r="E543" i="2"/>
  <c r="D543" i="2"/>
  <c r="C543" i="2"/>
  <c r="B543" i="2"/>
  <c r="A543" i="2"/>
  <c r="P542" i="2"/>
  <c r="O542" i="2"/>
  <c r="N542" i="2"/>
  <c r="K542" i="2"/>
  <c r="J542" i="2"/>
  <c r="I542" i="2"/>
  <c r="H542" i="2"/>
  <c r="G542" i="2"/>
  <c r="F542" i="2"/>
  <c r="E542" i="2"/>
  <c r="D542" i="2"/>
  <c r="C542" i="2"/>
  <c r="B542" i="2"/>
  <c r="A542" i="2"/>
  <c r="R541" i="2"/>
  <c r="O541" i="2"/>
  <c r="N541" i="2"/>
  <c r="L541" i="2"/>
  <c r="J541" i="2"/>
  <c r="I541" i="2"/>
  <c r="H541" i="2"/>
  <c r="G541" i="2"/>
  <c r="F541" i="2"/>
  <c r="E541" i="2"/>
  <c r="D541" i="2"/>
  <c r="C541" i="2"/>
  <c r="B541" i="2"/>
  <c r="A541" i="2"/>
  <c r="P540" i="2"/>
  <c r="O540" i="2"/>
  <c r="N540" i="2"/>
  <c r="K540" i="2"/>
  <c r="J540" i="2"/>
  <c r="I540" i="2"/>
  <c r="H540" i="2"/>
  <c r="G540" i="2"/>
  <c r="F540" i="2"/>
  <c r="E540" i="2"/>
  <c r="D540" i="2"/>
  <c r="C540" i="2"/>
  <c r="B540" i="2"/>
  <c r="A540" i="2"/>
  <c r="R539" i="2"/>
  <c r="O539" i="2"/>
  <c r="N539" i="2"/>
  <c r="L539" i="2"/>
  <c r="J539" i="2"/>
  <c r="I539" i="2"/>
  <c r="H539" i="2"/>
  <c r="G539" i="2"/>
  <c r="F539" i="2"/>
  <c r="E539" i="2"/>
  <c r="D539" i="2"/>
  <c r="C539" i="2"/>
  <c r="B539" i="2"/>
  <c r="A539" i="2"/>
  <c r="Q538" i="2"/>
  <c r="P538" i="2"/>
  <c r="O538" i="2"/>
  <c r="N538" i="2"/>
  <c r="M538" i="2"/>
  <c r="K538" i="2"/>
  <c r="J538" i="2"/>
  <c r="I538" i="2"/>
  <c r="H538" i="2"/>
  <c r="G538" i="2"/>
  <c r="F538" i="2"/>
  <c r="E538" i="2"/>
  <c r="D538" i="2"/>
  <c r="C538" i="2"/>
  <c r="B538" i="2"/>
  <c r="A538" i="2"/>
  <c r="Q537" i="2"/>
  <c r="P537" i="2"/>
  <c r="O537" i="2"/>
  <c r="N537" i="2"/>
  <c r="M537" i="2"/>
  <c r="K537" i="2"/>
  <c r="J537" i="2"/>
  <c r="I537" i="2"/>
  <c r="H537" i="2"/>
  <c r="G537" i="2"/>
  <c r="F537" i="2"/>
  <c r="E537" i="2"/>
  <c r="D537" i="2"/>
  <c r="C537" i="2"/>
  <c r="B537" i="2"/>
  <c r="A537" i="2"/>
  <c r="O536" i="2"/>
  <c r="N536" i="2"/>
  <c r="J536" i="2"/>
  <c r="I536" i="2"/>
  <c r="H536" i="2"/>
  <c r="G536" i="2"/>
  <c r="F536" i="2"/>
  <c r="E536" i="2"/>
  <c r="D536" i="2"/>
  <c r="C536" i="2"/>
  <c r="B536" i="2"/>
  <c r="A536" i="2"/>
  <c r="R535" i="2"/>
  <c r="O535" i="2"/>
  <c r="N535" i="2"/>
  <c r="L535" i="2"/>
  <c r="J535" i="2"/>
  <c r="I535" i="2"/>
  <c r="H535" i="2"/>
  <c r="G535" i="2"/>
  <c r="F535" i="2"/>
  <c r="E535" i="2"/>
  <c r="D535" i="2"/>
  <c r="C535" i="2"/>
  <c r="B535" i="2"/>
  <c r="A535" i="2"/>
  <c r="P534" i="2"/>
  <c r="O534" i="2"/>
  <c r="N534" i="2"/>
  <c r="J534" i="2"/>
  <c r="I534" i="2"/>
  <c r="H534" i="2"/>
  <c r="G534" i="2"/>
  <c r="F534" i="2"/>
  <c r="E534" i="2"/>
  <c r="D534" i="2"/>
  <c r="C534" i="2"/>
  <c r="B534" i="2"/>
  <c r="A534" i="2"/>
  <c r="R533" i="2"/>
  <c r="O533" i="2"/>
  <c r="N533" i="2"/>
  <c r="L533" i="2"/>
  <c r="J533" i="2"/>
  <c r="I533" i="2"/>
  <c r="H533" i="2"/>
  <c r="G533" i="2"/>
  <c r="F533" i="2"/>
  <c r="E533" i="2"/>
  <c r="D533" i="2"/>
  <c r="C533" i="2"/>
  <c r="B533" i="2"/>
  <c r="A533" i="2"/>
  <c r="R532" i="2"/>
  <c r="O532" i="2"/>
  <c r="N532" i="2"/>
  <c r="M532" i="2"/>
  <c r="L532" i="2"/>
  <c r="J532" i="2"/>
  <c r="I532" i="2"/>
  <c r="H532" i="2"/>
  <c r="G532" i="2"/>
  <c r="F532" i="2"/>
  <c r="E532" i="2"/>
  <c r="D532" i="2"/>
  <c r="C532" i="2"/>
  <c r="B532" i="2"/>
  <c r="A532" i="2"/>
  <c r="P531" i="2"/>
  <c r="O531" i="2"/>
  <c r="N531" i="2"/>
  <c r="K531" i="2"/>
  <c r="J531" i="2"/>
  <c r="I531" i="2"/>
  <c r="H531" i="2"/>
  <c r="G531" i="2"/>
  <c r="F531" i="2"/>
  <c r="E531" i="2"/>
  <c r="D531" i="2"/>
  <c r="C531" i="2"/>
  <c r="B531" i="2"/>
  <c r="A531" i="2"/>
  <c r="P530" i="2"/>
  <c r="O530" i="2"/>
  <c r="N530" i="2"/>
  <c r="K530" i="2"/>
  <c r="J530" i="2"/>
  <c r="I530" i="2"/>
  <c r="H530" i="2"/>
  <c r="G530" i="2"/>
  <c r="F530" i="2"/>
  <c r="E530" i="2"/>
  <c r="D530" i="2"/>
  <c r="C530" i="2"/>
  <c r="B530" i="2"/>
  <c r="A530" i="2"/>
  <c r="P529" i="2"/>
  <c r="O529" i="2"/>
  <c r="N529" i="2"/>
  <c r="K529" i="2"/>
  <c r="J529" i="2"/>
  <c r="I529" i="2"/>
  <c r="H529" i="2"/>
  <c r="G529" i="2"/>
  <c r="F529" i="2"/>
  <c r="E529" i="2"/>
  <c r="D529" i="2"/>
  <c r="C529" i="2"/>
  <c r="B529" i="2"/>
  <c r="A529" i="2"/>
  <c r="R528" i="2"/>
  <c r="O528" i="2"/>
  <c r="N528" i="2"/>
  <c r="M528" i="2"/>
  <c r="L528" i="2"/>
  <c r="J528" i="2"/>
  <c r="I528" i="2"/>
  <c r="H528" i="2"/>
  <c r="G528" i="2"/>
  <c r="F528" i="2"/>
  <c r="E528" i="2"/>
  <c r="D528" i="2"/>
  <c r="C528" i="2"/>
  <c r="B528" i="2"/>
  <c r="A528" i="2"/>
  <c r="R527" i="2"/>
  <c r="O527" i="2"/>
  <c r="N527" i="2"/>
  <c r="L527" i="2"/>
  <c r="J527" i="2"/>
  <c r="I527" i="2"/>
  <c r="H527" i="2"/>
  <c r="G527" i="2"/>
  <c r="F527" i="2"/>
  <c r="E527" i="2"/>
  <c r="D527" i="2"/>
  <c r="C527" i="2"/>
  <c r="B527" i="2"/>
  <c r="A527" i="2"/>
  <c r="P526" i="2"/>
  <c r="O526" i="2"/>
  <c r="N526" i="2"/>
  <c r="M526" i="2"/>
  <c r="K526" i="2"/>
  <c r="J526" i="2"/>
  <c r="I526" i="2"/>
  <c r="H526" i="2"/>
  <c r="G526" i="2"/>
  <c r="F526" i="2"/>
  <c r="E526" i="2"/>
  <c r="D526" i="2"/>
  <c r="C526" i="2"/>
  <c r="B526" i="2"/>
  <c r="A526" i="2"/>
  <c r="P525" i="2"/>
  <c r="O525" i="2"/>
  <c r="N525" i="2"/>
  <c r="J525" i="2"/>
  <c r="I525" i="2"/>
  <c r="H525" i="2"/>
  <c r="G525" i="2"/>
  <c r="F525" i="2"/>
  <c r="E525" i="2"/>
  <c r="D525" i="2"/>
  <c r="C525" i="2"/>
  <c r="B525" i="2"/>
  <c r="A525" i="2"/>
  <c r="R524" i="2"/>
  <c r="O524" i="2"/>
  <c r="N524" i="2"/>
  <c r="L524" i="2"/>
  <c r="J524" i="2"/>
  <c r="I524" i="2"/>
  <c r="H524" i="2"/>
  <c r="G524" i="2"/>
  <c r="F524" i="2"/>
  <c r="E524" i="2"/>
  <c r="D524" i="2"/>
  <c r="C524" i="2"/>
  <c r="B524" i="2"/>
  <c r="A524" i="2"/>
  <c r="S523" i="2"/>
  <c r="R523" i="2"/>
  <c r="O523" i="2"/>
  <c r="N523" i="2"/>
  <c r="M523" i="2"/>
  <c r="L523" i="2"/>
  <c r="J523" i="2"/>
  <c r="I523" i="2"/>
  <c r="H523" i="2"/>
  <c r="G523" i="2"/>
  <c r="F523" i="2"/>
  <c r="E523" i="2"/>
  <c r="D523" i="2"/>
  <c r="C523" i="2"/>
  <c r="B523" i="2"/>
  <c r="A523" i="2"/>
  <c r="P522" i="2"/>
  <c r="O522" i="2"/>
  <c r="N522" i="2"/>
  <c r="K522" i="2"/>
  <c r="J522" i="2"/>
  <c r="I522" i="2"/>
  <c r="H522" i="2"/>
  <c r="G522" i="2"/>
  <c r="F522" i="2"/>
  <c r="E522" i="2"/>
  <c r="D522" i="2"/>
  <c r="C522" i="2"/>
  <c r="B522" i="2"/>
  <c r="A522" i="2"/>
  <c r="P521" i="2"/>
  <c r="O521" i="2"/>
  <c r="N521" i="2"/>
  <c r="M521" i="2"/>
  <c r="K521" i="2"/>
  <c r="J521" i="2"/>
  <c r="I521" i="2"/>
  <c r="H521" i="2"/>
  <c r="G521" i="2"/>
  <c r="F521" i="2"/>
  <c r="E521" i="2"/>
  <c r="D521" i="2"/>
  <c r="C521" i="2"/>
  <c r="B521" i="2"/>
  <c r="A521" i="2"/>
  <c r="P520" i="2"/>
  <c r="O520" i="2"/>
  <c r="N520" i="2"/>
  <c r="K520" i="2"/>
  <c r="J520" i="2"/>
  <c r="I520" i="2"/>
  <c r="H520" i="2"/>
  <c r="G520" i="2"/>
  <c r="F520" i="2"/>
  <c r="E520" i="2"/>
  <c r="D520" i="2"/>
  <c r="C520" i="2"/>
  <c r="B520" i="2"/>
  <c r="A520" i="2"/>
  <c r="P519" i="2"/>
  <c r="O519" i="2"/>
  <c r="N519" i="2"/>
  <c r="K519" i="2"/>
  <c r="J519" i="2"/>
  <c r="I519" i="2"/>
  <c r="H519" i="2"/>
  <c r="G519" i="2"/>
  <c r="F519" i="2"/>
  <c r="E519" i="2"/>
  <c r="D519" i="2"/>
  <c r="C519" i="2"/>
  <c r="B519" i="2"/>
  <c r="A519" i="2"/>
  <c r="P518" i="2"/>
  <c r="O518" i="2"/>
  <c r="N518" i="2"/>
  <c r="K518" i="2"/>
  <c r="J518" i="2"/>
  <c r="I518" i="2"/>
  <c r="H518" i="2"/>
  <c r="G518" i="2"/>
  <c r="F518" i="2"/>
  <c r="E518" i="2"/>
  <c r="D518" i="2"/>
  <c r="C518" i="2"/>
  <c r="B518" i="2"/>
  <c r="A518" i="2"/>
  <c r="O517" i="2"/>
  <c r="N517" i="2"/>
  <c r="J517" i="2"/>
  <c r="I517" i="2"/>
  <c r="H517" i="2"/>
  <c r="G517" i="2"/>
  <c r="F517" i="2"/>
  <c r="E517" i="2"/>
  <c r="D517" i="2"/>
  <c r="C517" i="2"/>
  <c r="B517" i="2"/>
  <c r="A517" i="2"/>
  <c r="P516" i="2"/>
  <c r="O516" i="2"/>
  <c r="N516" i="2"/>
  <c r="K516" i="2"/>
  <c r="J516" i="2"/>
  <c r="I516" i="2"/>
  <c r="H516" i="2"/>
  <c r="G516" i="2"/>
  <c r="F516" i="2"/>
  <c r="E516" i="2"/>
  <c r="D516" i="2"/>
  <c r="C516" i="2"/>
  <c r="B516" i="2"/>
  <c r="A516" i="2"/>
  <c r="P515" i="2"/>
  <c r="O515" i="2"/>
  <c r="N515" i="2"/>
  <c r="K515" i="2"/>
  <c r="J515" i="2"/>
  <c r="I515" i="2"/>
  <c r="H515" i="2"/>
  <c r="G515" i="2"/>
  <c r="F515" i="2"/>
  <c r="E515" i="2"/>
  <c r="D515" i="2"/>
  <c r="C515" i="2"/>
  <c r="B515" i="2"/>
  <c r="A515" i="2"/>
  <c r="P514" i="2"/>
  <c r="O514" i="2"/>
  <c r="N514" i="2"/>
  <c r="K514" i="2"/>
  <c r="J514" i="2"/>
  <c r="I514" i="2"/>
  <c r="H514" i="2"/>
  <c r="G514" i="2"/>
  <c r="F514" i="2"/>
  <c r="E514" i="2"/>
  <c r="D514" i="2"/>
  <c r="C514" i="2"/>
  <c r="B514" i="2"/>
  <c r="A514" i="2"/>
  <c r="P513" i="2"/>
  <c r="O513" i="2"/>
  <c r="N513" i="2"/>
  <c r="K513" i="2"/>
  <c r="J513" i="2"/>
  <c r="I513" i="2"/>
  <c r="H513" i="2"/>
  <c r="G513" i="2"/>
  <c r="F513" i="2"/>
  <c r="E513" i="2"/>
  <c r="D513" i="2"/>
  <c r="C513" i="2"/>
  <c r="B513" i="2"/>
  <c r="A513" i="2"/>
  <c r="O512" i="2"/>
  <c r="N512" i="2"/>
  <c r="J512" i="2"/>
  <c r="I512" i="2"/>
  <c r="H512" i="2"/>
  <c r="G512" i="2"/>
  <c r="F512" i="2"/>
  <c r="E512" i="2"/>
  <c r="D512" i="2"/>
  <c r="C512" i="2"/>
  <c r="B512" i="2"/>
  <c r="A512" i="2"/>
  <c r="P511" i="2"/>
  <c r="O511" i="2"/>
  <c r="N511" i="2"/>
  <c r="M511" i="2"/>
  <c r="K511" i="2"/>
  <c r="J511" i="2"/>
  <c r="I511" i="2"/>
  <c r="H511" i="2"/>
  <c r="G511" i="2"/>
  <c r="F511" i="2"/>
  <c r="E511" i="2"/>
  <c r="D511" i="2"/>
  <c r="C511" i="2"/>
  <c r="B511" i="2"/>
  <c r="A511" i="2"/>
  <c r="P510" i="2"/>
  <c r="O510" i="2"/>
  <c r="N510" i="2"/>
  <c r="K510" i="2"/>
  <c r="J510" i="2"/>
  <c r="I510" i="2"/>
  <c r="H510" i="2"/>
  <c r="G510" i="2"/>
  <c r="F510" i="2"/>
  <c r="E510" i="2"/>
  <c r="D510" i="2"/>
  <c r="C510" i="2"/>
  <c r="B510" i="2"/>
  <c r="A510" i="2"/>
  <c r="P509" i="2"/>
  <c r="O509" i="2"/>
  <c r="N509" i="2"/>
  <c r="K509" i="2"/>
  <c r="J509" i="2"/>
  <c r="I509" i="2"/>
  <c r="H509" i="2"/>
  <c r="G509" i="2"/>
  <c r="F509" i="2"/>
  <c r="E509" i="2"/>
  <c r="D509" i="2"/>
  <c r="C509" i="2"/>
  <c r="B509" i="2"/>
  <c r="A509" i="2"/>
  <c r="P508" i="2"/>
  <c r="O508" i="2"/>
  <c r="N508" i="2"/>
  <c r="M508" i="2"/>
  <c r="K508" i="2"/>
  <c r="J508" i="2"/>
  <c r="I508" i="2"/>
  <c r="H508" i="2"/>
  <c r="G508" i="2"/>
  <c r="F508" i="2"/>
  <c r="E508" i="2"/>
  <c r="D508" i="2"/>
  <c r="C508" i="2"/>
  <c r="B508" i="2"/>
  <c r="A508" i="2"/>
  <c r="Q507" i="2"/>
  <c r="P507" i="2"/>
  <c r="O507" i="2"/>
  <c r="N507" i="2"/>
  <c r="K507" i="2"/>
  <c r="J507" i="2"/>
  <c r="I507" i="2"/>
  <c r="H507" i="2"/>
  <c r="G507" i="2"/>
  <c r="F507" i="2"/>
  <c r="E507" i="2"/>
  <c r="D507" i="2"/>
  <c r="C507" i="2"/>
  <c r="B507" i="2"/>
  <c r="A507" i="2"/>
  <c r="R506" i="2"/>
  <c r="O506" i="2"/>
  <c r="N506" i="2"/>
  <c r="L506" i="2"/>
  <c r="J506" i="2"/>
  <c r="I506" i="2"/>
  <c r="H506" i="2"/>
  <c r="G506" i="2"/>
  <c r="F506" i="2"/>
  <c r="E506" i="2"/>
  <c r="D506" i="2"/>
  <c r="C506" i="2"/>
  <c r="B506" i="2"/>
  <c r="A506" i="2"/>
  <c r="R505" i="2"/>
  <c r="O505" i="2"/>
  <c r="N505" i="2"/>
  <c r="M505" i="2"/>
  <c r="L505" i="2"/>
  <c r="J505" i="2"/>
  <c r="I505" i="2"/>
  <c r="H505" i="2"/>
  <c r="G505" i="2"/>
  <c r="F505" i="2"/>
  <c r="E505" i="2"/>
  <c r="D505" i="2"/>
  <c r="C505" i="2"/>
  <c r="B505" i="2"/>
  <c r="A505" i="2"/>
  <c r="R504" i="2"/>
  <c r="O504" i="2"/>
  <c r="N504" i="2"/>
  <c r="L504" i="2"/>
  <c r="J504" i="2"/>
  <c r="I504" i="2"/>
  <c r="H504" i="2"/>
  <c r="G504" i="2"/>
  <c r="F504" i="2"/>
  <c r="E504" i="2"/>
  <c r="D504" i="2"/>
  <c r="C504" i="2"/>
  <c r="B504" i="2"/>
  <c r="A504" i="2"/>
  <c r="O503" i="2"/>
  <c r="N503" i="2"/>
  <c r="J503" i="2"/>
  <c r="I503" i="2"/>
  <c r="H503" i="2"/>
  <c r="G503" i="2"/>
  <c r="F503" i="2"/>
  <c r="E503" i="2"/>
  <c r="D503" i="2"/>
  <c r="C503" i="2"/>
  <c r="B503" i="2"/>
  <c r="A503" i="2"/>
  <c r="R502" i="2"/>
  <c r="P502" i="2"/>
  <c r="O502" i="2"/>
  <c r="N502" i="2"/>
  <c r="M502" i="2"/>
  <c r="L502" i="2"/>
  <c r="K502" i="2"/>
  <c r="J502" i="2"/>
  <c r="I502" i="2"/>
  <c r="H502" i="2"/>
  <c r="G502" i="2"/>
  <c r="F502" i="2"/>
  <c r="E502" i="2"/>
  <c r="D502" i="2"/>
  <c r="C502" i="2"/>
  <c r="B502" i="2"/>
  <c r="A502" i="2"/>
  <c r="O501" i="2"/>
  <c r="N501" i="2"/>
  <c r="J501" i="2"/>
  <c r="I501" i="2"/>
  <c r="H501" i="2"/>
  <c r="G501" i="2"/>
  <c r="F501" i="2"/>
  <c r="E501" i="2"/>
  <c r="D501" i="2"/>
  <c r="C501" i="2"/>
  <c r="B501" i="2"/>
  <c r="A501" i="2"/>
  <c r="S500" i="2"/>
  <c r="R500" i="2"/>
  <c r="P500" i="2"/>
  <c r="O500" i="2"/>
  <c r="N500" i="2"/>
  <c r="M500" i="2"/>
  <c r="L500" i="2"/>
  <c r="K500" i="2"/>
  <c r="J500" i="2"/>
  <c r="I500" i="2"/>
  <c r="H500" i="2"/>
  <c r="G500" i="2"/>
  <c r="F500" i="2"/>
  <c r="E500" i="2"/>
  <c r="D500" i="2"/>
  <c r="C500" i="2"/>
  <c r="B500" i="2"/>
  <c r="A500" i="2"/>
  <c r="R499" i="2"/>
  <c r="O499" i="2"/>
  <c r="N499" i="2"/>
  <c r="L499" i="2"/>
  <c r="J499" i="2"/>
  <c r="I499" i="2"/>
  <c r="H499" i="2"/>
  <c r="G499" i="2"/>
  <c r="F499" i="2"/>
  <c r="E499" i="2"/>
  <c r="D499" i="2"/>
  <c r="C499" i="2"/>
  <c r="B499" i="2"/>
  <c r="A499" i="2"/>
  <c r="O498" i="2"/>
  <c r="N498" i="2"/>
  <c r="M498" i="2"/>
  <c r="J498" i="2"/>
  <c r="I498" i="2"/>
  <c r="H498" i="2"/>
  <c r="G498" i="2"/>
  <c r="F498" i="2"/>
  <c r="E498" i="2"/>
  <c r="D498" i="2"/>
  <c r="C498" i="2"/>
  <c r="B498" i="2"/>
  <c r="A498" i="2"/>
  <c r="P497" i="2"/>
  <c r="O497" i="2"/>
  <c r="N497" i="2"/>
  <c r="M497" i="2"/>
  <c r="K497" i="2"/>
  <c r="J497" i="2"/>
  <c r="I497" i="2"/>
  <c r="H497" i="2"/>
  <c r="G497" i="2"/>
  <c r="F497" i="2"/>
  <c r="E497" i="2"/>
  <c r="D497" i="2"/>
  <c r="C497" i="2"/>
  <c r="B497" i="2"/>
  <c r="A497" i="2"/>
  <c r="O496" i="2"/>
  <c r="N496" i="2"/>
  <c r="J496" i="2"/>
  <c r="I496" i="2"/>
  <c r="H496" i="2"/>
  <c r="G496" i="2"/>
  <c r="F496" i="2"/>
  <c r="E496" i="2"/>
  <c r="D496" i="2"/>
  <c r="C496" i="2"/>
  <c r="B496" i="2"/>
  <c r="A496" i="2"/>
  <c r="P495" i="2"/>
  <c r="O495" i="2"/>
  <c r="N495" i="2"/>
  <c r="K495" i="2"/>
  <c r="J495" i="2"/>
  <c r="I495" i="2"/>
  <c r="H495" i="2"/>
  <c r="G495" i="2"/>
  <c r="F495" i="2"/>
  <c r="E495" i="2"/>
  <c r="D495" i="2"/>
  <c r="C495" i="2"/>
  <c r="B495" i="2"/>
  <c r="A495" i="2"/>
  <c r="P494" i="2"/>
  <c r="O494" i="2"/>
  <c r="N494" i="2"/>
  <c r="K494" i="2"/>
  <c r="J494" i="2"/>
  <c r="I494" i="2"/>
  <c r="H494" i="2"/>
  <c r="G494" i="2"/>
  <c r="F494" i="2"/>
  <c r="E494" i="2"/>
  <c r="D494" i="2"/>
  <c r="C494" i="2"/>
  <c r="B494" i="2"/>
  <c r="A494" i="2"/>
  <c r="P493" i="2"/>
  <c r="O493" i="2"/>
  <c r="N493" i="2"/>
  <c r="K493" i="2"/>
  <c r="J493" i="2"/>
  <c r="I493" i="2"/>
  <c r="H493" i="2"/>
  <c r="G493" i="2"/>
  <c r="F493" i="2"/>
  <c r="E493" i="2"/>
  <c r="D493" i="2"/>
  <c r="C493" i="2"/>
  <c r="B493" i="2"/>
  <c r="A493" i="2"/>
  <c r="P492" i="2"/>
  <c r="O492" i="2"/>
  <c r="N492" i="2"/>
  <c r="K492" i="2"/>
  <c r="J492" i="2"/>
  <c r="I492" i="2"/>
  <c r="H492" i="2"/>
  <c r="G492" i="2"/>
  <c r="F492" i="2"/>
  <c r="E492" i="2"/>
  <c r="D492" i="2"/>
  <c r="C492" i="2"/>
  <c r="B492" i="2"/>
  <c r="A492" i="2"/>
  <c r="R491" i="2"/>
  <c r="O491" i="2"/>
  <c r="N491" i="2"/>
  <c r="L491" i="2"/>
  <c r="J491" i="2"/>
  <c r="I491" i="2"/>
  <c r="H491" i="2"/>
  <c r="G491" i="2"/>
  <c r="F491" i="2"/>
  <c r="E491" i="2"/>
  <c r="D491" i="2"/>
  <c r="C491" i="2"/>
  <c r="B491" i="2"/>
  <c r="A491" i="2"/>
  <c r="O490" i="2"/>
  <c r="N490" i="2"/>
  <c r="K490" i="2"/>
  <c r="J490" i="2"/>
  <c r="I490" i="2"/>
  <c r="H490" i="2"/>
  <c r="G490" i="2"/>
  <c r="F490" i="2"/>
  <c r="E490" i="2"/>
  <c r="D490" i="2"/>
  <c r="C490" i="2"/>
  <c r="B490" i="2"/>
  <c r="A490" i="2"/>
  <c r="P489" i="2"/>
  <c r="O489" i="2"/>
  <c r="N489" i="2"/>
  <c r="K489" i="2"/>
  <c r="J489" i="2"/>
  <c r="I489" i="2"/>
  <c r="H489" i="2"/>
  <c r="G489" i="2"/>
  <c r="F489" i="2"/>
  <c r="E489" i="2"/>
  <c r="D489" i="2"/>
  <c r="C489" i="2"/>
  <c r="B489" i="2"/>
  <c r="A489" i="2"/>
  <c r="R488" i="2"/>
  <c r="O488" i="2"/>
  <c r="N488" i="2"/>
  <c r="L488" i="2"/>
  <c r="J488" i="2"/>
  <c r="I488" i="2"/>
  <c r="H488" i="2"/>
  <c r="G488" i="2"/>
  <c r="F488" i="2"/>
  <c r="E488" i="2"/>
  <c r="D488" i="2"/>
  <c r="C488" i="2"/>
  <c r="B488" i="2"/>
  <c r="A488" i="2"/>
  <c r="P487" i="2"/>
  <c r="O487" i="2"/>
  <c r="N487" i="2"/>
  <c r="K487" i="2"/>
  <c r="J487" i="2"/>
  <c r="I487" i="2"/>
  <c r="H487" i="2"/>
  <c r="G487" i="2"/>
  <c r="F487" i="2"/>
  <c r="E487" i="2"/>
  <c r="D487" i="2"/>
  <c r="C487" i="2"/>
  <c r="B487" i="2"/>
  <c r="A487" i="2"/>
  <c r="P486" i="2"/>
  <c r="O486" i="2"/>
  <c r="N486" i="2"/>
  <c r="M486" i="2"/>
  <c r="K486" i="2"/>
  <c r="J486" i="2"/>
  <c r="I486" i="2"/>
  <c r="H486" i="2"/>
  <c r="G486" i="2"/>
  <c r="F486" i="2"/>
  <c r="E486" i="2"/>
  <c r="D486" i="2"/>
  <c r="C486" i="2"/>
  <c r="B486" i="2"/>
  <c r="A486" i="2"/>
  <c r="P485" i="2"/>
  <c r="O485" i="2"/>
  <c r="N485" i="2"/>
  <c r="K485" i="2"/>
  <c r="J485" i="2"/>
  <c r="I485" i="2"/>
  <c r="H485" i="2"/>
  <c r="G485" i="2"/>
  <c r="F485" i="2"/>
  <c r="E485" i="2"/>
  <c r="D485" i="2"/>
  <c r="C485" i="2"/>
  <c r="B485" i="2"/>
  <c r="A485" i="2"/>
  <c r="Q484" i="2"/>
  <c r="P484" i="2"/>
  <c r="O484" i="2"/>
  <c r="N484" i="2"/>
  <c r="K484" i="2"/>
  <c r="J484" i="2"/>
  <c r="I484" i="2"/>
  <c r="H484" i="2"/>
  <c r="G484" i="2"/>
  <c r="F484" i="2"/>
  <c r="E484" i="2"/>
  <c r="D484" i="2"/>
  <c r="C484" i="2"/>
  <c r="B484" i="2"/>
  <c r="A484" i="2"/>
  <c r="O483" i="2"/>
  <c r="N483" i="2"/>
  <c r="J483" i="2"/>
  <c r="I483" i="2"/>
  <c r="H483" i="2"/>
  <c r="G483" i="2"/>
  <c r="F483" i="2"/>
  <c r="E483" i="2"/>
  <c r="D483" i="2"/>
  <c r="C483" i="2"/>
  <c r="B483" i="2"/>
  <c r="A483" i="2"/>
  <c r="P482" i="2"/>
  <c r="O482" i="2"/>
  <c r="N482" i="2"/>
  <c r="K482" i="2"/>
  <c r="J482" i="2"/>
  <c r="I482" i="2"/>
  <c r="H482" i="2"/>
  <c r="G482" i="2"/>
  <c r="F482" i="2"/>
  <c r="E482" i="2"/>
  <c r="D482" i="2"/>
  <c r="C482" i="2"/>
  <c r="B482" i="2"/>
  <c r="A482" i="2"/>
  <c r="P481" i="2"/>
  <c r="O481" i="2"/>
  <c r="N481" i="2"/>
  <c r="K481" i="2"/>
  <c r="J481" i="2"/>
  <c r="I481" i="2"/>
  <c r="H481" i="2"/>
  <c r="G481" i="2"/>
  <c r="F481" i="2"/>
  <c r="E481" i="2"/>
  <c r="D481" i="2"/>
  <c r="C481" i="2"/>
  <c r="B481" i="2"/>
  <c r="A481" i="2"/>
  <c r="O480" i="2"/>
  <c r="N480" i="2"/>
  <c r="J480" i="2"/>
  <c r="I480" i="2"/>
  <c r="H480" i="2"/>
  <c r="G480" i="2"/>
  <c r="F480" i="2"/>
  <c r="E480" i="2"/>
  <c r="D480" i="2"/>
  <c r="C480" i="2"/>
  <c r="B480" i="2"/>
  <c r="A480" i="2"/>
  <c r="P479" i="2"/>
  <c r="O479" i="2"/>
  <c r="N479" i="2"/>
  <c r="K479" i="2"/>
  <c r="J479" i="2"/>
  <c r="I479" i="2"/>
  <c r="H479" i="2"/>
  <c r="G479" i="2"/>
  <c r="F479" i="2"/>
  <c r="E479" i="2"/>
  <c r="D479" i="2"/>
  <c r="C479" i="2"/>
  <c r="B479" i="2"/>
  <c r="A479" i="2"/>
  <c r="O478" i="2"/>
  <c r="N478" i="2"/>
  <c r="K478" i="2"/>
  <c r="J478" i="2"/>
  <c r="I478" i="2"/>
  <c r="H478" i="2"/>
  <c r="G478" i="2"/>
  <c r="F478" i="2"/>
  <c r="E478" i="2"/>
  <c r="D478" i="2"/>
  <c r="C478" i="2"/>
  <c r="B478" i="2"/>
  <c r="A478" i="2"/>
  <c r="O477" i="2"/>
  <c r="N477" i="2"/>
  <c r="M477" i="2"/>
  <c r="K477" i="2"/>
  <c r="J477" i="2"/>
  <c r="I477" i="2"/>
  <c r="H477" i="2"/>
  <c r="G477" i="2"/>
  <c r="F477" i="2"/>
  <c r="E477" i="2"/>
  <c r="D477" i="2"/>
  <c r="C477" i="2"/>
  <c r="B477" i="2"/>
  <c r="A477" i="2"/>
  <c r="R476" i="2"/>
  <c r="O476" i="2"/>
  <c r="N476" i="2"/>
  <c r="L476" i="2"/>
  <c r="J476" i="2"/>
  <c r="I476" i="2"/>
  <c r="H476" i="2"/>
  <c r="G476" i="2"/>
  <c r="F476" i="2"/>
  <c r="E476" i="2"/>
  <c r="D476" i="2"/>
  <c r="C476" i="2"/>
  <c r="B476" i="2"/>
  <c r="A476" i="2"/>
  <c r="R475" i="2"/>
  <c r="O475" i="2"/>
  <c r="N475" i="2"/>
  <c r="M475" i="2"/>
  <c r="L475" i="2"/>
  <c r="J475" i="2"/>
  <c r="I475" i="2"/>
  <c r="H475" i="2"/>
  <c r="G475" i="2"/>
  <c r="F475" i="2"/>
  <c r="E475" i="2"/>
  <c r="D475" i="2"/>
  <c r="C475" i="2"/>
  <c r="B475" i="2"/>
  <c r="A475" i="2"/>
  <c r="P474" i="2"/>
  <c r="O474" i="2"/>
  <c r="N474" i="2"/>
  <c r="K474" i="2"/>
  <c r="J474" i="2"/>
  <c r="I474" i="2"/>
  <c r="H474" i="2"/>
  <c r="G474" i="2"/>
  <c r="F474" i="2"/>
  <c r="E474" i="2"/>
  <c r="D474" i="2"/>
  <c r="C474" i="2"/>
  <c r="B474" i="2"/>
  <c r="A474" i="2"/>
  <c r="P473" i="2"/>
  <c r="O473" i="2"/>
  <c r="N473" i="2"/>
  <c r="L473" i="2"/>
  <c r="K473" i="2"/>
  <c r="J473" i="2"/>
  <c r="I473" i="2"/>
  <c r="H473" i="2"/>
  <c r="G473" i="2"/>
  <c r="F473" i="2"/>
  <c r="E473" i="2"/>
  <c r="D473" i="2"/>
  <c r="C473" i="2"/>
  <c r="B473" i="2"/>
  <c r="A473" i="2"/>
  <c r="S472" i="2"/>
  <c r="Q472" i="2"/>
  <c r="P472" i="2"/>
  <c r="O472" i="2"/>
  <c r="N472" i="2"/>
  <c r="K472" i="2"/>
  <c r="J472" i="2"/>
  <c r="I472" i="2"/>
  <c r="H472" i="2"/>
  <c r="G472" i="2"/>
  <c r="F472" i="2"/>
  <c r="E472" i="2"/>
  <c r="D472" i="2"/>
  <c r="C472" i="2"/>
  <c r="B472" i="2"/>
  <c r="A472" i="2"/>
  <c r="R471" i="2"/>
  <c r="O471" i="2"/>
  <c r="N471" i="2"/>
  <c r="L471" i="2"/>
  <c r="J471" i="2"/>
  <c r="I471" i="2"/>
  <c r="H471" i="2"/>
  <c r="G471" i="2"/>
  <c r="F471" i="2"/>
  <c r="E471" i="2"/>
  <c r="D471" i="2"/>
  <c r="C471" i="2"/>
  <c r="B471" i="2"/>
  <c r="A471" i="2"/>
  <c r="P470" i="2"/>
  <c r="O470" i="2"/>
  <c r="N470" i="2"/>
  <c r="K470" i="2"/>
  <c r="J470" i="2"/>
  <c r="I470" i="2"/>
  <c r="H470" i="2"/>
  <c r="G470" i="2"/>
  <c r="F470" i="2"/>
  <c r="E470" i="2"/>
  <c r="D470" i="2"/>
  <c r="C470" i="2"/>
  <c r="B470" i="2"/>
  <c r="A470" i="2"/>
  <c r="P469" i="2"/>
  <c r="O469" i="2"/>
  <c r="N469" i="2"/>
  <c r="K469" i="2"/>
  <c r="J469" i="2"/>
  <c r="I469" i="2"/>
  <c r="H469" i="2"/>
  <c r="G469" i="2"/>
  <c r="F469" i="2"/>
  <c r="E469" i="2"/>
  <c r="D469" i="2"/>
  <c r="C469" i="2"/>
  <c r="B469" i="2"/>
  <c r="A469" i="2"/>
  <c r="R468" i="2"/>
  <c r="O468" i="2"/>
  <c r="N468" i="2"/>
  <c r="L468" i="2"/>
  <c r="J468" i="2"/>
  <c r="I468" i="2"/>
  <c r="H468" i="2"/>
  <c r="G468" i="2"/>
  <c r="F468" i="2"/>
  <c r="E468" i="2"/>
  <c r="D468" i="2"/>
  <c r="C468" i="2"/>
  <c r="B468" i="2"/>
  <c r="A468" i="2"/>
  <c r="P467" i="2"/>
  <c r="O467" i="2"/>
  <c r="N467" i="2"/>
  <c r="K467" i="2"/>
  <c r="J467" i="2"/>
  <c r="I467" i="2"/>
  <c r="H467" i="2"/>
  <c r="G467" i="2"/>
  <c r="F467" i="2"/>
  <c r="E467" i="2"/>
  <c r="D467" i="2"/>
  <c r="C467" i="2"/>
  <c r="B467" i="2"/>
  <c r="A467" i="2"/>
  <c r="S466" i="2"/>
  <c r="R466" i="2"/>
  <c r="Q466" i="2"/>
  <c r="P466" i="2"/>
  <c r="O466" i="2"/>
  <c r="N466" i="2"/>
  <c r="M466" i="2"/>
  <c r="L466" i="2"/>
  <c r="K466" i="2"/>
  <c r="J466" i="2"/>
  <c r="I466" i="2"/>
  <c r="H466" i="2"/>
  <c r="G466" i="2"/>
  <c r="F466" i="2"/>
  <c r="E466" i="2"/>
  <c r="D466" i="2"/>
  <c r="C466" i="2"/>
  <c r="B466" i="2"/>
  <c r="A466" i="2"/>
  <c r="P465" i="2"/>
  <c r="O465" i="2"/>
  <c r="N465" i="2"/>
  <c r="K465" i="2"/>
  <c r="J465" i="2"/>
  <c r="I465" i="2"/>
  <c r="H465" i="2"/>
  <c r="G465" i="2"/>
  <c r="F465" i="2"/>
  <c r="E465" i="2"/>
  <c r="D465" i="2"/>
  <c r="C465" i="2"/>
  <c r="B465" i="2"/>
  <c r="A465" i="2"/>
  <c r="P464" i="2"/>
  <c r="O464" i="2"/>
  <c r="N464" i="2"/>
  <c r="K464" i="2"/>
  <c r="J464" i="2"/>
  <c r="I464" i="2"/>
  <c r="H464" i="2"/>
  <c r="G464" i="2"/>
  <c r="F464" i="2"/>
  <c r="E464" i="2"/>
  <c r="D464" i="2"/>
  <c r="C464" i="2"/>
  <c r="B464" i="2"/>
  <c r="A464" i="2"/>
  <c r="Q463" i="2"/>
  <c r="P463" i="2"/>
  <c r="O463" i="2"/>
  <c r="N463" i="2"/>
  <c r="K463" i="2"/>
  <c r="J463" i="2"/>
  <c r="I463" i="2"/>
  <c r="H463" i="2"/>
  <c r="G463" i="2"/>
  <c r="F463" i="2"/>
  <c r="E463" i="2"/>
  <c r="D463" i="2"/>
  <c r="C463" i="2"/>
  <c r="B463" i="2"/>
  <c r="A463" i="2"/>
  <c r="P462" i="2"/>
  <c r="O462" i="2"/>
  <c r="N462" i="2"/>
  <c r="L462" i="2"/>
  <c r="K462" i="2"/>
  <c r="J462" i="2"/>
  <c r="I462" i="2"/>
  <c r="H462" i="2"/>
  <c r="G462" i="2"/>
  <c r="F462" i="2"/>
  <c r="E462" i="2"/>
  <c r="D462" i="2"/>
  <c r="C462" i="2"/>
  <c r="B462" i="2"/>
  <c r="A462" i="2"/>
  <c r="P461" i="2"/>
  <c r="O461" i="2"/>
  <c r="N461" i="2"/>
  <c r="K461" i="2"/>
  <c r="J461" i="2"/>
  <c r="I461" i="2"/>
  <c r="H461" i="2"/>
  <c r="G461" i="2"/>
  <c r="F461" i="2"/>
  <c r="E461" i="2"/>
  <c r="D461" i="2"/>
  <c r="C461" i="2"/>
  <c r="B461" i="2"/>
  <c r="A461" i="2"/>
  <c r="P460" i="2"/>
  <c r="O460" i="2"/>
  <c r="N460" i="2"/>
  <c r="M460" i="2"/>
  <c r="K460" i="2"/>
  <c r="J460" i="2"/>
  <c r="I460" i="2"/>
  <c r="H460" i="2"/>
  <c r="G460" i="2"/>
  <c r="F460" i="2"/>
  <c r="E460" i="2"/>
  <c r="D460" i="2"/>
  <c r="C460" i="2"/>
  <c r="B460" i="2"/>
  <c r="A460" i="2"/>
  <c r="P459" i="2"/>
  <c r="O459" i="2"/>
  <c r="N459" i="2"/>
  <c r="M459" i="2"/>
  <c r="K459" i="2"/>
  <c r="J459" i="2"/>
  <c r="I459" i="2"/>
  <c r="H459" i="2"/>
  <c r="G459" i="2"/>
  <c r="F459" i="2"/>
  <c r="E459" i="2"/>
  <c r="D459" i="2"/>
  <c r="C459" i="2"/>
  <c r="B459" i="2"/>
  <c r="A459" i="2"/>
  <c r="P458" i="2"/>
  <c r="O458" i="2"/>
  <c r="N458" i="2"/>
  <c r="K458" i="2"/>
  <c r="J458" i="2"/>
  <c r="I458" i="2"/>
  <c r="H458" i="2"/>
  <c r="G458" i="2"/>
  <c r="F458" i="2"/>
  <c r="E458" i="2"/>
  <c r="D458" i="2"/>
  <c r="C458" i="2"/>
  <c r="B458" i="2"/>
  <c r="A458" i="2"/>
  <c r="P457" i="2"/>
  <c r="O457" i="2"/>
  <c r="N457" i="2"/>
  <c r="M457" i="2"/>
  <c r="K457" i="2"/>
  <c r="J457" i="2"/>
  <c r="I457" i="2"/>
  <c r="H457" i="2"/>
  <c r="G457" i="2"/>
  <c r="F457" i="2"/>
  <c r="E457" i="2"/>
  <c r="D457" i="2"/>
  <c r="C457" i="2"/>
  <c r="B457" i="2"/>
  <c r="A457" i="2"/>
  <c r="P456" i="2"/>
  <c r="O456" i="2"/>
  <c r="N456" i="2"/>
  <c r="K456" i="2"/>
  <c r="J456" i="2"/>
  <c r="I456" i="2"/>
  <c r="H456" i="2"/>
  <c r="G456" i="2"/>
  <c r="F456" i="2"/>
  <c r="E456" i="2"/>
  <c r="D456" i="2"/>
  <c r="C456" i="2"/>
  <c r="B456" i="2"/>
  <c r="A456" i="2"/>
  <c r="Q455" i="2"/>
  <c r="P455" i="2"/>
  <c r="O455" i="2"/>
  <c r="N455" i="2"/>
  <c r="M455" i="2"/>
  <c r="K455" i="2"/>
  <c r="J455" i="2"/>
  <c r="I455" i="2"/>
  <c r="H455" i="2"/>
  <c r="G455" i="2"/>
  <c r="F455" i="2"/>
  <c r="E455" i="2"/>
  <c r="D455" i="2"/>
  <c r="C455" i="2"/>
  <c r="B455" i="2"/>
  <c r="A455" i="2"/>
  <c r="P454" i="2"/>
  <c r="O454" i="2"/>
  <c r="N454" i="2"/>
  <c r="M454" i="2"/>
  <c r="K454" i="2"/>
  <c r="J454" i="2"/>
  <c r="I454" i="2"/>
  <c r="H454" i="2"/>
  <c r="G454" i="2"/>
  <c r="F454" i="2"/>
  <c r="E454" i="2"/>
  <c r="D454" i="2"/>
  <c r="C454" i="2"/>
  <c r="B454" i="2"/>
  <c r="A454" i="2"/>
  <c r="R453" i="2"/>
  <c r="O453" i="2"/>
  <c r="N453" i="2"/>
  <c r="L453" i="2"/>
  <c r="J453" i="2"/>
  <c r="I453" i="2"/>
  <c r="H453" i="2"/>
  <c r="G453" i="2"/>
  <c r="F453" i="2"/>
  <c r="E453" i="2"/>
  <c r="D453" i="2"/>
  <c r="C453" i="2"/>
  <c r="B453" i="2"/>
  <c r="A453" i="2"/>
  <c r="P452" i="2"/>
  <c r="O452" i="2"/>
  <c r="N452" i="2"/>
  <c r="M452" i="2"/>
  <c r="K452" i="2"/>
  <c r="J452" i="2"/>
  <c r="I452" i="2"/>
  <c r="H452" i="2"/>
  <c r="G452" i="2"/>
  <c r="F452" i="2"/>
  <c r="E452" i="2"/>
  <c r="D452" i="2"/>
  <c r="C452" i="2"/>
  <c r="B452" i="2"/>
  <c r="A452" i="2"/>
  <c r="P451" i="2"/>
  <c r="O451" i="2"/>
  <c r="N451" i="2"/>
  <c r="M451" i="2"/>
  <c r="K451" i="2"/>
  <c r="J451" i="2"/>
  <c r="I451" i="2"/>
  <c r="H451" i="2"/>
  <c r="G451" i="2"/>
  <c r="F451" i="2"/>
  <c r="E451" i="2"/>
  <c r="D451" i="2"/>
  <c r="C451" i="2"/>
  <c r="B451" i="2"/>
  <c r="A451" i="2"/>
  <c r="P450" i="2"/>
  <c r="O450" i="2"/>
  <c r="N450" i="2"/>
  <c r="M450" i="2"/>
  <c r="K450" i="2"/>
  <c r="J450" i="2"/>
  <c r="I450" i="2"/>
  <c r="H450" i="2"/>
  <c r="G450" i="2"/>
  <c r="F450" i="2"/>
  <c r="E450" i="2"/>
  <c r="D450" i="2"/>
  <c r="C450" i="2"/>
  <c r="B450" i="2"/>
  <c r="A450" i="2"/>
  <c r="P449" i="2"/>
  <c r="O449" i="2"/>
  <c r="N449" i="2"/>
  <c r="K449" i="2"/>
  <c r="J449" i="2"/>
  <c r="I449" i="2"/>
  <c r="H449" i="2"/>
  <c r="G449" i="2"/>
  <c r="F449" i="2"/>
  <c r="E449" i="2"/>
  <c r="D449" i="2"/>
  <c r="C449" i="2"/>
  <c r="B449" i="2"/>
  <c r="A449" i="2"/>
  <c r="P448" i="2"/>
  <c r="O448" i="2"/>
  <c r="N448" i="2"/>
  <c r="M448" i="2"/>
  <c r="K448" i="2"/>
  <c r="J448" i="2"/>
  <c r="I448" i="2"/>
  <c r="H448" i="2"/>
  <c r="G448" i="2"/>
  <c r="F448" i="2"/>
  <c r="E448" i="2"/>
  <c r="D448" i="2"/>
  <c r="C448" i="2"/>
  <c r="B448" i="2"/>
  <c r="A448" i="2"/>
  <c r="P447" i="2"/>
  <c r="O447" i="2"/>
  <c r="N447" i="2"/>
  <c r="M447" i="2"/>
  <c r="K447" i="2"/>
  <c r="J447" i="2"/>
  <c r="I447" i="2"/>
  <c r="H447" i="2"/>
  <c r="G447" i="2"/>
  <c r="F447" i="2"/>
  <c r="E447" i="2"/>
  <c r="D447" i="2"/>
  <c r="C447" i="2"/>
  <c r="B447" i="2"/>
  <c r="A447" i="2"/>
  <c r="O446" i="2"/>
  <c r="N446" i="2"/>
  <c r="M446" i="2"/>
  <c r="J446" i="2"/>
  <c r="I446" i="2"/>
  <c r="H446" i="2"/>
  <c r="G446" i="2"/>
  <c r="F446" i="2"/>
  <c r="E446" i="2"/>
  <c r="D446" i="2"/>
  <c r="C446" i="2"/>
  <c r="B446" i="2"/>
  <c r="A446" i="2"/>
  <c r="P445" i="2"/>
  <c r="O445" i="2"/>
  <c r="N445" i="2"/>
  <c r="M445" i="2"/>
  <c r="K445" i="2"/>
  <c r="J445" i="2"/>
  <c r="I445" i="2"/>
  <c r="H445" i="2"/>
  <c r="G445" i="2"/>
  <c r="F445" i="2"/>
  <c r="E445" i="2"/>
  <c r="D445" i="2"/>
  <c r="C445" i="2"/>
  <c r="B445" i="2"/>
  <c r="A445" i="2"/>
  <c r="Q444" i="2"/>
  <c r="P444" i="2"/>
  <c r="O444" i="2"/>
  <c r="N444" i="2"/>
  <c r="M444" i="2"/>
  <c r="K444" i="2"/>
  <c r="J444" i="2"/>
  <c r="I444" i="2"/>
  <c r="H444" i="2"/>
  <c r="G444" i="2"/>
  <c r="F444" i="2"/>
  <c r="E444" i="2"/>
  <c r="D444" i="2"/>
  <c r="C444" i="2"/>
  <c r="B444" i="2"/>
  <c r="A444" i="2"/>
  <c r="P443" i="2"/>
  <c r="O443" i="2"/>
  <c r="N443" i="2"/>
  <c r="K443" i="2"/>
  <c r="J443" i="2"/>
  <c r="I443" i="2"/>
  <c r="H443" i="2"/>
  <c r="G443" i="2"/>
  <c r="F443" i="2"/>
  <c r="E443" i="2"/>
  <c r="D443" i="2"/>
  <c r="C443" i="2"/>
  <c r="B443" i="2"/>
  <c r="A443" i="2"/>
  <c r="P442" i="2"/>
  <c r="O442" i="2"/>
  <c r="N442" i="2"/>
  <c r="K442" i="2"/>
  <c r="J442" i="2"/>
  <c r="I442" i="2"/>
  <c r="H442" i="2"/>
  <c r="G442" i="2"/>
  <c r="F442" i="2"/>
  <c r="E442" i="2"/>
  <c r="D442" i="2"/>
  <c r="C442" i="2"/>
  <c r="B442" i="2"/>
  <c r="A442" i="2"/>
  <c r="P441" i="2"/>
  <c r="O441" i="2"/>
  <c r="N441" i="2"/>
  <c r="K441" i="2"/>
  <c r="J441" i="2"/>
  <c r="I441" i="2"/>
  <c r="H441" i="2"/>
  <c r="G441" i="2"/>
  <c r="F441" i="2"/>
  <c r="E441" i="2"/>
  <c r="D441" i="2"/>
  <c r="C441" i="2"/>
  <c r="B441" i="2"/>
  <c r="A441" i="2"/>
  <c r="R440" i="2"/>
  <c r="O440" i="2"/>
  <c r="N440" i="2"/>
  <c r="M440" i="2"/>
  <c r="L440" i="2"/>
  <c r="J440" i="2"/>
  <c r="I440" i="2"/>
  <c r="H440" i="2"/>
  <c r="G440" i="2"/>
  <c r="F440" i="2"/>
  <c r="E440" i="2"/>
  <c r="D440" i="2"/>
  <c r="C440" i="2"/>
  <c r="B440" i="2"/>
  <c r="A440" i="2"/>
  <c r="P439" i="2"/>
  <c r="O439" i="2"/>
  <c r="N439" i="2"/>
  <c r="K439" i="2"/>
  <c r="J439" i="2"/>
  <c r="I439" i="2"/>
  <c r="H439" i="2"/>
  <c r="G439" i="2"/>
  <c r="F439" i="2"/>
  <c r="E439" i="2"/>
  <c r="D439" i="2"/>
  <c r="C439" i="2"/>
  <c r="B439" i="2"/>
  <c r="A439" i="2"/>
  <c r="P438" i="2"/>
  <c r="O438" i="2"/>
  <c r="N438" i="2"/>
  <c r="K438" i="2"/>
  <c r="J438" i="2"/>
  <c r="I438" i="2"/>
  <c r="H438" i="2"/>
  <c r="G438" i="2"/>
  <c r="F438" i="2"/>
  <c r="E438" i="2"/>
  <c r="D438" i="2"/>
  <c r="C438" i="2"/>
  <c r="B438" i="2"/>
  <c r="A438" i="2"/>
  <c r="P437" i="2"/>
  <c r="O437" i="2"/>
  <c r="N437" i="2"/>
  <c r="M437" i="2"/>
  <c r="L437" i="2"/>
  <c r="K437" i="2"/>
  <c r="J437" i="2"/>
  <c r="I437" i="2"/>
  <c r="H437" i="2"/>
  <c r="G437" i="2"/>
  <c r="F437" i="2"/>
  <c r="E437" i="2"/>
  <c r="D437" i="2"/>
  <c r="C437" i="2"/>
  <c r="B437" i="2"/>
  <c r="A437" i="2"/>
  <c r="P436" i="2"/>
  <c r="O436" i="2"/>
  <c r="N436" i="2"/>
  <c r="M436" i="2"/>
  <c r="K436" i="2"/>
  <c r="J436" i="2"/>
  <c r="I436" i="2"/>
  <c r="H436" i="2"/>
  <c r="G436" i="2"/>
  <c r="F436" i="2"/>
  <c r="E436" i="2"/>
  <c r="D436" i="2"/>
  <c r="C436" i="2"/>
  <c r="B436" i="2"/>
  <c r="A436" i="2"/>
  <c r="P435" i="2"/>
  <c r="O435" i="2"/>
  <c r="N435" i="2"/>
  <c r="M435" i="2"/>
  <c r="K435" i="2"/>
  <c r="J435" i="2"/>
  <c r="I435" i="2"/>
  <c r="H435" i="2"/>
  <c r="G435" i="2"/>
  <c r="F435" i="2"/>
  <c r="E435" i="2"/>
  <c r="D435" i="2"/>
  <c r="C435" i="2"/>
  <c r="B435" i="2"/>
  <c r="A435" i="2"/>
  <c r="P434" i="2"/>
  <c r="O434" i="2"/>
  <c r="N434" i="2"/>
  <c r="M434" i="2"/>
  <c r="K434" i="2"/>
  <c r="J434" i="2"/>
  <c r="I434" i="2"/>
  <c r="H434" i="2"/>
  <c r="G434" i="2"/>
  <c r="F434" i="2"/>
  <c r="E434" i="2"/>
  <c r="D434" i="2"/>
  <c r="C434" i="2"/>
  <c r="B434" i="2"/>
  <c r="A434" i="2"/>
  <c r="O433" i="2"/>
  <c r="N433" i="2"/>
  <c r="M433" i="2"/>
  <c r="J433" i="2"/>
  <c r="I433" i="2"/>
  <c r="H433" i="2"/>
  <c r="G433" i="2"/>
  <c r="F433" i="2"/>
  <c r="E433" i="2"/>
  <c r="D433" i="2"/>
  <c r="C433" i="2"/>
  <c r="B433" i="2"/>
  <c r="A433" i="2"/>
  <c r="P432" i="2"/>
  <c r="O432" i="2"/>
  <c r="N432" i="2"/>
  <c r="M432" i="2"/>
  <c r="K432" i="2"/>
  <c r="J432" i="2"/>
  <c r="I432" i="2"/>
  <c r="H432" i="2"/>
  <c r="G432" i="2"/>
  <c r="F432" i="2"/>
  <c r="E432" i="2"/>
  <c r="D432" i="2"/>
  <c r="C432" i="2"/>
  <c r="B432" i="2"/>
  <c r="A432" i="2"/>
  <c r="O431" i="2"/>
  <c r="N431" i="2"/>
  <c r="L431" i="2"/>
  <c r="J431" i="2"/>
  <c r="I431" i="2"/>
  <c r="H431" i="2"/>
  <c r="G431" i="2"/>
  <c r="F431" i="2"/>
  <c r="E431" i="2"/>
  <c r="D431" i="2"/>
  <c r="C431" i="2"/>
  <c r="B431" i="2"/>
  <c r="A431" i="2"/>
  <c r="P430" i="2"/>
  <c r="O430" i="2"/>
  <c r="N430" i="2"/>
  <c r="M430" i="2"/>
  <c r="K430" i="2"/>
  <c r="J430" i="2"/>
  <c r="I430" i="2"/>
  <c r="H430" i="2"/>
  <c r="G430" i="2"/>
  <c r="F430" i="2"/>
  <c r="E430" i="2"/>
  <c r="D430" i="2"/>
  <c r="C430" i="2"/>
  <c r="B430" i="2"/>
  <c r="A430" i="2"/>
  <c r="S429" i="2"/>
  <c r="R429" i="2"/>
  <c r="Q429" i="2"/>
  <c r="P429" i="2"/>
  <c r="O429" i="2"/>
  <c r="N429" i="2"/>
  <c r="M429" i="2"/>
  <c r="L429" i="2"/>
  <c r="K429" i="2"/>
  <c r="J429" i="2"/>
  <c r="I429" i="2"/>
  <c r="H429" i="2"/>
  <c r="G429" i="2"/>
  <c r="F429" i="2"/>
  <c r="E429" i="2"/>
  <c r="D429" i="2"/>
  <c r="C429" i="2"/>
  <c r="B429" i="2"/>
  <c r="A429" i="2"/>
  <c r="O428" i="2"/>
  <c r="N428" i="2"/>
  <c r="M428" i="2"/>
  <c r="J428" i="2"/>
  <c r="I428" i="2"/>
  <c r="H428" i="2"/>
  <c r="G428" i="2"/>
  <c r="F428" i="2"/>
  <c r="E428" i="2"/>
  <c r="D428" i="2"/>
  <c r="C428" i="2"/>
  <c r="B428" i="2"/>
  <c r="A428" i="2"/>
  <c r="P427" i="2"/>
  <c r="O427" i="2"/>
  <c r="N427" i="2"/>
  <c r="M427" i="2"/>
  <c r="K427" i="2"/>
  <c r="J427" i="2"/>
  <c r="I427" i="2"/>
  <c r="H427" i="2"/>
  <c r="G427" i="2"/>
  <c r="F427" i="2"/>
  <c r="E427" i="2"/>
  <c r="D427" i="2"/>
  <c r="C427" i="2"/>
  <c r="B427" i="2"/>
  <c r="A427" i="2"/>
  <c r="P426" i="2"/>
  <c r="O426" i="2"/>
  <c r="N426" i="2"/>
  <c r="M426" i="2"/>
  <c r="K426" i="2"/>
  <c r="J426" i="2"/>
  <c r="I426" i="2"/>
  <c r="H426" i="2"/>
  <c r="G426" i="2"/>
  <c r="F426" i="2"/>
  <c r="E426" i="2"/>
  <c r="D426" i="2"/>
  <c r="C426" i="2"/>
  <c r="B426" i="2"/>
  <c r="A426" i="2"/>
  <c r="R425" i="2"/>
  <c r="O425" i="2"/>
  <c r="N425" i="2"/>
  <c r="M425" i="2"/>
  <c r="L425" i="2"/>
  <c r="J425" i="2"/>
  <c r="I425" i="2"/>
  <c r="H425" i="2"/>
  <c r="G425" i="2"/>
  <c r="F425" i="2"/>
  <c r="E425" i="2"/>
  <c r="D425" i="2"/>
  <c r="C425" i="2"/>
  <c r="B425" i="2"/>
  <c r="A425" i="2"/>
  <c r="P424" i="2"/>
  <c r="O424" i="2"/>
  <c r="N424" i="2"/>
  <c r="M424" i="2"/>
  <c r="K424" i="2"/>
  <c r="J424" i="2"/>
  <c r="I424" i="2"/>
  <c r="H424" i="2"/>
  <c r="G424" i="2"/>
  <c r="F424" i="2"/>
  <c r="E424" i="2"/>
  <c r="D424" i="2"/>
  <c r="C424" i="2"/>
  <c r="B424" i="2"/>
  <c r="A424" i="2"/>
  <c r="P423" i="2"/>
  <c r="O423" i="2"/>
  <c r="N423" i="2"/>
  <c r="K423" i="2"/>
  <c r="J423" i="2"/>
  <c r="I423" i="2"/>
  <c r="H423" i="2"/>
  <c r="G423" i="2"/>
  <c r="F423" i="2"/>
  <c r="E423" i="2"/>
  <c r="D423" i="2"/>
  <c r="C423" i="2"/>
  <c r="B423" i="2"/>
  <c r="A423" i="2"/>
  <c r="P422" i="2"/>
  <c r="O422" i="2"/>
  <c r="N422" i="2"/>
  <c r="K422" i="2"/>
  <c r="J422" i="2"/>
  <c r="I422" i="2"/>
  <c r="H422" i="2"/>
  <c r="G422" i="2"/>
  <c r="F422" i="2"/>
  <c r="E422" i="2"/>
  <c r="D422" i="2"/>
  <c r="C422" i="2"/>
  <c r="B422" i="2"/>
  <c r="A422" i="2"/>
  <c r="R421" i="2"/>
  <c r="O421" i="2"/>
  <c r="N421" i="2"/>
  <c r="M421" i="2"/>
  <c r="L421" i="2"/>
  <c r="J421" i="2"/>
  <c r="I421" i="2"/>
  <c r="H421" i="2"/>
  <c r="G421" i="2"/>
  <c r="F421" i="2"/>
  <c r="E421" i="2"/>
  <c r="D421" i="2"/>
  <c r="C421" i="2"/>
  <c r="B421" i="2"/>
  <c r="A421" i="2"/>
  <c r="P420" i="2"/>
  <c r="O420" i="2"/>
  <c r="N420" i="2"/>
  <c r="M420" i="2"/>
  <c r="K420" i="2"/>
  <c r="J420" i="2"/>
  <c r="I420" i="2"/>
  <c r="H420" i="2"/>
  <c r="G420" i="2"/>
  <c r="F420" i="2"/>
  <c r="E420" i="2"/>
  <c r="D420" i="2"/>
  <c r="C420" i="2"/>
  <c r="B420" i="2"/>
  <c r="A420" i="2"/>
  <c r="R419" i="2"/>
  <c r="O419" i="2"/>
  <c r="N419" i="2"/>
  <c r="M419" i="2"/>
  <c r="L419" i="2"/>
  <c r="J419" i="2"/>
  <c r="I419" i="2"/>
  <c r="H419" i="2"/>
  <c r="G419" i="2"/>
  <c r="F419" i="2"/>
  <c r="E419" i="2"/>
  <c r="D419" i="2"/>
  <c r="C419" i="2"/>
  <c r="B419" i="2"/>
  <c r="A419" i="2"/>
  <c r="P418" i="2"/>
  <c r="O418" i="2"/>
  <c r="N418" i="2"/>
  <c r="K418" i="2"/>
  <c r="J418" i="2"/>
  <c r="I418" i="2"/>
  <c r="H418" i="2"/>
  <c r="G418" i="2"/>
  <c r="F418" i="2"/>
  <c r="E418" i="2"/>
  <c r="D418" i="2"/>
  <c r="C418" i="2"/>
  <c r="B418" i="2"/>
  <c r="A418" i="2"/>
  <c r="P417" i="2"/>
  <c r="O417" i="2"/>
  <c r="N417" i="2"/>
  <c r="K417" i="2"/>
  <c r="J417" i="2"/>
  <c r="I417" i="2"/>
  <c r="H417" i="2"/>
  <c r="G417" i="2"/>
  <c r="F417" i="2"/>
  <c r="E417" i="2"/>
  <c r="D417" i="2"/>
  <c r="C417" i="2"/>
  <c r="B417" i="2"/>
  <c r="A417" i="2"/>
  <c r="R416" i="2"/>
  <c r="O416" i="2"/>
  <c r="N416" i="2"/>
  <c r="L416" i="2"/>
  <c r="J416" i="2"/>
  <c r="I416" i="2"/>
  <c r="H416" i="2"/>
  <c r="G416" i="2"/>
  <c r="F416" i="2"/>
  <c r="E416" i="2"/>
  <c r="D416" i="2"/>
  <c r="C416" i="2"/>
  <c r="B416" i="2"/>
  <c r="A416" i="2"/>
  <c r="R415" i="2"/>
  <c r="O415" i="2"/>
  <c r="N415" i="2"/>
  <c r="L415" i="2"/>
  <c r="J415" i="2"/>
  <c r="I415" i="2"/>
  <c r="H415" i="2"/>
  <c r="G415" i="2"/>
  <c r="F415" i="2"/>
  <c r="E415" i="2"/>
  <c r="D415" i="2"/>
  <c r="C415" i="2"/>
  <c r="B415" i="2"/>
  <c r="A415" i="2"/>
  <c r="P414" i="2"/>
  <c r="O414" i="2"/>
  <c r="N414" i="2"/>
  <c r="K414" i="2"/>
  <c r="J414" i="2"/>
  <c r="I414" i="2"/>
  <c r="H414" i="2"/>
  <c r="G414" i="2"/>
  <c r="F414" i="2"/>
  <c r="E414" i="2"/>
  <c r="D414" i="2"/>
  <c r="C414" i="2"/>
  <c r="B414" i="2"/>
  <c r="A414" i="2"/>
  <c r="R413" i="2"/>
  <c r="O413" i="2"/>
  <c r="N413" i="2"/>
  <c r="L413" i="2"/>
  <c r="J413" i="2"/>
  <c r="I413" i="2"/>
  <c r="H413" i="2"/>
  <c r="G413" i="2"/>
  <c r="F413" i="2"/>
  <c r="E413" i="2"/>
  <c r="D413" i="2"/>
  <c r="C413" i="2"/>
  <c r="B413" i="2"/>
  <c r="A413" i="2"/>
  <c r="R412" i="2"/>
  <c r="O412" i="2"/>
  <c r="N412" i="2"/>
  <c r="L412" i="2"/>
  <c r="J412" i="2"/>
  <c r="I412" i="2"/>
  <c r="H412" i="2"/>
  <c r="G412" i="2"/>
  <c r="F412" i="2"/>
  <c r="E412" i="2"/>
  <c r="D412" i="2"/>
  <c r="C412" i="2"/>
  <c r="B412" i="2"/>
  <c r="A412" i="2"/>
  <c r="P411" i="2"/>
  <c r="O411" i="2"/>
  <c r="N411" i="2"/>
  <c r="K411" i="2"/>
  <c r="J411" i="2"/>
  <c r="I411" i="2"/>
  <c r="H411" i="2"/>
  <c r="G411" i="2"/>
  <c r="F411" i="2"/>
  <c r="E411" i="2"/>
  <c r="D411" i="2"/>
  <c r="C411" i="2"/>
  <c r="B411" i="2"/>
  <c r="A411" i="2"/>
  <c r="P410" i="2"/>
  <c r="O410" i="2"/>
  <c r="N410" i="2"/>
  <c r="K410" i="2"/>
  <c r="J410" i="2"/>
  <c r="I410" i="2"/>
  <c r="H410" i="2"/>
  <c r="G410" i="2"/>
  <c r="F410" i="2"/>
  <c r="E410" i="2"/>
  <c r="D410" i="2"/>
  <c r="C410" i="2"/>
  <c r="B410" i="2"/>
  <c r="A410" i="2"/>
  <c r="R409" i="2"/>
  <c r="O409" i="2"/>
  <c r="N409" i="2"/>
  <c r="L409" i="2"/>
  <c r="J409" i="2"/>
  <c r="I409" i="2"/>
  <c r="H409" i="2"/>
  <c r="G409" i="2"/>
  <c r="F409" i="2"/>
  <c r="E409" i="2"/>
  <c r="D409" i="2"/>
  <c r="C409" i="2"/>
  <c r="B409" i="2"/>
  <c r="A409" i="2"/>
  <c r="O408" i="2"/>
  <c r="N408" i="2"/>
  <c r="K408" i="2"/>
  <c r="J408" i="2"/>
  <c r="I408" i="2"/>
  <c r="H408" i="2"/>
  <c r="G408" i="2"/>
  <c r="F408" i="2"/>
  <c r="E408" i="2"/>
  <c r="D408" i="2"/>
  <c r="C408" i="2"/>
  <c r="B408" i="2"/>
  <c r="A408" i="2"/>
  <c r="P407" i="2"/>
  <c r="O407" i="2"/>
  <c r="N407" i="2"/>
  <c r="K407" i="2"/>
  <c r="J407" i="2"/>
  <c r="I407" i="2"/>
  <c r="H407" i="2"/>
  <c r="G407" i="2"/>
  <c r="F407" i="2"/>
  <c r="E407" i="2"/>
  <c r="D407" i="2"/>
  <c r="C407" i="2"/>
  <c r="B407" i="2"/>
  <c r="A407" i="2"/>
  <c r="O406" i="2"/>
  <c r="N406" i="2"/>
  <c r="K406" i="2"/>
  <c r="J406" i="2"/>
  <c r="I406" i="2"/>
  <c r="H406" i="2"/>
  <c r="G406" i="2"/>
  <c r="F406" i="2"/>
  <c r="E406" i="2"/>
  <c r="D406" i="2"/>
  <c r="C406" i="2"/>
  <c r="B406" i="2"/>
  <c r="A406" i="2"/>
  <c r="R405" i="2"/>
  <c r="O405" i="2"/>
  <c r="N405" i="2"/>
  <c r="L405" i="2"/>
  <c r="J405" i="2"/>
  <c r="I405" i="2"/>
  <c r="H405" i="2"/>
  <c r="G405" i="2"/>
  <c r="F405" i="2"/>
  <c r="E405" i="2"/>
  <c r="D405" i="2"/>
  <c r="C405" i="2"/>
  <c r="B405" i="2"/>
  <c r="A405" i="2"/>
  <c r="R404" i="2"/>
  <c r="O404" i="2"/>
  <c r="N404" i="2"/>
  <c r="L404" i="2"/>
  <c r="J404" i="2"/>
  <c r="I404" i="2"/>
  <c r="H404" i="2"/>
  <c r="G404" i="2"/>
  <c r="F404" i="2"/>
  <c r="E404" i="2"/>
  <c r="D404" i="2"/>
  <c r="C404" i="2"/>
  <c r="B404" i="2"/>
  <c r="A404" i="2"/>
  <c r="P403" i="2"/>
  <c r="O403" i="2"/>
  <c r="N403" i="2"/>
  <c r="K403" i="2"/>
  <c r="J403" i="2"/>
  <c r="I403" i="2"/>
  <c r="H403" i="2"/>
  <c r="G403" i="2"/>
  <c r="F403" i="2"/>
  <c r="E403" i="2"/>
  <c r="D403" i="2"/>
  <c r="C403" i="2"/>
  <c r="B403" i="2"/>
  <c r="A403" i="2"/>
  <c r="O402" i="2"/>
  <c r="N402" i="2"/>
  <c r="K402" i="2"/>
  <c r="J402" i="2"/>
  <c r="I402" i="2"/>
  <c r="H402" i="2"/>
  <c r="G402" i="2"/>
  <c r="F402" i="2"/>
  <c r="E402" i="2"/>
  <c r="D402" i="2"/>
  <c r="C402" i="2"/>
  <c r="B402" i="2"/>
  <c r="A402" i="2"/>
  <c r="P401" i="2"/>
  <c r="O401" i="2"/>
  <c r="N401" i="2"/>
  <c r="K401" i="2"/>
  <c r="J401" i="2"/>
  <c r="I401" i="2"/>
  <c r="H401" i="2"/>
  <c r="G401" i="2"/>
  <c r="F401" i="2"/>
  <c r="E401" i="2"/>
  <c r="D401" i="2"/>
  <c r="C401" i="2"/>
  <c r="B401" i="2"/>
  <c r="A401" i="2"/>
  <c r="P400" i="2"/>
  <c r="O400" i="2"/>
  <c r="N400" i="2"/>
  <c r="M400" i="2"/>
  <c r="K400" i="2"/>
  <c r="J400" i="2"/>
  <c r="I400" i="2"/>
  <c r="H400" i="2"/>
  <c r="G400" i="2"/>
  <c r="F400" i="2"/>
  <c r="E400" i="2"/>
  <c r="D400" i="2"/>
  <c r="C400" i="2"/>
  <c r="B400" i="2"/>
  <c r="A400" i="2"/>
  <c r="R399" i="2"/>
  <c r="O399" i="2"/>
  <c r="N399" i="2"/>
  <c r="L399" i="2"/>
  <c r="J399" i="2"/>
  <c r="I399" i="2"/>
  <c r="H399" i="2"/>
  <c r="G399" i="2"/>
  <c r="F399" i="2"/>
  <c r="E399" i="2"/>
  <c r="D399" i="2"/>
  <c r="C399" i="2"/>
  <c r="B399" i="2"/>
  <c r="A399" i="2"/>
  <c r="P398" i="2"/>
  <c r="O398" i="2"/>
  <c r="N398" i="2"/>
  <c r="L398" i="2"/>
  <c r="K398" i="2"/>
  <c r="J398" i="2"/>
  <c r="I398" i="2"/>
  <c r="H398" i="2"/>
  <c r="G398" i="2"/>
  <c r="F398" i="2"/>
  <c r="E398" i="2"/>
  <c r="D398" i="2"/>
  <c r="C398" i="2"/>
  <c r="B398" i="2"/>
  <c r="A398" i="2"/>
  <c r="R397" i="2"/>
  <c r="O397" i="2"/>
  <c r="N397" i="2"/>
  <c r="L397" i="2"/>
  <c r="J397" i="2"/>
  <c r="I397" i="2"/>
  <c r="H397" i="2"/>
  <c r="G397" i="2"/>
  <c r="F397" i="2"/>
  <c r="E397" i="2"/>
  <c r="D397" i="2"/>
  <c r="C397" i="2"/>
  <c r="B397" i="2"/>
  <c r="A397" i="2"/>
  <c r="P396" i="2"/>
  <c r="O396" i="2"/>
  <c r="N396" i="2"/>
  <c r="K396" i="2"/>
  <c r="J396" i="2"/>
  <c r="I396" i="2"/>
  <c r="H396" i="2"/>
  <c r="G396" i="2"/>
  <c r="F396" i="2"/>
  <c r="E396" i="2"/>
  <c r="D396" i="2"/>
  <c r="C396" i="2"/>
  <c r="B396" i="2"/>
  <c r="A396" i="2"/>
  <c r="P395" i="2"/>
  <c r="O395" i="2"/>
  <c r="N395" i="2"/>
  <c r="K395" i="2"/>
  <c r="J395" i="2"/>
  <c r="I395" i="2"/>
  <c r="H395" i="2"/>
  <c r="G395" i="2"/>
  <c r="F395" i="2"/>
  <c r="E395" i="2"/>
  <c r="D395" i="2"/>
  <c r="C395" i="2"/>
  <c r="B395" i="2"/>
  <c r="A395" i="2"/>
  <c r="P394" i="2"/>
  <c r="O394" i="2"/>
  <c r="N394" i="2"/>
  <c r="K394" i="2"/>
  <c r="J394" i="2"/>
  <c r="I394" i="2"/>
  <c r="H394" i="2"/>
  <c r="G394" i="2"/>
  <c r="F394" i="2"/>
  <c r="E394" i="2"/>
  <c r="D394" i="2"/>
  <c r="C394" i="2"/>
  <c r="B394" i="2"/>
  <c r="A394" i="2"/>
  <c r="P393" i="2"/>
  <c r="O393" i="2"/>
  <c r="N393" i="2"/>
  <c r="K393" i="2"/>
  <c r="J393" i="2"/>
  <c r="I393" i="2"/>
  <c r="H393" i="2"/>
  <c r="G393" i="2"/>
  <c r="F393" i="2"/>
  <c r="E393" i="2"/>
  <c r="D393" i="2"/>
  <c r="C393" i="2"/>
  <c r="B393" i="2"/>
  <c r="A393" i="2"/>
  <c r="R392" i="2"/>
  <c r="O392" i="2"/>
  <c r="N392" i="2"/>
  <c r="L392" i="2"/>
  <c r="J392" i="2"/>
  <c r="I392" i="2"/>
  <c r="H392" i="2"/>
  <c r="G392" i="2"/>
  <c r="F392" i="2"/>
  <c r="E392" i="2"/>
  <c r="D392" i="2"/>
  <c r="C392" i="2"/>
  <c r="B392" i="2"/>
  <c r="A392" i="2"/>
  <c r="P391" i="2"/>
  <c r="O391" i="2"/>
  <c r="N391" i="2"/>
  <c r="K391" i="2"/>
  <c r="J391" i="2"/>
  <c r="I391" i="2"/>
  <c r="H391" i="2"/>
  <c r="G391" i="2"/>
  <c r="F391" i="2"/>
  <c r="E391" i="2"/>
  <c r="D391" i="2"/>
  <c r="C391" i="2"/>
  <c r="B391" i="2"/>
  <c r="A391" i="2"/>
  <c r="R390" i="2"/>
  <c r="O390" i="2"/>
  <c r="N390" i="2"/>
  <c r="L390" i="2"/>
  <c r="J390" i="2"/>
  <c r="I390" i="2"/>
  <c r="H390" i="2"/>
  <c r="G390" i="2"/>
  <c r="F390" i="2"/>
  <c r="E390" i="2"/>
  <c r="D390" i="2"/>
  <c r="C390" i="2"/>
  <c r="B390" i="2"/>
  <c r="A390" i="2"/>
  <c r="P389" i="2"/>
  <c r="O389" i="2"/>
  <c r="N389" i="2"/>
  <c r="K389" i="2"/>
  <c r="J389" i="2"/>
  <c r="I389" i="2"/>
  <c r="H389" i="2"/>
  <c r="G389" i="2"/>
  <c r="F389" i="2"/>
  <c r="E389" i="2"/>
  <c r="D389" i="2"/>
  <c r="C389" i="2"/>
  <c r="B389" i="2"/>
  <c r="A389" i="2"/>
  <c r="P388" i="2"/>
  <c r="O388" i="2"/>
  <c r="N388" i="2"/>
  <c r="M388" i="2"/>
  <c r="K388" i="2"/>
  <c r="J388" i="2"/>
  <c r="I388" i="2"/>
  <c r="H388" i="2"/>
  <c r="G388" i="2"/>
  <c r="F388" i="2"/>
  <c r="E388" i="2"/>
  <c r="D388" i="2"/>
  <c r="C388" i="2"/>
  <c r="B388" i="2"/>
  <c r="A388" i="2"/>
  <c r="R387" i="2"/>
  <c r="O387" i="2"/>
  <c r="N387" i="2"/>
  <c r="L387" i="2"/>
  <c r="J387" i="2"/>
  <c r="I387" i="2"/>
  <c r="H387" i="2"/>
  <c r="G387" i="2"/>
  <c r="F387" i="2"/>
  <c r="E387" i="2"/>
  <c r="D387" i="2"/>
  <c r="C387" i="2"/>
  <c r="B387" i="2"/>
  <c r="A387" i="2"/>
  <c r="R386" i="2"/>
  <c r="O386" i="2"/>
  <c r="N386" i="2"/>
  <c r="L386" i="2"/>
  <c r="J386" i="2"/>
  <c r="I386" i="2"/>
  <c r="H386" i="2"/>
  <c r="G386" i="2"/>
  <c r="F386" i="2"/>
  <c r="E386" i="2"/>
  <c r="D386" i="2"/>
  <c r="C386" i="2"/>
  <c r="B386" i="2"/>
  <c r="A386" i="2"/>
  <c r="P385" i="2"/>
  <c r="O385" i="2"/>
  <c r="N385" i="2"/>
  <c r="K385" i="2"/>
  <c r="J385" i="2"/>
  <c r="I385" i="2"/>
  <c r="H385" i="2"/>
  <c r="G385" i="2"/>
  <c r="F385" i="2"/>
  <c r="E385" i="2"/>
  <c r="D385" i="2"/>
  <c r="C385" i="2"/>
  <c r="B385" i="2"/>
  <c r="A385" i="2"/>
  <c r="R384" i="2"/>
  <c r="O384" i="2"/>
  <c r="N384" i="2"/>
  <c r="L384" i="2"/>
  <c r="J384" i="2"/>
  <c r="I384" i="2"/>
  <c r="H384" i="2"/>
  <c r="G384" i="2"/>
  <c r="F384" i="2"/>
  <c r="E384" i="2"/>
  <c r="D384" i="2"/>
  <c r="C384" i="2"/>
  <c r="B384" i="2"/>
  <c r="A384" i="2"/>
  <c r="P383" i="2"/>
  <c r="O383" i="2"/>
  <c r="N383" i="2"/>
  <c r="K383" i="2"/>
  <c r="J383" i="2"/>
  <c r="I383" i="2"/>
  <c r="H383" i="2"/>
  <c r="G383" i="2"/>
  <c r="F383" i="2"/>
  <c r="E383" i="2"/>
  <c r="D383" i="2"/>
  <c r="C383" i="2"/>
  <c r="B383" i="2"/>
  <c r="A383" i="2"/>
  <c r="P382" i="2"/>
  <c r="O382" i="2"/>
  <c r="N382" i="2"/>
  <c r="K382" i="2"/>
  <c r="J382" i="2"/>
  <c r="I382" i="2"/>
  <c r="H382" i="2"/>
  <c r="G382" i="2"/>
  <c r="F382" i="2"/>
  <c r="E382" i="2"/>
  <c r="D382" i="2"/>
  <c r="C382" i="2"/>
  <c r="B382" i="2"/>
  <c r="A382" i="2"/>
  <c r="P381" i="2"/>
  <c r="O381" i="2"/>
  <c r="N381" i="2"/>
  <c r="K381" i="2"/>
  <c r="J381" i="2"/>
  <c r="I381" i="2"/>
  <c r="H381" i="2"/>
  <c r="G381" i="2"/>
  <c r="F381" i="2"/>
  <c r="E381" i="2"/>
  <c r="D381" i="2"/>
  <c r="C381" i="2"/>
  <c r="B381" i="2"/>
  <c r="A381" i="2"/>
  <c r="P380" i="2"/>
  <c r="O380" i="2"/>
  <c r="N380" i="2"/>
  <c r="K380" i="2"/>
  <c r="J380" i="2"/>
  <c r="I380" i="2"/>
  <c r="H380" i="2"/>
  <c r="G380" i="2"/>
  <c r="F380" i="2"/>
  <c r="E380" i="2"/>
  <c r="D380" i="2"/>
  <c r="C380" i="2"/>
  <c r="B380" i="2"/>
  <c r="A380" i="2"/>
  <c r="P379" i="2"/>
  <c r="O379" i="2"/>
  <c r="N379" i="2"/>
  <c r="K379" i="2"/>
  <c r="J379" i="2"/>
  <c r="I379" i="2"/>
  <c r="H379" i="2"/>
  <c r="G379" i="2"/>
  <c r="F379" i="2"/>
  <c r="E379" i="2"/>
  <c r="D379" i="2"/>
  <c r="C379" i="2"/>
  <c r="B379" i="2"/>
  <c r="A379" i="2"/>
  <c r="P378" i="2"/>
  <c r="O378" i="2"/>
  <c r="N378" i="2"/>
  <c r="M378" i="2"/>
  <c r="K378" i="2"/>
  <c r="J378" i="2"/>
  <c r="I378" i="2"/>
  <c r="H378" i="2"/>
  <c r="G378" i="2"/>
  <c r="F378" i="2"/>
  <c r="E378" i="2"/>
  <c r="D378" i="2"/>
  <c r="C378" i="2"/>
  <c r="B378" i="2"/>
  <c r="A378" i="2"/>
  <c r="P377" i="2"/>
  <c r="O377" i="2"/>
  <c r="N377" i="2"/>
  <c r="K377" i="2"/>
  <c r="J377" i="2"/>
  <c r="I377" i="2"/>
  <c r="H377" i="2"/>
  <c r="G377" i="2"/>
  <c r="F377" i="2"/>
  <c r="E377" i="2"/>
  <c r="D377" i="2"/>
  <c r="C377" i="2"/>
  <c r="B377" i="2"/>
  <c r="A377" i="2"/>
  <c r="P376" i="2"/>
  <c r="O376" i="2"/>
  <c r="N376" i="2"/>
  <c r="K376" i="2"/>
  <c r="J376" i="2"/>
  <c r="I376" i="2"/>
  <c r="H376" i="2"/>
  <c r="G376" i="2"/>
  <c r="F376" i="2"/>
  <c r="E376" i="2"/>
  <c r="D376" i="2"/>
  <c r="C376" i="2"/>
  <c r="B376" i="2"/>
  <c r="A376" i="2"/>
  <c r="P375" i="2"/>
  <c r="O375" i="2"/>
  <c r="N375" i="2"/>
  <c r="M375" i="2"/>
  <c r="K375" i="2"/>
  <c r="J375" i="2"/>
  <c r="I375" i="2"/>
  <c r="H375" i="2"/>
  <c r="G375" i="2"/>
  <c r="F375" i="2"/>
  <c r="E375" i="2"/>
  <c r="D375" i="2"/>
  <c r="C375" i="2"/>
  <c r="B375" i="2"/>
  <c r="A375" i="2"/>
  <c r="R374" i="2"/>
  <c r="O374" i="2"/>
  <c r="N374" i="2"/>
  <c r="L374" i="2"/>
  <c r="J374" i="2"/>
  <c r="I374" i="2"/>
  <c r="H374" i="2"/>
  <c r="G374" i="2"/>
  <c r="F374" i="2"/>
  <c r="E374" i="2"/>
  <c r="D374" i="2"/>
  <c r="C374" i="2"/>
  <c r="B374" i="2"/>
  <c r="A374" i="2"/>
  <c r="R373" i="2"/>
  <c r="O373" i="2"/>
  <c r="N373" i="2"/>
  <c r="L373" i="2"/>
  <c r="J373" i="2"/>
  <c r="I373" i="2"/>
  <c r="H373" i="2"/>
  <c r="G373" i="2"/>
  <c r="F373" i="2"/>
  <c r="E373" i="2"/>
  <c r="D373" i="2"/>
  <c r="C373" i="2"/>
  <c r="B373" i="2"/>
  <c r="A373" i="2"/>
  <c r="P372" i="2"/>
  <c r="O372" i="2"/>
  <c r="N372" i="2"/>
  <c r="K372" i="2"/>
  <c r="J372" i="2"/>
  <c r="I372" i="2"/>
  <c r="H372" i="2"/>
  <c r="G372" i="2"/>
  <c r="F372" i="2"/>
  <c r="E372" i="2"/>
  <c r="D372" i="2"/>
  <c r="C372" i="2"/>
  <c r="B372" i="2"/>
  <c r="A372" i="2"/>
  <c r="O371" i="2"/>
  <c r="N371" i="2"/>
  <c r="M371" i="2"/>
  <c r="K371" i="2"/>
  <c r="J371" i="2"/>
  <c r="I371" i="2"/>
  <c r="H371" i="2"/>
  <c r="G371" i="2"/>
  <c r="F371" i="2"/>
  <c r="E371" i="2"/>
  <c r="D371" i="2"/>
  <c r="C371" i="2"/>
  <c r="B371" i="2"/>
  <c r="A371" i="2"/>
  <c r="P370" i="2"/>
  <c r="O370" i="2"/>
  <c r="N370" i="2"/>
  <c r="M370" i="2"/>
  <c r="L370" i="2"/>
  <c r="K370" i="2"/>
  <c r="J370" i="2"/>
  <c r="I370" i="2"/>
  <c r="H370" i="2"/>
  <c r="G370" i="2"/>
  <c r="F370" i="2"/>
  <c r="E370" i="2"/>
  <c r="D370" i="2"/>
  <c r="C370" i="2"/>
  <c r="B370" i="2"/>
  <c r="A370" i="2"/>
  <c r="P369" i="2"/>
  <c r="O369" i="2"/>
  <c r="N369" i="2"/>
  <c r="M369" i="2"/>
  <c r="K369" i="2"/>
  <c r="J369" i="2"/>
  <c r="I369" i="2"/>
  <c r="H369" i="2"/>
  <c r="G369" i="2"/>
  <c r="F369" i="2"/>
  <c r="E369" i="2"/>
  <c r="D369" i="2"/>
  <c r="C369" i="2"/>
  <c r="B369" i="2"/>
  <c r="A369" i="2"/>
  <c r="P368" i="2"/>
  <c r="O368" i="2"/>
  <c r="N368" i="2"/>
  <c r="M368" i="2"/>
  <c r="K368" i="2"/>
  <c r="J368" i="2"/>
  <c r="I368" i="2"/>
  <c r="H368" i="2"/>
  <c r="G368" i="2"/>
  <c r="F368" i="2"/>
  <c r="E368" i="2"/>
  <c r="D368" i="2"/>
  <c r="C368" i="2"/>
  <c r="B368" i="2"/>
  <c r="A368" i="2"/>
  <c r="P367" i="2"/>
  <c r="O367" i="2"/>
  <c r="N367" i="2"/>
  <c r="M367" i="2"/>
  <c r="K367" i="2"/>
  <c r="J367" i="2"/>
  <c r="I367" i="2"/>
  <c r="H367" i="2"/>
  <c r="G367" i="2"/>
  <c r="F367" i="2"/>
  <c r="E367" i="2"/>
  <c r="D367" i="2"/>
  <c r="C367" i="2"/>
  <c r="B367" i="2"/>
  <c r="A367" i="2"/>
  <c r="P366" i="2"/>
  <c r="O366" i="2"/>
  <c r="N366" i="2"/>
  <c r="K366" i="2"/>
  <c r="J366" i="2"/>
  <c r="I366" i="2"/>
  <c r="H366" i="2"/>
  <c r="G366" i="2"/>
  <c r="F366" i="2"/>
  <c r="E366" i="2"/>
  <c r="D366" i="2"/>
  <c r="C366" i="2"/>
  <c r="B366" i="2"/>
  <c r="A366" i="2"/>
  <c r="P365" i="2"/>
  <c r="O365" i="2"/>
  <c r="N365" i="2"/>
  <c r="M365" i="2"/>
  <c r="K365" i="2"/>
  <c r="J365" i="2"/>
  <c r="I365" i="2"/>
  <c r="H365" i="2"/>
  <c r="G365" i="2"/>
  <c r="F365" i="2"/>
  <c r="E365" i="2"/>
  <c r="D365" i="2"/>
  <c r="C365" i="2"/>
  <c r="B365" i="2"/>
  <c r="A365" i="2"/>
  <c r="P364" i="2"/>
  <c r="O364" i="2"/>
  <c r="N364" i="2"/>
  <c r="M364" i="2"/>
  <c r="K364" i="2"/>
  <c r="J364" i="2"/>
  <c r="I364" i="2"/>
  <c r="H364" i="2"/>
  <c r="G364" i="2"/>
  <c r="F364" i="2"/>
  <c r="E364" i="2"/>
  <c r="D364" i="2"/>
  <c r="C364" i="2"/>
  <c r="B364" i="2"/>
  <c r="A364" i="2"/>
  <c r="P363" i="2"/>
  <c r="O363" i="2"/>
  <c r="N363" i="2"/>
  <c r="M363" i="2"/>
  <c r="K363" i="2"/>
  <c r="J363" i="2"/>
  <c r="I363" i="2"/>
  <c r="H363" i="2"/>
  <c r="G363" i="2"/>
  <c r="F363" i="2"/>
  <c r="E363" i="2"/>
  <c r="D363" i="2"/>
  <c r="C363" i="2"/>
  <c r="B363" i="2"/>
  <c r="A363" i="2"/>
  <c r="R362" i="2"/>
  <c r="O362" i="2"/>
  <c r="N362" i="2"/>
  <c r="L362" i="2"/>
  <c r="J362" i="2"/>
  <c r="I362" i="2"/>
  <c r="H362" i="2"/>
  <c r="G362" i="2"/>
  <c r="F362" i="2"/>
  <c r="E362" i="2"/>
  <c r="D362" i="2"/>
  <c r="C362" i="2"/>
  <c r="B362" i="2"/>
  <c r="A362" i="2"/>
  <c r="R361" i="2"/>
  <c r="O361" i="2"/>
  <c r="N361" i="2"/>
  <c r="M361" i="2"/>
  <c r="L361" i="2"/>
  <c r="J361" i="2"/>
  <c r="I361" i="2"/>
  <c r="H361" i="2"/>
  <c r="G361" i="2"/>
  <c r="F361" i="2"/>
  <c r="E361" i="2"/>
  <c r="D361" i="2"/>
  <c r="C361" i="2"/>
  <c r="B361" i="2"/>
  <c r="A361" i="2"/>
  <c r="R360" i="2"/>
  <c r="O360" i="2"/>
  <c r="N360" i="2"/>
  <c r="L360" i="2"/>
  <c r="J360" i="2"/>
  <c r="I360" i="2"/>
  <c r="H360" i="2"/>
  <c r="G360" i="2"/>
  <c r="F360" i="2"/>
  <c r="E360" i="2"/>
  <c r="D360" i="2"/>
  <c r="C360" i="2"/>
  <c r="B360" i="2"/>
  <c r="A360" i="2"/>
  <c r="P359" i="2"/>
  <c r="O359" i="2"/>
  <c r="N359" i="2"/>
  <c r="M359" i="2"/>
  <c r="K359" i="2"/>
  <c r="J359" i="2"/>
  <c r="I359" i="2"/>
  <c r="H359" i="2"/>
  <c r="G359" i="2"/>
  <c r="F359" i="2"/>
  <c r="E359" i="2"/>
  <c r="D359" i="2"/>
  <c r="C359" i="2"/>
  <c r="B359" i="2"/>
  <c r="A359" i="2"/>
  <c r="P358" i="2"/>
  <c r="O358" i="2"/>
  <c r="N358" i="2"/>
  <c r="K358" i="2"/>
  <c r="J358" i="2"/>
  <c r="I358" i="2"/>
  <c r="H358" i="2"/>
  <c r="G358" i="2"/>
  <c r="F358" i="2"/>
  <c r="E358" i="2"/>
  <c r="D358" i="2"/>
  <c r="C358" i="2"/>
  <c r="B358" i="2"/>
  <c r="A358" i="2"/>
  <c r="Q357" i="2"/>
  <c r="P357" i="2"/>
  <c r="O357" i="2"/>
  <c r="N357" i="2"/>
  <c r="M357" i="2"/>
  <c r="K357" i="2"/>
  <c r="J357" i="2"/>
  <c r="I357" i="2"/>
  <c r="H357" i="2"/>
  <c r="G357" i="2"/>
  <c r="F357" i="2"/>
  <c r="E357" i="2"/>
  <c r="D357" i="2"/>
  <c r="C357" i="2"/>
  <c r="B357" i="2"/>
  <c r="A357" i="2"/>
  <c r="P356" i="2"/>
  <c r="O356" i="2"/>
  <c r="N356" i="2"/>
  <c r="M356" i="2"/>
  <c r="K356" i="2"/>
  <c r="J356" i="2"/>
  <c r="I356" i="2"/>
  <c r="H356" i="2"/>
  <c r="G356" i="2"/>
  <c r="F356" i="2"/>
  <c r="E356" i="2"/>
  <c r="D356" i="2"/>
  <c r="C356" i="2"/>
  <c r="B356" i="2"/>
  <c r="A356" i="2"/>
  <c r="P355" i="2"/>
  <c r="O355" i="2"/>
  <c r="N355" i="2"/>
  <c r="M355" i="2"/>
  <c r="K355" i="2"/>
  <c r="J355" i="2"/>
  <c r="I355" i="2"/>
  <c r="H355" i="2"/>
  <c r="G355" i="2"/>
  <c r="F355" i="2"/>
  <c r="E355" i="2"/>
  <c r="D355" i="2"/>
  <c r="C355" i="2"/>
  <c r="B355" i="2"/>
  <c r="A355" i="2"/>
  <c r="P354" i="2"/>
  <c r="O354" i="2"/>
  <c r="N354" i="2"/>
  <c r="K354" i="2"/>
  <c r="J354" i="2"/>
  <c r="I354" i="2"/>
  <c r="H354" i="2"/>
  <c r="G354" i="2"/>
  <c r="F354" i="2"/>
  <c r="E354" i="2"/>
  <c r="D354" i="2"/>
  <c r="C354" i="2"/>
  <c r="B354" i="2"/>
  <c r="A354" i="2"/>
  <c r="P353" i="2"/>
  <c r="O353" i="2"/>
  <c r="N353" i="2"/>
  <c r="K353" i="2"/>
  <c r="J353" i="2"/>
  <c r="I353" i="2"/>
  <c r="H353" i="2"/>
  <c r="G353" i="2"/>
  <c r="F353" i="2"/>
  <c r="E353" i="2"/>
  <c r="D353" i="2"/>
  <c r="C353" i="2"/>
  <c r="B353" i="2"/>
  <c r="A353" i="2"/>
  <c r="P352" i="2"/>
  <c r="O352" i="2"/>
  <c r="N352" i="2"/>
  <c r="M352" i="2"/>
  <c r="K352" i="2"/>
  <c r="J352" i="2"/>
  <c r="I352" i="2"/>
  <c r="H352" i="2"/>
  <c r="G352" i="2"/>
  <c r="F352" i="2"/>
  <c r="E352" i="2"/>
  <c r="D352" i="2"/>
  <c r="C352" i="2"/>
  <c r="B352" i="2"/>
  <c r="A352" i="2"/>
  <c r="O351" i="2"/>
  <c r="N351" i="2"/>
  <c r="J351" i="2"/>
  <c r="I351" i="2"/>
  <c r="H351" i="2"/>
  <c r="G351" i="2"/>
  <c r="F351" i="2"/>
  <c r="E351" i="2"/>
  <c r="D351" i="2"/>
  <c r="C351" i="2"/>
  <c r="B351" i="2"/>
  <c r="A351" i="2"/>
  <c r="P350" i="2"/>
  <c r="O350" i="2"/>
  <c r="N350" i="2"/>
  <c r="M350" i="2"/>
  <c r="K350" i="2"/>
  <c r="J350" i="2"/>
  <c r="I350" i="2"/>
  <c r="H350" i="2"/>
  <c r="G350" i="2"/>
  <c r="F350" i="2"/>
  <c r="E350" i="2"/>
  <c r="D350" i="2"/>
  <c r="C350" i="2"/>
  <c r="B350" i="2"/>
  <c r="A350" i="2"/>
  <c r="Q349" i="2"/>
  <c r="P349" i="2"/>
  <c r="O349" i="2"/>
  <c r="N349" i="2"/>
  <c r="M349" i="2"/>
  <c r="K349" i="2"/>
  <c r="J349" i="2"/>
  <c r="I349" i="2"/>
  <c r="H349" i="2"/>
  <c r="G349" i="2"/>
  <c r="F349" i="2"/>
  <c r="E349" i="2"/>
  <c r="D349" i="2"/>
  <c r="C349" i="2"/>
  <c r="B349" i="2"/>
  <c r="A349" i="2"/>
  <c r="P348" i="2"/>
  <c r="O348" i="2"/>
  <c r="N348" i="2"/>
  <c r="M348" i="2"/>
  <c r="K348" i="2"/>
  <c r="J348" i="2"/>
  <c r="I348" i="2"/>
  <c r="H348" i="2"/>
  <c r="G348" i="2"/>
  <c r="F348" i="2"/>
  <c r="E348" i="2"/>
  <c r="D348" i="2"/>
  <c r="C348" i="2"/>
  <c r="B348" i="2"/>
  <c r="A348" i="2"/>
  <c r="P347" i="2"/>
  <c r="O347" i="2"/>
  <c r="N347" i="2"/>
  <c r="M347" i="2"/>
  <c r="K347" i="2"/>
  <c r="J347" i="2"/>
  <c r="I347" i="2"/>
  <c r="H347" i="2"/>
  <c r="G347" i="2"/>
  <c r="F347" i="2"/>
  <c r="E347" i="2"/>
  <c r="D347" i="2"/>
  <c r="C347" i="2"/>
  <c r="B347" i="2"/>
  <c r="A347" i="2"/>
  <c r="R346" i="2"/>
  <c r="O346" i="2"/>
  <c r="N346" i="2"/>
  <c r="M346" i="2"/>
  <c r="L346" i="2"/>
  <c r="J346" i="2"/>
  <c r="I346" i="2"/>
  <c r="H346" i="2"/>
  <c r="G346" i="2"/>
  <c r="F346" i="2"/>
  <c r="E346" i="2"/>
  <c r="D346" i="2"/>
  <c r="C346" i="2"/>
  <c r="B346" i="2"/>
  <c r="A346" i="2"/>
  <c r="P345" i="2"/>
  <c r="O345" i="2"/>
  <c r="N345" i="2"/>
  <c r="K345" i="2"/>
  <c r="J345" i="2"/>
  <c r="I345" i="2"/>
  <c r="H345" i="2"/>
  <c r="G345" i="2"/>
  <c r="F345" i="2"/>
  <c r="E345" i="2"/>
  <c r="D345" i="2"/>
  <c r="C345" i="2"/>
  <c r="B345" i="2"/>
  <c r="A345" i="2"/>
  <c r="Q344" i="2"/>
  <c r="P344" i="2"/>
  <c r="O344" i="2"/>
  <c r="N344" i="2"/>
  <c r="M344" i="2"/>
  <c r="K344" i="2"/>
  <c r="J344" i="2"/>
  <c r="I344" i="2"/>
  <c r="H344" i="2"/>
  <c r="G344" i="2"/>
  <c r="F344" i="2"/>
  <c r="E344" i="2"/>
  <c r="D344" i="2"/>
  <c r="C344" i="2"/>
  <c r="B344" i="2"/>
  <c r="A344" i="2"/>
  <c r="P343" i="2"/>
  <c r="O343" i="2"/>
  <c r="N343" i="2"/>
  <c r="M343" i="2"/>
  <c r="K343" i="2"/>
  <c r="J343" i="2"/>
  <c r="I343" i="2"/>
  <c r="H343" i="2"/>
  <c r="G343" i="2"/>
  <c r="F343" i="2"/>
  <c r="E343" i="2"/>
  <c r="D343" i="2"/>
  <c r="C343" i="2"/>
  <c r="B343" i="2"/>
  <c r="A343" i="2"/>
  <c r="R342" i="2"/>
  <c r="O342" i="2"/>
  <c r="N342" i="2"/>
  <c r="M342" i="2"/>
  <c r="L342" i="2"/>
  <c r="J342" i="2"/>
  <c r="I342" i="2"/>
  <c r="H342" i="2"/>
  <c r="G342" i="2"/>
  <c r="F342" i="2"/>
  <c r="E342" i="2"/>
  <c r="D342" i="2"/>
  <c r="C342" i="2"/>
  <c r="B342" i="2"/>
  <c r="A342" i="2"/>
  <c r="P341" i="2"/>
  <c r="O341" i="2"/>
  <c r="N341" i="2"/>
  <c r="M341" i="2"/>
  <c r="K341" i="2"/>
  <c r="J341" i="2"/>
  <c r="I341" i="2"/>
  <c r="H341" i="2"/>
  <c r="G341" i="2"/>
  <c r="F341" i="2"/>
  <c r="E341" i="2"/>
  <c r="D341" i="2"/>
  <c r="C341" i="2"/>
  <c r="B341" i="2"/>
  <c r="A341" i="2"/>
  <c r="O340" i="2"/>
  <c r="N340" i="2"/>
  <c r="M340" i="2"/>
  <c r="K340" i="2"/>
  <c r="J340" i="2"/>
  <c r="I340" i="2"/>
  <c r="H340" i="2"/>
  <c r="G340" i="2"/>
  <c r="F340" i="2"/>
  <c r="E340" i="2"/>
  <c r="D340" i="2"/>
  <c r="C340" i="2"/>
  <c r="B340" i="2"/>
  <c r="A340" i="2"/>
  <c r="P339" i="2"/>
  <c r="O339" i="2"/>
  <c r="N339" i="2"/>
  <c r="M339" i="2"/>
  <c r="K339" i="2"/>
  <c r="J339" i="2"/>
  <c r="I339" i="2"/>
  <c r="H339" i="2"/>
  <c r="G339" i="2"/>
  <c r="F339" i="2"/>
  <c r="E339" i="2"/>
  <c r="D339" i="2"/>
  <c r="C339" i="2"/>
  <c r="B339" i="2"/>
  <c r="A339" i="2"/>
  <c r="P338" i="2"/>
  <c r="O338" i="2"/>
  <c r="N338" i="2"/>
  <c r="M338" i="2"/>
  <c r="K338" i="2"/>
  <c r="J338" i="2"/>
  <c r="I338" i="2"/>
  <c r="H338" i="2"/>
  <c r="G338" i="2"/>
  <c r="F338" i="2"/>
  <c r="E338" i="2"/>
  <c r="D338" i="2"/>
  <c r="C338" i="2"/>
  <c r="B338" i="2"/>
  <c r="A338" i="2"/>
  <c r="S337" i="2"/>
  <c r="P337" i="2"/>
  <c r="O337" i="2"/>
  <c r="N337" i="2"/>
  <c r="M337" i="2"/>
  <c r="K337" i="2"/>
  <c r="J337" i="2"/>
  <c r="I337" i="2"/>
  <c r="H337" i="2"/>
  <c r="G337" i="2"/>
  <c r="F337" i="2"/>
  <c r="E337" i="2"/>
  <c r="D337" i="2"/>
  <c r="C337" i="2"/>
  <c r="B337" i="2"/>
  <c r="A337" i="2"/>
  <c r="P336" i="2"/>
  <c r="O336" i="2"/>
  <c r="N336" i="2"/>
  <c r="M336" i="2"/>
  <c r="K336" i="2"/>
  <c r="J336" i="2"/>
  <c r="I336" i="2"/>
  <c r="H336" i="2"/>
  <c r="G336" i="2"/>
  <c r="F336" i="2"/>
  <c r="E336" i="2"/>
  <c r="D336" i="2"/>
  <c r="C336" i="2"/>
  <c r="B336" i="2"/>
  <c r="A336" i="2"/>
  <c r="Q335" i="2"/>
  <c r="P335" i="2"/>
  <c r="O335" i="2"/>
  <c r="N335" i="2"/>
  <c r="M335" i="2"/>
  <c r="K335" i="2"/>
  <c r="J335" i="2"/>
  <c r="I335" i="2"/>
  <c r="H335" i="2"/>
  <c r="G335" i="2"/>
  <c r="F335" i="2"/>
  <c r="E335" i="2"/>
  <c r="D335" i="2"/>
  <c r="C335" i="2"/>
  <c r="B335" i="2"/>
  <c r="A335" i="2"/>
  <c r="R334" i="2"/>
  <c r="O334" i="2"/>
  <c r="N334" i="2"/>
  <c r="M334" i="2"/>
  <c r="L334" i="2"/>
  <c r="J334" i="2"/>
  <c r="I334" i="2"/>
  <c r="H334" i="2"/>
  <c r="G334" i="2"/>
  <c r="F334" i="2"/>
  <c r="E334" i="2"/>
  <c r="D334" i="2"/>
  <c r="C334" i="2"/>
  <c r="B334" i="2"/>
  <c r="A334" i="2"/>
  <c r="P333" i="2"/>
  <c r="O333" i="2"/>
  <c r="N333" i="2"/>
  <c r="M333" i="2"/>
  <c r="K333" i="2"/>
  <c r="J333" i="2"/>
  <c r="I333" i="2"/>
  <c r="H333" i="2"/>
  <c r="G333" i="2"/>
  <c r="F333" i="2"/>
  <c r="E333" i="2"/>
  <c r="D333" i="2"/>
  <c r="C333" i="2"/>
  <c r="B333" i="2"/>
  <c r="A333" i="2"/>
  <c r="P332" i="2"/>
  <c r="O332" i="2"/>
  <c r="N332" i="2"/>
  <c r="K332" i="2"/>
  <c r="J332" i="2"/>
  <c r="I332" i="2"/>
  <c r="H332" i="2"/>
  <c r="G332" i="2"/>
  <c r="F332" i="2"/>
  <c r="E332" i="2"/>
  <c r="D332" i="2"/>
  <c r="C332" i="2"/>
  <c r="B332" i="2"/>
  <c r="A332" i="2"/>
  <c r="Q331" i="2"/>
  <c r="P331" i="2"/>
  <c r="O331" i="2"/>
  <c r="N331" i="2"/>
  <c r="M331" i="2"/>
  <c r="K331" i="2"/>
  <c r="J331" i="2"/>
  <c r="I331" i="2"/>
  <c r="H331" i="2"/>
  <c r="G331" i="2"/>
  <c r="F331" i="2"/>
  <c r="E331" i="2"/>
  <c r="D331" i="2"/>
  <c r="C331" i="2"/>
  <c r="B331" i="2"/>
  <c r="A331" i="2"/>
  <c r="O330" i="2"/>
  <c r="N330" i="2"/>
  <c r="J330" i="2"/>
  <c r="I330" i="2"/>
  <c r="H330" i="2"/>
  <c r="G330" i="2"/>
  <c r="F330" i="2"/>
  <c r="E330" i="2"/>
  <c r="D330" i="2"/>
  <c r="C330" i="2"/>
  <c r="B330" i="2"/>
  <c r="A330" i="2"/>
  <c r="P329" i="2"/>
  <c r="O329" i="2"/>
  <c r="N329" i="2"/>
  <c r="K329" i="2"/>
  <c r="J329" i="2"/>
  <c r="I329" i="2"/>
  <c r="H329" i="2"/>
  <c r="G329" i="2"/>
  <c r="F329" i="2"/>
  <c r="E329" i="2"/>
  <c r="D329" i="2"/>
  <c r="C329" i="2"/>
  <c r="B329" i="2"/>
  <c r="A329" i="2"/>
  <c r="P328" i="2"/>
  <c r="O328" i="2"/>
  <c r="N328" i="2"/>
  <c r="K328" i="2"/>
  <c r="J328" i="2"/>
  <c r="I328" i="2"/>
  <c r="H328" i="2"/>
  <c r="G328" i="2"/>
  <c r="F328" i="2"/>
  <c r="E328" i="2"/>
  <c r="D328" i="2"/>
  <c r="C328" i="2"/>
  <c r="B328" i="2"/>
  <c r="A328" i="2"/>
  <c r="P327" i="2"/>
  <c r="O327" i="2"/>
  <c r="N327" i="2"/>
  <c r="K327" i="2"/>
  <c r="J327" i="2"/>
  <c r="I327" i="2"/>
  <c r="H327" i="2"/>
  <c r="G327" i="2"/>
  <c r="F327" i="2"/>
  <c r="E327" i="2"/>
  <c r="D327" i="2"/>
  <c r="C327" i="2"/>
  <c r="B327" i="2"/>
  <c r="A327" i="2"/>
  <c r="P326" i="2"/>
  <c r="O326" i="2"/>
  <c r="N326" i="2"/>
  <c r="K326" i="2"/>
  <c r="J326" i="2"/>
  <c r="I326" i="2"/>
  <c r="H326" i="2"/>
  <c r="G326" i="2"/>
  <c r="F326" i="2"/>
  <c r="E326" i="2"/>
  <c r="D326" i="2"/>
  <c r="C326" i="2"/>
  <c r="B326" i="2"/>
  <c r="A326" i="2"/>
  <c r="Q325" i="2"/>
  <c r="P325" i="2"/>
  <c r="O325" i="2"/>
  <c r="N325" i="2"/>
  <c r="K325" i="2"/>
  <c r="J325" i="2"/>
  <c r="I325" i="2"/>
  <c r="H325" i="2"/>
  <c r="G325" i="2"/>
  <c r="F325" i="2"/>
  <c r="E325" i="2"/>
  <c r="D325" i="2"/>
  <c r="C325" i="2"/>
  <c r="B325" i="2"/>
  <c r="A325" i="2"/>
  <c r="P324" i="2"/>
  <c r="O324" i="2"/>
  <c r="N324" i="2"/>
  <c r="K324" i="2"/>
  <c r="J324" i="2"/>
  <c r="I324" i="2"/>
  <c r="H324" i="2"/>
  <c r="G324" i="2"/>
  <c r="F324" i="2"/>
  <c r="E324" i="2"/>
  <c r="D324" i="2"/>
  <c r="C324" i="2"/>
  <c r="B324" i="2"/>
  <c r="A324" i="2"/>
  <c r="O323" i="2"/>
  <c r="N323" i="2"/>
  <c r="L323" i="2"/>
  <c r="J323" i="2"/>
  <c r="I323" i="2"/>
  <c r="H323" i="2"/>
  <c r="G323" i="2"/>
  <c r="F323" i="2"/>
  <c r="E323" i="2"/>
  <c r="D323" i="2"/>
  <c r="C323" i="2"/>
  <c r="B323" i="2"/>
  <c r="A323" i="2"/>
  <c r="R322" i="2"/>
  <c r="O322" i="2"/>
  <c r="N322" i="2"/>
  <c r="L322" i="2"/>
  <c r="J322" i="2"/>
  <c r="I322" i="2"/>
  <c r="H322" i="2"/>
  <c r="G322" i="2"/>
  <c r="F322" i="2"/>
  <c r="E322" i="2"/>
  <c r="D322" i="2"/>
  <c r="C322" i="2"/>
  <c r="B322" i="2"/>
  <c r="A322" i="2"/>
  <c r="P321" i="2"/>
  <c r="O321" i="2"/>
  <c r="N321" i="2"/>
  <c r="K321" i="2"/>
  <c r="J321" i="2"/>
  <c r="I321" i="2"/>
  <c r="H321" i="2"/>
  <c r="G321" i="2"/>
  <c r="F321" i="2"/>
  <c r="E321" i="2"/>
  <c r="D321" i="2"/>
  <c r="C321" i="2"/>
  <c r="B321" i="2"/>
  <c r="A321" i="2"/>
  <c r="P320" i="2"/>
  <c r="O320" i="2"/>
  <c r="N320" i="2"/>
  <c r="K320" i="2"/>
  <c r="J320" i="2"/>
  <c r="I320" i="2"/>
  <c r="H320" i="2"/>
  <c r="G320" i="2"/>
  <c r="F320" i="2"/>
  <c r="E320" i="2"/>
  <c r="D320" i="2"/>
  <c r="C320" i="2"/>
  <c r="B320" i="2"/>
  <c r="A320" i="2"/>
  <c r="S319" i="2"/>
  <c r="R319" i="2"/>
  <c r="O319" i="2"/>
  <c r="N319" i="2"/>
  <c r="M319" i="2"/>
  <c r="L319" i="2"/>
  <c r="K319" i="2"/>
  <c r="J319" i="2"/>
  <c r="I319" i="2"/>
  <c r="H319" i="2"/>
  <c r="G319" i="2"/>
  <c r="F319" i="2"/>
  <c r="E319" i="2"/>
  <c r="D319" i="2"/>
  <c r="C319" i="2"/>
  <c r="B319" i="2"/>
  <c r="A319" i="2"/>
  <c r="O318" i="2"/>
  <c r="N318" i="2"/>
  <c r="J318" i="2"/>
  <c r="I318" i="2"/>
  <c r="H318" i="2"/>
  <c r="G318" i="2"/>
  <c r="F318" i="2"/>
  <c r="E318" i="2"/>
  <c r="D318" i="2"/>
  <c r="C318" i="2"/>
  <c r="B318" i="2"/>
  <c r="A318" i="2"/>
  <c r="P317" i="2"/>
  <c r="O317" i="2"/>
  <c r="N317" i="2"/>
  <c r="K317" i="2"/>
  <c r="J317" i="2"/>
  <c r="I317" i="2"/>
  <c r="H317" i="2"/>
  <c r="G317" i="2"/>
  <c r="F317" i="2"/>
  <c r="E317" i="2"/>
  <c r="D317" i="2"/>
  <c r="C317" i="2"/>
  <c r="B317" i="2"/>
  <c r="A317" i="2"/>
  <c r="P316" i="2"/>
  <c r="O316" i="2"/>
  <c r="N316" i="2"/>
  <c r="K316" i="2"/>
  <c r="J316" i="2"/>
  <c r="I316" i="2"/>
  <c r="H316" i="2"/>
  <c r="G316" i="2"/>
  <c r="F316" i="2"/>
  <c r="E316" i="2"/>
  <c r="D316" i="2"/>
  <c r="C316" i="2"/>
  <c r="B316" i="2"/>
  <c r="A316" i="2"/>
  <c r="Q315" i="2"/>
  <c r="P315" i="2"/>
  <c r="O315" i="2"/>
  <c r="N315" i="2"/>
  <c r="M315" i="2"/>
  <c r="K315" i="2"/>
  <c r="J315" i="2"/>
  <c r="I315" i="2"/>
  <c r="H315" i="2"/>
  <c r="G315" i="2"/>
  <c r="F315" i="2"/>
  <c r="E315" i="2"/>
  <c r="D315" i="2"/>
  <c r="C315" i="2"/>
  <c r="B315" i="2"/>
  <c r="A315" i="2"/>
  <c r="P314" i="2"/>
  <c r="O314" i="2"/>
  <c r="N314" i="2"/>
  <c r="K314" i="2"/>
  <c r="J314" i="2"/>
  <c r="I314" i="2"/>
  <c r="H314" i="2"/>
  <c r="G314" i="2"/>
  <c r="F314" i="2"/>
  <c r="E314" i="2"/>
  <c r="D314" i="2"/>
  <c r="C314" i="2"/>
  <c r="B314" i="2"/>
  <c r="A314" i="2"/>
  <c r="P313" i="2"/>
  <c r="O313" i="2"/>
  <c r="N313" i="2"/>
  <c r="K313" i="2"/>
  <c r="J313" i="2"/>
  <c r="I313" i="2"/>
  <c r="H313" i="2"/>
  <c r="G313" i="2"/>
  <c r="F313" i="2"/>
  <c r="E313" i="2"/>
  <c r="D313" i="2"/>
  <c r="C313" i="2"/>
  <c r="B313" i="2"/>
  <c r="A313" i="2"/>
  <c r="P312" i="2"/>
  <c r="O312" i="2"/>
  <c r="N312" i="2"/>
  <c r="K312" i="2"/>
  <c r="J312" i="2"/>
  <c r="I312" i="2"/>
  <c r="H312" i="2"/>
  <c r="G312" i="2"/>
  <c r="F312" i="2"/>
  <c r="E312" i="2"/>
  <c r="D312" i="2"/>
  <c r="C312" i="2"/>
  <c r="B312" i="2"/>
  <c r="A312" i="2"/>
  <c r="P311" i="2"/>
  <c r="O311" i="2"/>
  <c r="N311" i="2"/>
  <c r="K311" i="2"/>
  <c r="J311" i="2"/>
  <c r="I311" i="2"/>
  <c r="H311" i="2"/>
  <c r="G311" i="2"/>
  <c r="F311" i="2"/>
  <c r="E311" i="2"/>
  <c r="D311" i="2"/>
  <c r="C311" i="2"/>
  <c r="B311" i="2"/>
  <c r="A311" i="2"/>
  <c r="P310" i="2"/>
  <c r="O310" i="2"/>
  <c r="N310" i="2"/>
  <c r="K310" i="2"/>
  <c r="J310" i="2"/>
  <c r="I310" i="2"/>
  <c r="H310" i="2"/>
  <c r="G310" i="2"/>
  <c r="F310" i="2"/>
  <c r="E310" i="2"/>
  <c r="D310" i="2"/>
  <c r="C310" i="2"/>
  <c r="B310" i="2"/>
  <c r="A310" i="2"/>
  <c r="Q309" i="2"/>
  <c r="P309" i="2"/>
  <c r="O309" i="2"/>
  <c r="N309" i="2"/>
  <c r="M309" i="2"/>
  <c r="K309" i="2"/>
  <c r="J309" i="2"/>
  <c r="I309" i="2"/>
  <c r="H309" i="2"/>
  <c r="G309" i="2"/>
  <c r="F309" i="2"/>
  <c r="E309" i="2"/>
  <c r="D309" i="2"/>
  <c r="C309" i="2"/>
  <c r="B309" i="2"/>
  <c r="A309" i="2"/>
  <c r="P308" i="2"/>
  <c r="O308" i="2"/>
  <c r="N308" i="2"/>
  <c r="K308" i="2"/>
  <c r="J308" i="2"/>
  <c r="I308" i="2"/>
  <c r="H308" i="2"/>
  <c r="G308" i="2"/>
  <c r="F308" i="2"/>
  <c r="E308" i="2"/>
  <c r="D308" i="2"/>
  <c r="C308" i="2"/>
  <c r="B308" i="2"/>
  <c r="A308" i="2"/>
  <c r="O307" i="2"/>
  <c r="N307" i="2"/>
  <c r="J307" i="2"/>
  <c r="I307" i="2"/>
  <c r="H307" i="2"/>
  <c r="G307" i="2"/>
  <c r="F307" i="2"/>
  <c r="E307" i="2"/>
  <c r="D307" i="2"/>
  <c r="C307" i="2"/>
  <c r="B307" i="2"/>
  <c r="A307" i="2"/>
  <c r="O306" i="2"/>
  <c r="N306" i="2"/>
  <c r="J306" i="2"/>
  <c r="I306" i="2"/>
  <c r="H306" i="2"/>
  <c r="G306" i="2"/>
  <c r="F306" i="2"/>
  <c r="E306" i="2"/>
  <c r="D306" i="2"/>
  <c r="C306" i="2"/>
  <c r="B306" i="2"/>
  <c r="A306" i="2"/>
  <c r="Q305" i="2"/>
  <c r="P305" i="2"/>
  <c r="O305" i="2"/>
  <c r="N305" i="2"/>
  <c r="M305" i="2"/>
  <c r="K305" i="2"/>
  <c r="J305" i="2"/>
  <c r="I305" i="2"/>
  <c r="H305" i="2"/>
  <c r="G305" i="2"/>
  <c r="F305" i="2"/>
  <c r="E305" i="2"/>
  <c r="D305" i="2"/>
  <c r="C305" i="2"/>
  <c r="B305" i="2"/>
  <c r="A305" i="2"/>
  <c r="P304" i="2"/>
  <c r="O304" i="2"/>
  <c r="N304" i="2"/>
  <c r="K304" i="2"/>
  <c r="J304" i="2"/>
  <c r="I304" i="2"/>
  <c r="H304" i="2"/>
  <c r="G304" i="2"/>
  <c r="F304" i="2"/>
  <c r="E304" i="2"/>
  <c r="D304" i="2"/>
  <c r="C304" i="2"/>
  <c r="B304" i="2"/>
  <c r="A304" i="2"/>
  <c r="P303" i="2"/>
  <c r="O303" i="2"/>
  <c r="N303" i="2"/>
  <c r="M303" i="2"/>
  <c r="K303" i="2"/>
  <c r="J303" i="2"/>
  <c r="I303" i="2"/>
  <c r="H303" i="2"/>
  <c r="G303" i="2"/>
  <c r="F303" i="2"/>
  <c r="E303" i="2"/>
  <c r="D303" i="2"/>
  <c r="C303" i="2"/>
  <c r="B303" i="2"/>
  <c r="A303" i="2"/>
  <c r="P302" i="2"/>
  <c r="O302" i="2"/>
  <c r="N302" i="2"/>
  <c r="K302" i="2"/>
  <c r="J302" i="2"/>
  <c r="I302" i="2"/>
  <c r="H302" i="2"/>
  <c r="G302" i="2"/>
  <c r="F302" i="2"/>
  <c r="E302" i="2"/>
  <c r="D302" i="2"/>
  <c r="C302" i="2"/>
  <c r="B302" i="2"/>
  <c r="A302" i="2"/>
  <c r="P301" i="2"/>
  <c r="O301" i="2"/>
  <c r="N301" i="2"/>
  <c r="K301" i="2"/>
  <c r="J301" i="2"/>
  <c r="I301" i="2"/>
  <c r="H301" i="2"/>
  <c r="G301" i="2"/>
  <c r="F301" i="2"/>
  <c r="E301" i="2"/>
  <c r="D301" i="2"/>
  <c r="C301" i="2"/>
  <c r="B301" i="2"/>
  <c r="A301" i="2"/>
  <c r="P300" i="2"/>
  <c r="O300" i="2"/>
  <c r="N300" i="2"/>
  <c r="M300" i="2"/>
  <c r="K300" i="2"/>
  <c r="J300" i="2"/>
  <c r="I300" i="2"/>
  <c r="H300" i="2"/>
  <c r="G300" i="2"/>
  <c r="F300" i="2"/>
  <c r="E300" i="2"/>
  <c r="D300" i="2"/>
  <c r="C300" i="2"/>
  <c r="B300" i="2"/>
  <c r="A300" i="2"/>
  <c r="Q299" i="2"/>
  <c r="P299" i="2"/>
  <c r="O299" i="2"/>
  <c r="N299" i="2"/>
  <c r="M299" i="2"/>
  <c r="K299" i="2"/>
  <c r="J299" i="2"/>
  <c r="I299" i="2"/>
  <c r="H299" i="2"/>
  <c r="G299" i="2"/>
  <c r="F299" i="2"/>
  <c r="E299" i="2"/>
  <c r="D299" i="2"/>
  <c r="C299" i="2"/>
  <c r="B299" i="2"/>
  <c r="A299" i="2"/>
  <c r="P298" i="2"/>
  <c r="O298" i="2"/>
  <c r="N298" i="2"/>
  <c r="M298" i="2"/>
  <c r="K298" i="2"/>
  <c r="J298" i="2"/>
  <c r="I298" i="2"/>
  <c r="H298" i="2"/>
  <c r="G298" i="2"/>
  <c r="F298" i="2"/>
  <c r="E298" i="2"/>
  <c r="D298" i="2"/>
  <c r="C298" i="2"/>
  <c r="B298" i="2"/>
  <c r="A298" i="2"/>
  <c r="R297" i="2"/>
  <c r="O297" i="2"/>
  <c r="N297" i="2"/>
  <c r="L297" i="2"/>
  <c r="J297" i="2"/>
  <c r="I297" i="2"/>
  <c r="H297" i="2"/>
  <c r="G297" i="2"/>
  <c r="F297" i="2"/>
  <c r="E297" i="2"/>
  <c r="D297" i="2"/>
  <c r="C297" i="2"/>
  <c r="B297" i="2"/>
  <c r="A297" i="2"/>
  <c r="R296" i="2"/>
  <c r="O296" i="2"/>
  <c r="N296" i="2"/>
  <c r="L296" i="2"/>
  <c r="J296" i="2"/>
  <c r="I296" i="2"/>
  <c r="H296" i="2"/>
  <c r="G296" i="2"/>
  <c r="F296" i="2"/>
  <c r="E296" i="2"/>
  <c r="D296" i="2"/>
  <c r="C296" i="2"/>
  <c r="B296" i="2"/>
  <c r="A296" i="2"/>
  <c r="P295" i="2"/>
  <c r="O295" i="2"/>
  <c r="N295" i="2"/>
  <c r="K295" i="2"/>
  <c r="J295" i="2"/>
  <c r="I295" i="2"/>
  <c r="H295" i="2"/>
  <c r="G295" i="2"/>
  <c r="F295" i="2"/>
  <c r="E295" i="2"/>
  <c r="D295" i="2"/>
  <c r="C295" i="2"/>
  <c r="B295" i="2"/>
  <c r="A295" i="2"/>
  <c r="R294" i="2"/>
  <c r="O294" i="2"/>
  <c r="N294" i="2"/>
  <c r="L294" i="2"/>
  <c r="J294" i="2"/>
  <c r="I294" i="2"/>
  <c r="H294" i="2"/>
  <c r="G294" i="2"/>
  <c r="F294" i="2"/>
  <c r="E294" i="2"/>
  <c r="D294" i="2"/>
  <c r="C294" i="2"/>
  <c r="B294" i="2"/>
  <c r="A294" i="2"/>
  <c r="P293" i="2"/>
  <c r="O293" i="2"/>
  <c r="N293" i="2"/>
  <c r="K293" i="2"/>
  <c r="J293" i="2"/>
  <c r="I293" i="2"/>
  <c r="H293" i="2"/>
  <c r="G293" i="2"/>
  <c r="F293" i="2"/>
  <c r="E293" i="2"/>
  <c r="D293" i="2"/>
  <c r="C293" i="2"/>
  <c r="B293" i="2"/>
  <c r="A293" i="2"/>
  <c r="P292" i="2"/>
  <c r="O292" i="2"/>
  <c r="N292" i="2"/>
  <c r="K292" i="2"/>
  <c r="J292" i="2"/>
  <c r="I292" i="2"/>
  <c r="H292" i="2"/>
  <c r="G292" i="2"/>
  <c r="F292" i="2"/>
  <c r="E292" i="2"/>
  <c r="D292" i="2"/>
  <c r="C292" i="2"/>
  <c r="B292" i="2"/>
  <c r="A292" i="2"/>
  <c r="P291" i="2"/>
  <c r="O291" i="2"/>
  <c r="N291" i="2"/>
  <c r="K291" i="2"/>
  <c r="J291" i="2"/>
  <c r="I291" i="2"/>
  <c r="H291" i="2"/>
  <c r="G291" i="2"/>
  <c r="F291" i="2"/>
  <c r="E291" i="2"/>
  <c r="D291" i="2"/>
  <c r="C291" i="2"/>
  <c r="B291" i="2"/>
  <c r="A291" i="2"/>
  <c r="O290" i="2"/>
  <c r="N290" i="2"/>
  <c r="J290" i="2"/>
  <c r="I290" i="2"/>
  <c r="H290" i="2"/>
  <c r="G290" i="2"/>
  <c r="F290" i="2"/>
  <c r="E290" i="2"/>
  <c r="D290" i="2"/>
  <c r="C290" i="2"/>
  <c r="B290" i="2"/>
  <c r="A290" i="2"/>
  <c r="R289" i="2"/>
  <c r="O289" i="2"/>
  <c r="N289" i="2"/>
  <c r="L289" i="2"/>
  <c r="J289" i="2"/>
  <c r="I289" i="2"/>
  <c r="H289" i="2"/>
  <c r="G289" i="2"/>
  <c r="F289" i="2"/>
  <c r="E289" i="2"/>
  <c r="D289" i="2"/>
  <c r="C289" i="2"/>
  <c r="B289" i="2"/>
  <c r="A289" i="2"/>
  <c r="P288" i="2"/>
  <c r="O288" i="2"/>
  <c r="N288" i="2"/>
  <c r="M288" i="2"/>
  <c r="K288" i="2"/>
  <c r="J288" i="2"/>
  <c r="I288" i="2"/>
  <c r="H288" i="2"/>
  <c r="G288" i="2"/>
  <c r="F288" i="2"/>
  <c r="E288" i="2"/>
  <c r="D288" i="2"/>
  <c r="C288" i="2"/>
  <c r="B288" i="2"/>
  <c r="A288" i="2"/>
  <c r="R287" i="2"/>
  <c r="Q287" i="2"/>
  <c r="P287" i="2"/>
  <c r="O287" i="2"/>
  <c r="N287" i="2"/>
  <c r="L287" i="2"/>
  <c r="K287" i="2"/>
  <c r="J287" i="2"/>
  <c r="I287" i="2"/>
  <c r="H287" i="2"/>
  <c r="G287" i="2"/>
  <c r="F287" i="2"/>
  <c r="E287" i="2"/>
  <c r="D287" i="2"/>
  <c r="C287" i="2"/>
  <c r="B287" i="2"/>
  <c r="A287" i="2"/>
  <c r="P286" i="2"/>
  <c r="O286" i="2"/>
  <c r="N286" i="2"/>
  <c r="M286" i="2"/>
  <c r="K286" i="2"/>
  <c r="J286" i="2"/>
  <c r="I286" i="2"/>
  <c r="H286" i="2"/>
  <c r="G286" i="2"/>
  <c r="F286" i="2"/>
  <c r="E286" i="2"/>
  <c r="D286" i="2"/>
  <c r="C286" i="2"/>
  <c r="B286" i="2"/>
  <c r="A286" i="2"/>
  <c r="P285" i="2"/>
  <c r="O285" i="2"/>
  <c r="N285" i="2"/>
  <c r="K285" i="2"/>
  <c r="J285" i="2"/>
  <c r="I285" i="2"/>
  <c r="H285" i="2"/>
  <c r="G285" i="2"/>
  <c r="F285" i="2"/>
  <c r="E285" i="2"/>
  <c r="D285" i="2"/>
  <c r="C285" i="2"/>
  <c r="B285" i="2"/>
  <c r="A285" i="2"/>
  <c r="R284" i="2"/>
  <c r="O284" i="2"/>
  <c r="N284" i="2"/>
  <c r="L284" i="2"/>
  <c r="J284" i="2"/>
  <c r="I284" i="2"/>
  <c r="H284" i="2"/>
  <c r="G284" i="2"/>
  <c r="F284" i="2"/>
  <c r="E284" i="2"/>
  <c r="D284" i="2"/>
  <c r="C284" i="2"/>
  <c r="B284" i="2"/>
  <c r="A284" i="2"/>
  <c r="P283" i="2"/>
  <c r="O283" i="2"/>
  <c r="N283" i="2"/>
  <c r="K283" i="2"/>
  <c r="J283" i="2"/>
  <c r="I283" i="2"/>
  <c r="H283" i="2"/>
  <c r="G283" i="2"/>
  <c r="F283" i="2"/>
  <c r="E283" i="2"/>
  <c r="D283" i="2"/>
  <c r="C283" i="2"/>
  <c r="B283" i="2"/>
  <c r="A283" i="2"/>
  <c r="R282" i="2"/>
  <c r="O282" i="2"/>
  <c r="N282" i="2"/>
  <c r="L282" i="2"/>
  <c r="J282" i="2"/>
  <c r="I282" i="2"/>
  <c r="H282" i="2"/>
  <c r="G282" i="2"/>
  <c r="F282" i="2"/>
  <c r="E282" i="2"/>
  <c r="D282" i="2"/>
  <c r="C282" i="2"/>
  <c r="B282" i="2"/>
  <c r="A282" i="2"/>
  <c r="P281" i="2"/>
  <c r="O281" i="2"/>
  <c r="N281" i="2"/>
  <c r="K281" i="2"/>
  <c r="J281" i="2"/>
  <c r="I281" i="2"/>
  <c r="H281" i="2"/>
  <c r="G281" i="2"/>
  <c r="F281" i="2"/>
  <c r="E281" i="2"/>
  <c r="D281" i="2"/>
  <c r="C281" i="2"/>
  <c r="B281" i="2"/>
  <c r="A281" i="2"/>
  <c r="P280" i="2"/>
  <c r="O280" i="2"/>
  <c r="N280" i="2"/>
  <c r="K280" i="2"/>
  <c r="J280" i="2"/>
  <c r="I280" i="2"/>
  <c r="H280" i="2"/>
  <c r="G280" i="2"/>
  <c r="F280" i="2"/>
  <c r="E280" i="2"/>
  <c r="D280" i="2"/>
  <c r="C280" i="2"/>
  <c r="B280" i="2"/>
  <c r="A280" i="2"/>
  <c r="R279" i="2"/>
  <c r="P279" i="2"/>
  <c r="O279" i="2"/>
  <c r="N279" i="2"/>
  <c r="M279" i="2"/>
  <c r="L279" i="2"/>
  <c r="K279" i="2"/>
  <c r="J279" i="2"/>
  <c r="I279" i="2"/>
  <c r="H279" i="2"/>
  <c r="G279" i="2"/>
  <c r="F279" i="2"/>
  <c r="E279" i="2"/>
  <c r="D279" i="2"/>
  <c r="C279" i="2"/>
  <c r="B279" i="2"/>
  <c r="A279" i="2"/>
  <c r="R278" i="2"/>
  <c r="O278" i="2"/>
  <c r="N278" i="2"/>
  <c r="L278" i="2"/>
  <c r="J278" i="2"/>
  <c r="I278" i="2"/>
  <c r="H278" i="2"/>
  <c r="G278" i="2"/>
  <c r="F278" i="2"/>
  <c r="E278" i="2"/>
  <c r="D278" i="2"/>
  <c r="C278" i="2"/>
  <c r="B278" i="2"/>
  <c r="A278" i="2"/>
  <c r="P277" i="2"/>
  <c r="O277" i="2"/>
  <c r="N277" i="2"/>
  <c r="M277" i="2"/>
  <c r="K277" i="2"/>
  <c r="J277" i="2"/>
  <c r="I277" i="2"/>
  <c r="H277" i="2"/>
  <c r="G277" i="2"/>
  <c r="F277" i="2"/>
  <c r="E277" i="2"/>
  <c r="D277" i="2"/>
  <c r="C277" i="2"/>
  <c r="B277" i="2"/>
  <c r="A277" i="2"/>
  <c r="P276" i="2"/>
  <c r="O276" i="2"/>
  <c r="N276" i="2"/>
  <c r="K276" i="2"/>
  <c r="J276" i="2"/>
  <c r="I276" i="2"/>
  <c r="H276" i="2"/>
  <c r="G276" i="2"/>
  <c r="F276" i="2"/>
  <c r="E276" i="2"/>
  <c r="D276" i="2"/>
  <c r="C276" i="2"/>
  <c r="B276" i="2"/>
  <c r="A276" i="2"/>
  <c r="P275" i="2"/>
  <c r="O275" i="2"/>
  <c r="N275" i="2"/>
  <c r="K275" i="2"/>
  <c r="J275" i="2"/>
  <c r="I275" i="2"/>
  <c r="H275" i="2"/>
  <c r="G275" i="2"/>
  <c r="F275" i="2"/>
  <c r="E275" i="2"/>
  <c r="D275" i="2"/>
  <c r="C275" i="2"/>
  <c r="B275" i="2"/>
  <c r="A275" i="2"/>
  <c r="P274" i="2"/>
  <c r="O274" i="2"/>
  <c r="N274" i="2"/>
  <c r="M274" i="2"/>
  <c r="K274" i="2"/>
  <c r="J274" i="2"/>
  <c r="I274" i="2"/>
  <c r="H274" i="2"/>
  <c r="G274" i="2"/>
  <c r="F274" i="2"/>
  <c r="E274" i="2"/>
  <c r="D274" i="2"/>
  <c r="C274" i="2"/>
  <c r="B274" i="2"/>
  <c r="A274" i="2"/>
  <c r="P273" i="2"/>
  <c r="O273" i="2"/>
  <c r="N273" i="2"/>
  <c r="K273" i="2"/>
  <c r="J273" i="2"/>
  <c r="I273" i="2"/>
  <c r="H273" i="2"/>
  <c r="G273" i="2"/>
  <c r="F273" i="2"/>
  <c r="E273" i="2"/>
  <c r="D273" i="2"/>
  <c r="C273" i="2"/>
  <c r="B273" i="2"/>
  <c r="A273" i="2"/>
  <c r="R272" i="2"/>
  <c r="O272" i="2"/>
  <c r="N272" i="2"/>
  <c r="L272" i="2"/>
  <c r="J272" i="2"/>
  <c r="I272" i="2"/>
  <c r="H272" i="2"/>
  <c r="G272" i="2"/>
  <c r="F272" i="2"/>
  <c r="E272" i="2"/>
  <c r="D272" i="2"/>
  <c r="C272" i="2"/>
  <c r="B272" i="2"/>
  <c r="A272" i="2"/>
  <c r="P271" i="2"/>
  <c r="O271" i="2"/>
  <c r="N271" i="2"/>
  <c r="K271" i="2"/>
  <c r="J271" i="2"/>
  <c r="I271" i="2"/>
  <c r="H271" i="2"/>
  <c r="G271" i="2"/>
  <c r="F271" i="2"/>
  <c r="E271" i="2"/>
  <c r="D271" i="2"/>
  <c r="C271" i="2"/>
  <c r="B271" i="2"/>
  <c r="A271" i="2"/>
  <c r="P270" i="2"/>
  <c r="O270" i="2"/>
  <c r="N270" i="2"/>
  <c r="K270" i="2"/>
  <c r="J270" i="2"/>
  <c r="I270" i="2"/>
  <c r="H270" i="2"/>
  <c r="G270" i="2"/>
  <c r="F270" i="2"/>
  <c r="E270" i="2"/>
  <c r="D270" i="2"/>
  <c r="C270" i="2"/>
  <c r="B270" i="2"/>
  <c r="A270" i="2"/>
  <c r="P269" i="2"/>
  <c r="O269" i="2"/>
  <c r="N269" i="2"/>
  <c r="K269" i="2"/>
  <c r="J269" i="2"/>
  <c r="I269" i="2"/>
  <c r="H269" i="2"/>
  <c r="G269" i="2"/>
  <c r="F269" i="2"/>
  <c r="E269" i="2"/>
  <c r="D269" i="2"/>
  <c r="C269" i="2"/>
  <c r="B269" i="2"/>
  <c r="A269" i="2"/>
  <c r="P268" i="2"/>
  <c r="O268" i="2"/>
  <c r="N268" i="2"/>
  <c r="K268" i="2"/>
  <c r="J268" i="2"/>
  <c r="I268" i="2"/>
  <c r="H268" i="2"/>
  <c r="G268" i="2"/>
  <c r="F268" i="2"/>
  <c r="E268" i="2"/>
  <c r="D268" i="2"/>
  <c r="C268" i="2"/>
  <c r="B268" i="2"/>
  <c r="A268" i="2"/>
  <c r="O267" i="2"/>
  <c r="N267" i="2"/>
  <c r="K267" i="2"/>
  <c r="J267" i="2"/>
  <c r="I267" i="2"/>
  <c r="H267" i="2"/>
  <c r="G267" i="2"/>
  <c r="F267" i="2"/>
  <c r="E267" i="2"/>
  <c r="D267" i="2"/>
  <c r="C267" i="2"/>
  <c r="B267" i="2"/>
  <c r="A267" i="2"/>
  <c r="S266" i="2"/>
  <c r="R266" i="2"/>
  <c r="Q266" i="2"/>
  <c r="O266" i="2"/>
  <c r="N266" i="2"/>
  <c r="L266" i="2"/>
  <c r="K266" i="2"/>
  <c r="J266" i="2"/>
  <c r="I266" i="2"/>
  <c r="H266" i="2"/>
  <c r="G266" i="2"/>
  <c r="F266" i="2"/>
  <c r="E266" i="2"/>
  <c r="D266" i="2"/>
  <c r="C266" i="2"/>
  <c r="B266" i="2"/>
  <c r="A266" i="2"/>
  <c r="P265" i="2"/>
  <c r="O265" i="2"/>
  <c r="N265" i="2"/>
  <c r="K265" i="2"/>
  <c r="J265" i="2"/>
  <c r="I265" i="2"/>
  <c r="H265" i="2"/>
  <c r="G265" i="2"/>
  <c r="F265" i="2"/>
  <c r="E265" i="2"/>
  <c r="D265" i="2"/>
  <c r="C265" i="2"/>
  <c r="B265" i="2"/>
  <c r="A265" i="2"/>
  <c r="P264" i="2"/>
  <c r="O264" i="2"/>
  <c r="N264" i="2"/>
  <c r="M264" i="2"/>
  <c r="K264" i="2"/>
  <c r="J264" i="2"/>
  <c r="I264" i="2"/>
  <c r="H264" i="2"/>
  <c r="G264" i="2"/>
  <c r="F264" i="2"/>
  <c r="E264" i="2"/>
  <c r="D264" i="2"/>
  <c r="C264" i="2"/>
  <c r="B264" i="2"/>
  <c r="A264" i="2"/>
  <c r="P263" i="2"/>
  <c r="O263" i="2"/>
  <c r="N263" i="2"/>
  <c r="K263" i="2"/>
  <c r="J263" i="2"/>
  <c r="I263" i="2"/>
  <c r="H263" i="2"/>
  <c r="G263" i="2"/>
  <c r="F263" i="2"/>
  <c r="E263" i="2"/>
  <c r="D263" i="2"/>
  <c r="C263" i="2"/>
  <c r="B263" i="2"/>
  <c r="A263" i="2"/>
  <c r="O262" i="2"/>
  <c r="N262" i="2"/>
  <c r="M262" i="2"/>
  <c r="K262" i="2"/>
  <c r="J262" i="2"/>
  <c r="I262" i="2"/>
  <c r="H262" i="2"/>
  <c r="G262" i="2"/>
  <c r="F262" i="2"/>
  <c r="E262" i="2"/>
  <c r="D262" i="2"/>
  <c r="C262" i="2"/>
  <c r="B262" i="2"/>
  <c r="A262" i="2"/>
  <c r="O261" i="2"/>
  <c r="N261" i="2"/>
  <c r="L261" i="2"/>
  <c r="K261" i="2"/>
  <c r="J261" i="2"/>
  <c r="I261" i="2"/>
  <c r="H261" i="2"/>
  <c r="G261" i="2"/>
  <c r="F261" i="2"/>
  <c r="E261" i="2"/>
  <c r="D261" i="2"/>
  <c r="C261" i="2"/>
  <c r="B261" i="2"/>
  <c r="A261" i="2"/>
  <c r="P260" i="2"/>
  <c r="O260" i="2"/>
  <c r="N260" i="2"/>
  <c r="K260" i="2"/>
  <c r="J260" i="2"/>
  <c r="I260" i="2"/>
  <c r="H260" i="2"/>
  <c r="G260" i="2"/>
  <c r="F260" i="2"/>
  <c r="E260" i="2"/>
  <c r="D260" i="2"/>
  <c r="C260" i="2"/>
  <c r="B260" i="2"/>
  <c r="A260" i="2"/>
  <c r="P259" i="2"/>
  <c r="O259" i="2"/>
  <c r="N259" i="2"/>
  <c r="K259" i="2"/>
  <c r="J259" i="2"/>
  <c r="I259" i="2"/>
  <c r="H259" i="2"/>
  <c r="G259" i="2"/>
  <c r="F259" i="2"/>
  <c r="E259" i="2"/>
  <c r="D259" i="2"/>
  <c r="C259" i="2"/>
  <c r="B259" i="2"/>
  <c r="A259" i="2"/>
  <c r="O258" i="2"/>
  <c r="N258" i="2"/>
  <c r="M258" i="2"/>
  <c r="J258" i="2"/>
  <c r="I258" i="2"/>
  <c r="H258" i="2"/>
  <c r="G258" i="2"/>
  <c r="F258" i="2"/>
  <c r="E258" i="2"/>
  <c r="D258" i="2"/>
  <c r="C258" i="2"/>
  <c r="B258" i="2"/>
  <c r="A258" i="2"/>
  <c r="R257" i="2"/>
  <c r="O257" i="2"/>
  <c r="N257" i="2"/>
  <c r="L257" i="2"/>
  <c r="J257" i="2"/>
  <c r="I257" i="2"/>
  <c r="H257" i="2"/>
  <c r="G257" i="2"/>
  <c r="F257" i="2"/>
  <c r="E257" i="2"/>
  <c r="D257" i="2"/>
  <c r="C257" i="2"/>
  <c r="B257" i="2"/>
  <c r="A257" i="2"/>
  <c r="R256" i="2"/>
  <c r="O256" i="2"/>
  <c r="N256" i="2"/>
  <c r="L256" i="2"/>
  <c r="J256" i="2"/>
  <c r="I256" i="2"/>
  <c r="H256" i="2"/>
  <c r="G256" i="2"/>
  <c r="F256" i="2"/>
  <c r="E256" i="2"/>
  <c r="D256" i="2"/>
  <c r="C256" i="2"/>
  <c r="B256" i="2"/>
  <c r="A256" i="2"/>
  <c r="O255" i="2"/>
  <c r="N255" i="2"/>
  <c r="M255" i="2"/>
  <c r="J255" i="2"/>
  <c r="I255" i="2"/>
  <c r="H255" i="2"/>
  <c r="G255" i="2"/>
  <c r="F255" i="2"/>
  <c r="E255" i="2"/>
  <c r="D255" i="2"/>
  <c r="C255" i="2"/>
  <c r="B255" i="2"/>
  <c r="A255" i="2"/>
  <c r="P254" i="2"/>
  <c r="O254" i="2"/>
  <c r="N254" i="2"/>
  <c r="M254" i="2"/>
  <c r="K254" i="2"/>
  <c r="J254" i="2"/>
  <c r="I254" i="2"/>
  <c r="H254" i="2"/>
  <c r="G254" i="2"/>
  <c r="F254" i="2"/>
  <c r="E254" i="2"/>
  <c r="D254" i="2"/>
  <c r="C254" i="2"/>
  <c r="B254" i="2"/>
  <c r="A254" i="2"/>
  <c r="P253" i="2"/>
  <c r="O253" i="2"/>
  <c r="N253" i="2"/>
  <c r="K253" i="2"/>
  <c r="J253" i="2"/>
  <c r="I253" i="2"/>
  <c r="H253" i="2"/>
  <c r="G253" i="2"/>
  <c r="F253" i="2"/>
  <c r="E253" i="2"/>
  <c r="D253" i="2"/>
  <c r="C253" i="2"/>
  <c r="B253" i="2"/>
  <c r="A253" i="2"/>
  <c r="R252" i="2"/>
  <c r="O252" i="2"/>
  <c r="N252" i="2"/>
  <c r="M252" i="2"/>
  <c r="L252" i="2"/>
  <c r="J252" i="2"/>
  <c r="I252" i="2"/>
  <c r="H252" i="2"/>
  <c r="G252" i="2"/>
  <c r="F252" i="2"/>
  <c r="E252" i="2"/>
  <c r="D252" i="2"/>
  <c r="C252" i="2"/>
  <c r="B252" i="2"/>
  <c r="A252" i="2"/>
  <c r="O251" i="2"/>
  <c r="N251" i="2"/>
  <c r="M251" i="2"/>
  <c r="J251" i="2"/>
  <c r="I251" i="2"/>
  <c r="H251" i="2"/>
  <c r="G251" i="2"/>
  <c r="F251" i="2"/>
  <c r="E251" i="2"/>
  <c r="D251" i="2"/>
  <c r="C251" i="2"/>
  <c r="B251" i="2"/>
  <c r="A251" i="2"/>
  <c r="P250" i="2"/>
  <c r="O250" i="2"/>
  <c r="N250" i="2"/>
  <c r="K250" i="2"/>
  <c r="J250" i="2"/>
  <c r="I250" i="2"/>
  <c r="H250" i="2"/>
  <c r="G250" i="2"/>
  <c r="F250" i="2"/>
  <c r="E250" i="2"/>
  <c r="D250" i="2"/>
  <c r="C250" i="2"/>
  <c r="B250" i="2"/>
  <c r="A250" i="2"/>
  <c r="P249" i="2"/>
  <c r="O249" i="2"/>
  <c r="N249" i="2"/>
  <c r="K249" i="2"/>
  <c r="J249" i="2"/>
  <c r="I249" i="2"/>
  <c r="H249" i="2"/>
  <c r="G249" i="2"/>
  <c r="F249" i="2"/>
  <c r="E249" i="2"/>
  <c r="D249" i="2"/>
  <c r="C249" i="2"/>
  <c r="B249" i="2"/>
  <c r="A249" i="2"/>
  <c r="O248" i="2"/>
  <c r="N248" i="2"/>
  <c r="M248" i="2"/>
  <c r="L248" i="2"/>
  <c r="K248" i="2"/>
  <c r="J248" i="2"/>
  <c r="I248" i="2"/>
  <c r="H248" i="2"/>
  <c r="G248" i="2"/>
  <c r="F248" i="2"/>
  <c r="E248" i="2"/>
  <c r="D248" i="2"/>
  <c r="C248" i="2"/>
  <c r="B248" i="2"/>
  <c r="A248" i="2"/>
  <c r="P247" i="2"/>
  <c r="O247" i="2"/>
  <c r="N247" i="2"/>
  <c r="K247" i="2"/>
  <c r="J247" i="2"/>
  <c r="I247" i="2"/>
  <c r="H247" i="2"/>
  <c r="G247" i="2"/>
  <c r="F247" i="2"/>
  <c r="E247" i="2"/>
  <c r="D247" i="2"/>
  <c r="C247" i="2"/>
  <c r="B247" i="2"/>
  <c r="A247" i="2"/>
  <c r="P246" i="2"/>
  <c r="O246" i="2"/>
  <c r="N246" i="2"/>
  <c r="K246" i="2"/>
  <c r="J246" i="2"/>
  <c r="I246" i="2"/>
  <c r="H246" i="2"/>
  <c r="G246" i="2"/>
  <c r="F246" i="2"/>
  <c r="E246" i="2"/>
  <c r="D246" i="2"/>
  <c r="C246" i="2"/>
  <c r="B246" i="2"/>
  <c r="A246" i="2"/>
  <c r="R245" i="2"/>
  <c r="O245" i="2"/>
  <c r="N245" i="2"/>
  <c r="M245" i="2"/>
  <c r="L245" i="2"/>
  <c r="J245" i="2"/>
  <c r="I245" i="2"/>
  <c r="H245" i="2"/>
  <c r="G245" i="2"/>
  <c r="F245" i="2"/>
  <c r="E245" i="2"/>
  <c r="D245" i="2"/>
  <c r="C245" i="2"/>
  <c r="B245" i="2"/>
  <c r="A245" i="2"/>
  <c r="R244" i="2"/>
  <c r="P244" i="2"/>
  <c r="O244" i="2"/>
  <c r="N244" i="2"/>
  <c r="M244" i="2"/>
  <c r="L244" i="2"/>
  <c r="K244" i="2"/>
  <c r="J244" i="2"/>
  <c r="I244" i="2"/>
  <c r="H244" i="2"/>
  <c r="G244" i="2"/>
  <c r="F244" i="2"/>
  <c r="E244" i="2"/>
  <c r="D244" i="2"/>
  <c r="C244" i="2"/>
  <c r="B244" i="2"/>
  <c r="A244" i="2"/>
  <c r="P243" i="2"/>
  <c r="O243" i="2"/>
  <c r="N243" i="2"/>
  <c r="M243" i="2"/>
  <c r="K243" i="2"/>
  <c r="J243" i="2"/>
  <c r="I243" i="2"/>
  <c r="H243" i="2"/>
  <c r="G243" i="2"/>
  <c r="F243" i="2"/>
  <c r="E243" i="2"/>
  <c r="D243" i="2"/>
  <c r="C243" i="2"/>
  <c r="B243" i="2"/>
  <c r="A243" i="2"/>
  <c r="O242" i="2"/>
  <c r="N242" i="2"/>
  <c r="K242" i="2"/>
  <c r="J242" i="2"/>
  <c r="I242" i="2"/>
  <c r="H242" i="2"/>
  <c r="G242" i="2"/>
  <c r="F242" i="2"/>
  <c r="E242" i="2"/>
  <c r="D242" i="2"/>
  <c r="C242" i="2"/>
  <c r="B242" i="2"/>
  <c r="A242" i="2"/>
  <c r="P241" i="2"/>
  <c r="O241" i="2"/>
  <c r="N241" i="2"/>
  <c r="K241" i="2"/>
  <c r="J241" i="2"/>
  <c r="I241" i="2"/>
  <c r="H241" i="2"/>
  <c r="G241" i="2"/>
  <c r="F241" i="2"/>
  <c r="E241" i="2"/>
  <c r="D241" i="2"/>
  <c r="C241" i="2"/>
  <c r="B241" i="2"/>
  <c r="A241" i="2"/>
  <c r="R240" i="2"/>
  <c r="O240" i="2"/>
  <c r="N240" i="2"/>
  <c r="M240" i="2"/>
  <c r="L240" i="2"/>
  <c r="J240" i="2"/>
  <c r="I240" i="2"/>
  <c r="H240" i="2"/>
  <c r="G240" i="2"/>
  <c r="F240" i="2"/>
  <c r="E240" i="2"/>
  <c r="D240" i="2"/>
  <c r="C240" i="2"/>
  <c r="B240" i="2"/>
  <c r="A240" i="2"/>
  <c r="R239" i="2"/>
  <c r="O239" i="2"/>
  <c r="N239" i="2"/>
  <c r="M239" i="2"/>
  <c r="L239" i="2"/>
  <c r="J239" i="2"/>
  <c r="I239" i="2"/>
  <c r="H239" i="2"/>
  <c r="G239" i="2"/>
  <c r="F239" i="2"/>
  <c r="E239" i="2"/>
  <c r="D239" i="2"/>
  <c r="C239" i="2"/>
  <c r="B239" i="2"/>
  <c r="A239" i="2"/>
  <c r="O238" i="2"/>
  <c r="N238" i="2"/>
  <c r="L238" i="2"/>
  <c r="J238" i="2"/>
  <c r="I238" i="2"/>
  <c r="H238" i="2"/>
  <c r="G238" i="2"/>
  <c r="F238" i="2"/>
  <c r="E238" i="2"/>
  <c r="D238" i="2"/>
  <c r="C238" i="2"/>
  <c r="B238" i="2"/>
  <c r="A238" i="2"/>
  <c r="O237" i="2"/>
  <c r="N237" i="2"/>
  <c r="M237" i="2"/>
  <c r="K237" i="2"/>
  <c r="J237" i="2"/>
  <c r="I237" i="2"/>
  <c r="H237" i="2"/>
  <c r="G237" i="2"/>
  <c r="F237" i="2"/>
  <c r="E237" i="2"/>
  <c r="D237" i="2"/>
  <c r="C237" i="2"/>
  <c r="B237" i="2"/>
  <c r="A237" i="2"/>
  <c r="P236" i="2"/>
  <c r="O236" i="2"/>
  <c r="N236" i="2"/>
  <c r="M236" i="2"/>
  <c r="K236" i="2"/>
  <c r="J236" i="2"/>
  <c r="I236" i="2"/>
  <c r="H236" i="2"/>
  <c r="G236" i="2"/>
  <c r="F236" i="2"/>
  <c r="E236" i="2"/>
  <c r="D236" i="2"/>
  <c r="C236" i="2"/>
  <c r="B236" i="2"/>
  <c r="A236" i="2"/>
  <c r="R235" i="2"/>
  <c r="O235" i="2"/>
  <c r="N235" i="2"/>
  <c r="L235" i="2"/>
  <c r="J235" i="2"/>
  <c r="I235" i="2"/>
  <c r="H235" i="2"/>
  <c r="G235" i="2"/>
  <c r="F235" i="2"/>
  <c r="E235" i="2"/>
  <c r="D235" i="2"/>
  <c r="C235" i="2"/>
  <c r="B235" i="2"/>
  <c r="A235" i="2"/>
  <c r="P234" i="2"/>
  <c r="O234" i="2"/>
  <c r="N234" i="2"/>
  <c r="K234" i="2"/>
  <c r="J234" i="2"/>
  <c r="I234" i="2"/>
  <c r="H234" i="2"/>
  <c r="G234" i="2"/>
  <c r="F234" i="2"/>
  <c r="E234" i="2"/>
  <c r="D234" i="2"/>
  <c r="C234" i="2"/>
  <c r="B234" i="2"/>
  <c r="A234" i="2"/>
  <c r="P233" i="2"/>
  <c r="O233" i="2"/>
  <c r="N233" i="2"/>
  <c r="M233" i="2"/>
  <c r="K233" i="2"/>
  <c r="J233" i="2"/>
  <c r="I233" i="2"/>
  <c r="H233" i="2"/>
  <c r="G233" i="2"/>
  <c r="F233" i="2"/>
  <c r="E233" i="2"/>
  <c r="D233" i="2"/>
  <c r="C233" i="2"/>
  <c r="B233" i="2"/>
  <c r="A233" i="2"/>
  <c r="P232" i="2"/>
  <c r="O232" i="2"/>
  <c r="N232" i="2"/>
  <c r="M232" i="2"/>
  <c r="K232" i="2"/>
  <c r="J232" i="2"/>
  <c r="I232" i="2"/>
  <c r="H232" i="2"/>
  <c r="G232" i="2"/>
  <c r="F232" i="2"/>
  <c r="E232" i="2"/>
  <c r="D232" i="2"/>
  <c r="C232" i="2"/>
  <c r="B232" i="2"/>
  <c r="A232" i="2"/>
  <c r="R231" i="2"/>
  <c r="O231" i="2"/>
  <c r="N231" i="2"/>
  <c r="L231" i="2"/>
  <c r="J231" i="2"/>
  <c r="I231" i="2"/>
  <c r="H231" i="2"/>
  <c r="G231" i="2"/>
  <c r="F231" i="2"/>
  <c r="E231" i="2"/>
  <c r="D231" i="2"/>
  <c r="C231" i="2"/>
  <c r="B231" i="2"/>
  <c r="A231" i="2"/>
  <c r="P230" i="2"/>
  <c r="O230" i="2"/>
  <c r="N230" i="2"/>
  <c r="K230" i="2"/>
  <c r="J230" i="2"/>
  <c r="I230" i="2"/>
  <c r="H230" i="2"/>
  <c r="G230" i="2"/>
  <c r="F230" i="2"/>
  <c r="E230" i="2"/>
  <c r="D230" i="2"/>
  <c r="C230" i="2"/>
  <c r="B230" i="2"/>
  <c r="A230" i="2"/>
  <c r="O229" i="2"/>
  <c r="N229" i="2"/>
  <c r="M229" i="2"/>
  <c r="J229" i="2"/>
  <c r="I229" i="2"/>
  <c r="H229" i="2"/>
  <c r="G229" i="2"/>
  <c r="F229" i="2"/>
  <c r="E229" i="2"/>
  <c r="D229" i="2"/>
  <c r="C229" i="2"/>
  <c r="B229" i="2"/>
  <c r="A229" i="2"/>
  <c r="P228" i="2"/>
  <c r="O228" i="2"/>
  <c r="N228" i="2"/>
  <c r="K228" i="2"/>
  <c r="J228" i="2"/>
  <c r="I228" i="2"/>
  <c r="H228" i="2"/>
  <c r="G228" i="2"/>
  <c r="F228" i="2"/>
  <c r="E228" i="2"/>
  <c r="D228" i="2"/>
  <c r="C228" i="2"/>
  <c r="B228" i="2"/>
  <c r="A228" i="2"/>
  <c r="P227" i="2"/>
  <c r="O227" i="2"/>
  <c r="N227" i="2"/>
  <c r="M227" i="2"/>
  <c r="K227" i="2"/>
  <c r="J227" i="2"/>
  <c r="I227" i="2"/>
  <c r="H227" i="2"/>
  <c r="G227" i="2"/>
  <c r="F227" i="2"/>
  <c r="E227" i="2"/>
  <c r="D227" i="2"/>
  <c r="C227" i="2"/>
  <c r="B227" i="2"/>
  <c r="A227" i="2"/>
  <c r="P226" i="2"/>
  <c r="O226" i="2"/>
  <c r="N226" i="2"/>
  <c r="M226" i="2"/>
  <c r="K226" i="2"/>
  <c r="J226" i="2"/>
  <c r="I226" i="2"/>
  <c r="H226" i="2"/>
  <c r="G226" i="2"/>
  <c r="F226" i="2"/>
  <c r="E226" i="2"/>
  <c r="D226" i="2"/>
  <c r="C226" i="2"/>
  <c r="B226" i="2"/>
  <c r="A226" i="2"/>
  <c r="R225" i="2"/>
  <c r="O225" i="2"/>
  <c r="N225" i="2"/>
  <c r="L225" i="2"/>
  <c r="J225" i="2"/>
  <c r="I225" i="2"/>
  <c r="H225" i="2"/>
  <c r="G225" i="2"/>
  <c r="F225" i="2"/>
  <c r="E225" i="2"/>
  <c r="D225" i="2"/>
  <c r="C225" i="2"/>
  <c r="B225" i="2"/>
  <c r="A225" i="2"/>
  <c r="R224" i="2"/>
  <c r="O224" i="2"/>
  <c r="N224" i="2"/>
  <c r="M224" i="2"/>
  <c r="L224" i="2"/>
  <c r="J224" i="2"/>
  <c r="I224" i="2"/>
  <c r="H224" i="2"/>
  <c r="G224" i="2"/>
  <c r="F224" i="2"/>
  <c r="E224" i="2"/>
  <c r="D224" i="2"/>
  <c r="C224" i="2"/>
  <c r="B224" i="2"/>
  <c r="A224" i="2"/>
  <c r="R223" i="2"/>
  <c r="O223" i="2"/>
  <c r="N223" i="2"/>
  <c r="L223" i="2"/>
  <c r="J223" i="2"/>
  <c r="I223" i="2"/>
  <c r="H223" i="2"/>
  <c r="G223" i="2"/>
  <c r="F223" i="2"/>
  <c r="E223" i="2"/>
  <c r="D223" i="2"/>
  <c r="C223" i="2"/>
  <c r="B223" i="2"/>
  <c r="A223" i="2"/>
  <c r="R222" i="2"/>
  <c r="P222" i="2"/>
  <c r="O222" i="2"/>
  <c r="N222" i="2"/>
  <c r="M222" i="2"/>
  <c r="L222" i="2"/>
  <c r="K222" i="2"/>
  <c r="J222" i="2"/>
  <c r="I222" i="2"/>
  <c r="H222" i="2"/>
  <c r="G222" i="2"/>
  <c r="F222" i="2"/>
  <c r="E222" i="2"/>
  <c r="D222" i="2"/>
  <c r="C222" i="2"/>
  <c r="B222" i="2"/>
  <c r="A222" i="2"/>
  <c r="P221" i="2"/>
  <c r="O221" i="2"/>
  <c r="N221" i="2"/>
  <c r="K221" i="2"/>
  <c r="J221" i="2"/>
  <c r="I221" i="2"/>
  <c r="H221" i="2"/>
  <c r="G221" i="2"/>
  <c r="F221" i="2"/>
  <c r="E221" i="2"/>
  <c r="D221" i="2"/>
  <c r="C221" i="2"/>
  <c r="B221" i="2"/>
  <c r="A221" i="2"/>
  <c r="O220" i="2"/>
  <c r="N220" i="2"/>
  <c r="M220" i="2"/>
  <c r="L220" i="2"/>
  <c r="J220" i="2"/>
  <c r="I220" i="2"/>
  <c r="H220" i="2"/>
  <c r="G220" i="2"/>
  <c r="F220" i="2"/>
  <c r="E220" i="2"/>
  <c r="D220" i="2"/>
  <c r="C220" i="2"/>
  <c r="B220" i="2"/>
  <c r="A220" i="2"/>
  <c r="P219" i="2"/>
  <c r="O219" i="2"/>
  <c r="N219" i="2"/>
  <c r="K219" i="2"/>
  <c r="J219" i="2"/>
  <c r="I219" i="2"/>
  <c r="H219" i="2"/>
  <c r="G219" i="2"/>
  <c r="F219" i="2"/>
  <c r="E219" i="2"/>
  <c r="D219" i="2"/>
  <c r="C219" i="2"/>
  <c r="B219" i="2"/>
  <c r="A219" i="2"/>
  <c r="O218" i="2"/>
  <c r="N218" i="2"/>
  <c r="L218" i="2"/>
  <c r="J218" i="2"/>
  <c r="I218" i="2"/>
  <c r="H218" i="2"/>
  <c r="G218" i="2"/>
  <c r="F218" i="2"/>
  <c r="E218" i="2"/>
  <c r="D218" i="2"/>
  <c r="C218" i="2"/>
  <c r="B218" i="2"/>
  <c r="A218" i="2"/>
  <c r="R217" i="2"/>
  <c r="O217" i="2"/>
  <c r="N217" i="2"/>
  <c r="M217" i="2"/>
  <c r="L217" i="2"/>
  <c r="J217" i="2"/>
  <c r="I217" i="2"/>
  <c r="H217" i="2"/>
  <c r="G217" i="2"/>
  <c r="F217" i="2"/>
  <c r="E217" i="2"/>
  <c r="D217" i="2"/>
  <c r="C217" i="2"/>
  <c r="B217" i="2"/>
  <c r="A217" i="2"/>
  <c r="R216" i="2"/>
  <c r="O216" i="2"/>
  <c r="N216" i="2"/>
  <c r="L216" i="2"/>
  <c r="J216" i="2"/>
  <c r="I216" i="2"/>
  <c r="H216" i="2"/>
  <c r="G216" i="2"/>
  <c r="F216" i="2"/>
  <c r="E216" i="2"/>
  <c r="D216" i="2"/>
  <c r="C216" i="2"/>
  <c r="B216" i="2"/>
  <c r="A216" i="2"/>
  <c r="P215" i="2"/>
  <c r="O215" i="2"/>
  <c r="N215" i="2"/>
  <c r="K215" i="2"/>
  <c r="J215" i="2"/>
  <c r="I215" i="2"/>
  <c r="H215" i="2"/>
  <c r="G215" i="2"/>
  <c r="F215" i="2"/>
  <c r="E215" i="2"/>
  <c r="D215" i="2"/>
  <c r="C215" i="2"/>
  <c r="B215" i="2"/>
  <c r="A215" i="2"/>
  <c r="R214" i="2"/>
  <c r="P214" i="2"/>
  <c r="O214" i="2"/>
  <c r="N214" i="2"/>
  <c r="M214" i="2"/>
  <c r="L214" i="2"/>
  <c r="K214" i="2"/>
  <c r="J214" i="2"/>
  <c r="I214" i="2"/>
  <c r="H214" i="2"/>
  <c r="G214" i="2"/>
  <c r="F214" i="2"/>
  <c r="E214" i="2"/>
  <c r="D214" i="2"/>
  <c r="C214" i="2"/>
  <c r="B214" i="2"/>
  <c r="A214" i="2"/>
  <c r="P213" i="2"/>
  <c r="O213" i="2"/>
  <c r="N213" i="2"/>
  <c r="M213" i="2"/>
  <c r="K213" i="2"/>
  <c r="J213" i="2"/>
  <c r="I213" i="2"/>
  <c r="H213" i="2"/>
  <c r="G213" i="2"/>
  <c r="F213" i="2"/>
  <c r="E213" i="2"/>
  <c r="D213" i="2"/>
  <c r="C213" i="2"/>
  <c r="B213" i="2"/>
  <c r="A213" i="2"/>
  <c r="P212" i="2"/>
  <c r="O212" i="2"/>
  <c r="N212" i="2"/>
  <c r="K212" i="2"/>
  <c r="J212" i="2"/>
  <c r="I212" i="2"/>
  <c r="H212" i="2"/>
  <c r="G212" i="2"/>
  <c r="F212" i="2"/>
  <c r="E212" i="2"/>
  <c r="D212" i="2"/>
  <c r="C212" i="2"/>
  <c r="B212" i="2"/>
  <c r="A212" i="2"/>
  <c r="P211" i="2"/>
  <c r="O211" i="2"/>
  <c r="N211" i="2"/>
  <c r="K211" i="2"/>
  <c r="J211" i="2"/>
  <c r="I211" i="2"/>
  <c r="H211" i="2"/>
  <c r="G211" i="2"/>
  <c r="F211" i="2"/>
  <c r="E211" i="2"/>
  <c r="D211" i="2"/>
  <c r="C211" i="2"/>
  <c r="B211" i="2"/>
  <c r="A211" i="2"/>
  <c r="P210" i="2"/>
  <c r="O210" i="2"/>
  <c r="N210" i="2"/>
  <c r="K210" i="2"/>
  <c r="J210" i="2"/>
  <c r="I210" i="2"/>
  <c r="H210" i="2"/>
  <c r="G210" i="2"/>
  <c r="F210" i="2"/>
  <c r="E210" i="2"/>
  <c r="D210" i="2"/>
  <c r="C210" i="2"/>
  <c r="B210" i="2"/>
  <c r="A210" i="2"/>
  <c r="P209" i="2"/>
  <c r="O209" i="2"/>
  <c r="N209" i="2"/>
  <c r="K209" i="2"/>
  <c r="J209" i="2"/>
  <c r="I209" i="2"/>
  <c r="H209" i="2"/>
  <c r="G209" i="2"/>
  <c r="F209" i="2"/>
  <c r="E209" i="2"/>
  <c r="D209" i="2"/>
  <c r="C209" i="2"/>
  <c r="B209" i="2"/>
  <c r="A209" i="2"/>
  <c r="P208" i="2"/>
  <c r="O208" i="2"/>
  <c r="N208" i="2"/>
  <c r="M208" i="2"/>
  <c r="L208" i="2"/>
  <c r="K208" i="2"/>
  <c r="J208" i="2"/>
  <c r="I208" i="2"/>
  <c r="H208" i="2"/>
  <c r="G208" i="2"/>
  <c r="F208" i="2"/>
  <c r="E208" i="2"/>
  <c r="D208" i="2"/>
  <c r="C208" i="2"/>
  <c r="B208" i="2"/>
  <c r="A208" i="2"/>
  <c r="P207" i="2"/>
  <c r="O207" i="2"/>
  <c r="N207" i="2"/>
  <c r="K207" i="2"/>
  <c r="J207" i="2"/>
  <c r="I207" i="2"/>
  <c r="H207" i="2"/>
  <c r="G207" i="2"/>
  <c r="F207" i="2"/>
  <c r="E207" i="2"/>
  <c r="D207" i="2"/>
  <c r="C207" i="2"/>
  <c r="B207" i="2"/>
  <c r="A207" i="2"/>
  <c r="R206" i="2"/>
  <c r="O206" i="2"/>
  <c r="N206" i="2"/>
  <c r="L206" i="2"/>
  <c r="J206" i="2"/>
  <c r="I206" i="2"/>
  <c r="H206" i="2"/>
  <c r="G206" i="2"/>
  <c r="F206" i="2"/>
  <c r="E206" i="2"/>
  <c r="D206" i="2"/>
  <c r="C206" i="2"/>
  <c r="B206" i="2"/>
  <c r="A206" i="2"/>
  <c r="R205" i="2"/>
  <c r="O205" i="2"/>
  <c r="N205" i="2"/>
  <c r="L205" i="2"/>
  <c r="J205" i="2"/>
  <c r="I205" i="2"/>
  <c r="H205" i="2"/>
  <c r="G205" i="2"/>
  <c r="F205" i="2"/>
  <c r="E205" i="2"/>
  <c r="D205" i="2"/>
  <c r="C205" i="2"/>
  <c r="B205" i="2"/>
  <c r="A205" i="2"/>
  <c r="P204" i="2"/>
  <c r="O204" i="2"/>
  <c r="N204" i="2"/>
  <c r="M204" i="2"/>
  <c r="K204" i="2"/>
  <c r="J204" i="2"/>
  <c r="I204" i="2"/>
  <c r="H204" i="2"/>
  <c r="G204" i="2"/>
  <c r="F204" i="2"/>
  <c r="E204" i="2"/>
  <c r="D204" i="2"/>
  <c r="C204" i="2"/>
  <c r="B204" i="2"/>
  <c r="A204" i="2"/>
  <c r="R203" i="2"/>
  <c r="O203" i="2"/>
  <c r="N203" i="2"/>
  <c r="M203" i="2"/>
  <c r="L203" i="2"/>
  <c r="K203" i="2"/>
  <c r="J203" i="2"/>
  <c r="I203" i="2"/>
  <c r="H203" i="2"/>
  <c r="G203" i="2"/>
  <c r="F203" i="2"/>
  <c r="E203" i="2"/>
  <c r="D203" i="2"/>
  <c r="C203" i="2"/>
  <c r="B203" i="2"/>
  <c r="A203" i="2"/>
  <c r="P202" i="2"/>
  <c r="O202" i="2"/>
  <c r="N202" i="2"/>
  <c r="K202" i="2"/>
  <c r="J202" i="2"/>
  <c r="I202" i="2"/>
  <c r="H202" i="2"/>
  <c r="G202" i="2"/>
  <c r="F202" i="2"/>
  <c r="E202" i="2"/>
  <c r="D202" i="2"/>
  <c r="C202" i="2"/>
  <c r="B202" i="2"/>
  <c r="A202" i="2"/>
  <c r="R201" i="2"/>
  <c r="O201" i="2"/>
  <c r="N201" i="2"/>
  <c r="L201" i="2"/>
  <c r="J201" i="2"/>
  <c r="I201" i="2"/>
  <c r="H201" i="2"/>
  <c r="G201" i="2"/>
  <c r="F201" i="2"/>
  <c r="E201" i="2"/>
  <c r="D201" i="2"/>
  <c r="C201" i="2"/>
  <c r="B201" i="2"/>
  <c r="A201" i="2"/>
  <c r="P200" i="2"/>
  <c r="O200" i="2"/>
  <c r="N200" i="2"/>
  <c r="K200" i="2"/>
  <c r="J200" i="2"/>
  <c r="I200" i="2"/>
  <c r="H200" i="2"/>
  <c r="G200" i="2"/>
  <c r="F200" i="2"/>
  <c r="E200" i="2"/>
  <c r="D200" i="2"/>
  <c r="C200" i="2"/>
  <c r="B200" i="2"/>
  <c r="A200" i="2"/>
  <c r="P199" i="2"/>
  <c r="O199" i="2"/>
  <c r="N199" i="2"/>
  <c r="K199" i="2"/>
  <c r="J199" i="2"/>
  <c r="I199" i="2"/>
  <c r="H199" i="2"/>
  <c r="G199" i="2"/>
  <c r="F199" i="2"/>
  <c r="E199" i="2"/>
  <c r="D199" i="2"/>
  <c r="C199" i="2"/>
  <c r="B199" i="2"/>
  <c r="A199" i="2"/>
  <c r="P198" i="2"/>
  <c r="O198" i="2"/>
  <c r="N198" i="2"/>
  <c r="K198" i="2"/>
  <c r="J198" i="2"/>
  <c r="I198" i="2"/>
  <c r="H198" i="2"/>
  <c r="G198" i="2"/>
  <c r="F198" i="2"/>
  <c r="E198" i="2"/>
  <c r="D198" i="2"/>
  <c r="C198" i="2"/>
  <c r="B198" i="2"/>
  <c r="A198" i="2"/>
  <c r="Q197" i="2"/>
  <c r="P197" i="2"/>
  <c r="O197" i="2"/>
  <c r="N197" i="2"/>
  <c r="L197" i="2"/>
  <c r="K197" i="2"/>
  <c r="J197" i="2"/>
  <c r="I197" i="2"/>
  <c r="H197" i="2"/>
  <c r="G197" i="2"/>
  <c r="F197" i="2"/>
  <c r="E197" i="2"/>
  <c r="D197" i="2"/>
  <c r="C197" i="2"/>
  <c r="B197" i="2"/>
  <c r="A197" i="2"/>
  <c r="R196" i="2"/>
  <c r="O196" i="2"/>
  <c r="N196" i="2"/>
  <c r="L196" i="2"/>
  <c r="J196" i="2"/>
  <c r="I196" i="2"/>
  <c r="H196" i="2"/>
  <c r="G196" i="2"/>
  <c r="F196" i="2"/>
  <c r="E196" i="2"/>
  <c r="D196" i="2"/>
  <c r="C196" i="2"/>
  <c r="B196" i="2"/>
  <c r="A196" i="2"/>
  <c r="P195" i="2"/>
  <c r="O195" i="2"/>
  <c r="N195" i="2"/>
  <c r="K195" i="2"/>
  <c r="J195" i="2"/>
  <c r="I195" i="2"/>
  <c r="H195" i="2"/>
  <c r="G195" i="2"/>
  <c r="F195" i="2"/>
  <c r="E195" i="2"/>
  <c r="D195" i="2"/>
  <c r="C195" i="2"/>
  <c r="B195" i="2"/>
  <c r="A195" i="2"/>
  <c r="Q194" i="2"/>
  <c r="P194" i="2"/>
  <c r="O194" i="2"/>
  <c r="N194" i="2"/>
  <c r="M194" i="2"/>
  <c r="L194" i="2"/>
  <c r="K194" i="2"/>
  <c r="J194" i="2"/>
  <c r="I194" i="2"/>
  <c r="H194" i="2"/>
  <c r="G194" i="2"/>
  <c r="F194" i="2"/>
  <c r="E194" i="2"/>
  <c r="D194" i="2"/>
  <c r="C194" i="2"/>
  <c r="B194" i="2"/>
  <c r="A194" i="2"/>
  <c r="R193" i="2"/>
  <c r="P193" i="2"/>
  <c r="O193" i="2"/>
  <c r="N193" i="2"/>
  <c r="M193" i="2"/>
  <c r="L193" i="2"/>
  <c r="K193" i="2"/>
  <c r="J193" i="2"/>
  <c r="I193" i="2"/>
  <c r="H193" i="2"/>
  <c r="G193" i="2"/>
  <c r="F193" i="2"/>
  <c r="E193" i="2"/>
  <c r="D193" i="2"/>
  <c r="C193" i="2"/>
  <c r="B193" i="2"/>
  <c r="A193" i="2"/>
  <c r="R192" i="2"/>
  <c r="O192" i="2"/>
  <c r="N192" i="2"/>
  <c r="L192" i="2"/>
  <c r="J192" i="2"/>
  <c r="I192" i="2"/>
  <c r="H192" i="2"/>
  <c r="G192" i="2"/>
  <c r="F192" i="2"/>
  <c r="E192" i="2"/>
  <c r="D192" i="2"/>
  <c r="C192" i="2"/>
  <c r="B192" i="2"/>
  <c r="A192" i="2"/>
  <c r="O191" i="2"/>
  <c r="N191" i="2"/>
  <c r="K191" i="2"/>
  <c r="J191" i="2"/>
  <c r="I191" i="2"/>
  <c r="H191" i="2"/>
  <c r="G191" i="2"/>
  <c r="F191" i="2"/>
  <c r="E191" i="2"/>
  <c r="D191" i="2"/>
  <c r="C191" i="2"/>
  <c r="B191" i="2"/>
  <c r="A191" i="2"/>
  <c r="R190" i="2"/>
  <c r="P190" i="2"/>
  <c r="O190" i="2"/>
  <c r="N190" i="2"/>
  <c r="M190" i="2"/>
  <c r="L190" i="2"/>
  <c r="K190" i="2"/>
  <c r="J190" i="2"/>
  <c r="I190" i="2"/>
  <c r="H190" i="2"/>
  <c r="G190" i="2"/>
  <c r="F190" i="2"/>
  <c r="E190" i="2"/>
  <c r="D190" i="2"/>
  <c r="C190" i="2"/>
  <c r="B190" i="2"/>
  <c r="A190" i="2"/>
  <c r="R189" i="2"/>
  <c r="O189" i="2"/>
  <c r="N189" i="2"/>
  <c r="M189" i="2"/>
  <c r="L189" i="2"/>
  <c r="K189" i="2"/>
  <c r="J189" i="2"/>
  <c r="I189" i="2"/>
  <c r="H189" i="2"/>
  <c r="G189" i="2"/>
  <c r="F189" i="2"/>
  <c r="E189" i="2"/>
  <c r="D189" i="2"/>
  <c r="C189" i="2"/>
  <c r="B189" i="2"/>
  <c r="A189" i="2"/>
  <c r="P188" i="2"/>
  <c r="O188" i="2"/>
  <c r="N188" i="2"/>
  <c r="K188" i="2"/>
  <c r="J188" i="2"/>
  <c r="I188" i="2"/>
  <c r="H188" i="2"/>
  <c r="G188" i="2"/>
  <c r="F188" i="2"/>
  <c r="E188" i="2"/>
  <c r="D188" i="2"/>
  <c r="C188" i="2"/>
  <c r="B188" i="2"/>
  <c r="A188" i="2"/>
  <c r="P187" i="2"/>
  <c r="O187" i="2"/>
  <c r="N187" i="2"/>
  <c r="K187" i="2"/>
  <c r="J187" i="2"/>
  <c r="I187" i="2"/>
  <c r="H187" i="2"/>
  <c r="G187" i="2"/>
  <c r="F187" i="2"/>
  <c r="E187" i="2"/>
  <c r="D187" i="2"/>
  <c r="C187" i="2"/>
  <c r="B187" i="2"/>
  <c r="A187" i="2"/>
  <c r="R186" i="2"/>
  <c r="P186" i="2"/>
  <c r="O186" i="2"/>
  <c r="N186" i="2"/>
  <c r="M186" i="2"/>
  <c r="L186" i="2"/>
  <c r="K186" i="2"/>
  <c r="J186" i="2"/>
  <c r="I186" i="2"/>
  <c r="H186" i="2"/>
  <c r="G186" i="2"/>
  <c r="F186" i="2"/>
  <c r="E186" i="2"/>
  <c r="D186" i="2"/>
  <c r="C186" i="2"/>
  <c r="B186" i="2"/>
  <c r="A186" i="2"/>
  <c r="P185" i="2"/>
  <c r="O185" i="2"/>
  <c r="N185" i="2"/>
  <c r="K185" i="2"/>
  <c r="J185" i="2"/>
  <c r="I185" i="2"/>
  <c r="H185" i="2"/>
  <c r="G185" i="2"/>
  <c r="F185" i="2"/>
  <c r="E185" i="2"/>
  <c r="D185" i="2"/>
  <c r="C185" i="2"/>
  <c r="B185" i="2"/>
  <c r="A185" i="2"/>
  <c r="P184" i="2"/>
  <c r="O184" i="2"/>
  <c r="N184" i="2"/>
  <c r="M184" i="2"/>
  <c r="K184" i="2"/>
  <c r="J184" i="2"/>
  <c r="I184" i="2"/>
  <c r="H184" i="2"/>
  <c r="G184" i="2"/>
  <c r="F184" i="2"/>
  <c r="E184" i="2"/>
  <c r="D184" i="2"/>
  <c r="C184" i="2"/>
  <c r="B184" i="2"/>
  <c r="A184" i="2"/>
  <c r="P183" i="2"/>
  <c r="O183" i="2"/>
  <c r="N183" i="2"/>
  <c r="M183" i="2"/>
  <c r="K183" i="2"/>
  <c r="J183" i="2"/>
  <c r="I183" i="2"/>
  <c r="H183" i="2"/>
  <c r="G183" i="2"/>
  <c r="F183" i="2"/>
  <c r="E183" i="2"/>
  <c r="D183" i="2"/>
  <c r="C183" i="2"/>
  <c r="B183" i="2"/>
  <c r="A183" i="2"/>
  <c r="P182" i="2"/>
  <c r="O182" i="2"/>
  <c r="N182" i="2"/>
  <c r="K182" i="2"/>
  <c r="J182" i="2"/>
  <c r="I182" i="2"/>
  <c r="H182" i="2"/>
  <c r="G182" i="2"/>
  <c r="F182" i="2"/>
  <c r="E182" i="2"/>
  <c r="D182" i="2"/>
  <c r="C182" i="2"/>
  <c r="B182" i="2"/>
  <c r="A182" i="2"/>
  <c r="P181" i="2"/>
  <c r="O181" i="2"/>
  <c r="N181" i="2"/>
  <c r="K181" i="2"/>
  <c r="J181" i="2"/>
  <c r="I181" i="2"/>
  <c r="H181" i="2"/>
  <c r="G181" i="2"/>
  <c r="F181" i="2"/>
  <c r="E181" i="2"/>
  <c r="D181" i="2"/>
  <c r="C181" i="2"/>
  <c r="B181" i="2"/>
  <c r="A181" i="2"/>
  <c r="R180" i="2"/>
  <c r="O180" i="2"/>
  <c r="N180" i="2"/>
  <c r="L180" i="2"/>
  <c r="J180" i="2"/>
  <c r="I180" i="2"/>
  <c r="H180" i="2"/>
  <c r="G180" i="2"/>
  <c r="F180" i="2"/>
  <c r="E180" i="2"/>
  <c r="D180" i="2"/>
  <c r="C180" i="2"/>
  <c r="B180" i="2"/>
  <c r="A180" i="2"/>
  <c r="P179" i="2"/>
  <c r="O179" i="2"/>
  <c r="N179" i="2"/>
  <c r="K179" i="2"/>
  <c r="J179" i="2"/>
  <c r="I179" i="2"/>
  <c r="H179" i="2"/>
  <c r="G179" i="2"/>
  <c r="F179" i="2"/>
  <c r="E179" i="2"/>
  <c r="D179" i="2"/>
  <c r="C179" i="2"/>
  <c r="B179" i="2"/>
  <c r="A179" i="2"/>
  <c r="O178" i="2"/>
  <c r="N178" i="2"/>
  <c r="J178" i="2"/>
  <c r="I178" i="2"/>
  <c r="H178" i="2"/>
  <c r="G178" i="2"/>
  <c r="F178" i="2"/>
  <c r="E178" i="2"/>
  <c r="D178" i="2"/>
  <c r="C178" i="2"/>
  <c r="B178" i="2"/>
  <c r="A178" i="2"/>
  <c r="P177" i="2"/>
  <c r="O177" i="2"/>
  <c r="N177" i="2"/>
  <c r="K177" i="2"/>
  <c r="J177" i="2"/>
  <c r="I177" i="2"/>
  <c r="H177" i="2"/>
  <c r="G177" i="2"/>
  <c r="F177" i="2"/>
  <c r="E177" i="2"/>
  <c r="D177" i="2"/>
  <c r="C177" i="2"/>
  <c r="B177" i="2"/>
  <c r="A177" i="2"/>
  <c r="P176" i="2"/>
  <c r="O176" i="2"/>
  <c r="N176" i="2"/>
  <c r="K176" i="2"/>
  <c r="J176" i="2"/>
  <c r="I176" i="2"/>
  <c r="H176" i="2"/>
  <c r="G176" i="2"/>
  <c r="F176" i="2"/>
  <c r="E176" i="2"/>
  <c r="D176" i="2"/>
  <c r="C176" i="2"/>
  <c r="B176" i="2"/>
  <c r="A176" i="2"/>
  <c r="O175" i="2"/>
  <c r="N175" i="2"/>
  <c r="J175" i="2"/>
  <c r="I175" i="2"/>
  <c r="H175" i="2"/>
  <c r="G175" i="2"/>
  <c r="F175" i="2"/>
  <c r="E175" i="2"/>
  <c r="D175" i="2"/>
  <c r="C175" i="2"/>
  <c r="B175" i="2"/>
  <c r="A175" i="2"/>
  <c r="O174" i="2"/>
  <c r="N174" i="2"/>
  <c r="J174" i="2"/>
  <c r="I174" i="2"/>
  <c r="H174" i="2"/>
  <c r="G174" i="2"/>
  <c r="F174" i="2"/>
  <c r="E174" i="2"/>
  <c r="D174" i="2"/>
  <c r="C174" i="2"/>
  <c r="B174" i="2"/>
  <c r="A174" i="2"/>
  <c r="P173" i="2"/>
  <c r="O173" i="2"/>
  <c r="N173" i="2"/>
  <c r="K173" i="2"/>
  <c r="J173" i="2"/>
  <c r="I173" i="2"/>
  <c r="H173" i="2"/>
  <c r="G173" i="2"/>
  <c r="F173" i="2"/>
  <c r="E173" i="2"/>
  <c r="D173" i="2"/>
  <c r="C173" i="2"/>
  <c r="B173" i="2"/>
  <c r="A173" i="2"/>
  <c r="R172" i="2"/>
  <c r="O172" i="2"/>
  <c r="N172" i="2"/>
  <c r="L172" i="2"/>
  <c r="J172" i="2"/>
  <c r="I172" i="2"/>
  <c r="H172" i="2"/>
  <c r="G172" i="2"/>
  <c r="F172" i="2"/>
  <c r="E172" i="2"/>
  <c r="D172" i="2"/>
  <c r="C172" i="2"/>
  <c r="B172" i="2"/>
  <c r="A172" i="2"/>
  <c r="P171" i="2"/>
  <c r="O171" i="2"/>
  <c r="N171" i="2"/>
  <c r="K171" i="2"/>
  <c r="J171" i="2"/>
  <c r="I171" i="2"/>
  <c r="H171" i="2"/>
  <c r="G171" i="2"/>
  <c r="F171" i="2"/>
  <c r="E171" i="2"/>
  <c r="D171" i="2"/>
  <c r="C171" i="2"/>
  <c r="B171" i="2"/>
  <c r="A171" i="2"/>
  <c r="P170" i="2"/>
  <c r="O170" i="2"/>
  <c r="N170" i="2"/>
  <c r="M170" i="2"/>
  <c r="K170" i="2"/>
  <c r="J170" i="2"/>
  <c r="I170" i="2"/>
  <c r="H170" i="2"/>
  <c r="G170" i="2"/>
  <c r="F170" i="2"/>
  <c r="E170" i="2"/>
  <c r="D170" i="2"/>
  <c r="C170" i="2"/>
  <c r="B170" i="2"/>
  <c r="A170" i="2"/>
  <c r="P169" i="2"/>
  <c r="O169" i="2"/>
  <c r="N169" i="2"/>
  <c r="K169" i="2"/>
  <c r="J169" i="2"/>
  <c r="I169" i="2"/>
  <c r="H169" i="2"/>
  <c r="G169" i="2"/>
  <c r="F169" i="2"/>
  <c r="E169" i="2"/>
  <c r="D169" i="2"/>
  <c r="C169" i="2"/>
  <c r="B169" i="2"/>
  <c r="A169" i="2"/>
  <c r="O168" i="2"/>
  <c r="N168" i="2"/>
  <c r="J168" i="2"/>
  <c r="I168" i="2"/>
  <c r="H168" i="2"/>
  <c r="G168" i="2"/>
  <c r="F168" i="2"/>
  <c r="E168" i="2"/>
  <c r="D168" i="2"/>
  <c r="C168" i="2"/>
  <c r="B168" i="2"/>
  <c r="A168" i="2"/>
  <c r="P167" i="2"/>
  <c r="O167" i="2"/>
  <c r="N167" i="2"/>
  <c r="M167" i="2"/>
  <c r="K167" i="2"/>
  <c r="J167" i="2"/>
  <c r="I167" i="2"/>
  <c r="H167" i="2"/>
  <c r="G167" i="2"/>
  <c r="F167" i="2"/>
  <c r="E167" i="2"/>
  <c r="D167" i="2"/>
  <c r="C167" i="2"/>
  <c r="B167" i="2"/>
  <c r="A167" i="2"/>
  <c r="P166" i="2"/>
  <c r="O166" i="2"/>
  <c r="N166" i="2"/>
  <c r="K166" i="2"/>
  <c r="J166" i="2"/>
  <c r="I166" i="2"/>
  <c r="H166" i="2"/>
  <c r="G166" i="2"/>
  <c r="F166" i="2"/>
  <c r="E166" i="2"/>
  <c r="D166" i="2"/>
  <c r="C166" i="2"/>
  <c r="B166" i="2"/>
  <c r="A166" i="2"/>
  <c r="P165" i="2"/>
  <c r="O165" i="2"/>
  <c r="N165" i="2"/>
  <c r="K165" i="2"/>
  <c r="J165" i="2"/>
  <c r="I165" i="2"/>
  <c r="H165" i="2"/>
  <c r="G165" i="2"/>
  <c r="F165" i="2"/>
  <c r="E165" i="2"/>
  <c r="D165" i="2"/>
  <c r="C165" i="2"/>
  <c r="B165" i="2"/>
  <c r="A165" i="2"/>
  <c r="R164" i="2"/>
  <c r="O164" i="2"/>
  <c r="N164" i="2"/>
  <c r="L164" i="2"/>
  <c r="J164" i="2"/>
  <c r="I164" i="2"/>
  <c r="H164" i="2"/>
  <c r="G164" i="2"/>
  <c r="F164" i="2"/>
  <c r="E164" i="2"/>
  <c r="D164" i="2"/>
  <c r="C164" i="2"/>
  <c r="B164" i="2"/>
  <c r="A164" i="2"/>
  <c r="P163" i="2"/>
  <c r="O163" i="2"/>
  <c r="N163" i="2"/>
  <c r="K163" i="2"/>
  <c r="J163" i="2"/>
  <c r="I163" i="2"/>
  <c r="H163" i="2"/>
  <c r="G163" i="2"/>
  <c r="F163" i="2"/>
  <c r="E163" i="2"/>
  <c r="D163" i="2"/>
  <c r="C163" i="2"/>
  <c r="B163" i="2"/>
  <c r="A163" i="2"/>
  <c r="O162" i="2"/>
  <c r="N162" i="2"/>
  <c r="M162" i="2"/>
  <c r="J162" i="2"/>
  <c r="I162" i="2"/>
  <c r="H162" i="2"/>
  <c r="G162" i="2"/>
  <c r="F162" i="2"/>
  <c r="E162" i="2"/>
  <c r="D162" i="2"/>
  <c r="C162" i="2"/>
  <c r="B162" i="2"/>
  <c r="A162" i="2"/>
  <c r="O161" i="2"/>
  <c r="N161" i="2"/>
  <c r="L161" i="2"/>
  <c r="J161" i="2"/>
  <c r="I161" i="2"/>
  <c r="H161" i="2"/>
  <c r="G161" i="2"/>
  <c r="F161" i="2"/>
  <c r="E161" i="2"/>
  <c r="D161" i="2"/>
  <c r="C161" i="2"/>
  <c r="B161" i="2"/>
  <c r="A161" i="2"/>
  <c r="P160" i="2"/>
  <c r="O160" i="2"/>
  <c r="N160" i="2"/>
  <c r="K160" i="2"/>
  <c r="J160" i="2"/>
  <c r="I160" i="2"/>
  <c r="H160" i="2"/>
  <c r="G160" i="2"/>
  <c r="F160" i="2"/>
  <c r="E160" i="2"/>
  <c r="D160" i="2"/>
  <c r="C160" i="2"/>
  <c r="B160" i="2"/>
  <c r="A160" i="2"/>
  <c r="P159" i="2"/>
  <c r="O159" i="2"/>
  <c r="N159" i="2"/>
  <c r="K159" i="2"/>
  <c r="J159" i="2"/>
  <c r="I159" i="2"/>
  <c r="H159" i="2"/>
  <c r="G159" i="2"/>
  <c r="F159" i="2"/>
  <c r="E159" i="2"/>
  <c r="D159" i="2"/>
  <c r="C159" i="2"/>
  <c r="B159" i="2"/>
  <c r="A159" i="2"/>
  <c r="P158" i="2"/>
  <c r="O158" i="2"/>
  <c r="N158" i="2"/>
  <c r="M158" i="2"/>
  <c r="K158" i="2"/>
  <c r="J158" i="2"/>
  <c r="I158" i="2"/>
  <c r="H158" i="2"/>
  <c r="G158" i="2"/>
  <c r="F158" i="2"/>
  <c r="E158" i="2"/>
  <c r="D158" i="2"/>
  <c r="C158" i="2"/>
  <c r="B158" i="2"/>
  <c r="A158" i="2"/>
  <c r="R157" i="2"/>
  <c r="O157" i="2"/>
  <c r="N157" i="2"/>
  <c r="L157" i="2"/>
  <c r="J157" i="2"/>
  <c r="I157" i="2"/>
  <c r="H157" i="2"/>
  <c r="G157" i="2"/>
  <c r="F157" i="2"/>
  <c r="E157" i="2"/>
  <c r="D157" i="2"/>
  <c r="C157" i="2"/>
  <c r="B157" i="2"/>
  <c r="A157" i="2"/>
  <c r="R156" i="2"/>
  <c r="O156" i="2"/>
  <c r="N156" i="2"/>
  <c r="L156" i="2"/>
  <c r="J156" i="2"/>
  <c r="I156" i="2"/>
  <c r="H156" i="2"/>
  <c r="G156" i="2"/>
  <c r="F156" i="2"/>
  <c r="E156" i="2"/>
  <c r="D156" i="2"/>
  <c r="C156" i="2"/>
  <c r="B156" i="2"/>
  <c r="A156" i="2"/>
  <c r="O155" i="2"/>
  <c r="N155" i="2"/>
  <c r="J155" i="2"/>
  <c r="I155" i="2"/>
  <c r="H155" i="2"/>
  <c r="G155" i="2"/>
  <c r="F155" i="2"/>
  <c r="E155" i="2"/>
  <c r="D155" i="2"/>
  <c r="C155" i="2"/>
  <c r="B155" i="2"/>
  <c r="A155" i="2"/>
  <c r="P154" i="2"/>
  <c r="O154" i="2"/>
  <c r="N154" i="2"/>
  <c r="M154" i="2"/>
  <c r="K154" i="2"/>
  <c r="J154" i="2"/>
  <c r="I154" i="2"/>
  <c r="H154" i="2"/>
  <c r="G154" i="2"/>
  <c r="F154" i="2"/>
  <c r="E154" i="2"/>
  <c r="D154" i="2"/>
  <c r="C154" i="2"/>
  <c r="B154" i="2"/>
  <c r="A154" i="2"/>
  <c r="Q153" i="2"/>
  <c r="P153" i="2"/>
  <c r="O153" i="2"/>
  <c r="N153" i="2"/>
  <c r="K153" i="2"/>
  <c r="J153" i="2"/>
  <c r="I153" i="2"/>
  <c r="H153" i="2"/>
  <c r="G153" i="2"/>
  <c r="F153" i="2"/>
  <c r="E153" i="2"/>
  <c r="D153" i="2"/>
  <c r="C153" i="2"/>
  <c r="B153" i="2"/>
  <c r="A153" i="2"/>
  <c r="P152" i="2"/>
  <c r="O152" i="2"/>
  <c r="N152" i="2"/>
  <c r="K152" i="2"/>
  <c r="J152" i="2"/>
  <c r="I152" i="2"/>
  <c r="H152" i="2"/>
  <c r="G152" i="2"/>
  <c r="F152" i="2"/>
  <c r="E152" i="2"/>
  <c r="D152" i="2"/>
  <c r="C152" i="2"/>
  <c r="B152" i="2"/>
  <c r="A152" i="2"/>
  <c r="P151" i="2"/>
  <c r="O151" i="2"/>
  <c r="N151" i="2"/>
  <c r="K151" i="2"/>
  <c r="J151" i="2"/>
  <c r="I151" i="2"/>
  <c r="H151" i="2"/>
  <c r="G151" i="2"/>
  <c r="F151" i="2"/>
  <c r="E151" i="2"/>
  <c r="D151" i="2"/>
  <c r="C151" i="2"/>
  <c r="B151" i="2"/>
  <c r="A151" i="2"/>
  <c r="R150" i="2"/>
  <c r="O150" i="2"/>
  <c r="N150" i="2"/>
  <c r="M150" i="2"/>
  <c r="L150" i="2"/>
  <c r="J150" i="2"/>
  <c r="I150" i="2"/>
  <c r="H150" i="2"/>
  <c r="G150" i="2"/>
  <c r="F150" i="2"/>
  <c r="E150" i="2"/>
  <c r="D150" i="2"/>
  <c r="C150" i="2"/>
  <c r="B150" i="2"/>
  <c r="A150" i="2"/>
  <c r="P149" i="2"/>
  <c r="O149" i="2"/>
  <c r="N149" i="2"/>
  <c r="K149" i="2"/>
  <c r="J149" i="2"/>
  <c r="I149" i="2"/>
  <c r="H149" i="2"/>
  <c r="G149" i="2"/>
  <c r="F149" i="2"/>
  <c r="E149" i="2"/>
  <c r="D149" i="2"/>
  <c r="C149" i="2"/>
  <c r="B149" i="2"/>
  <c r="A149" i="2"/>
  <c r="P148" i="2"/>
  <c r="O148" i="2"/>
  <c r="N148" i="2"/>
  <c r="M148" i="2"/>
  <c r="K148" i="2"/>
  <c r="J148" i="2"/>
  <c r="I148" i="2"/>
  <c r="H148" i="2"/>
  <c r="G148" i="2"/>
  <c r="F148" i="2"/>
  <c r="E148" i="2"/>
  <c r="D148" i="2"/>
  <c r="C148" i="2"/>
  <c r="B148" i="2"/>
  <c r="A148" i="2"/>
  <c r="R147" i="2"/>
  <c r="O147" i="2"/>
  <c r="N147" i="2"/>
  <c r="L147" i="2"/>
  <c r="J147" i="2"/>
  <c r="I147" i="2"/>
  <c r="H147" i="2"/>
  <c r="G147" i="2"/>
  <c r="F147" i="2"/>
  <c r="E147" i="2"/>
  <c r="D147" i="2"/>
  <c r="C147" i="2"/>
  <c r="B147" i="2"/>
  <c r="A147" i="2"/>
  <c r="P146" i="2"/>
  <c r="O146" i="2"/>
  <c r="N146" i="2"/>
  <c r="M146" i="2"/>
  <c r="K146" i="2"/>
  <c r="J146" i="2"/>
  <c r="I146" i="2"/>
  <c r="H146" i="2"/>
  <c r="G146" i="2"/>
  <c r="F146" i="2"/>
  <c r="E146" i="2"/>
  <c r="D146" i="2"/>
  <c r="C146" i="2"/>
  <c r="B146" i="2"/>
  <c r="A146" i="2"/>
  <c r="R145" i="2"/>
  <c r="O145" i="2"/>
  <c r="N145" i="2"/>
  <c r="L145" i="2"/>
  <c r="J145" i="2"/>
  <c r="I145" i="2"/>
  <c r="H145" i="2"/>
  <c r="G145" i="2"/>
  <c r="F145" i="2"/>
  <c r="E145" i="2"/>
  <c r="D145" i="2"/>
  <c r="C145" i="2"/>
  <c r="B145" i="2"/>
  <c r="A145" i="2"/>
  <c r="P144" i="2"/>
  <c r="O144" i="2"/>
  <c r="N144" i="2"/>
  <c r="M144" i="2"/>
  <c r="K144" i="2"/>
  <c r="J144" i="2"/>
  <c r="I144" i="2"/>
  <c r="H144" i="2"/>
  <c r="G144" i="2"/>
  <c r="F144" i="2"/>
  <c r="E144" i="2"/>
  <c r="D144" i="2"/>
  <c r="C144" i="2"/>
  <c r="B144" i="2"/>
  <c r="A144" i="2"/>
  <c r="P143" i="2"/>
  <c r="O143" i="2"/>
  <c r="N143" i="2"/>
  <c r="M143" i="2"/>
  <c r="K143" i="2"/>
  <c r="J143" i="2"/>
  <c r="I143" i="2"/>
  <c r="H143" i="2"/>
  <c r="G143" i="2"/>
  <c r="F143" i="2"/>
  <c r="E143" i="2"/>
  <c r="D143" i="2"/>
  <c r="C143" i="2"/>
  <c r="B143" i="2"/>
  <c r="A143" i="2"/>
  <c r="R142" i="2"/>
  <c r="O142" i="2"/>
  <c r="N142" i="2"/>
  <c r="L142" i="2"/>
  <c r="J142" i="2"/>
  <c r="I142" i="2"/>
  <c r="H142" i="2"/>
  <c r="G142" i="2"/>
  <c r="F142" i="2"/>
  <c r="E142" i="2"/>
  <c r="D142" i="2"/>
  <c r="C142" i="2"/>
  <c r="B142" i="2"/>
  <c r="A142" i="2"/>
  <c r="R141" i="2"/>
  <c r="O141" i="2"/>
  <c r="N141" i="2"/>
  <c r="M141" i="2"/>
  <c r="L141" i="2"/>
  <c r="J141" i="2"/>
  <c r="I141" i="2"/>
  <c r="H141" i="2"/>
  <c r="G141" i="2"/>
  <c r="F141" i="2"/>
  <c r="E141" i="2"/>
  <c r="D141" i="2"/>
  <c r="C141" i="2"/>
  <c r="B141" i="2"/>
  <c r="A141" i="2"/>
  <c r="P140" i="2"/>
  <c r="O140" i="2"/>
  <c r="N140" i="2"/>
  <c r="K140" i="2"/>
  <c r="J140" i="2"/>
  <c r="I140" i="2"/>
  <c r="H140" i="2"/>
  <c r="G140" i="2"/>
  <c r="F140" i="2"/>
  <c r="E140" i="2"/>
  <c r="D140" i="2"/>
  <c r="C140" i="2"/>
  <c r="B140" i="2"/>
  <c r="A140" i="2"/>
  <c r="P139" i="2"/>
  <c r="O139" i="2"/>
  <c r="N139" i="2"/>
  <c r="K139" i="2"/>
  <c r="J139" i="2"/>
  <c r="I139" i="2"/>
  <c r="H139" i="2"/>
  <c r="G139" i="2"/>
  <c r="F139" i="2"/>
  <c r="E139" i="2"/>
  <c r="D139" i="2"/>
  <c r="C139" i="2"/>
  <c r="B139" i="2"/>
  <c r="A139" i="2"/>
  <c r="O138" i="2"/>
  <c r="N138" i="2"/>
  <c r="M138" i="2"/>
  <c r="J138" i="2"/>
  <c r="I138" i="2"/>
  <c r="H138" i="2"/>
  <c r="G138" i="2"/>
  <c r="F138" i="2"/>
  <c r="E138" i="2"/>
  <c r="D138" i="2"/>
  <c r="C138" i="2"/>
  <c r="B138" i="2"/>
  <c r="A138" i="2"/>
  <c r="P137" i="2"/>
  <c r="O137" i="2"/>
  <c r="N137" i="2"/>
  <c r="K137" i="2"/>
  <c r="J137" i="2"/>
  <c r="I137" i="2"/>
  <c r="H137" i="2"/>
  <c r="G137" i="2"/>
  <c r="F137" i="2"/>
  <c r="E137" i="2"/>
  <c r="D137" i="2"/>
  <c r="C137" i="2"/>
  <c r="B137" i="2"/>
  <c r="A137" i="2"/>
  <c r="O136" i="2"/>
  <c r="N136" i="2"/>
  <c r="M136" i="2"/>
  <c r="K136" i="2"/>
  <c r="J136" i="2"/>
  <c r="I136" i="2"/>
  <c r="H136" i="2"/>
  <c r="G136" i="2"/>
  <c r="F136" i="2"/>
  <c r="E136" i="2"/>
  <c r="D136" i="2"/>
  <c r="C136" i="2"/>
  <c r="B136" i="2"/>
  <c r="A136" i="2"/>
  <c r="R135" i="2"/>
  <c r="O135" i="2"/>
  <c r="N135" i="2"/>
  <c r="M135" i="2"/>
  <c r="L135" i="2"/>
  <c r="J135" i="2"/>
  <c r="I135" i="2"/>
  <c r="H135" i="2"/>
  <c r="G135" i="2"/>
  <c r="F135" i="2"/>
  <c r="E135" i="2"/>
  <c r="D135" i="2"/>
  <c r="C135" i="2"/>
  <c r="B135" i="2"/>
  <c r="A135" i="2"/>
  <c r="P134" i="2"/>
  <c r="O134" i="2"/>
  <c r="N134" i="2"/>
  <c r="M134" i="2"/>
  <c r="K134" i="2"/>
  <c r="J134" i="2"/>
  <c r="I134" i="2"/>
  <c r="H134" i="2"/>
  <c r="G134" i="2"/>
  <c r="F134" i="2"/>
  <c r="E134" i="2"/>
  <c r="D134" i="2"/>
  <c r="C134" i="2"/>
  <c r="B134" i="2"/>
  <c r="A134" i="2"/>
  <c r="R133" i="2"/>
  <c r="O133" i="2"/>
  <c r="N133" i="2"/>
  <c r="M133" i="2"/>
  <c r="L133" i="2"/>
  <c r="J133" i="2"/>
  <c r="I133" i="2"/>
  <c r="H133" i="2"/>
  <c r="G133" i="2"/>
  <c r="F133" i="2"/>
  <c r="E133" i="2"/>
  <c r="D133" i="2"/>
  <c r="C133" i="2"/>
  <c r="B133" i="2"/>
  <c r="A133" i="2"/>
  <c r="R132" i="2"/>
  <c r="O132" i="2"/>
  <c r="N132" i="2"/>
  <c r="L132" i="2"/>
  <c r="J132" i="2"/>
  <c r="I132" i="2"/>
  <c r="H132" i="2"/>
  <c r="G132" i="2"/>
  <c r="F132" i="2"/>
  <c r="E132" i="2"/>
  <c r="D132" i="2"/>
  <c r="C132" i="2"/>
  <c r="B132" i="2"/>
  <c r="A132" i="2"/>
  <c r="R131" i="2"/>
  <c r="O131" i="2"/>
  <c r="N131" i="2"/>
  <c r="M131" i="2"/>
  <c r="L131" i="2"/>
  <c r="J131" i="2"/>
  <c r="I131" i="2"/>
  <c r="H131" i="2"/>
  <c r="G131" i="2"/>
  <c r="F131" i="2"/>
  <c r="E131" i="2"/>
  <c r="D131" i="2"/>
  <c r="C131" i="2"/>
  <c r="B131" i="2"/>
  <c r="A131" i="2"/>
  <c r="P130" i="2"/>
  <c r="O130" i="2"/>
  <c r="N130" i="2"/>
  <c r="M130" i="2"/>
  <c r="K130" i="2"/>
  <c r="J130" i="2"/>
  <c r="I130" i="2"/>
  <c r="H130" i="2"/>
  <c r="G130" i="2"/>
  <c r="F130" i="2"/>
  <c r="E130" i="2"/>
  <c r="D130" i="2"/>
  <c r="C130" i="2"/>
  <c r="B130" i="2"/>
  <c r="A130" i="2"/>
  <c r="Q129" i="2"/>
  <c r="O129" i="2"/>
  <c r="N129" i="2"/>
  <c r="K129" i="2"/>
  <c r="J129" i="2"/>
  <c r="I129" i="2"/>
  <c r="H129" i="2"/>
  <c r="G129" i="2"/>
  <c r="F129" i="2"/>
  <c r="E129" i="2"/>
  <c r="D129" i="2"/>
  <c r="C129" i="2"/>
  <c r="B129" i="2"/>
  <c r="A129" i="2"/>
  <c r="P128" i="2"/>
  <c r="O128" i="2"/>
  <c r="N128" i="2"/>
  <c r="K128" i="2"/>
  <c r="J128" i="2"/>
  <c r="I128" i="2"/>
  <c r="H128" i="2"/>
  <c r="G128" i="2"/>
  <c r="F128" i="2"/>
  <c r="E128" i="2"/>
  <c r="D128" i="2"/>
  <c r="C128" i="2"/>
  <c r="B128" i="2"/>
  <c r="A128" i="2"/>
  <c r="P127" i="2"/>
  <c r="O127" i="2"/>
  <c r="N127" i="2"/>
  <c r="K127" i="2"/>
  <c r="J127" i="2"/>
  <c r="I127" i="2"/>
  <c r="H127" i="2"/>
  <c r="G127" i="2"/>
  <c r="F127" i="2"/>
  <c r="E127" i="2"/>
  <c r="D127" i="2"/>
  <c r="C127" i="2"/>
  <c r="B127" i="2"/>
  <c r="A127" i="2"/>
  <c r="P126" i="2"/>
  <c r="O126" i="2"/>
  <c r="N126" i="2"/>
  <c r="M126" i="2"/>
  <c r="K126" i="2"/>
  <c r="J126" i="2"/>
  <c r="I126" i="2"/>
  <c r="H126" i="2"/>
  <c r="G126" i="2"/>
  <c r="F126" i="2"/>
  <c r="E126" i="2"/>
  <c r="D126" i="2"/>
  <c r="C126" i="2"/>
  <c r="B126" i="2"/>
  <c r="A126" i="2"/>
  <c r="R125" i="2"/>
  <c r="O125" i="2"/>
  <c r="N125" i="2"/>
  <c r="M125" i="2"/>
  <c r="L125" i="2"/>
  <c r="K125" i="2"/>
  <c r="J125" i="2"/>
  <c r="I125" i="2"/>
  <c r="H125" i="2"/>
  <c r="G125" i="2"/>
  <c r="F125" i="2"/>
  <c r="E125" i="2"/>
  <c r="D125" i="2"/>
  <c r="C125" i="2"/>
  <c r="B125" i="2"/>
  <c r="A125" i="2"/>
  <c r="P124" i="2"/>
  <c r="O124" i="2"/>
  <c r="N124" i="2"/>
  <c r="M124" i="2"/>
  <c r="K124" i="2"/>
  <c r="J124" i="2"/>
  <c r="I124" i="2"/>
  <c r="H124" i="2"/>
  <c r="G124" i="2"/>
  <c r="F124" i="2"/>
  <c r="E124" i="2"/>
  <c r="D124" i="2"/>
  <c r="C124" i="2"/>
  <c r="B124" i="2"/>
  <c r="A124" i="2"/>
  <c r="P123" i="2"/>
  <c r="O123" i="2"/>
  <c r="N123" i="2"/>
  <c r="M123" i="2"/>
  <c r="K123" i="2"/>
  <c r="J123" i="2"/>
  <c r="I123" i="2"/>
  <c r="H123" i="2"/>
  <c r="G123" i="2"/>
  <c r="F123" i="2"/>
  <c r="E123" i="2"/>
  <c r="D123" i="2"/>
  <c r="C123" i="2"/>
  <c r="B123" i="2"/>
  <c r="A123" i="2"/>
  <c r="P122" i="2"/>
  <c r="O122" i="2"/>
  <c r="N122" i="2"/>
  <c r="K122" i="2"/>
  <c r="J122" i="2"/>
  <c r="I122" i="2"/>
  <c r="H122" i="2"/>
  <c r="G122" i="2"/>
  <c r="F122" i="2"/>
  <c r="E122" i="2"/>
  <c r="D122" i="2"/>
  <c r="C122" i="2"/>
  <c r="B122" i="2"/>
  <c r="A122" i="2"/>
  <c r="R121" i="2"/>
  <c r="P121" i="2"/>
  <c r="O121" i="2"/>
  <c r="N121" i="2"/>
  <c r="M121" i="2"/>
  <c r="L121" i="2"/>
  <c r="K121" i="2"/>
  <c r="J121" i="2"/>
  <c r="I121" i="2"/>
  <c r="H121" i="2"/>
  <c r="G121" i="2"/>
  <c r="F121" i="2"/>
  <c r="E121" i="2"/>
  <c r="D121" i="2"/>
  <c r="C121" i="2"/>
  <c r="B121" i="2"/>
  <c r="A121" i="2"/>
  <c r="P120" i="2"/>
  <c r="O120" i="2"/>
  <c r="N120" i="2"/>
  <c r="M120" i="2"/>
  <c r="K120" i="2"/>
  <c r="J120" i="2"/>
  <c r="I120" i="2"/>
  <c r="H120" i="2"/>
  <c r="G120" i="2"/>
  <c r="F120" i="2"/>
  <c r="E120" i="2"/>
  <c r="D120" i="2"/>
  <c r="C120" i="2"/>
  <c r="B120" i="2"/>
  <c r="A120" i="2"/>
  <c r="P119" i="2"/>
  <c r="O119" i="2"/>
  <c r="N119" i="2"/>
  <c r="K119" i="2"/>
  <c r="J119" i="2"/>
  <c r="I119" i="2"/>
  <c r="H119" i="2"/>
  <c r="G119" i="2"/>
  <c r="F119" i="2"/>
  <c r="E119" i="2"/>
  <c r="D119" i="2"/>
  <c r="C119" i="2"/>
  <c r="B119" i="2"/>
  <c r="A119" i="2"/>
  <c r="R118" i="2"/>
  <c r="Q118" i="2"/>
  <c r="P118" i="2"/>
  <c r="O118" i="2"/>
  <c r="N118" i="2"/>
  <c r="M118" i="2"/>
  <c r="L118" i="2"/>
  <c r="K118" i="2"/>
  <c r="J118" i="2"/>
  <c r="I118" i="2"/>
  <c r="H118" i="2"/>
  <c r="G118" i="2"/>
  <c r="F118" i="2"/>
  <c r="E118" i="2"/>
  <c r="D118" i="2"/>
  <c r="C118" i="2"/>
  <c r="B118" i="2"/>
  <c r="A118" i="2"/>
  <c r="P117" i="2"/>
  <c r="O117" i="2"/>
  <c r="N117" i="2"/>
  <c r="K117" i="2"/>
  <c r="J117" i="2"/>
  <c r="I117" i="2"/>
  <c r="H117" i="2"/>
  <c r="G117" i="2"/>
  <c r="F117" i="2"/>
  <c r="E117" i="2"/>
  <c r="D117" i="2"/>
  <c r="C117" i="2"/>
  <c r="B117" i="2"/>
  <c r="A117" i="2"/>
  <c r="P116" i="2"/>
  <c r="O116" i="2"/>
  <c r="N116" i="2"/>
  <c r="K116" i="2"/>
  <c r="J116" i="2"/>
  <c r="I116" i="2"/>
  <c r="H116" i="2"/>
  <c r="G116" i="2"/>
  <c r="F116" i="2"/>
  <c r="E116" i="2"/>
  <c r="D116" i="2"/>
  <c r="C116" i="2"/>
  <c r="B116" i="2"/>
  <c r="A116" i="2"/>
  <c r="P115" i="2"/>
  <c r="O115" i="2"/>
  <c r="N115" i="2"/>
  <c r="M115" i="2"/>
  <c r="K115" i="2"/>
  <c r="J115" i="2"/>
  <c r="I115" i="2"/>
  <c r="H115" i="2"/>
  <c r="G115" i="2"/>
  <c r="F115" i="2"/>
  <c r="E115" i="2"/>
  <c r="D115" i="2"/>
  <c r="C115" i="2"/>
  <c r="B115" i="2"/>
  <c r="A115" i="2"/>
  <c r="P114" i="2"/>
  <c r="O114" i="2"/>
  <c r="N114" i="2"/>
  <c r="M114" i="2"/>
  <c r="K114" i="2"/>
  <c r="J114" i="2"/>
  <c r="I114" i="2"/>
  <c r="H114" i="2"/>
  <c r="G114" i="2"/>
  <c r="F114" i="2"/>
  <c r="E114" i="2"/>
  <c r="D114" i="2"/>
  <c r="C114" i="2"/>
  <c r="B114" i="2"/>
  <c r="A114" i="2"/>
  <c r="P113" i="2"/>
  <c r="O113" i="2"/>
  <c r="N113" i="2"/>
  <c r="M113" i="2"/>
  <c r="K113" i="2"/>
  <c r="J113" i="2"/>
  <c r="I113" i="2"/>
  <c r="H113" i="2"/>
  <c r="G113" i="2"/>
  <c r="F113" i="2"/>
  <c r="E113" i="2"/>
  <c r="D113" i="2"/>
  <c r="C113" i="2"/>
  <c r="B113" i="2"/>
  <c r="A113" i="2"/>
  <c r="P112" i="2"/>
  <c r="O112" i="2"/>
  <c r="N112" i="2"/>
  <c r="K112" i="2"/>
  <c r="J112" i="2"/>
  <c r="I112" i="2"/>
  <c r="H112" i="2"/>
  <c r="G112" i="2"/>
  <c r="F112" i="2"/>
  <c r="E112" i="2"/>
  <c r="D112" i="2"/>
  <c r="C112" i="2"/>
  <c r="B112" i="2"/>
  <c r="A112" i="2"/>
  <c r="P111" i="2"/>
  <c r="O111" i="2"/>
  <c r="N111" i="2"/>
  <c r="K111" i="2"/>
  <c r="J111" i="2"/>
  <c r="I111" i="2"/>
  <c r="H111" i="2"/>
  <c r="G111" i="2"/>
  <c r="F111" i="2"/>
  <c r="E111" i="2"/>
  <c r="D111" i="2"/>
  <c r="C111" i="2"/>
  <c r="B111" i="2"/>
  <c r="A111" i="2"/>
  <c r="R110" i="2"/>
  <c r="P110" i="2"/>
  <c r="O110" i="2"/>
  <c r="N110" i="2"/>
  <c r="M110" i="2"/>
  <c r="L110" i="2"/>
  <c r="K110" i="2"/>
  <c r="J110" i="2"/>
  <c r="I110" i="2"/>
  <c r="H110" i="2"/>
  <c r="G110" i="2"/>
  <c r="F110" i="2"/>
  <c r="E110" i="2"/>
  <c r="D110" i="2"/>
  <c r="C110" i="2"/>
  <c r="B110" i="2"/>
  <c r="A110" i="2"/>
  <c r="R109" i="2"/>
  <c r="O109" i="2"/>
  <c r="N109" i="2"/>
  <c r="M109" i="2"/>
  <c r="L109" i="2"/>
  <c r="J109" i="2"/>
  <c r="I109" i="2"/>
  <c r="H109" i="2"/>
  <c r="G109" i="2"/>
  <c r="F109" i="2"/>
  <c r="E109" i="2"/>
  <c r="D109" i="2"/>
  <c r="C109" i="2"/>
  <c r="B109" i="2"/>
  <c r="A109" i="2"/>
  <c r="P108" i="2"/>
  <c r="O108" i="2"/>
  <c r="N108" i="2"/>
  <c r="M108" i="2"/>
  <c r="K108" i="2"/>
  <c r="J108" i="2"/>
  <c r="I108" i="2"/>
  <c r="H108" i="2"/>
  <c r="G108" i="2"/>
  <c r="F108" i="2"/>
  <c r="E108" i="2"/>
  <c r="D108" i="2"/>
  <c r="C108" i="2"/>
  <c r="B108" i="2"/>
  <c r="A108" i="2"/>
  <c r="R107" i="2"/>
  <c r="P107" i="2"/>
  <c r="O107" i="2"/>
  <c r="N107" i="2"/>
  <c r="M107" i="2"/>
  <c r="L107" i="2"/>
  <c r="K107" i="2"/>
  <c r="J107" i="2"/>
  <c r="I107" i="2"/>
  <c r="H107" i="2"/>
  <c r="G107" i="2"/>
  <c r="F107" i="2"/>
  <c r="E107" i="2"/>
  <c r="D107" i="2"/>
  <c r="C107" i="2"/>
  <c r="B107" i="2"/>
  <c r="A107" i="2"/>
  <c r="R106" i="2"/>
  <c r="O106" i="2"/>
  <c r="N106" i="2"/>
  <c r="L106" i="2"/>
  <c r="J106" i="2"/>
  <c r="I106" i="2"/>
  <c r="H106" i="2"/>
  <c r="G106" i="2"/>
  <c r="F106" i="2"/>
  <c r="E106" i="2"/>
  <c r="D106" i="2"/>
  <c r="C106" i="2"/>
  <c r="B106" i="2"/>
  <c r="A106" i="2"/>
  <c r="P105" i="2"/>
  <c r="O105" i="2"/>
  <c r="N105" i="2"/>
  <c r="M105" i="2"/>
  <c r="K105" i="2"/>
  <c r="J105" i="2"/>
  <c r="I105" i="2"/>
  <c r="H105" i="2"/>
  <c r="G105" i="2"/>
  <c r="F105" i="2"/>
  <c r="E105" i="2"/>
  <c r="D105" i="2"/>
  <c r="C105" i="2"/>
  <c r="B105" i="2"/>
  <c r="A105" i="2"/>
  <c r="O104" i="2"/>
  <c r="N104" i="2"/>
  <c r="M104" i="2"/>
  <c r="J104" i="2"/>
  <c r="I104" i="2"/>
  <c r="H104" i="2"/>
  <c r="G104" i="2"/>
  <c r="F104" i="2"/>
  <c r="E104" i="2"/>
  <c r="D104" i="2"/>
  <c r="C104" i="2"/>
  <c r="B104" i="2"/>
  <c r="A104" i="2"/>
  <c r="R103" i="2"/>
  <c r="P103" i="2"/>
  <c r="O103" i="2"/>
  <c r="N103" i="2"/>
  <c r="L103" i="2"/>
  <c r="K103" i="2"/>
  <c r="J103" i="2"/>
  <c r="I103" i="2"/>
  <c r="H103" i="2"/>
  <c r="G103" i="2"/>
  <c r="F103" i="2"/>
  <c r="E103" i="2"/>
  <c r="D103" i="2"/>
  <c r="C103" i="2"/>
  <c r="B103" i="2"/>
  <c r="A103" i="2"/>
  <c r="R102" i="2"/>
  <c r="O102" i="2"/>
  <c r="N102" i="2"/>
  <c r="L102" i="2"/>
  <c r="J102" i="2"/>
  <c r="I102" i="2"/>
  <c r="H102" i="2"/>
  <c r="G102" i="2"/>
  <c r="F102" i="2"/>
  <c r="E102" i="2"/>
  <c r="D102" i="2"/>
  <c r="C102" i="2"/>
  <c r="B102" i="2"/>
  <c r="A102" i="2"/>
  <c r="P101" i="2"/>
  <c r="O101" i="2"/>
  <c r="N101" i="2"/>
  <c r="L101" i="2"/>
  <c r="K101" i="2"/>
  <c r="J101" i="2"/>
  <c r="I101" i="2"/>
  <c r="H101" i="2"/>
  <c r="G101" i="2"/>
  <c r="F101" i="2"/>
  <c r="E101" i="2"/>
  <c r="D101" i="2"/>
  <c r="C101" i="2"/>
  <c r="B101" i="2"/>
  <c r="A101" i="2"/>
  <c r="R100" i="2"/>
  <c r="P100" i="2"/>
  <c r="O100" i="2"/>
  <c r="N100" i="2"/>
  <c r="M100" i="2"/>
  <c r="L100" i="2"/>
  <c r="K100" i="2"/>
  <c r="J100" i="2"/>
  <c r="I100" i="2"/>
  <c r="H100" i="2"/>
  <c r="G100" i="2"/>
  <c r="F100" i="2"/>
  <c r="E100" i="2"/>
  <c r="D100" i="2"/>
  <c r="C100" i="2"/>
  <c r="B100" i="2"/>
  <c r="A100" i="2"/>
  <c r="O99" i="2"/>
  <c r="N99" i="2"/>
  <c r="M99" i="2"/>
  <c r="J99" i="2"/>
  <c r="I99" i="2"/>
  <c r="H99" i="2"/>
  <c r="G99" i="2"/>
  <c r="F99" i="2"/>
  <c r="E99" i="2"/>
  <c r="D99" i="2"/>
  <c r="C99" i="2"/>
  <c r="B99" i="2"/>
  <c r="A99" i="2"/>
  <c r="P98" i="2"/>
  <c r="O98" i="2"/>
  <c r="N98" i="2"/>
  <c r="M98" i="2"/>
  <c r="K98" i="2"/>
  <c r="J98" i="2"/>
  <c r="I98" i="2"/>
  <c r="H98" i="2"/>
  <c r="G98" i="2"/>
  <c r="F98" i="2"/>
  <c r="E98" i="2"/>
  <c r="D98" i="2"/>
  <c r="C98" i="2"/>
  <c r="B98" i="2"/>
  <c r="A98" i="2"/>
  <c r="R97" i="2"/>
  <c r="O97" i="2"/>
  <c r="N97" i="2"/>
  <c r="L97" i="2"/>
  <c r="J97" i="2"/>
  <c r="I97" i="2"/>
  <c r="H97" i="2"/>
  <c r="G97" i="2"/>
  <c r="F97" i="2"/>
  <c r="E97" i="2"/>
  <c r="D97" i="2"/>
  <c r="C97" i="2"/>
  <c r="B97" i="2"/>
  <c r="A97" i="2"/>
  <c r="P96" i="2"/>
  <c r="O96" i="2"/>
  <c r="N96" i="2"/>
  <c r="K96" i="2"/>
  <c r="J96" i="2"/>
  <c r="I96" i="2"/>
  <c r="H96" i="2"/>
  <c r="G96" i="2"/>
  <c r="F96" i="2"/>
  <c r="E96" i="2"/>
  <c r="D96" i="2"/>
  <c r="C96" i="2"/>
  <c r="B96" i="2"/>
  <c r="A96" i="2"/>
  <c r="P95" i="2"/>
  <c r="O95" i="2"/>
  <c r="N95" i="2"/>
  <c r="M95" i="2"/>
  <c r="J95" i="2"/>
  <c r="I95" i="2"/>
  <c r="H95" i="2"/>
  <c r="G95" i="2"/>
  <c r="F95" i="2"/>
  <c r="E95" i="2"/>
  <c r="D95" i="2"/>
  <c r="C95" i="2"/>
  <c r="B95" i="2"/>
  <c r="A95" i="2"/>
  <c r="P94" i="2"/>
  <c r="O94" i="2"/>
  <c r="N94" i="2"/>
  <c r="K94" i="2"/>
  <c r="J94" i="2"/>
  <c r="I94" i="2"/>
  <c r="H94" i="2"/>
  <c r="G94" i="2"/>
  <c r="F94" i="2"/>
  <c r="E94" i="2"/>
  <c r="D94" i="2"/>
  <c r="C94" i="2"/>
  <c r="B94" i="2"/>
  <c r="A94" i="2"/>
  <c r="P93" i="2"/>
  <c r="O93" i="2"/>
  <c r="N93" i="2"/>
  <c r="K93" i="2"/>
  <c r="J93" i="2"/>
  <c r="I93" i="2"/>
  <c r="H93" i="2"/>
  <c r="G93" i="2"/>
  <c r="F93" i="2"/>
  <c r="E93" i="2"/>
  <c r="D93" i="2"/>
  <c r="C93" i="2"/>
  <c r="B93" i="2"/>
  <c r="A93" i="2"/>
  <c r="R92" i="2"/>
  <c r="O92" i="2"/>
  <c r="N92" i="2"/>
  <c r="M92" i="2"/>
  <c r="L92" i="2"/>
  <c r="K92" i="2"/>
  <c r="J92" i="2"/>
  <c r="I92" i="2"/>
  <c r="H92" i="2"/>
  <c r="G92" i="2"/>
  <c r="F92" i="2"/>
  <c r="E92" i="2"/>
  <c r="D92" i="2"/>
  <c r="C92" i="2"/>
  <c r="B92" i="2"/>
  <c r="A92" i="2"/>
  <c r="P91" i="2"/>
  <c r="O91" i="2"/>
  <c r="N91" i="2"/>
  <c r="K91" i="2"/>
  <c r="J91" i="2"/>
  <c r="I91" i="2"/>
  <c r="H91" i="2"/>
  <c r="G91" i="2"/>
  <c r="F91" i="2"/>
  <c r="E91" i="2"/>
  <c r="D91" i="2"/>
  <c r="C91" i="2"/>
  <c r="B91" i="2"/>
  <c r="A91" i="2"/>
  <c r="P90" i="2"/>
  <c r="O90" i="2"/>
  <c r="N90" i="2"/>
  <c r="K90" i="2"/>
  <c r="J90" i="2"/>
  <c r="I90" i="2"/>
  <c r="H90" i="2"/>
  <c r="G90" i="2"/>
  <c r="F90" i="2"/>
  <c r="E90" i="2"/>
  <c r="D90" i="2"/>
  <c r="C90" i="2"/>
  <c r="B90" i="2"/>
  <c r="A90" i="2"/>
  <c r="P89" i="2"/>
  <c r="O89" i="2"/>
  <c r="N89" i="2"/>
  <c r="M89" i="2"/>
  <c r="K89" i="2"/>
  <c r="J89" i="2"/>
  <c r="I89" i="2"/>
  <c r="H89" i="2"/>
  <c r="G89" i="2"/>
  <c r="F89" i="2"/>
  <c r="E89" i="2"/>
  <c r="D89" i="2"/>
  <c r="C89" i="2"/>
  <c r="B89" i="2"/>
  <c r="A89" i="2"/>
  <c r="P88" i="2"/>
  <c r="O88" i="2"/>
  <c r="N88" i="2"/>
  <c r="M88" i="2"/>
  <c r="K88" i="2"/>
  <c r="J88" i="2"/>
  <c r="I88" i="2"/>
  <c r="H88" i="2"/>
  <c r="G88" i="2"/>
  <c r="F88" i="2"/>
  <c r="E88" i="2"/>
  <c r="D88" i="2"/>
  <c r="C88" i="2"/>
  <c r="B88" i="2"/>
  <c r="A88" i="2"/>
  <c r="R87" i="2"/>
  <c r="O87" i="2"/>
  <c r="N87" i="2"/>
  <c r="L87" i="2"/>
  <c r="J87" i="2"/>
  <c r="I87" i="2"/>
  <c r="H87" i="2"/>
  <c r="G87" i="2"/>
  <c r="F87" i="2"/>
  <c r="E87" i="2"/>
  <c r="D87" i="2"/>
  <c r="C87" i="2"/>
  <c r="B87" i="2"/>
  <c r="A87" i="2"/>
  <c r="O86" i="2"/>
  <c r="N86" i="2"/>
  <c r="M86" i="2"/>
  <c r="L86" i="2"/>
  <c r="K86" i="2"/>
  <c r="J86" i="2"/>
  <c r="I86" i="2"/>
  <c r="H86" i="2"/>
  <c r="G86" i="2"/>
  <c r="F86" i="2"/>
  <c r="E86" i="2"/>
  <c r="D86" i="2"/>
  <c r="C86" i="2"/>
  <c r="B86" i="2"/>
  <c r="A86" i="2"/>
  <c r="P85" i="2"/>
  <c r="O85" i="2"/>
  <c r="N85" i="2"/>
  <c r="K85" i="2"/>
  <c r="J85" i="2"/>
  <c r="I85" i="2"/>
  <c r="H85" i="2"/>
  <c r="G85" i="2"/>
  <c r="F85" i="2"/>
  <c r="E85" i="2"/>
  <c r="D85" i="2"/>
  <c r="C85" i="2"/>
  <c r="B85" i="2"/>
  <c r="A85" i="2"/>
  <c r="P84" i="2"/>
  <c r="O84" i="2"/>
  <c r="N84" i="2"/>
  <c r="K84" i="2"/>
  <c r="J84" i="2"/>
  <c r="I84" i="2"/>
  <c r="H84" i="2"/>
  <c r="G84" i="2"/>
  <c r="F84" i="2"/>
  <c r="E84" i="2"/>
  <c r="D84" i="2"/>
  <c r="C84" i="2"/>
  <c r="B84" i="2"/>
  <c r="A84" i="2"/>
  <c r="P83" i="2"/>
  <c r="O83" i="2"/>
  <c r="N83" i="2"/>
  <c r="K83" i="2"/>
  <c r="J83" i="2"/>
  <c r="I83" i="2"/>
  <c r="H83" i="2"/>
  <c r="G83" i="2"/>
  <c r="F83" i="2"/>
  <c r="E83" i="2"/>
  <c r="D83" i="2"/>
  <c r="C83" i="2"/>
  <c r="B83" i="2"/>
  <c r="A83" i="2"/>
  <c r="R82" i="2"/>
  <c r="O82" i="2"/>
  <c r="N82" i="2"/>
  <c r="M82" i="2"/>
  <c r="L82" i="2"/>
  <c r="J82" i="2"/>
  <c r="I82" i="2"/>
  <c r="H82" i="2"/>
  <c r="G82" i="2"/>
  <c r="F82" i="2"/>
  <c r="E82" i="2"/>
  <c r="D82" i="2"/>
  <c r="C82" i="2"/>
  <c r="B82" i="2"/>
  <c r="A82" i="2"/>
  <c r="R81" i="2"/>
  <c r="Q81" i="2"/>
  <c r="O81" i="2"/>
  <c r="N81" i="2"/>
  <c r="M81" i="2"/>
  <c r="L81" i="2"/>
  <c r="K81" i="2"/>
  <c r="J81" i="2"/>
  <c r="I81" i="2"/>
  <c r="H81" i="2"/>
  <c r="G81" i="2"/>
  <c r="F81" i="2"/>
  <c r="E81" i="2"/>
  <c r="D81" i="2"/>
  <c r="C81" i="2"/>
  <c r="B81" i="2"/>
  <c r="A81" i="2"/>
  <c r="P80" i="2"/>
  <c r="O80" i="2"/>
  <c r="N80" i="2"/>
  <c r="K80" i="2"/>
  <c r="J80" i="2"/>
  <c r="I80" i="2"/>
  <c r="H80" i="2"/>
  <c r="G80" i="2"/>
  <c r="F80" i="2"/>
  <c r="E80" i="2"/>
  <c r="D80" i="2"/>
  <c r="C80" i="2"/>
  <c r="B80" i="2"/>
  <c r="A80" i="2"/>
  <c r="R79" i="2"/>
  <c r="O79" i="2"/>
  <c r="N79" i="2"/>
  <c r="M79" i="2"/>
  <c r="L79" i="2"/>
  <c r="J79" i="2"/>
  <c r="I79" i="2"/>
  <c r="H79" i="2"/>
  <c r="G79" i="2"/>
  <c r="F79" i="2"/>
  <c r="E79" i="2"/>
  <c r="D79" i="2"/>
  <c r="C79" i="2"/>
  <c r="B79" i="2"/>
  <c r="A79" i="2"/>
  <c r="P78" i="2"/>
  <c r="O78" i="2"/>
  <c r="N78" i="2"/>
  <c r="K78" i="2"/>
  <c r="J78" i="2"/>
  <c r="I78" i="2"/>
  <c r="H78" i="2"/>
  <c r="G78" i="2"/>
  <c r="F78" i="2"/>
  <c r="E78" i="2"/>
  <c r="D78" i="2"/>
  <c r="C78" i="2"/>
  <c r="B78" i="2"/>
  <c r="A78" i="2"/>
  <c r="R77" i="2"/>
  <c r="P77" i="2"/>
  <c r="O77" i="2"/>
  <c r="N77" i="2"/>
  <c r="M77" i="2"/>
  <c r="L77" i="2"/>
  <c r="K77" i="2"/>
  <c r="J77" i="2"/>
  <c r="I77" i="2"/>
  <c r="H77" i="2"/>
  <c r="G77" i="2"/>
  <c r="F77" i="2"/>
  <c r="E77" i="2"/>
  <c r="D77" i="2"/>
  <c r="C77" i="2"/>
  <c r="B77" i="2"/>
  <c r="A77" i="2"/>
  <c r="R76" i="2"/>
  <c r="O76" i="2"/>
  <c r="N76" i="2"/>
  <c r="L76" i="2"/>
  <c r="J76" i="2"/>
  <c r="I76" i="2"/>
  <c r="H76" i="2"/>
  <c r="G76" i="2"/>
  <c r="F76" i="2"/>
  <c r="E76" i="2"/>
  <c r="D76" i="2"/>
  <c r="C76" i="2"/>
  <c r="B76" i="2"/>
  <c r="A76" i="2"/>
  <c r="P75" i="2"/>
  <c r="O75" i="2"/>
  <c r="N75" i="2"/>
  <c r="M75" i="2"/>
  <c r="K75" i="2"/>
  <c r="J75" i="2"/>
  <c r="I75" i="2"/>
  <c r="H75" i="2"/>
  <c r="G75" i="2"/>
  <c r="F75" i="2"/>
  <c r="E75" i="2"/>
  <c r="D75" i="2"/>
  <c r="C75" i="2"/>
  <c r="B75" i="2"/>
  <c r="A75" i="2"/>
  <c r="P74" i="2"/>
  <c r="O74" i="2"/>
  <c r="N74" i="2"/>
  <c r="K74" i="2"/>
  <c r="J74" i="2"/>
  <c r="I74" i="2"/>
  <c r="H74" i="2"/>
  <c r="G74" i="2"/>
  <c r="F74" i="2"/>
  <c r="E74" i="2"/>
  <c r="D74" i="2"/>
  <c r="C74" i="2"/>
  <c r="B74" i="2"/>
  <c r="A74" i="2"/>
  <c r="O73" i="2"/>
  <c r="N73" i="2"/>
  <c r="J73" i="2"/>
  <c r="I73" i="2"/>
  <c r="H73" i="2"/>
  <c r="G73" i="2"/>
  <c r="F73" i="2"/>
  <c r="E73" i="2"/>
  <c r="D73" i="2"/>
  <c r="C73" i="2"/>
  <c r="B73" i="2"/>
  <c r="A73" i="2"/>
  <c r="R72" i="2"/>
  <c r="O72" i="2"/>
  <c r="N72" i="2"/>
  <c r="M72" i="2"/>
  <c r="L72" i="2"/>
  <c r="J72" i="2"/>
  <c r="I72" i="2"/>
  <c r="H72" i="2"/>
  <c r="G72" i="2"/>
  <c r="F72" i="2"/>
  <c r="E72" i="2"/>
  <c r="D72" i="2"/>
  <c r="C72" i="2"/>
  <c r="B72" i="2"/>
  <c r="A72" i="2"/>
  <c r="P71" i="2"/>
  <c r="O71" i="2"/>
  <c r="N71" i="2"/>
  <c r="K71" i="2"/>
  <c r="J71" i="2"/>
  <c r="I71" i="2"/>
  <c r="H71" i="2"/>
  <c r="G71" i="2"/>
  <c r="F71" i="2"/>
  <c r="E71" i="2"/>
  <c r="D71" i="2"/>
  <c r="C71" i="2"/>
  <c r="B71" i="2"/>
  <c r="A71" i="2"/>
  <c r="R70" i="2"/>
  <c r="P70" i="2"/>
  <c r="O70" i="2"/>
  <c r="N70" i="2"/>
  <c r="M70" i="2"/>
  <c r="L70" i="2"/>
  <c r="K70" i="2"/>
  <c r="J70" i="2"/>
  <c r="I70" i="2"/>
  <c r="H70" i="2"/>
  <c r="G70" i="2"/>
  <c r="F70" i="2"/>
  <c r="E70" i="2"/>
  <c r="D70" i="2"/>
  <c r="C70" i="2"/>
  <c r="B70" i="2"/>
  <c r="A70" i="2"/>
  <c r="P69" i="2"/>
  <c r="O69" i="2"/>
  <c r="N69" i="2"/>
  <c r="K69" i="2"/>
  <c r="J69" i="2"/>
  <c r="I69" i="2"/>
  <c r="H69" i="2"/>
  <c r="G69" i="2"/>
  <c r="F69" i="2"/>
  <c r="E69" i="2"/>
  <c r="D69" i="2"/>
  <c r="C69" i="2"/>
  <c r="B69" i="2"/>
  <c r="A69" i="2"/>
  <c r="P68" i="2"/>
  <c r="O68" i="2"/>
  <c r="N68" i="2"/>
  <c r="K68" i="2"/>
  <c r="J68" i="2"/>
  <c r="I68" i="2"/>
  <c r="H68" i="2"/>
  <c r="G68" i="2"/>
  <c r="F68" i="2"/>
  <c r="E68" i="2"/>
  <c r="D68" i="2"/>
  <c r="C68" i="2"/>
  <c r="B68" i="2"/>
  <c r="A68" i="2"/>
  <c r="P67" i="2"/>
  <c r="O67" i="2"/>
  <c r="N67" i="2"/>
  <c r="K67" i="2"/>
  <c r="J67" i="2"/>
  <c r="I67" i="2"/>
  <c r="H67" i="2"/>
  <c r="G67" i="2"/>
  <c r="F67" i="2"/>
  <c r="E67" i="2"/>
  <c r="D67" i="2"/>
  <c r="C67" i="2"/>
  <c r="B67" i="2"/>
  <c r="A67" i="2"/>
  <c r="P66" i="2"/>
  <c r="O66" i="2"/>
  <c r="N66" i="2"/>
  <c r="K66" i="2"/>
  <c r="J66" i="2"/>
  <c r="I66" i="2"/>
  <c r="H66" i="2"/>
  <c r="G66" i="2"/>
  <c r="F66" i="2"/>
  <c r="E66" i="2"/>
  <c r="D66" i="2"/>
  <c r="C66" i="2"/>
  <c r="B66" i="2"/>
  <c r="A66" i="2"/>
  <c r="R65" i="2"/>
  <c r="O65" i="2"/>
  <c r="N65" i="2"/>
  <c r="M65" i="2"/>
  <c r="L65" i="2"/>
  <c r="J65" i="2"/>
  <c r="I65" i="2"/>
  <c r="H65" i="2"/>
  <c r="G65" i="2"/>
  <c r="F65" i="2"/>
  <c r="E65" i="2"/>
  <c r="D65" i="2"/>
  <c r="C65" i="2"/>
  <c r="B65" i="2"/>
  <c r="A65" i="2"/>
  <c r="P64" i="2"/>
  <c r="O64" i="2"/>
  <c r="N64" i="2"/>
  <c r="K64" i="2"/>
  <c r="J64" i="2"/>
  <c r="I64" i="2"/>
  <c r="H64" i="2"/>
  <c r="G64" i="2"/>
  <c r="F64" i="2"/>
  <c r="E64" i="2"/>
  <c r="D64" i="2"/>
  <c r="C64" i="2"/>
  <c r="B64" i="2"/>
  <c r="A64" i="2"/>
  <c r="R63" i="2"/>
  <c r="O63" i="2"/>
  <c r="N63" i="2"/>
  <c r="M63" i="2"/>
  <c r="L63" i="2"/>
  <c r="J63" i="2"/>
  <c r="I63" i="2"/>
  <c r="H63" i="2"/>
  <c r="G63" i="2"/>
  <c r="F63" i="2"/>
  <c r="E63" i="2"/>
  <c r="D63" i="2"/>
  <c r="C63" i="2"/>
  <c r="B63" i="2"/>
  <c r="A63" i="2"/>
  <c r="R62" i="2"/>
  <c r="O62" i="2"/>
  <c r="N62" i="2"/>
  <c r="L62" i="2"/>
  <c r="J62" i="2"/>
  <c r="I62" i="2"/>
  <c r="H62" i="2"/>
  <c r="G62" i="2"/>
  <c r="F62" i="2"/>
  <c r="E62" i="2"/>
  <c r="D62" i="2"/>
  <c r="C62" i="2"/>
  <c r="B62" i="2"/>
  <c r="A62" i="2"/>
  <c r="P61" i="2"/>
  <c r="O61" i="2"/>
  <c r="N61" i="2"/>
  <c r="M61" i="2"/>
  <c r="K61" i="2"/>
  <c r="J61" i="2"/>
  <c r="I61" i="2"/>
  <c r="H61" i="2"/>
  <c r="G61" i="2"/>
  <c r="F61" i="2"/>
  <c r="E61" i="2"/>
  <c r="D61" i="2"/>
  <c r="C61" i="2"/>
  <c r="B61" i="2"/>
  <c r="A61" i="2"/>
  <c r="O60" i="2"/>
  <c r="J60" i="2"/>
  <c r="I60" i="2"/>
  <c r="H60" i="2"/>
  <c r="G60" i="2"/>
  <c r="F60" i="2"/>
  <c r="E60" i="2"/>
  <c r="D60" i="2"/>
  <c r="C60" i="2"/>
  <c r="B60" i="2"/>
  <c r="A60" i="2"/>
  <c r="P59" i="2"/>
  <c r="O59" i="2"/>
  <c r="N59" i="2"/>
  <c r="K59" i="2"/>
  <c r="J59" i="2"/>
  <c r="I59" i="2"/>
  <c r="H59" i="2"/>
  <c r="G59" i="2"/>
  <c r="F59" i="2"/>
  <c r="E59" i="2"/>
  <c r="D59" i="2"/>
  <c r="C59" i="2"/>
  <c r="B59" i="2"/>
  <c r="A59" i="2"/>
  <c r="O58" i="2"/>
  <c r="M58" i="2"/>
  <c r="J58" i="2"/>
  <c r="I58" i="2"/>
  <c r="H58" i="2"/>
  <c r="G58" i="2"/>
  <c r="F58" i="2"/>
  <c r="E58" i="2"/>
  <c r="D58" i="2"/>
  <c r="C58" i="2"/>
  <c r="B58" i="2"/>
  <c r="A58" i="2"/>
  <c r="P57" i="2"/>
  <c r="O57" i="2"/>
  <c r="N57" i="2"/>
  <c r="M57" i="2"/>
  <c r="K57" i="2"/>
  <c r="J57" i="2"/>
  <c r="I57" i="2"/>
  <c r="H57" i="2"/>
  <c r="G57" i="2"/>
  <c r="F57" i="2"/>
  <c r="E57" i="2"/>
  <c r="D57" i="2"/>
  <c r="C57" i="2"/>
  <c r="B57" i="2"/>
  <c r="A57" i="2"/>
  <c r="P56" i="2"/>
  <c r="O56" i="2"/>
  <c r="J56" i="2"/>
  <c r="I56" i="2"/>
  <c r="H56" i="2"/>
  <c r="G56" i="2"/>
  <c r="F56" i="2"/>
  <c r="E56" i="2"/>
  <c r="D56" i="2"/>
  <c r="C56" i="2"/>
  <c r="B56" i="2"/>
  <c r="A56" i="2"/>
  <c r="P55" i="2"/>
  <c r="O55" i="2"/>
  <c r="N55" i="2"/>
  <c r="K55" i="2"/>
  <c r="J55" i="2"/>
  <c r="I55" i="2"/>
  <c r="H55" i="2"/>
  <c r="G55" i="2"/>
  <c r="F55" i="2"/>
  <c r="E55" i="2"/>
  <c r="D55" i="2"/>
  <c r="C55" i="2"/>
  <c r="B55" i="2"/>
  <c r="A55" i="2"/>
  <c r="P54" i="2"/>
  <c r="O54" i="2"/>
  <c r="N54" i="2"/>
  <c r="K54" i="2"/>
  <c r="J54" i="2"/>
  <c r="I54" i="2"/>
  <c r="H54" i="2"/>
  <c r="G54" i="2"/>
  <c r="F54" i="2"/>
  <c r="E54" i="2"/>
  <c r="D54" i="2"/>
  <c r="C54" i="2"/>
  <c r="B54" i="2"/>
  <c r="A54" i="2"/>
  <c r="P53" i="2"/>
  <c r="O53" i="2"/>
  <c r="N53" i="2"/>
  <c r="M53" i="2"/>
  <c r="K53" i="2"/>
  <c r="J53" i="2"/>
  <c r="I53" i="2"/>
  <c r="H53" i="2"/>
  <c r="G53" i="2"/>
  <c r="F53" i="2"/>
  <c r="E53" i="2"/>
  <c r="D53" i="2"/>
  <c r="C53" i="2"/>
  <c r="B53" i="2"/>
  <c r="A53" i="2"/>
  <c r="P52" i="2"/>
  <c r="O52" i="2"/>
  <c r="N52" i="2"/>
  <c r="M52" i="2"/>
  <c r="K52" i="2"/>
  <c r="J52" i="2"/>
  <c r="I52" i="2"/>
  <c r="H52" i="2"/>
  <c r="G52" i="2"/>
  <c r="F52" i="2"/>
  <c r="E52" i="2"/>
  <c r="D52" i="2"/>
  <c r="C52" i="2"/>
  <c r="B52" i="2"/>
  <c r="A52" i="2"/>
  <c r="P51" i="2"/>
  <c r="O51" i="2"/>
  <c r="N51" i="2"/>
  <c r="K51" i="2"/>
  <c r="J51" i="2"/>
  <c r="I51" i="2"/>
  <c r="H51" i="2"/>
  <c r="G51" i="2"/>
  <c r="F51" i="2"/>
  <c r="E51" i="2"/>
  <c r="D51" i="2"/>
  <c r="C51" i="2"/>
  <c r="B51" i="2"/>
  <c r="A51" i="2"/>
  <c r="O50" i="2"/>
  <c r="N50" i="2"/>
  <c r="M50" i="2"/>
  <c r="L50" i="2"/>
  <c r="K50" i="2"/>
  <c r="J50" i="2"/>
  <c r="I50" i="2"/>
  <c r="H50" i="2"/>
  <c r="G50" i="2"/>
  <c r="F50" i="2"/>
  <c r="E50" i="2"/>
  <c r="D50" i="2"/>
  <c r="C50" i="2"/>
  <c r="B50" i="2"/>
  <c r="A50" i="2"/>
  <c r="O49" i="2"/>
  <c r="N49" i="2"/>
  <c r="J49" i="2"/>
  <c r="I49" i="2"/>
  <c r="H49" i="2"/>
  <c r="G49" i="2"/>
  <c r="F49" i="2"/>
  <c r="E49" i="2"/>
  <c r="D49" i="2"/>
  <c r="C49" i="2"/>
  <c r="B49" i="2"/>
  <c r="A49" i="2"/>
  <c r="P48" i="2"/>
  <c r="O48" i="2"/>
  <c r="N48" i="2"/>
  <c r="M48" i="2"/>
  <c r="L48" i="2"/>
  <c r="K48" i="2"/>
  <c r="J48" i="2"/>
  <c r="I48" i="2"/>
  <c r="H48" i="2"/>
  <c r="G48" i="2"/>
  <c r="F48" i="2"/>
  <c r="E48" i="2"/>
  <c r="D48" i="2"/>
  <c r="C48" i="2"/>
  <c r="B48" i="2"/>
  <c r="A48" i="2"/>
  <c r="R47" i="2"/>
  <c r="O47" i="2"/>
  <c r="N47" i="2"/>
  <c r="L47" i="2"/>
  <c r="J47" i="2"/>
  <c r="I47" i="2"/>
  <c r="H47" i="2"/>
  <c r="G47" i="2"/>
  <c r="F47" i="2"/>
  <c r="E47" i="2"/>
  <c r="D47" i="2"/>
  <c r="C47" i="2"/>
  <c r="B47" i="2"/>
  <c r="A47" i="2"/>
  <c r="P46" i="2"/>
  <c r="O46" i="2"/>
  <c r="N46" i="2"/>
  <c r="M46" i="2"/>
  <c r="L46" i="2"/>
  <c r="K46" i="2"/>
  <c r="J46" i="2"/>
  <c r="I46" i="2"/>
  <c r="H46" i="2"/>
  <c r="G46" i="2"/>
  <c r="F46" i="2"/>
  <c r="E46" i="2"/>
  <c r="D46" i="2"/>
  <c r="C46" i="2"/>
  <c r="B46" i="2"/>
  <c r="A46" i="2"/>
  <c r="P45" i="2"/>
  <c r="O45" i="2"/>
  <c r="N45" i="2"/>
  <c r="M45" i="2"/>
  <c r="K45" i="2"/>
  <c r="J45" i="2"/>
  <c r="I45" i="2"/>
  <c r="H45" i="2"/>
  <c r="G45" i="2"/>
  <c r="F45" i="2"/>
  <c r="E45" i="2"/>
  <c r="D45" i="2"/>
  <c r="C45" i="2"/>
  <c r="B45" i="2"/>
  <c r="A45" i="2"/>
  <c r="P44" i="2"/>
  <c r="O44" i="2"/>
  <c r="N44" i="2"/>
  <c r="K44" i="2"/>
  <c r="J44" i="2"/>
  <c r="I44" i="2"/>
  <c r="H44" i="2"/>
  <c r="G44" i="2"/>
  <c r="F44" i="2"/>
  <c r="E44" i="2"/>
  <c r="D44" i="2"/>
  <c r="C44" i="2"/>
  <c r="B44" i="2"/>
  <c r="A44" i="2"/>
  <c r="R43" i="2"/>
  <c r="O43" i="2"/>
  <c r="N43" i="2"/>
  <c r="L43" i="2"/>
  <c r="J43" i="2"/>
  <c r="I43" i="2"/>
  <c r="H43" i="2"/>
  <c r="G43" i="2"/>
  <c r="F43" i="2"/>
  <c r="E43" i="2"/>
  <c r="D43" i="2"/>
  <c r="C43" i="2"/>
  <c r="B43" i="2"/>
  <c r="A43" i="2"/>
  <c r="P42" i="2"/>
  <c r="O42" i="2"/>
  <c r="N42" i="2"/>
  <c r="L42" i="2"/>
  <c r="J42" i="2"/>
  <c r="I42" i="2"/>
  <c r="H42" i="2"/>
  <c r="G42" i="2"/>
  <c r="F42" i="2"/>
  <c r="E42" i="2"/>
  <c r="D42" i="2"/>
  <c r="C42" i="2"/>
  <c r="B42" i="2"/>
  <c r="A42" i="2"/>
  <c r="R41" i="2"/>
  <c r="O41" i="2"/>
  <c r="N41" i="2"/>
  <c r="L41" i="2"/>
  <c r="J41" i="2"/>
  <c r="I41" i="2"/>
  <c r="H41" i="2"/>
  <c r="G41" i="2"/>
  <c r="F41" i="2"/>
  <c r="E41" i="2"/>
  <c r="D41" i="2"/>
  <c r="C41" i="2"/>
  <c r="B41" i="2"/>
  <c r="A41" i="2"/>
  <c r="O40" i="2"/>
  <c r="N40" i="2"/>
  <c r="J40" i="2"/>
  <c r="I40" i="2"/>
  <c r="H40" i="2"/>
  <c r="G40" i="2"/>
  <c r="F40" i="2"/>
  <c r="E40" i="2"/>
  <c r="D40" i="2"/>
  <c r="C40" i="2"/>
  <c r="B40" i="2"/>
  <c r="A40" i="2"/>
  <c r="P39" i="2"/>
  <c r="O39" i="2"/>
  <c r="N39" i="2"/>
  <c r="K39" i="2"/>
  <c r="J39" i="2"/>
  <c r="I39" i="2"/>
  <c r="H39" i="2"/>
  <c r="G39" i="2"/>
  <c r="F39" i="2"/>
  <c r="E39" i="2"/>
  <c r="D39" i="2"/>
  <c r="C39" i="2"/>
  <c r="B39" i="2"/>
  <c r="A39" i="2"/>
  <c r="R38" i="2"/>
  <c r="O38" i="2"/>
  <c r="L38" i="2"/>
  <c r="J38" i="2"/>
  <c r="I38" i="2"/>
  <c r="H38" i="2"/>
  <c r="G38" i="2"/>
  <c r="F38" i="2"/>
  <c r="E38" i="2"/>
  <c r="D38" i="2"/>
  <c r="C38" i="2"/>
  <c r="B38" i="2"/>
  <c r="A38" i="2"/>
  <c r="O37" i="2"/>
  <c r="J37" i="2"/>
  <c r="I37" i="2"/>
  <c r="H37" i="2"/>
  <c r="G37" i="2"/>
  <c r="F37" i="2"/>
  <c r="E37" i="2"/>
  <c r="D37" i="2"/>
  <c r="C37" i="2"/>
  <c r="B37" i="2"/>
  <c r="A37" i="2"/>
  <c r="P36" i="2"/>
  <c r="O36" i="2"/>
  <c r="K36" i="2"/>
  <c r="J36" i="2"/>
  <c r="I36" i="2"/>
  <c r="H36" i="2"/>
  <c r="G36" i="2"/>
  <c r="F36" i="2"/>
  <c r="E36" i="2"/>
  <c r="D36" i="2"/>
  <c r="C36" i="2"/>
  <c r="B36" i="2"/>
  <c r="A36" i="2"/>
  <c r="P35" i="2"/>
  <c r="O35" i="2"/>
  <c r="K35" i="2"/>
  <c r="J35" i="2"/>
  <c r="I35" i="2"/>
  <c r="H35" i="2"/>
  <c r="G35" i="2"/>
  <c r="F35" i="2"/>
  <c r="E35" i="2"/>
  <c r="D35" i="2"/>
  <c r="C35" i="2"/>
  <c r="B35" i="2"/>
  <c r="A35" i="2"/>
  <c r="P34" i="2"/>
  <c r="O34" i="2"/>
  <c r="K34" i="2"/>
  <c r="J34" i="2"/>
  <c r="I34" i="2"/>
  <c r="H34" i="2"/>
  <c r="G34" i="2"/>
  <c r="F34" i="2"/>
  <c r="E34" i="2"/>
  <c r="D34" i="2"/>
  <c r="C34" i="2"/>
  <c r="B34" i="2"/>
  <c r="A34" i="2"/>
  <c r="P33" i="2"/>
  <c r="O33" i="2"/>
  <c r="K33" i="2"/>
  <c r="J33" i="2"/>
  <c r="I33" i="2"/>
  <c r="H33" i="2"/>
  <c r="G33" i="2"/>
  <c r="F33" i="2"/>
  <c r="E33" i="2"/>
  <c r="D33" i="2"/>
  <c r="C33" i="2"/>
  <c r="B33" i="2"/>
  <c r="A33" i="2"/>
  <c r="R32" i="2"/>
  <c r="O32" i="2"/>
  <c r="L32" i="2"/>
  <c r="J32" i="2"/>
  <c r="I32" i="2"/>
  <c r="H32" i="2"/>
  <c r="G32" i="2"/>
  <c r="F32" i="2"/>
  <c r="E32" i="2"/>
  <c r="D32" i="2"/>
  <c r="C32" i="2"/>
  <c r="B32" i="2"/>
  <c r="A32" i="2"/>
  <c r="R31" i="2"/>
  <c r="O31" i="2"/>
  <c r="L31" i="2"/>
  <c r="J31" i="2"/>
  <c r="I31" i="2"/>
  <c r="H31" i="2"/>
  <c r="G31" i="2"/>
  <c r="F31" i="2"/>
  <c r="E31" i="2"/>
  <c r="D31" i="2"/>
  <c r="C31" i="2"/>
  <c r="B31" i="2"/>
  <c r="A31" i="2"/>
  <c r="P30" i="2"/>
  <c r="O30" i="2"/>
  <c r="K30" i="2"/>
  <c r="J30" i="2"/>
  <c r="I30" i="2"/>
  <c r="H30" i="2"/>
  <c r="G30" i="2"/>
  <c r="F30" i="2"/>
  <c r="E30" i="2"/>
  <c r="D30" i="2"/>
  <c r="C30" i="2"/>
  <c r="B30" i="2"/>
  <c r="A30" i="2"/>
  <c r="P29" i="2"/>
  <c r="O29" i="2"/>
  <c r="K29" i="2"/>
  <c r="J29" i="2"/>
  <c r="I29" i="2"/>
  <c r="H29" i="2"/>
  <c r="G29" i="2"/>
  <c r="F29" i="2"/>
  <c r="E29" i="2"/>
  <c r="D29" i="2"/>
  <c r="C29" i="2"/>
  <c r="B29" i="2"/>
  <c r="A29" i="2"/>
  <c r="O28" i="2"/>
  <c r="K28" i="2"/>
  <c r="J28" i="2"/>
  <c r="I28" i="2"/>
  <c r="H28" i="2"/>
  <c r="G28" i="2"/>
  <c r="F28" i="2"/>
  <c r="E28" i="2"/>
  <c r="D28" i="2"/>
  <c r="C28" i="2"/>
  <c r="B28" i="2"/>
  <c r="A28" i="2"/>
  <c r="P27" i="2"/>
  <c r="O27" i="2"/>
  <c r="K27" i="2"/>
  <c r="J27" i="2"/>
  <c r="I27" i="2"/>
  <c r="H27" i="2"/>
  <c r="G27" i="2"/>
  <c r="F27" i="2"/>
  <c r="E27" i="2"/>
  <c r="D27" i="2"/>
  <c r="C27" i="2"/>
  <c r="B27" i="2"/>
  <c r="A27" i="2"/>
  <c r="P26" i="2"/>
  <c r="O26" i="2"/>
  <c r="K26" i="2"/>
  <c r="J26" i="2"/>
  <c r="I26" i="2"/>
  <c r="H26" i="2"/>
  <c r="G26" i="2"/>
  <c r="F26" i="2"/>
  <c r="E26" i="2"/>
  <c r="D26" i="2"/>
  <c r="C26" i="2"/>
  <c r="B26" i="2"/>
  <c r="A26" i="2"/>
  <c r="P25" i="2"/>
  <c r="O25" i="2"/>
  <c r="K25" i="2"/>
  <c r="J25" i="2"/>
  <c r="I25" i="2"/>
  <c r="H25" i="2"/>
  <c r="G25" i="2"/>
  <c r="F25" i="2"/>
  <c r="E25" i="2"/>
  <c r="D25" i="2"/>
  <c r="C25" i="2"/>
  <c r="B25" i="2"/>
  <c r="A25" i="2"/>
  <c r="P24" i="2"/>
  <c r="O24" i="2"/>
  <c r="K24" i="2"/>
  <c r="J24" i="2"/>
  <c r="I24" i="2"/>
  <c r="H24" i="2"/>
  <c r="G24" i="2"/>
  <c r="F24" i="2"/>
  <c r="E24" i="2"/>
  <c r="D24" i="2"/>
  <c r="C24" i="2"/>
  <c r="B24" i="2"/>
  <c r="A24" i="2"/>
  <c r="P23" i="2"/>
  <c r="O23" i="2"/>
  <c r="K23" i="2"/>
  <c r="J23" i="2"/>
  <c r="I23" i="2"/>
  <c r="H23" i="2"/>
  <c r="G23" i="2"/>
  <c r="F23" i="2"/>
  <c r="E23" i="2"/>
  <c r="D23" i="2"/>
  <c r="C23" i="2"/>
  <c r="B23" i="2"/>
  <c r="A23" i="2"/>
  <c r="P22" i="2"/>
  <c r="O22" i="2"/>
  <c r="K22" i="2"/>
  <c r="J22" i="2"/>
  <c r="I22" i="2"/>
  <c r="H22" i="2"/>
  <c r="G22" i="2"/>
  <c r="F22" i="2"/>
  <c r="E22" i="2"/>
  <c r="D22" i="2"/>
  <c r="C22" i="2"/>
  <c r="B22" i="2"/>
  <c r="A22" i="2"/>
  <c r="O21" i="2"/>
  <c r="K21" i="2"/>
  <c r="J21" i="2"/>
  <c r="I21" i="2"/>
  <c r="H21" i="2"/>
  <c r="G21" i="2"/>
  <c r="F21" i="2"/>
  <c r="E21" i="2"/>
  <c r="D21" i="2"/>
  <c r="C21" i="2"/>
  <c r="B21" i="2"/>
  <c r="A21" i="2"/>
  <c r="P20" i="2"/>
  <c r="O20" i="2"/>
  <c r="K20" i="2"/>
  <c r="J20" i="2"/>
  <c r="I20" i="2"/>
  <c r="H20" i="2"/>
  <c r="G20" i="2"/>
  <c r="F20" i="2"/>
  <c r="E20" i="2"/>
  <c r="D20" i="2"/>
  <c r="C20" i="2"/>
  <c r="B20" i="2"/>
  <c r="A20" i="2"/>
  <c r="P19" i="2"/>
  <c r="O19" i="2"/>
  <c r="K19" i="2"/>
  <c r="J19" i="2"/>
  <c r="I19" i="2"/>
  <c r="H19" i="2"/>
  <c r="G19" i="2"/>
  <c r="F19" i="2"/>
  <c r="E19" i="2"/>
  <c r="D19" i="2"/>
  <c r="C19" i="2"/>
  <c r="B19" i="2"/>
  <c r="A19" i="2"/>
  <c r="P18" i="2"/>
  <c r="O18" i="2"/>
  <c r="K18" i="2"/>
  <c r="J18" i="2"/>
  <c r="I18" i="2"/>
  <c r="H18" i="2"/>
  <c r="G18" i="2"/>
  <c r="F18" i="2"/>
  <c r="E18" i="2"/>
  <c r="D18" i="2"/>
  <c r="C18" i="2"/>
  <c r="B18" i="2"/>
  <c r="A18" i="2"/>
  <c r="R17" i="2"/>
  <c r="P17" i="2"/>
  <c r="O17" i="2"/>
  <c r="L17" i="2"/>
  <c r="J17" i="2"/>
  <c r="I17" i="2"/>
  <c r="H17" i="2"/>
  <c r="G17" i="2"/>
  <c r="F17" i="2"/>
  <c r="E17" i="2"/>
  <c r="D17" i="2"/>
  <c r="C17" i="2"/>
  <c r="B17" i="2"/>
  <c r="A17" i="2"/>
  <c r="P16" i="2"/>
  <c r="O16" i="2"/>
  <c r="N16" i="2"/>
  <c r="M16" i="2"/>
  <c r="K16" i="2"/>
  <c r="J16" i="2"/>
  <c r="I16" i="2"/>
  <c r="H16" i="2"/>
  <c r="G16" i="2"/>
  <c r="F16" i="2"/>
  <c r="E16" i="2"/>
  <c r="D16" i="2"/>
  <c r="C16" i="2"/>
  <c r="B16" i="2"/>
  <c r="A16" i="2"/>
  <c r="R15" i="2"/>
  <c r="O15" i="2"/>
  <c r="M15" i="2"/>
  <c r="L15" i="2"/>
  <c r="K15" i="2"/>
  <c r="J15" i="2"/>
  <c r="I15" i="2"/>
  <c r="H15" i="2"/>
  <c r="G15" i="2"/>
  <c r="F15" i="2"/>
  <c r="E15" i="2"/>
  <c r="D15" i="2"/>
  <c r="C15" i="2"/>
  <c r="B15" i="2"/>
  <c r="A15" i="2"/>
  <c r="P14" i="2"/>
  <c r="O14" i="2"/>
  <c r="K14" i="2"/>
  <c r="J14" i="2"/>
  <c r="I14" i="2"/>
  <c r="H14" i="2"/>
  <c r="G14" i="2"/>
  <c r="F14" i="2"/>
  <c r="E14" i="2"/>
  <c r="D14" i="2"/>
  <c r="C14" i="2"/>
  <c r="B14" i="2"/>
  <c r="A14" i="2"/>
  <c r="P13" i="2"/>
  <c r="O13" i="2"/>
  <c r="N13" i="2"/>
  <c r="M13" i="2"/>
  <c r="K13" i="2"/>
  <c r="J13" i="2"/>
  <c r="I13" i="2"/>
  <c r="H13" i="2"/>
  <c r="G13" i="2"/>
  <c r="F13" i="2"/>
  <c r="E13" i="2"/>
  <c r="D13" i="2"/>
  <c r="C13" i="2"/>
  <c r="B13" i="2"/>
  <c r="A13" i="2"/>
  <c r="R12" i="2"/>
  <c r="P12" i="2"/>
  <c r="O12" i="2"/>
  <c r="L12" i="2"/>
  <c r="J12" i="2"/>
  <c r="I12" i="2"/>
  <c r="H12" i="2"/>
  <c r="G12" i="2"/>
  <c r="F12" i="2"/>
  <c r="E12" i="2"/>
  <c r="D12" i="2"/>
  <c r="C12" i="2"/>
  <c r="B12" i="2"/>
  <c r="A12" i="2"/>
  <c r="P11" i="2"/>
  <c r="O11" i="2"/>
  <c r="N11" i="2"/>
  <c r="M11" i="2"/>
  <c r="K11" i="2"/>
  <c r="J11" i="2"/>
  <c r="I11" i="2"/>
  <c r="H11" i="2"/>
  <c r="G11" i="2"/>
  <c r="F11" i="2"/>
  <c r="E11" i="2"/>
  <c r="D11" i="2"/>
  <c r="C11" i="2"/>
  <c r="B11" i="2"/>
  <c r="A11" i="2"/>
  <c r="P10" i="2"/>
  <c r="O10" i="2"/>
  <c r="N10" i="2"/>
  <c r="M10" i="2"/>
  <c r="K10" i="2"/>
  <c r="J10" i="2"/>
  <c r="I10" i="2"/>
  <c r="H10" i="2"/>
  <c r="G10" i="2"/>
  <c r="F10" i="2"/>
  <c r="E10" i="2"/>
  <c r="D10" i="2"/>
  <c r="C10" i="2"/>
  <c r="B10" i="2"/>
  <c r="A10" i="2"/>
  <c r="R9" i="2"/>
  <c r="P9" i="2"/>
  <c r="O9" i="2"/>
  <c r="N9" i="2"/>
  <c r="M9" i="2"/>
  <c r="L9" i="2"/>
  <c r="J9" i="2"/>
  <c r="I9" i="2"/>
  <c r="H9" i="2"/>
  <c r="G9" i="2"/>
  <c r="F9" i="2"/>
  <c r="E9" i="2"/>
  <c r="D9" i="2"/>
  <c r="C9" i="2"/>
  <c r="B9" i="2"/>
  <c r="A9" i="2"/>
  <c r="R8" i="2"/>
  <c r="P8" i="2"/>
  <c r="O8" i="2"/>
  <c r="N8" i="2"/>
  <c r="M8" i="2"/>
  <c r="L8" i="2"/>
  <c r="J8" i="2"/>
  <c r="I8" i="2"/>
  <c r="H8" i="2"/>
  <c r="G8" i="2"/>
  <c r="F8" i="2"/>
  <c r="E8" i="2"/>
  <c r="D8" i="2"/>
  <c r="C8" i="2"/>
  <c r="B8" i="2"/>
  <c r="A8" i="2"/>
  <c r="P7" i="2"/>
  <c r="O7" i="2"/>
  <c r="N7" i="2"/>
  <c r="M7" i="2"/>
  <c r="K7" i="2"/>
  <c r="J7" i="2"/>
  <c r="I7" i="2"/>
  <c r="H7" i="2"/>
  <c r="G7" i="2"/>
  <c r="F7" i="2"/>
  <c r="E7" i="2"/>
  <c r="D7" i="2"/>
  <c r="C7" i="2"/>
  <c r="B7" i="2"/>
  <c r="A7" i="2"/>
  <c r="P6" i="2"/>
  <c r="O6" i="2"/>
  <c r="N6" i="2"/>
  <c r="M6" i="2"/>
  <c r="K6" i="2"/>
  <c r="J6" i="2"/>
  <c r="I6" i="2"/>
  <c r="H6" i="2"/>
  <c r="G6" i="2"/>
  <c r="F6" i="2"/>
  <c r="E6" i="2"/>
  <c r="D6" i="2"/>
  <c r="C6" i="2"/>
  <c r="B6" i="2"/>
  <c r="A6" i="2"/>
  <c r="R5" i="2"/>
  <c r="P5" i="2"/>
  <c r="O5" i="2"/>
  <c r="N5" i="2"/>
  <c r="M5" i="2"/>
  <c r="L5" i="2"/>
  <c r="J5" i="2"/>
  <c r="I5" i="2"/>
  <c r="H5" i="2"/>
  <c r="G5" i="2"/>
  <c r="F5" i="2"/>
  <c r="E5" i="2"/>
  <c r="D5" i="2"/>
  <c r="C5" i="2"/>
  <c r="B5" i="2"/>
  <c r="A5" i="2"/>
  <c r="R4" i="2"/>
  <c r="O4" i="2"/>
  <c r="N4" i="2"/>
  <c r="L4" i="2"/>
  <c r="J4" i="2"/>
  <c r="I4" i="2"/>
  <c r="H4" i="2"/>
  <c r="G4" i="2"/>
  <c r="F4" i="2"/>
  <c r="E4" i="2"/>
  <c r="D4" i="2"/>
  <c r="C4" i="2"/>
  <c r="B4" i="2"/>
  <c r="A4" i="2"/>
  <c r="R3" i="2"/>
  <c r="O3" i="2"/>
  <c r="N3" i="2"/>
  <c r="M3" i="2"/>
  <c r="L3" i="2"/>
  <c r="J3" i="2"/>
  <c r="I3" i="2"/>
  <c r="H3" i="2"/>
  <c r="G3" i="2"/>
  <c r="F3" i="2"/>
  <c r="E3" i="2"/>
  <c r="D3" i="2"/>
  <c r="C3" i="2"/>
  <c r="B3" i="2"/>
  <c r="A3" i="2"/>
  <c r="P2" i="2"/>
  <c r="O2" i="2"/>
  <c r="N2" i="2"/>
  <c r="K2" i="2"/>
  <c r="J2" i="2"/>
  <c r="I2" i="2"/>
  <c r="H2" i="2"/>
  <c r="G2" i="2"/>
  <c r="F2" i="2"/>
  <c r="E2" i="2"/>
  <c r="D2" i="2"/>
  <c r="C2" i="2"/>
  <c r="B2" i="2"/>
  <c r="A2" i="2"/>
  <c r="T1" i="2"/>
  <c r="S1" i="2"/>
  <c r="R1" i="2"/>
  <c r="Q1" i="2"/>
  <c r="P1" i="2"/>
  <c r="O1" i="2"/>
  <c r="N1" i="2"/>
  <c r="M1" i="2"/>
  <c r="L1" i="2"/>
  <c r="K1" i="2"/>
  <c r="J1" i="2"/>
  <c r="I1" i="2"/>
  <c r="H1" i="2"/>
  <c r="G1" i="2"/>
  <c r="F1" i="2"/>
  <c r="E1" i="2"/>
  <c r="D1" i="2"/>
  <c r="C1" i="2"/>
  <c r="B1" i="2"/>
  <c r="A1" i="2"/>
</calcChain>
</file>

<file path=xl/sharedStrings.xml><?xml version="1.0" encoding="utf-8"?>
<sst xmlns="http://schemas.openxmlformats.org/spreadsheetml/2006/main" count="5330" uniqueCount="2878">
  <si>
    <t>https://forms.gle/Zz5M74mUypXj2g458</t>
  </si>
  <si>
    <t>Submission ID</t>
  </si>
  <si>
    <t>Parcel ID</t>
  </si>
  <si>
    <t>Street Address</t>
  </si>
  <si>
    <t>City</t>
  </si>
  <si>
    <t>State</t>
  </si>
  <si>
    <t>ZIP</t>
  </si>
  <si>
    <t>Price Before</t>
  </si>
  <si>
    <t>Price After</t>
  </si>
  <si>
    <t>% Increase</t>
  </si>
  <si>
    <t>Date of Price Increase</t>
  </si>
  <si>
    <t>Date of Last Price Before Increase</t>
  </si>
  <si>
    <t>Listing Site</t>
  </si>
  <si>
    <t>Link to Listing</t>
  </si>
  <si>
    <t>Address Hidden by Lister</t>
  </si>
  <si>
    <t>Listing Agent Name</t>
  </si>
  <si>
    <t>Listing Agent Phone</t>
  </si>
  <si>
    <t>Owner Name</t>
  </si>
  <si>
    <t>Owner Phone</t>
  </si>
  <si>
    <t>Comments</t>
  </si>
  <si>
    <t>Screengrabs</t>
  </si>
  <si>
    <t>Called In to 311?</t>
  </si>
  <si>
    <t>Service Request # (Report Submitted)</t>
  </si>
  <si>
    <t>0111-231845</t>
  </si>
  <si>
    <t>716 Rochedale Way</t>
  </si>
  <si>
    <t>Los Angeles</t>
  </si>
  <si>
    <t>CA</t>
  </si>
  <si>
    <t>Zillow</t>
  </si>
  <si>
    <t>https://www.zillow.com/homedetails/716-Rochedale-Way-Los-Angeles-CA-90049/20560159_zpid/</t>
  </si>
  <si>
    <t>M Joseph</t>
  </si>
  <si>
    <t>N/A</t>
  </si>
  <si>
    <t xml:space="preserve">
Was listed in March 2024 and got taken down, then was relisted for 2x the rent on January 10 </t>
  </si>
  <si>
    <t>https://drive.google.com/open?id=1TNZjEhc8FT1ZB4hscYcjp8j9RfhQ6pua</t>
  </si>
  <si>
    <t>Yes</t>
  </si>
  <si>
    <t>1-5121955301</t>
  </si>
  <si>
    <t>0111-232345</t>
  </si>
  <si>
    <t>3512 Crestmont Ave</t>
  </si>
  <si>
    <t>https://www.zillow.com/homedetails/3512-Crestmont-Ave-Los-Angeles-CA-90026/20746365_zpid/</t>
  </si>
  <si>
    <t>No data</t>
  </si>
  <si>
    <t>Edward Kay</t>
  </si>
  <si>
    <t>(818) 401-8719</t>
  </si>
  <si>
    <t xml:space="preserve">22% increase from the listing posted on 10/19/24
Listing removed in late December, re-added Jan 11 </t>
  </si>
  <si>
    <t>https://drive.google.com/open?id=1sm1ldDEdkeEeS5nfhyOXxZo1hYp050CE</t>
  </si>
  <si>
    <t>1-5121968711</t>
  </si>
  <si>
    <t>0111-233006</t>
  </si>
  <si>
    <t>8966 Shoreham Dr</t>
  </si>
  <si>
    <t>https://www.zillow.com/homedetails/8966-Shoreham-Dr-Los-Angeles-CA-90069/20799415_zpid/</t>
  </si>
  <si>
    <t>Mark Bua; Keller Williams Studio City</t>
  </si>
  <si>
    <t>(818) 380-5206</t>
  </si>
  <si>
    <t xml:space="preserve">Listing removed on 11/6/24 at $8,500, relisted for rent on 1/9/25 at 35.3% increase
</t>
  </si>
  <si>
    <t>https://drive.google.com/open?id=1csTqJmRE_F3wALrmm-rYWP3W2ef8M5Ts</t>
  </si>
  <si>
    <t>1-5121989561</t>
  </si>
  <si>
    <t>0111-234452</t>
  </si>
  <si>
    <t>1923 Sunset Plaza</t>
  </si>
  <si>
    <t>https://www.zillow.com/homedetails/1923-Sunset-Plaza-Dr-Los-Angeles-CA-90069/20798097_zpid/</t>
  </si>
  <si>
    <t>Marisa; Revel Real Estate</t>
  </si>
  <si>
    <t>(213) 318-4745</t>
  </si>
  <si>
    <t xml:space="preserve">Price dropped to $11,850 on 12/25/24, price increase by 13.9% to $13,500 on 1/10/25
</t>
  </si>
  <si>
    <t>https://drive.google.com/open?id=1VZKz8NhCgbqmURwk6w9lnrv9BO0R5Eaw</t>
  </si>
  <si>
    <t>1-5122011911</t>
  </si>
  <si>
    <t>0111-234824</t>
  </si>
  <si>
    <t xml:space="preserve">N/A </t>
  </si>
  <si>
    <t>Undisclosed Address</t>
  </si>
  <si>
    <t>https://www.zillow.com/homedetails/Los-Angeles-CA-90046/20803208_zpid/</t>
  </si>
  <si>
    <t>echo 2 llc</t>
  </si>
  <si>
    <t>(213) 393-6060</t>
  </si>
  <si>
    <t xml:space="preserve">Listed for rent on 1/4/25 at a 25% increase from it's previous listing in Oct 2024, price increased again 5 days later on 1/9/25 for another 30% to $15k/month!
</t>
  </si>
  <si>
    <t>https://drive.google.com/open?id=1zziP6iwuq3qVslEmht_f7YUJnREGjhjx</t>
  </si>
  <si>
    <t>1-5122031371</t>
  </si>
  <si>
    <t>0111-235244</t>
  </si>
  <si>
    <t>1915 S Crescent Heights Blvd</t>
  </si>
  <si>
    <t>https://www.zillow.com/homedetails/1915-S-Crescent-Heights-Blvd-Los-Angeles-CA-90034/20598384_zpid/</t>
  </si>
  <si>
    <t>(310) 666-9972</t>
  </si>
  <si>
    <t>Fariba and Carmelo</t>
  </si>
  <si>
    <t xml:space="preserve">The listing was removed about a year ago and relisted on 1/9/25. However, flagging this one because the price previously ranged from 6-7k. The relisted price after the fires is now $15,000/month which is a 127.3% increase from it's previous listing just one year ago.
</t>
  </si>
  <si>
    <t>https://drive.google.com/open?id=1Zew-llRUzDNfN8RUPCh1xX5c3y-3Waca</t>
  </si>
  <si>
    <t>1-5122038481</t>
  </si>
  <si>
    <t>0111-235657</t>
  </si>
  <si>
    <t>23716 Archwood St</t>
  </si>
  <si>
    <t>West Hills</t>
  </si>
  <si>
    <t>https://www.zillow.com/homedetails/23716-Archwood-St-West-Hills-CA-91307/340040879_zpid/</t>
  </si>
  <si>
    <t>Sharon FurmanLee; Lakai LLC</t>
  </si>
  <si>
    <t>(310) 696-9620</t>
  </si>
  <si>
    <t xml:space="preserve">Previously listed at $10,500 and removed on 11/6/24..relisted after the fires for $12,000 on 1/9/25 (14.3% increase) and increased again on 1/11/25 to $13,000 (another 8.3%). Total increase of 23.8% in just 2 months.
</t>
  </si>
  <si>
    <t>https://drive.google.com/open?id=1islSFMMCwgXyhAlstDg6hU7Xl7m3yO9p</t>
  </si>
  <si>
    <t>1-5122069931</t>
  </si>
  <si>
    <t>0112-000057</t>
  </si>
  <si>
    <t>6255 W Olympic Blvd #2</t>
  </si>
  <si>
    <t>https://www.zillow.com/homedetails/6255-W-Olympic-Blvd-2-Los-Angeles-CA-90048/443225953_zpid/</t>
  </si>
  <si>
    <t>Cubier Inc</t>
  </si>
  <si>
    <t xml:space="preserve">Price decrease to $5,500 on 12/29/24 followed by a 36.4% increase to $7,500 after fires on 1/10/25. The next day, the price doubled to $15k. A total of 136% increase.
</t>
  </si>
  <si>
    <t>https://drive.google.com/open?id=1LFNYyfOfLWzQJCUTfqJyy5sO9xFI8daV</t>
  </si>
  <si>
    <t>1-5122082221</t>
  </si>
  <si>
    <t>0112-002443</t>
  </si>
  <si>
    <t>2700 Cahuenga Blvd E APT 4111</t>
  </si>
  <si>
    <t>https://www.zillow.com/homedetails/2700-Cahuenga-Blvd-E-APT-4111-Los-Angeles-CA-90068/20804778_zpid/</t>
  </si>
  <si>
    <t>(310) 362-9937</t>
  </si>
  <si>
    <t>Christopher Fitzmorris</t>
  </si>
  <si>
    <t xml:space="preserve">
Relisted amd then price was increased</t>
  </si>
  <si>
    <t>1-5122093021</t>
  </si>
  <si>
    <t>0112-002550</t>
  </si>
  <si>
    <t>3715 kelton ave apt 3</t>
  </si>
  <si>
    <t>los angeles</t>
  </si>
  <si>
    <t>https://www.zillow.com/homedetails/3715-Kelton-Ave-APT-3-Los-Angeles-CA-90034/2080996983_zpid/</t>
  </si>
  <si>
    <t xml:space="preserve"> Mark Rogo; Metropolitan Property Services, LLC</t>
  </si>
  <si>
    <t>(213) 280-6415</t>
  </si>
  <si>
    <t>I used to live here and moved out Oct 2024 - when i lived there, the rent was 3100 total. when my roommates and i moved out, the property was turned over to a management company and the unit has stayed vacant since. i have seen the price for the empty unit fluctuate since i’ve checked up on it since we moved out but this recent jump is unprecedented and illegal. the property is still owned by Mark Rogo and it’s a four unit building, with long-term residents in units 1 and 4.
egregious</t>
  </si>
  <si>
    <t>https://drive.google.com/open?id=1vp-6LaM8Q3pmMyzuwPU02qK0UPQGiEwJ, https://drive.google.com/open?id=1R-N4owVS9QscAZdWDwfFzRTCvzjJ7rBB</t>
  </si>
  <si>
    <t>1-5122104771</t>
  </si>
  <si>
    <t>0112-002712</t>
  </si>
  <si>
    <t>5059 Hermosa Ave</t>
  </si>
  <si>
    <t>https://www.zillow.com/homedetails/5059-Hermosa-Ave-Los-Angeles-CA-90041/2090546544_zpid/</t>
  </si>
  <si>
    <t>Benjamin Cheng</t>
  </si>
  <si>
    <t>(657) 571-7642</t>
  </si>
  <si>
    <t xml:space="preserve">
</t>
  </si>
  <si>
    <t>1-5122123841</t>
  </si>
  <si>
    <t>0112-003937</t>
  </si>
  <si>
    <t>1427 Columbia Dr</t>
  </si>
  <si>
    <t>Glendale</t>
  </si>
  <si>
    <t>https://www.zillow.com/homedetails/1427-Columbia-Dr-Glendale-CA-91205/20847539_zpid/</t>
  </si>
  <si>
    <t>Iliana (no longer listed? 1/12 AS)</t>
  </si>
  <si>
    <t>Philip</t>
  </si>
  <si>
    <t>(323) 577-5992</t>
  </si>
  <si>
    <t xml:space="preserve">The last time they price gouged this home was 02/07/2020, increasing the rent 240% from 2,500 a month to 8,500 a month so they seem to have a history of price gouging during emergencies.
</t>
  </si>
  <si>
    <t>1-5122144361</t>
  </si>
  <si>
    <t>0112-024021</t>
  </si>
  <si>
    <t>3931Berry Drive</t>
  </si>
  <si>
    <t>Studio City</t>
  </si>
  <si>
    <t>https://www.zillow.com/homedetails/3931-Berry-Dr-Studio-City-CA-91604/20028364_zpid/</t>
  </si>
  <si>
    <t>Month2month</t>
  </si>
  <si>
    <t>(949) 649-4946</t>
  </si>
  <si>
    <t xml:space="preserve">$10,000 on 08/01/2024, changed to $16,000 on 01/09/2025
</t>
  </si>
  <si>
    <t>https://drive.google.com/open?id=1N-jwy0O5CQlECavSOx0ioz1XnjQZUOe8</t>
  </si>
  <si>
    <t>1-5122152661</t>
  </si>
  <si>
    <t>0112-024341</t>
  </si>
  <si>
    <t>1941 Glencod Way</t>
  </si>
  <si>
    <t>https://www.zillow.com/homedetails/1941-Glencoe-Way-Los-Angeles-CA-90068/20793801_zpid/?utm_campaign=iosappmessage&amp;utm_medium=referral&amp;utm_source=txtshare</t>
  </si>
  <si>
    <t>(213) 645-2864</t>
  </si>
  <si>
    <t>Shaked and Andrea Berenson</t>
  </si>
  <si>
    <t>1-5122169951</t>
  </si>
  <si>
    <t>0112-024604</t>
  </si>
  <si>
    <t>256 S Van Ness</t>
  </si>
  <si>
    <t>https://www.zillow.com/homedetails/256-S-Van-Ness-Ave-Los-Angeles-CA-90004/20779975_zpid/?utm_campaign=iosappmessage&amp;utm_medium=referral&amp;utm_source=txtshare</t>
  </si>
  <si>
    <t xml:space="preserve"> Peter V Buonocore; Keller Williams Realty</t>
  </si>
  <si>
    <t>(323) 762-2561</t>
  </si>
  <si>
    <t xml:space="preserve">
Raised price and then lowered it back down on 1/12</t>
  </si>
  <si>
    <t>0112-025309</t>
  </si>
  <si>
    <t>649 N Edinburgh Ave</t>
  </si>
  <si>
    <t>https://www.zillow.com/homedetails/649-N-Edinburgh-Ave-Los-Angeles-CA-90048/20786041_zpid/?utm_campaign=iosappmessage&amp;utm_medium=referral&amp;utm_source=txtshare</t>
  </si>
  <si>
    <t>LA Luxuries Real Estate Agency</t>
  </si>
  <si>
    <t>(213) 275-2092</t>
  </si>
  <si>
    <t>1-5122177151</t>
  </si>
  <si>
    <t>0112-031721</t>
  </si>
  <si>
    <t>6105 Del Valle Dr</t>
  </si>
  <si>
    <t>https://www.zillow.com/homedetails/6105-Del-Valle-Dr-Los-Angeles-CA-90048/20609699_zpid/</t>
  </si>
  <si>
    <t>Fiona Falanga</t>
  </si>
  <si>
    <t>(310) 978-5252</t>
  </si>
  <si>
    <t>1-5122187971</t>
  </si>
  <si>
    <t>0112-031917</t>
  </si>
  <si>
    <t>1916 W Court St</t>
  </si>
  <si>
    <t>https://www.zillow.com/homedetails/1916-W-Court-St-Los-Angeles-CA-90026/20627817_zpid/</t>
  </si>
  <si>
    <t>Ofir Malul</t>
  </si>
  <si>
    <t>1-5122203361</t>
  </si>
  <si>
    <t>0112-032306</t>
  </si>
  <si>
    <t>8405 Edwin Dr</t>
  </si>
  <si>
    <t>https://www.zillow.com/homedetails/8405-Edwin-Dr-Los-Angeles-CA-90046/20801360_zpid/</t>
  </si>
  <si>
    <t>Angel City Leasing, LLC</t>
  </si>
  <si>
    <t>(310) 908-0896</t>
  </si>
  <si>
    <t>1-5122220931</t>
  </si>
  <si>
    <t>0112-032505</t>
  </si>
  <si>
    <t>2229 Willetta St</t>
  </si>
  <si>
    <t>https://www.zillow.com/homedetails/2229-Willetta-St-Los-Angeles-CA-90068/20804418_zpid/</t>
  </si>
  <si>
    <t xml:space="preserve"> Mike Equity Union</t>
  </si>
  <si>
    <t>(213) 466-1186</t>
  </si>
  <si>
    <t>1-5122229971</t>
  </si>
  <si>
    <t>0112-032633</t>
  </si>
  <si>
    <t>7177 Pacific View Dr</t>
  </si>
  <si>
    <t>https://www.zillow.com/homedetails/7177-Pacific-View-Dr-Los-Angeles-CA-90068/20045420_zpid/</t>
  </si>
  <si>
    <t>Peter Cornell; The Oppenheim Group</t>
  </si>
  <si>
    <t>(310) 466-3200</t>
  </si>
  <si>
    <t>1-5122829911</t>
  </si>
  <si>
    <t>0112-032817</t>
  </si>
  <si>
    <t>2309 Hollyridge Dr</t>
  </si>
  <si>
    <t>https://www.zillow.com/homedetails/2309-Hollyridge-Dr-Los-Angeles-CA-90068/20807768_zpid/</t>
  </si>
  <si>
    <t xml:space="preserve">Sandy Shifers; Compass Beverly Hills
</t>
  </si>
  <si>
    <t>(626) 660-5596</t>
  </si>
  <si>
    <t>1-5122863791</t>
  </si>
  <si>
    <t>0112-033148</t>
  </si>
  <si>
    <t>1914 Laurel Canyon Blvd</t>
  </si>
  <si>
    <t>https://www.zillow.com/homedetails/1914-Laurel-Canyon-Blvd-Los-Angeles-CA-90046/20802462_zpid/</t>
  </si>
  <si>
    <t>Soar Estates; The Agency</t>
  </si>
  <si>
    <t>(626) 720-4680</t>
  </si>
  <si>
    <t xml:space="preserve">
Revised back to legal amount on 1/12</t>
  </si>
  <si>
    <t>1-5122889901</t>
  </si>
  <si>
    <t>0112-033321</t>
  </si>
  <si>
    <t>1456 Sunset Plaza Dr</t>
  </si>
  <si>
    <t>https://www.zillow.com/homedetails/1456-Sunset-Plaza-Dr-Los-Angeles-CA-90069/20799013_zpid/</t>
  </si>
  <si>
    <t>Billy Rose</t>
  </si>
  <si>
    <t>1-5122916391</t>
  </si>
  <si>
    <t>0112-033507</t>
  </si>
  <si>
    <t>1470 Blue Jay Way</t>
  </si>
  <si>
    <t>https://www.zillow.com/homedetails/1470-Blue-Jay-Way-Los-Angeles-CA-90069/20799733_zpid/</t>
  </si>
  <si>
    <t>Dustin Nicholas - Nicholas Property Group Inc.</t>
  </si>
  <si>
    <t>(310) 770-1847</t>
  </si>
  <si>
    <t>No</t>
  </si>
  <si>
    <t>0112-033645</t>
  </si>
  <si>
    <t>9289 Swallow Dr</t>
  </si>
  <si>
    <t>https://www.zillow.com/homedetails/9289-Swallow-Dr-Los-Angeles-CA-90069/20799708_zpid/</t>
  </si>
  <si>
    <t>Patrick Michael; LA Estate Brokerage</t>
  </si>
  <si>
    <t>(310) 776-5170</t>
  </si>
  <si>
    <t>1-5122897431</t>
  </si>
  <si>
    <t>0112-033845</t>
  </si>
  <si>
    <t>3663 Edenhurst Dr</t>
  </si>
  <si>
    <t>https://www.zillow.com/homedetails/3663-Edenhurst-Ave-Los-Angeles-CA-90039/20749912_zpid/</t>
  </si>
  <si>
    <t>Suzie</t>
  </si>
  <si>
    <t>(310) 909-3276</t>
  </si>
  <si>
    <t>1-5122931501</t>
  </si>
  <si>
    <t>0112-034025</t>
  </si>
  <si>
    <t>2260 Maravilla Dr</t>
  </si>
  <si>
    <t>https://www.zillow.com/homedetails/2260-Maravilla-Dr-Los-Angeles-CA-90068/20793606_zpid/</t>
  </si>
  <si>
    <t>peri tubul</t>
  </si>
  <si>
    <t>(702) 502-3223</t>
  </si>
  <si>
    <t>1-5122945501</t>
  </si>
  <si>
    <t>0112-034228</t>
  </si>
  <si>
    <t>1610 S Hayworth Ave</t>
  </si>
  <si>
    <t>https://www.zillow.com/homedetails/1610-S-Hayworth-Ave-Los-Angeles-CA-90035/20599960_zpid/</t>
  </si>
  <si>
    <t>Rachel</t>
  </si>
  <si>
    <t>(213) 816-4915</t>
  </si>
  <si>
    <t>1-5122955421</t>
  </si>
  <si>
    <t>0112-034614</t>
  </si>
  <si>
    <t>8401 Wyndham Rd</t>
  </si>
  <si>
    <t>https://www.zillow.com/homedetails/8401-Wyndham-Rd-Los-Angeles-CA-90046/20801560_zpid/</t>
  </si>
  <si>
    <t>Noelle</t>
  </si>
  <si>
    <t>(714) 822-0661</t>
  </si>
  <si>
    <t>1-5122967761</t>
  </si>
  <si>
    <t>0112-034928</t>
  </si>
  <si>
    <t>8400 Grand View Dr</t>
  </si>
  <si>
    <t>https://www.zillow.com/homedetails/8400-Grand-View-Dr-Los-Angeles-CA-90046/20797928_zpid/</t>
  </si>
  <si>
    <t>Tyler Buck</t>
  </si>
  <si>
    <t>(310) 735-5458</t>
  </si>
  <si>
    <t>0112-035109</t>
  </si>
  <si>
    <t>1780 S Garth Ave</t>
  </si>
  <si>
    <t xml:space="preserve">CA </t>
  </si>
  <si>
    <t>https://www.zillow.com/homedetails/1780-S-Garth-Ave-Los-Angeles-CA-90035/20492198_zpid/</t>
  </si>
  <si>
    <t>Cliff Uzan; Uzan Realty</t>
  </si>
  <si>
    <t>(310) 704-5653</t>
  </si>
  <si>
    <t>0112-035332</t>
  </si>
  <si>
    <t>7612 Willow Glen Rd</t>
  </si>
  <si>
    <t>https://www.zillow.com/homedetails/7612-Willow-Glen-Rd-Los-Angeles-CA-90046/20801864_zpid/</t>
  </si>
  <si>
    <t>1-5123006401</t>
  </si>
  <si>
    <t>0112-035506</t>
  </si>
  <si>
    <t>2379 Venus Dr</t>
  </si>
  <si>
    <t>https://www.zillow.com/homedetails/2379-Venus-Dr-Los-Angeles-CA-90046/20802341_zpid/</t>
  </si>
  <si>
    <t>George Papanikolas</t>
  </si>
  <si>
    <t>(323) 547-2347</t>
  </si>
  <si>
    <t>1-5123017921</t>
  </si>
  <si>
    <t>0112-081237</t>
  </si>
  <si>
    <t>2030 S Chapel Ave</t>
  </si>
  <si>
    <t>Alhambra</t>
  </si>
  <si>
    <t>https://www.zillow.com/homedetails/2030-S-Chapel-Ave-Alhambra-CA-91801/442707493_zpid/?utm_campaign=iosappmessage&amp;utm_medium=referral&amp;utm_source=txtshare</t>
  </si>
  <si>
    <t>Lawrence Chung</t>
  </si>
  <si>
    <t>(626) 560-9364</t>
  </si>
  <si>
    <t>https://drive.google.com/open?id=1RYPJH8Sm9tcuupW47xVccMPLhqzwEofp, https://drive.google.com/open?id=1dwmrrMDRz6kMvj4bEzICJVCiCn1eoiEw</t>
  </si>
  <si>
    <t>1-5123025241</t>
  </si>
  <si>
    <t>0112-081822</t>
  </si>
  <si>
    <t>907 Pine Grove Ave</t>
  </si>
  <si>
    <t>Los angeles</t>
  </si>
  <si>
    <t>https://www.zillow.com/homedetails/907-Pine-Grove-Ave-Los-Angeles-CA-90042/20769156_zpid/?utm_campaign=iosappmessage&amp;utm_medium=referral&amp;utm_source=txtshare</t>
  </si>
  <si>
    <t>Jonathan Sklar</t>
  </si>
  <si>
    <t>https://drive.google.com/open?id=1UnDaRtHDdF6FaD4NWEYsmPqRdTbapLkW, https://drive.google.com/open?id=1OwDID4F7CSCfVuHdMGxDfEuA1QNFDn4K</t>
  </si>
  <si>
    <t>1-5123048181</t>
  </si>
  <si>
    <t>0112-082230</t>
  </si>
  <si>
    <t>3711 Flora Ave</t>
  </si>
  <si>
    <t>https://www.zillow.com/homedetails/3711-Flora-Ave-Los-Angeles-CA-90031/20637876_zpid/?utm_campaign=iosappmessage&amp;utm_medium=referral&amp;utm_source=txtshare</t>
  </si>
  <si>
    <t>Richard Evanns</t>
  </si>
  <si>
    <t>(213) 291-4109</t>
  </si>
  <si>
    <t xml:space="preserve">
20% increase on 9th, then revised downward on the 12th</t>
  </si>
  <si>
    <t>https://drive.google.com/open?id=1Q_XJnIeCvWolERAKf164CSo4JJPMAfy3, https://drive.google.com/open?id=1J-0aiPNmTT6NP91leHEEv8YoEJDZJETZ</t>
  </si>
  <si>
    <t>1-5123073451</t>
  </si>
  <si>
    <t>0112-082922</t>
  </si>
  <si>
    <t>915 Edie Dr</t>
  </si>
  <si>
    <t>Duarte</t>
  </si>
  <si>
    <t>https://www.zillow.com/homedetails/915-Edie-Dr-Duarte-CA-91010/58477819_zpid/?utm_campaign=iosappmessage&amp;utm_medium=referral&amp;utm_source=txtshare</t>
  </si>
  <si>
    <t>Michael Mikail</t>
  </si>
  <si>
    <t>(310) 617-6272</t>
  </si>
  <si>
    <t>https://drive.google.com/open?id=1KgNPgncSSxMN6oinQq5sEZoWKnApzGTT, https://drive.google.com/open?id=1VwBk4mkG1TsJDBozMcmkDau32bNVF9_6</t>
  </si>
  <si>
    <t>1-5123814101</t>
  </si>
  <si>
    <t>0112-083533</t>
  </si>
  <si>
    <t>2527 E Cameron Ave</t>
  </si>
  <si>
    <t>West covina</t>
  </si>
  <si>
    <t>https://www.zillow.com/homedetails/2527-E-Cameron-Ave-West-Covina-CA-91791/21571053_zpid/?utm_campaign=iosappmessage&amp;utm_medium=referral&amp;utm_source=txtshare</t>
  </si>
  <si>
    <t>Caroline Ma - Coldwell Banker Realty</t>
  </si>
  <si>
    <t>(626) 234-9369</t>
  </si>
  <si>
    <t xml:space="preserve">Was listed in April at 2800. Listing removed in May. Now back up at 5000.
</t>
  </si>
  <si>
    <t>https://drive.google.com/open?id=1BfUhQlJ9C9C_1r6ZAyrLh04pe5uhDkxm, https://drive.google.com/open?id=1iDPMz5m-cgD4kuSFU1DaBp2QbtYWwF1k</t>
  </si>
  <si>
    <t>1-5123810711</t>
  </si>
  <si>
    <t>0112-084605</t>
  </si>
  <si>
    <t>1851 tamerlane dr</t>
  </si>
  <si>
    <t>glendale</t>
  </si>
  <si>
    <t>https://www.zillow.com/homedetails/1851-Tamerlane-Dr-Glendale-CA-91208/20839703_zpid/?utm_campaign=iosappmessage&amp;utm_medium=referral&amp;utm_source=txtshare</t>
  </si>
  <si>
    <t>Allen</t>
  </si>
  <si>
    <t>(818) 640-3989</t>
  </si>
  <si>
    <t>https://drive.google.com/open?id=19LlQ80HxAZ8VAIdStOsuWCYC7YKB2P8t, https://drive.google.com/open?id=1ErD5gAVW0593FzIV_wGsVpEKxYyclwfr</t>
  </si>
  <si>
    <t>1-5123820221</t>
  </si>
  <si>
    <t>0112-085200</t>
  </si>
  <si>
    <t>3113 Prospect Ave</t>
  </si>
  <si>
    <t>La Crescenta</t>
  </si>
  <si>
    <t>https://www.zillow.com/homedetails/3113-Prospect-Ave-La-Crescenta-CA-91214/20898422_zpid/?utm_campaign=iosappmessage&amp;utm_medium=referral&amp;utm_source=txtshare</t>
  </si>
  <si>
    <t>https://drive.google.com/open?id=1cn9ZNg1aapevvuRzarDYFuYapeqHYr7Y, https://drive.google.com/open?id=1Q-dF1D3krqE3f6Ma608OJCTMbqknlzoG</t>
  </si>
  <si>
    <t>1-5123820521</t>
  </si>
  <si>
    <t>0112-090739</t>
  </si>
  <si>
    <t>8 Rancho Laguna dr</t>
  </si>
  <si>
    <t>Pomona</t>
  </si>
  <si>
    <t>https://www.zillow.com/homedetails/8-Rancho-Laguna-Dr-Pomona-CA-91766/21662573_zpid/?utm_campaign=iosappmessage&amp;utm_medium=referral&amp;utm_source=txtshare</t>
  </si>
  <si>
    <t>Longwise Group</t>
  </si>
  <si>
    <t>(408) 207-8058</t>
  </si>
  <si>
    <t>https://drive.google.com/open?id=16tR66HzRTM25OXlI86u6f3kAOLKIgMnx, https://drive.google.com/open?id=1o6hlQivCGZUJ7PGnd4ev9dFErKr34fmv</t>
  </si>
  <si>
    <t>1-5123820741</t>
  </si>
  <si>
    <t>0112-092621</t>
  </si>
  <si>
    <t>1218 E Tujunga Ave</t>
  </si>
  <si>
    <t>Burbank</t>
  </si>
  <si>
    <t>https://www.zillow.com/homedetails/1218-E-Tujunga-Ave-Burbank-CA-91501/20816771_zpid/?utm_campaign=iosappmessage&amp;utm_medium=referral&amp;utm_source=txtshare</t>
  </si>
  <si>
    <t>Maya Gulbekova; RE/MAX Tri City Realty</t>
  </si>
  <si>
    <t>(818) 427-1772</t>
  </si>
  <si>
    <t xml:space="preserve">In December, listing was removed at 7900. Now posted at 10900.
</t>
  </si>
  <si>
    <t>https://drive.google.com/open?id=1rNbP5bND-r3Nd1ieuz71ND7wxHzVxEhu, https://drive.google.com/open?id=1433JMZEzkVtqfFvkS9bsRDv8ENcaTEuV, https://drive.google.com/open?id=1vcU0YPVLUzNUG7PeRJQZwzByrdka2LNr</t>
  </si>
  <si>
    <t>1-5123827371</t>
  </si>
  <si>
    <t>0112-092951</t>
  </si>
  <si>
    <t>6505 Pacific Ave #1</t>
  </si>
  <si>
    <t>Playa Del Rey</t>
  </si>
  <si>
    <t>https://www.zillow.com/homedetails/6505-Pacific-Ave-1-Playa-Del-Rey-CA-90293/2089340224_zpid/</t>
  </si>
  <si>
    <t>Jean-Paul Issock</t>
  </si>
  <si>
    <t>(213) 371-9204</t>
  </si>
  <si>
    <t xml:space="preserve">
JeanPaul Issock
Jean-Paul Issock
Management company
Verified
(213) 371-9204
</t>
  </si>
  <si>
    <t>https://drive.google.com/open?id=1TshQacjN_Ps3UOw4_y48aZ8gvKSTJEv7, https://drive.google.com/open?id=1txBUPikw3zimLopB7hnWw1gfoNYKZMHd, https://drive.google.com/open?id=1XUlD0FBC8P6M_qZxSx2vk7HHGdz8w_s3</t>
  </si>
  <si>
    <t>1-5123832071</t>
  </si>
  <si>
    <t>0112-093159</t>
  </si>
  <si>
    <t>1670 Arboles Dr</t>
  </si>
  <si>
    <t>https://www.zillow.com/homedetails/1670-Arboles-Dr-Glendale-CA-91207/20838671_zpid/?utm_campaign=iosappmessage&amp;utm_medium=referral&amp;utm_source=txtshare</t>
  </si>
  <si>
    <t>Arthur Mangassarian; RE/MAx Tri City Realty</t>
  </si>
  <si>
    <t>(818) 549-9000</t>
  </si>
  <si>
    <t>https://drive.google.com/open?id=1dleLiJO9WbqmPO3JWlIhsX7EyDOISnG3, https://drive.google.com/open?id=1KF5vIrQY8U8ZObBt6B65luIZLEa9Z63t</t>
  </si>
  <si>
    <t>1-5123831631</t>
  </si>
  <si>
    <t>0112-100517</t>
  </si>
  <si>
    <t>17845 Calle Barcelona</t>
  </si>
  <si>
    <t>Rowland Heights</t>
  </si>
  <si>
    <t>https://www.zillow.com/homedetails/17845-Calle-Barcelona-Rowland-Heights-CA-91748/21479818_zpid/?utm_campaign=iosappmessage&amp;utm_medium=referral&amp;utm_source=txtshare</t>
  </si>
  <si>
    <t>Penny Liu; RE/MAX 2000</t>
  </si>
  <si>
    <t>626-890-9218</t>
  </si>
  <si>
    <t>https://drive.google.com/open?id=1R2W_PJ1B5bScpGYBl02RUIZyf64eCqE1, https://drive.google.com/open?id=1d0vhKYAkYhz4uLlg-oOa0aQ3-pD4nG_K, https://drive.google.com/open?id=1_RJ3E3FL8DiGuQQKHgJnjLwq6YWghiMG</t>
  </si>
  <si>
    <t>1-5123832681</t>
  </si>
  <si>
    <t>0112-104432</t>
  </si>
  <si>
    <t>2950 Warwick Ave</t>
  </si>
  <si>
    <t xml:space="preserve">Los Angeles </t>
  </si>
  <si>
    <t>https://www.zillow.com/homedetails/2950-Warwick-Ave-Los-Angeles-CA-90032/20643542_zpid/?utm_campaign=iosappmessage&amp;utm_medium=referral&amp;utm_source=txtshare</t>
  </si>
  <si>
    <t xml:space="preserve">
gouged on 1/9, corrected on 1/12</t>
  </si>
  <si>
    <t>Assigned call</t>
  </si>
  <si>
    <t>0112-105202</t>
  </si>
  <si>
    <t>2943 Virginia Ave</t>
  </si>
  <si>
    <t>Santa Monica</t>
  </si>
  <si>
    <t>https://www.zillow.com/homedetails/2943-Virginia-Ave-Santa-Monica-CA-90404/20471162_zpid/</t>
  </si>
  <si>
    <t>Mark Wong</t>
  </si>
  <si>
    <t xml:space="preserve">Listed for $19,800 in 2023. Re-listed on 1-12-2025 at $35,000. That's a 56% increase.
</t>
  </si>
  <si>
    <t>https://drive.google.com/open?id=1ykTw-MninZQREUhz3VJJVdhr_XoM3_rA</t>
  </si>
  <si>
    <t>0112-115905</t>
  </si>
  <si>
    <t>NA</t>
  </si>
  <si>
    <t>710 Westbourne Dr</t>
  </si>
  <si>
    <t>West Hollywood</t>
  </si>
  <si>
    <t>https://www.zillow.com/homedetails/710-Westbourne-Dr-West-Hollywood-CA-90069/2098186436_zpid/</t>
  </si>
  <si>
    <t>Sabrina Herman; Gussman Czako Estates</t>
  </si>
  <si>
    <t>(805) 455-9494</t>
  </si>
  <si>
    <t>https://drive.google.com/open?id=1K_uIEDphLlRd9luFXdu03FtXHzbaBOWQ, https://drive.google.com/open?id=1Nya9jQRlkzc6zZpHyLCeIIp0lfeWWPC9</t>
  </si>
  <si>
    <t>0112-124214</t>
  </si>
  <si>
    <t>1026 E Verdugo Ave</t>
  </si>
  <si>
    <t>https://www.zillow.com/homedetails/1026-E-Verdugo-Ave-Burbank-CA-91501/20054588_zpid/</t>
  </si>
  <si>
    <t>Arthur Mangassarian RE/MAX TRI-CITY REALTY</t>
  </si>
  <si>
    <t xml:space="preserve">Initially increased price to $12,000 on 1/9 (52.6% increase), then lowered it again
</t>
  </si>
  <si>
    <t>https://drive.google.com/open?id=19LOxbfLT395OOpkSgqGooyVIaWmio7sh</t>
  </si>
  <si>
    <t>0112-133501</t>
  </si>
  <si>
    <t>Not Listed</t>
  </si>
  <si>
    <t>Venice</t>
  </si>
  <si>
    <t>https://www.zillow.com/homedetails/Venice-CA-90291/2059889727_zpid/</t>
  </si>
  <si>
    <t>Jill Belasco</t>
  </si>
  <si>
    <t>(213) 463-7003</t>
  </si>
  <si>
    <t xml:space="preserve">This listing was removed on 10/26/23 and while just relisted on the market on 1/12/25, it's now gone from $19,500 to $29,000 which is a 48.7% increase in a little over the year.
</t>
  </si>
  <si>
    <t>https://drive.google.com/open?id=1lurDtvavOtJQHEH-jszWykgd0ctuSATo</t>
  </si>
  <si>
    <t>0112-134010</t>
  </si>
  <si>
    <t>2390 Nalin Dr</t>
  </si>
  <si>
    <t>https://www.zillow.com/homedetails/2390-Nalin-Dr-Los-Angeles-CA-90077/20531088_zpid/</t>
  </si>
  <si>
    <t>Scott Saltzman</t>
  </si>
  <si>
    <t>(818) 802-8669</t>
  </si>
  <si>
    <t>https://drive.google.com/open?id=1T9CRsfcg9fYBOs5oaK-N5mTkJ9Qu0LKr, https://drive.google.com/open?id=1eKaVskjxUh39LVHrSYN2pKxaSFblbPbO</t>
  </si>
  <si>
    <t>0112-134243</t>
  </si>
  <si>
    <t>1439 Cabrillo Ave</t>
  </si>
  <si>
    <t>https://www.zillow.com/homedetails/1439-Cabrillo-Ave-Venice-CA-90291/20450140_zpid/</t>
  </si>
  <si>
    <t>Alan</t>
  </si>
  <si>
    <t>(424) 567-6639</t>
  </si>
  <si>
    <t xml:space="preserve">Rent was listed at $7,200 just one year ago on 1/11/24 before it was removed from market on 1/15/24. Relisted on 1/11/25 after the fires at an 18.1% increase, to $8,500.
</t>
  </si>
  <si>
    <t>https://drive.google.com/open?id=1wxNjKYoel_QAQMNm9a86uwQOoKNzPqvq</t>
  </si>
  <si>
    <t>1-5124143411</t>
  </si>
  <si>
    <t>0112-134446</t>
  </si>
  <si>
    <t>636 Acanto St APT 104</t>
  </si>
  <si>
    <t>https://www.zillow.com/homedetails/636-Acanto-St-APT-104-Los-Angeles-CA-90049/2123187503_zpid/</t>
  </si>
  <si>
    <t>Paola Mireles</t>
  </si>
  <si>
    <t>(213) 682-3675</t>
  </si>
  <si>
    <t>https://drive.google.com/open?id=1qpacoSkvsBYeqUK6C-z3dB2yY0lScYrd</t>
  </si>
  <si>
    <t>0112-135543</t>
  </si>
  <si>
    <t>2559 Hutton Dr</t>
  </si>
  <si>
    <t>Beverly Hills</t>
  </si>
  <si>
    <t>https://www.zillow.com/homedetails/2559-Hutton-Dr-Beverly-Hills-CA-90210/20532078_zpid/</t>
  </si>
  <si>
    <t>Roger Perry</t>
  </si>
  <si>
    <t>(310) 740-4029</t>
  </si>
  <si>
    <t>https://drive.google.com/open?id=1LURpu8yngxl-mK9Pu61OBwY3_579prGj, https://drive.google.com/open?id=1Vj3c892l2r6dXGTy5pgg26hTBR_CH6xA</t>
  </si>
  <si>
    <t>Duplicate</t>
  </si>
  <si>
    <t>0112-135547</t>
  </si>
  <si>
    <t>1240 Morningside Way</t>
  </si>
  <si>
    <t>https://www.zillow.com/homedetails/1240-Morningside-Way-Venice-CA-90291/20454370_zpid/</t>
  </si>
  <si>
    <t>Richman Bry</t>
  </si>
  <si>
    <t>(310) 985-0287</t>
  </si>
  <si>
    <t xml:space="preserve">The home was removed from the market just 2 years ago on 1/11/23 with a listed price of $3,000 a month. The home was put back on the market after the fires on 1/12/25 for $31,888 which is a 962.9% increase from previously listed price.
</t>
  </si>
  <si>
    <t>https://drive.google.com/open?id=1V18ERb5uGG3twa-Qp410Y2d9PmUGuzm2</t>
  </si>
  <si>
    <t>0112-135607</t>
  </si>
  <si>
    <t>4800 Zelzah Ave</t>
  </si>
  <si>
    <t>Encino</t>
  </si>
  <si>
    <t>https://www.zillow.com/homedetails/4800-Zelzah-Ave-Encino-CA-91316/19950258_zpid/</t>
  </si>
  <si>
    <t>https://drive.google.com/open?id=1fhSobXuxZhGPcfrN-Jlxfuhn11GnH5jQ</t>
  </si>
  <si>
    <t>0112-135818</t>
  </si>
  <si>
    <t>1129 La Puerta St</t>
  </si>
  <si>
    <t>https://www.zillow.com/homedetails/1129-La-Puerta-St-Los-Angeles-CA-90023/20635360_zpid/</t>
  </si>
  <si>
    <t>David Tramontano The Jireh Group - Property Management and Realty</t>
  </si>
  <si>
    <t>(626) 324-9448</t>
  </si>
  <si>
    <t>https://drive.google.com/open?id=1dJQe56fwRBMNI5SOGMC31gPXmo_2Do6N</t>
  </si>
  <si>
    <t>0112-135939</t>
  </si>
  <si>
    <t>114 Pacific Ave</t>
  </si>
  <si>
    <t>https://www.zillow.com/homedetails/114-Pacific-Ave-Venice-CA-90291/20482017_zpid/</t>
  </si>
  <si>
    <t>Lee Tonks - Tonks Agency Inc</t>
  </si>
  <si>
    <t>(310) 980-3979</t>
  </si>
  <si>
    <t xml:space="preserve">The price was repeatedly dropped on this listing since 2023. The last listing was increased to $8,995 before removed on 10/5/24. The house was put back on the market on 1/12/25 for $11,500 for a 27.8% increase from it's previous price.
</t>
  </si>
  <si>
    <t>https://drive.google.com/open?id=15mqxuwsMa7JJ_yiSeiBzSZBXdars85Gd</t>
  </si>
  <si>
    <t>0112-140051</t>
  </si>
  <si>
    <t>https://www.zillow.com/homedetails/2950-Warwick-Ave-Los-Angeles-CA-90032/20643542_zpid/</t>
  </si>
  <si>
    <t>Rasheed Thompson</t>
  </si>
  <si>
    <t>(323) 546-6776</t>
  </si>
  <si>
    <t>https://drive.google.com/open?id=1-cvodFRKoFesDkWtRQeY95iFgkwQpx-W</t>
  </si>
  <si>
    <t>0112-140335</t>
  </si>
  <si>
    <t>8700 Chalmers Dr #301</t>
  </si>
  <si>
    <t>https://www.zillow.com/homedetails/8700-Chalmers-Dr-301-Los-Angeles-CA-90035/2078397244_zpid/</t>
  </si>
  <si>
    <t>Teresa L. Rabbanian</t>
  </si>
  <si>
    <t>(310) 770-5618</t>
  </si>
  <si>
    <t>https://drive.google.com/open?id=1CIKkpaEIAOHnw38kVHxej3ixDpajsgzN</t>
  </si>
  <si>
    <t>0112-140959</t>
  </si>
  <si>
    <t>28 26th Ave #A</t>
  </si>
  <si>
    <t>https://www.zillow.com/homedetails/28-26th-Ave-A-Venice-CA-90291/2098877025_zpid/</t>
  </si>
  <si>
    <t>Tim Sheridan</t>
  </si>
  <si>
    <t>(310) 403-4784</t>
  </si>
  <si>
    <t xml:space="preserve">Last listed price was reduced to $6,600 and removed on 10/8/24. Relisted on 1/22/25 after the fires at a 20.5% increase to $7,950.
</t>
  </si>
  <si>
    <t>https://drive.google.com/open?id=1rwUqrqmKFo81tbR3TrKZLuxhmu6Ra8lf</t>
  </si>
  <si>
    <t>0112-141231</t>
  </si>
  <si>
    <t>4865 Eldred St</t>
  </si>
  <si>
    <t>https://www.zillow.com/homedetails/4865-Eldred-St-Los-Angeles-CA-90042/20763415_zpid/</t>
  </si>
  <si>
    <t>JOSE ARANA DRE - CENTURY 21 REALTY MASTERS</t>
  </si>
  <si>
    <t xml:space="preserve">Originally listed at $7,800 on 10/17/24. It was reduced to $7,500 (3.8%) on 12/26/24 before being increased to $9,000 (20%) on 1/10/25. 
</t>
  </si>
  <si>
    <t>https://drive.google.com/open?id=1YKY0jAgqx2PN8xqnatLY6-sNOytbD4OL</t>
  </si>
  <si>
    <t>1-5124146611</t>
  </si>
  <si>
    <t>0112-141621</t>
  </si>
  <si>
    <t>2451 Century Hl</t>
  </si>
  <si>
    <t>Century City</t>
  </si>
  <si>
    <t>https://www.zillow.com/homedetails/2451-Century-Hl-Los-Angeles-CA-90067/20510302_zpid/</t>
  </si>
  <si>
    <t>https://drive.google.com/open?id=1eK4g73pSgopIZGRSRDoSubYa0_t8NyfD</t>
  </si>
  <si>
    <t>0112-141701</t>
  </si>
  <si>
    <t>225 Sherman Canal Ct</t>
  </si>
  <si>
    <t>https://www.zillow.com/homedetails/225-Sherman-Canal-Ct-Venice-CA-90291/443839188_zpid/</t>
  </si>
  <si>
    <t>Ceylan Tecimer</t>
  </si>
  <si>
    <t>(949) 500-9045</t>
  </si>
  <si>
    <t>https://drive.google.com/open?id=1KEtXSV92pZUCs1ows5OoHpvx201MADfG, https://drive.google.com/open?id=12Iuaqe5v83218qlY3GBz2hfu9qhqnKWt</t>
  </si>
  <si>
    <t>0112-141821</t>
  </si>
  <si>
    <t>503 N Santa Anita Ave #A</t>
  </si>
  <si>
    <t>Arcadia</t>
  </si>
  <si>
    <t>https://www.zillow.com/homedetails/503-N-Santa-Anita-Ave-A-Arcadia-CA-91006/2077677076_zpid/</t>
  </si>
  <si>
    <t>Steven Jiang KW Executive</t>
  </si>
  <si>
    <t>(626) 551-1332</t>
  </si>
  <si>
    <t>https://drive.google.com/open?id=14JXnSxRudGw06uRPpcV8TH_FxkUCgQ7n</t>
  </si>
  <si>
    <t>0112-141935</t>
  </si>
  <si>
    <t>5316 Teesdale Ave</t>
  </si>
  <si>
    <t>https://www.zillow.com/homedetails/5316-Teesdale-Ave-Valley-Village-CA-91607/2053789692_zpid/</t>
  </si>
  <si>
    <t xml:space="preserve">Not listed </t>
  </si>
  <si>
    <t xml:space="preserve">This is an ADU. Listing was removed on 1/9 at $3,000 / month which is 20% increase form previous listing price of $2,500 on 11/27. No Contact info listed. 
</t>
  </si>
  <si>
    <t>https://drive.google.com/open?id=1cdakQbu1clG1T5hojPoqQd22z_EhSDB2</t>
  </si>
  <si>
    <t>0112-142012</t>
  </si>
  <si>
    <t>5351 Packard St</t>
  </si>
  <si>
    <t>https://www.zillow.com/homedetails/5351-Packard-St-Los-Angeles-CA-90019/20608115_zpid/</t>
  </si>
  <si>
    <t>Mazal Asulin</t>
  </si>
  <si>
    <t>(213) 602-8961</t>
  </si>
  <si>
    <t>https://drive.google.com/open?id=14h7zHNkHwVPNkcG8WLH4OawYYrAXlRNB</t>
  </si>
  <si>
    <t>0112-142114</t>
  </si>
  <si>
    <t>2205 Ocean Front Walk</t>
  </si>
  <si>
    <t>https://www.zillow.com/homedetails/2205-Ocean-Front-Walk-Venice-CA-90291/59276620_zpid/</t>
  </si>
  <si>
    <t>Bjorn Farrugia - Carolwood Estates</t>
  </si>
  <si>
    <t>(310) 998-7175</t>
  </si>
  <si>
    <t xml:space="preserve">Listed for rent on 9/30/24 for $29,995 and price increased after the fires on 10/25 to $35K, a 16.7% increase.
</t>
  </si>
  <si>
    <t>https://drive.google.com/open?id=1h2IElqvSaXKs80UlnsYqt1dd7ikWs18s</t>
  </si>
  <si>
    <t>0112-142133</t>
  </si>
  <si>
    <t>705 Chaucer Rd</t>
  </si>
  <si>
    <t>San Marino</t>
  </si>
  <si>
    <t>https://www.zillow.com/homedetails/705-Chaucer-Rd-San-Marino-CA-91108/20701815_zpid/</t>
  </si>
  <si>
    <t>Joshua Chao, Help-U-Sell Smart Realty</t>
  </si>
  <si>
    <t>(626) 405-8818</t>
  </si>
  <si>
    <t xml:space="preserve">Temporarily raised to $13,980 on the 9th (33.1% increase), then lowered on the 10th (Still a 13.3% increase)
</t>
  </si>
  <si>
    <t>https://drive.google.com/open?id=1IrXriRSXcp7ZJtW5_erTzE7xDkKv5TO5</t>
  </si>
  <si>
    <t>0112-142155</t>
  </si>
  <si>
    <t>121 N Croft Ave APT 205,</t>
  </si>
  <si>
    <t>https://www.zillow.com/homedetails/121-N-Croft-Ave-APT-205-Los-Angeles-CA-90048/20776940_zpid/</t>
  </si>
  <si>
    <t>Jordan Joseph</t>
  </si>
  <si>
    <t>(425) 600-2690</t>
  </si>
  <si>
    <t>https://drive.google.com/open?id=1CJRwRPkO_XfArK0QZEXey35Yc40CFe70</t>
  </si>
  <si>
    <t>0112-142345</t>
  </si>
  <si>
    <t>9297 Burton Way #B</t>
  </si>
  <si>
    <t>https://www.zillow.com/homedetails/9297-Burton-Way-B-Beverly-Hills-CA-90210/2070939537_zpid/</t>
  </si>
  <si>
    <t>Matti Bialer</t>
  </si>
  <si>
    <t>(310) 804-7008</t>
  </si>
  <si>
    <t>https://drive.google.com/open?id=1k2Y_W1L2mMy_ehol2mP-szsgFOg-lSei</t>
  </si>
  <si>
    <t>0112-142520</t>
  </si>
  <si>
    <t>6076 Hargis St</t>
  </si>
  <si>
    <t>https://www.zillow.com/homedetails/6076-Hargis-St-Los-Angeles-CA-90034/20598124_zpid/</t>
  </si>
  <si>
    <t xml:space="preserve">This listing seems to have been on the market since 10/10 /25 at $5000. It was listed most recently on 1/4/25 at $5,000 then removed on 1/10/25 at $6000 (20% increase). 
</t>
  </si>
  <si>
    <t>https://drive.google.com/open?id=1CaDTWltwVv4hlQ8iFI8RzC8WUzm9-Rpq</t>
  </si>
  <si>
    <t>0112-142525</t>
  </si>
  <si>
    <t>1817 N Silver Lake Blvd</t>
  </si>
  <si>
    <t>https://www.zillow.com/homedetails/1817-W-Silver-Lake-Dr-Los-Angeles-CA-90026/2096500924_zpid/</t>
  </si>
  <si>
    <t>Clint Lukens Management</t>
  </si>
  <si>
    <t>(213) 786-4704</t>
  </si>
  <si>
    <t>https://drive.google.com/open?id=1JnMj3D2S5OQmBttlKzl6BNdIwR4iLKK4, https://drive.google.com/open?id=1ds8SGqm2liJbgkDkRUctz-EM3TkKSmYd</t>
  </si>
  <si>
    <t>1-5123741501</t>
  </si>
  <si>
    <t>0112-142855</t>
  </si>
  <si>
    <t>1390 Rose Avenue</t>
  </si>
  <si>
    <t>OTHER</t>
  </si>
  <si>
    <t>https://www.zillow.com/homedetails/1390-Rose-Ave-Venice-CA-90291/20453901_zpid/</t>
  </si>
  <si>
    <t>Paul Huang DRE #01068912</t>
  </si>
  <si>
    <t>626-964-8999</t>
  </si>
  <si>
    <t>https://drive.google.com/open?id=1I033cs3NxpcV6AZaY6XzsGQSrlZx3qx5, https://drive.google.com/open?id=1_avQVCKNkn8F5bvXg5sgqN4GRz5IGSIi</t>
  </si>
  <si>
    <t>0112-143121</t>
  </si>
  <si>
    <t>77 E Altadena Drive</t>
  </si>
  <si>
    <t>Altadena</t>
  </si>
  <si>
    <t>https://www.zillow.com/homedetails/77-E-Altadena-Dr-Altadena-CA-91001/20911914_zpid/</t>
  </si>
  <si>
    <t>Jesse</t>
  </si>
  <si>
    <t>(626) 712-1205</t>
  </si>
  <si>
    <t xml:space="preserve">
Corrected back to 10%</t>
  </si>
  <si>
    <t>https://drive.google.com/open?id=12pR2hLzYw3_oSW8qObS5bgVrR5wOpo_Z</t>
  </si>
  <si>
    <t>1-5123747161</t>
  </si>
  <si>
    <t>0112-143541</t>
  </si>
  <si>
    <t>9982 Beverly Grv</t>
  </si>
  <si>
    <t>https://www.zillow.com/homedetails/9982-Beverly-Grv-Beverly-Hills-CA-90210/443685654_zpid/</t>
  </si>
  <si>
    <t>Jordan Pollack - LA Luxuries</t>
  </si>
  <si>
    <t>(310) 666-5736</t>
  </si>
  <si>
    <t xml:space="preserve">Originally listed 12/31/24 for $65K, increase by 30.8% on 1/12/25 after the fires.
</t>
  </si>
  <si>
    <t>https://drive.google.com/open?id=1ou9y_SxG7r66aEb26MltadhISkU0pfpz</t>
  </si>
  <si>
    <t>1-5123748441</t>
  </si>
  <si>
    <t>0112-143754</t>
  </si>
  <si>
    <t>3572 E Green St</t>
  </si>
  <si>
    <t>Pasadena</t>
  </si>
  <si>
    <t>https://www.zillow.com/homedetails/3572-E-Green-St-Pasadena-CA-91107/20878608_zpid/</t>
  </si>
  <si>
    <t>Mardy MA (OWNER and pasadena local)</t>
  </si>
  <si>
    <t>(626) 688-1231</t>
  </si>
  <si>
    <t>Mardy Ma</t>
  </si>
  <si>
    <t xml:space="preserve">Mardy ma is a pasadena local "actress" who jacked up the price of this rental by an illegal 10.5% on 1/11. She is the owner of this home. 
</t>
  </si>
  <si>
    <t>https://drive.google.com/open?id=1GwkX4jXspsaUHCikoqHNC15cHBOTnTWz, https://drive.google.com/open?id=1GqYzHtD_AWSsUd6KK_AqtEmThuua72tC</t>
  </si>
  <si>
    <t>0112-143811</t>
  </si>
  <si>
    <t>2950 Tyburn St</t>
  </si>
  <si>
    <t>https://www.zillow.com/homedetails/2950-Tyburn-St-Los-Angeles-CA-90039/20751814_zpid/</t>
  </si>
  <si>
    <t>Vartan Tamamian</t>
  </si>
  <si>
    <t>(626) 590-6647</t>
  </si>
  <si>
    <t>Beverly &amp; Company Luxury Properties</t>
  </si>
  <si>
    <t>https://drive.google.com/open?id=1vbZw11CQHxLXuQxQMposEkZ9BeGKzX_q</t>
  </si>
  <si>
    <t>1-5123748831</t>
  </si>
  <si>
    <t>0112-143935</t>
  </si>
  <si>
    <t>220 Avenue A</t>
  </si>
  <si>
    <t>Redondo Beach</t>
  </si>
  <si>
    <t>https://www.zillow.com/homedetails/220-Avenue-A-Redondo-Beach-CA-90277/21322400_zpid/</t>
  </si>
  <si>
    <t>vivian</t>
  </si>
  <si>
    <t>(702) 937-9997</t>
  </si>
  <si>
    <t>https://drive.google.com/open?id=1Rt1FZqGd3LC_VR5P9Ehj1Dbog9dY1DCz, https://drive.google.com/open?id=1HhRV5xlGiHyAPswwwKldxcWXOEa9RsNB</t>
  </si>
  <si>
    <t>0112-144251</t>
  </si>
  <si>
    <t>1719 Wellesley Ave</t>
  </si>
  <si>
    <t>https://www.zillow.com/homedetails/1719-Wellesley-Ave-Los-Angeles-CA-90025/20464247_zpid/</t>
  </si>
  <si>
    <t xml:space="preserve">Off market now.  Not clear from listing that this was listed as a rental, might have been a sale?
</t>
  </si>
  <si>
    <t>https://drive.google.com/open?id=1ik9yzxfD6mAEk0w99kLSh1ekHxfR0Bbc</t>
  </si>
  <si>
    <t>1-5123753501</t>
  </si>
  <si>
    <t>0112-144305</t>
  </si>
  <si>
    <t>1001 Hanover Dr</t>
  </si>
  <si>
    <t>https://www.zillow.com/homedetails/1001-Hanover-Dr-Beverly-Hills-CA-90210/20523966_zpid/</t>
  </si>
  <si>
    <t xml:space="preserve"> Angel Salvador - The Beverly Hills Estates</t>
  </si>
  <si>
    <t>(818) 744-1469</t>
  </si>
  <si>
    <t xml:space="preserve">Listed for rent on 9/25/24 for $41,995 which was a decrease from it's previous listing. Price increased by 19.1% on 1/8/25 after the fires to $50k.
</t>
  </si>
  <si>
    <t>https://drive.google.com/open?id=1Fh3sj9aWBnq7GSLxHwrY3Uz047N6JO6f</t>
  </si>
  <si>
    <t>1-5123762971</t>
  </si>
  <si>
    <t>0112-144821</t>
  </si>
  <si>
    <t>11571 Nebraska Ave #2</t>
  </si>
  <si>
    <t>https://www.zillow.com/homedetails/11571-Nebraska-Ave-2-Los-Angeles-CA-90025/442366314_zpid/</t>
  </si>
  <si>
    <t>partners properties</t>
  </si>
  <si>
    <t>(310) 702-0491</t>
  </si>
  <si>
    <t xml:space="preserve">This property was listed on 11/5/2024 at $2400 . It was decreased on 11/14 to $2,350 removed on 11/23 and then relisted on 1/10/2025 at $2,850 (21.3% increase). Listed as immediately available. Lease term is 1 year. 
</t>
  </si>
  <si>
    <t>https://drive.google.com/open?id=11cAHRfoxpgfHkcPpYA0d5if66ceWIRnH</t>
  </si>
  <si>
    <t>1-5125475001</t>
  </si>
  <si>
    <t>0112-144918</t>
  </si>
  <si>
    <t>13018 Chandler Blvd</t>
  </si>
  <si>
    <t>Van Nuys</t>
  </si>
  <si>
    <t>https://www.zillow.com/homedetails/13018-Chandler-Blvd-Van-Nuys-CA-91401/440548973_zpid/</t>
  </si>
  <si>
    <t>Avi Shabtai - EssentiaLyfe</t>
  </si>
  <si>
    <t>(818) 300-9909</t>
  </si>
  <si>
    <t xml:space="preserve">Originally listed on 9/19/24 and priced increased by 12.5% post fires on 1/10/25.
</t>
  </si>
  <si>
    <t>https://drive.google.com/open?id=18l8WtGIsbuabku1OoOzJ6n6kTylNtWKn</t>
  </si>
  <si>
    <t>1-5125481111</t>
  </si>
  <si>
    <t>0112-145402</t>
  </si>
  <si>
    <t>3400 Greenfield Ave APT 1</t>
  </si>
  <si>
    <t>https://www.zillow.com/homedetails/3400-Greenfield-Ave-APT-1-Los-Angeles-CA-90034/2061747538_zpid/</t>
  </si>
  <si>
    <t>Hope Pollack - Geller Property Management</t>
  </si>
  <si>
    <t>(310) 595-5246</t>
  </si>
  <si>
    <t xml:space="preserve">Originally listed on 12/31/24 for $4,300 and priced increased to $44k after the fires - a 923.3% increase
</t>
  </si>
  <si>
    <t>https://drive.google.com/open?id=1RISaoYGwBSnljgYnj6eGQ8rUx_PgaUpV</t>
  </si>
  <si>
    <t>0112-145409</t>
  </si>
  <si>
    <t>912 N. Vendome St</t>
  </si>
  <si>
    <t>https://www.zillow.com/homedetails/912-N-Vendome-St-Los-Angeles-CA-90026/2083961992_zpid/</t>
  </si>
  <si>
    <t>Eitan Dagan</t>
  </si>
  <si>
    <t>(310) 633-0438</t>
  </si>
  <si>
    <t>https://drive.google.com/open?id=1H9PuR_4NJCveT1QfPl--2wktJ3v3Ufft, https://drive.google.com/open?id=1LeUOEmsb1o-m4G98CBn5NbBOJUmSekd2</t>
  </si>
  <si>
    <t>0112-150012</t>
  </si>
  <si>
    <t>1901 N Catalina St</t>
  </si>
  <si>
    <t>https://www.zillow.com/homedetails/1901-N-Catalina-St-Los-Angeles-CA-90027/20809909_zpid/</t>
  </si>
  <si>
    <t>Yiuchung Wong</t>
  </si>
  <si>
    <t>(858) 220-6155</t>
  </si>
  <si>
    <t xml:space="preserve">Last listing was for $2,340 on 12/1/2020.  But was previously listed at $9,000 on 11/14/2020.  Noting because $9,000 probably more accurate reflection of pre-emergency FMR.  
</t>
  </si>
  <si>
    <t>https://drive.google.com/open?id=1WPpPIsmB6pld2AZZS5VQBnen4ZyAUNy1, https://drive.google.com/open?id=1iNeKYJZDiYndLsGki-FaIB3uXzVhjBP4</t>
  </si>
  <si>
    <t>0112-150057</t>
  </si>
  <si>
    <t>9105 Cordell Dr</t>
  </si>
  <si>
    <t>https://www.zillow.com/homedetails/9105-Cordell-Dr-Los-Angeles-CA-90069/20799267_zpid/</t>
  </si>
  <si>
    <t>Stay Awhile Villas</t>
  </si>
  <si>
    <t>(310) 310-2711</t>
  </si>
  <si>
    <t xml:space="preserve">On the market since 1/14/24 at a reduced price of $35k, price increase by 14.1% to $39,950 after the fires on 1/9/25.
</t>
  </si>
  <si>
    <t>https://drive.google.com/open?id=1bZ-470yBHTZ72KOic54bEz_XSQvlGOLK</t>
  </si>
  <si>
    <t>0112-150340</t>
  </si>
  <si>
    <t>2847 Deep Canyon Dr</t>
  </si>
  <si>
    <t>https://www.zillow.com/homedetails/2847-Deep-Canyon-Dr-Beverly-Hills-CA-90210/20531974_zpid/</t>
  </si>
  <si>
    <t>Ben He - MGR REAL ESTATE</t>
  </si>
  <si>
    <t>(626) 777-9999</t>
  </si>
  <si>
    <t xml:space="preserve">Listed at a price of $29,500 since 11/21/24, price increased by 33.9% after the fires on 1/11/25 to $39,500.
</t>
  </si>
  <si>
    <t>https://drive.google.com/open?id=14yN-0unH9X9XjCAltPjtLGDz9sWKFgbP</t>
  </si>
  <si>
    <t>0112-150648</t>
  </si>
  <si>
    <t>543 Rialto Ave</t>
  </si>
  <si>
    <t>Redfin</t>
  </si>
  <si>
    <t>https://www.redfin.com/CA/Venice/543-Rialto-Ave-90291/home/23075948</t>
  </si>
  <si>
    <t>Tara Rodgers</t>
  </si>
  <si>
    <t xml:space="preserve">Zillow parcel number: 4238006015. Zillow listing taken down with final rental price not listed. Redfin has final rental information listed. It has been listed for $22,500/mo since June 2024. Rent increase occurred on 1/11/25 when relisted at $27,500/mo which is a 22.22% increase. 
</t>
  </si>
  <si>
    <t>https://drive.google.com/open?id=1Szy-ApdPKNC1NOZSjAfb6-wj3YiRuWue</t>
  </si>
  <si>
    <t>0112-150714</t>
  </si>
  <si>
    <t>3663 Edenhurst</t>
  </si>
  <si>
    <t>https://www.zillow.com/homedetails/3365-Tyburn-St-Los-Angeles-CA-90039/20750852_zpid/</t>
  </si>
  <si>
    <t>Bruno Rossi</t>
  </si>
  <si>
    <t>(323) 868-5329</t>
  </si>
  <si>
    <t>https://drive.google.com/open?id=1Jg32pAMgh4QfifTTk4JtOYf9monjH_Us, https://drive.google.com/open?id=1FGaODOPNSIUyRlvDeMHE8uMcMeeDVhav</t>
  </si>
  <si>
    <t>0112-151031</t>
  </si>
  <si>
    <t>716 N Kenter Ave</t>
  </si>
  <si>
    <t>https://www.zillow.com/homedetails/716-N-Kenter-Ave-Los-Angeles-CA-90049/20560387_zpid/</t>
  </si>
  <si>
    <t>Jordana Leigh - The Agency</t>
  </si>
  <si>
    <t>(424) 239-8725</t>
  </si>
  <si>
    <t xml:space="preserve">On the market since 8/6/24 and price was decreased twice since then, price increased by 100% on 1/10/25 after the fires to $35,595.
</t>
  </si>
  <si>
    <t>https://drive.google.com/open?id=1Q9ycrMCVyVemQcJOvJ0VqcMW9YT0vFf6</t>
  </si>
  <si>
    <t>0112-151326</t>
  </si>
  <si>
    <t>11826 Dorothy St Apt 202</t>
  </si>
  <si>
    <t>https://www.zillow.com/homedetails/11826-Dorothy-St-APT-202-Los-Angeles-CA-90049/63090973_zpid/</t>
  </si>
  <si>
    <t>Lily Vosough - Coldwell Banker</t>
  </si>
  <si>
    <t>(213) 668-7904</t>
  </si>
  <si>
    <t xml:space="preserve">Rent increased 23.7% since last being listing in 2020. Listing says it has been recently "fully renovated"
</t>
  </si>
  <si>
    <t>https://drive.google.com/open?id=1kgpnFYZgOrMkdb1olE1zxVjCvuTjlBOO</t>
  </si>
  <si>
    <t>0112-151404</t>
  </si>
  <si>
    <t>3672 Jasmine Ave UNIT 102</t>
  </si>
  <si>
    <t>https://www.zillow.com/homedetails/3672-Jasmine-Ave-UNIT-102-Los-Angeles-CA-90034/2061496314_zpid/</t>
  </si>
  <si>
    <t>Benhur Youkhehpaz</t>
  </si>
  <si>
    <t>(424) 352-1555</t>
  </si>
  <si>
    <t>https://drive.google.com/open?id=1yEgXQGFcL2zYado1F7tEP5OxOo2w049F, https://drive.google.com/open?id=1-ctsGCVx23PMozvR4eaAjyYoga3o-8K3</t>
  </si>
  <si>
    <t>0112-151650</t>
  </si>
  <si>
    <t>1849 N Coldwater Canyon Dr</t>
  </si>
  <si>
    <t>https://www.zillow.com/homedetails/1849-N-Coldwater-Canyon-Dr-Beverly-Hills-CA-90210/125270046_zpid/</t>
  </si>
  <si>
    <t>Kai Cohen - Cohen LA</t>
  </si>
  <si>
    <t>(818) 274-1710</t>
  </si>
  <si>
    <t xml:space="preserve">Price reduced to $24k on 12/16/24, price was then increased by 45.8% after the fires on 1/9/25 to $35k.
</t>
  </si>
  <si>
    <t>https://drive.google.com/open?id=1MkAvT_zQaASLkizdwS2vgranx-tbHu-l</t>
  </si>
  <si>
    <t>0112-151830</t>
  </si>
  <si>
    <t>6230 Lindenhurst Ave #6230</t>
  </si>
  <si>
    <t>https://www.zillow.com/homedetails/6230-Lindenhurst-Ave-6230-Los-Angeles-CA-90048/2053399272_zpid/</t>
  </si>
  <si>
    <t>Rosalie</t>
  </si>
  <si>
    <t>(310) 261-8878</t>
  </si>
  <si>
    <t xml:space="preserve">Listed $4,995 on 1/5/25, price increase to $5,500 on 1/11/25
</t>
  </si>
  <si>
    <t>https://drive.google.com/open?id=1pa5_-mPHfImHg_Xj8i5xp0kL-V_Bchst, https://drive.google.com/open?id=1RaWfBYXgxt6W6vbJ3hBdN0QIV1rrWexT</t>
  </si>
  <si>
    <t>0112-151843</t>
  </si>
  <si>
    <t>110 N Barrington Ave</t>
  </si>
  <si>
    <t>https://www.zillow.com/homedetails/110-N-Barrington-Ave-Los-Angeles-CA-90049/20547175_zpid/</t>
  </si>
  <si>
    <t xml:space="preserve">Listing was originally listed on  1/6/24 at $10,000 before being raise by 20% to $12,000/mo on 1/17/24.  
</t>
  </si>
  <si>
    <t>https://drive.google.com/open?id=1PjPQuQ4SxY6Gy9B5K_xiqa11pCy1-2va</t>
  </si>
  <si>
    <t>0112-152035</t>
  </si>
  <si>
    <t>543 Perugia Way</t>
  </si>
  <si>
    <t>https://www.zillow.com/homedetails/543-Perugia-Way-Los-Angeles-CA-90077/20526792_zpid/</t>
  </si>
  <si>
    <t>Marilyn Younessi - Keller Williams Realty Sherman Oaks/ Encino</t>
  </si>
  <si>
    <t>(310) 861-6387</t>
  </si>
  <si>
    <t xml:space="preserve">Price was listed at $29,500 on 12/17/24, price was increased by 32% and removed on 1/8/25, relisted on 1/10/25 at $35k which is still an 18% increase from listing before fires.
</t>
  </si>
  <si>
    <t>https://drive.google.com/open?id=1nPArvHoEpy9CRXY8uairvDo-GHl_Yvtf</t>
  </si>
  <si>
    <t>0112-152243</t>
  </si>
  <si>
    <t>1308 N Orange Grove Ave</t>
  </si>
  <si>
    <t>https://www.zillow.com/homedetails/1308-N-Orange-Grove-Ave-Los-Angeles-CA-90046/20795564_zpid/</t>
  </si>
  <si>
    <t>Gonzalo Sanchez The Beverly Hills Estates</t>
  </si>
  <si>
    <t>https://drive.google.com/open?id=1SiCBRmy38qBXi9OR3CzAgV-rvUoyRtf6, https://drive.google.com/open?id=12BpkltNlVsJ8WY2CqI0OeMJPRj9ILTat</t>
  </si>
  <si>
    <t>0112-152432</t>
  </si>
  <si>
    <t>1055 S Hayworth Ave</t>
  </si>
  <si>
    <t>https://www.zillow.com/homedetails/1055-S-Hayworth-Ave-Los-Angeles-CA-90035/2055493930_zpid/</t>
  </si>
  <si>
    <t>Margo McCullough</t>
  </si>
  <si>
    <t>(323) 529-0512</t>
  </si>
  <si>
    <t>https://drive.google.com/open?id=1aqSwogy1h4L8ni3EjPCJp9bLZwlfHFD0, https://drive.google.com/open?id=10O7XH8rPf2nf4kGl61Yf1P_k7y-4iAYB</t>
  </si>
  <si>
    <t>1-5124875981</t>
  </si>
  <si>
    <t>0112-152526</t>
  </si>
  <si>
    <t>1658 Lindacrest Dr</t>
  </si>
  <si>
    <t>https://www.zillow.com/homedetails/1658-Lindacrest-Dr-Beverly-Hills-CA-90210/95556943_zpid/</t>
  </si>
  <si>
    <t xml:space="preserve">Listed for rent at $30k on 12/9/24, price increased by 16.5% after the fires to $34,950 on 1/9/25.
</t>
  </si>
  <si>
    <t>https://drive.google.com/open?id=1mcnGkktBbTOcOJJhgQVUf14I_ezBxFaV</t>
  </si>
  <si>
    <t>0112-152919</t>
  </si>
  <si>
    <t>12829 Jolette ave</t>
  </si>
  <si>
    <t>Granada hills</t>
  </si>
  <si>
    <t>https://www.zillow.com/homedetails/12829-Jolette-Ave-Granada-Hills-CA-91344/20108763_zpid/</t>
  </si>
  <si>
    <t>Marios Karagiannis</t>
  </si>
  <si>
    <t>424-417-2142</t>
  </si>
  <si>
    <t xml:space="preserve">25% increase 
</t>
  </si>
  <si>
    <t>https://drive.google.com/open?id=12wPpjmxrVNyhOTnGcW0VC74BN_ivdmkq</t>
  </si>
  <si>
    <t>0112-153039</t>
  </si>
  <si>
    <t>15373 Valley Vista Blvd</t>
  </si>
  <si>
    <t>Sherman Oaks</t>
  </si>
  <si>
    <t>https://www.zillow.com/homedetails/15373-Valley-Vista-Blvd-Sherman-Oaks-CA-91403/19991451_zpid/</t>
  </si>
  <si>
    <t>Mike Siva</t>
  </si>
  <si>
    <t>(818) 620-7233</t>
  </si>
  <si>
    <t xml:space="preserve">Originally listed for rent at $18k, removed from market on 7/20/23. Relisted after the fires on 1/8/25 for $24K a 33.3% increase, and then a second price increase a couple days later on 1/11/25 to $34k an overall 88.8% increase since it's original listing just a year and a half ago.
</t>
  </si>
  <si>
    <t>https://drive.google.com/open?id=1utj10Kj4F1iFPGaGA8_tvbUctcVtUaMK</t>
  </si>
  <si>
    <t>0112-153123</t>
  </si>
  <si>
    <t>13001-13019 Montana Ave #1301</t>
  </si>
  <si>
    <t>https://www.zillow.com/homedetails/13001-13019-Montana-Ave-13011-Los-Angeles-CA-90049/443790422_zpid/</t>
  </si>
  <si>
    <t>Kape Property Management Inc.</t>
  </si>
  <si>
    <t>(213) 714-7664</t>
  </si>
  <si>
    <t xml:space="preserve">Listed on 1/7 for $3595.  Increased to $4495 on 1/8.  Increased again to $5495 on 1/9/2025 
</t>
  </si>
  <si>
    <t>https://drive.google.com/open?id=1UFB3rRaDgcc5ZgXXG3Wm4jW1weSt7VTO, https://drive.google.com/open?id=1S11yrxHZAs75euE0-_c-0MghcQathHsp</t>
  </si>
  <si>
    <t>0112-153455</t>
  </si>
  <si>
    <t xml:space="preserve">17821 San Jose st </t>
  </si>
  <si>
    <t>https://www.zillow.com/homedetails/17821-San-Jose-St-Granada-Hills-CA-91344/20168586_zpid/</t>
  </si>
  <si>
    <t>Sam Pogosov</t>
  </si>
  <si>
    <t xml:space="preserve">41% increase in rent 
</t>
  </si>
  <si>
    <t>https://drive.google.com/open?id=1uqt7MscCxpqVSfbamcjP127Jt5AqNNHG</t>
  </si>
  <si>
    <t>0112-153538</t>
  </si>
  <si>
    <t>2203 N Bowmont Dr</t>
  </si>
  <si>
    <t>https://www.zillow.com/homedetails/2203-N-Bowmont-Dr-Beverly-Hills-CA-90210/20534087_zpid/</t>
  </si>
  <si>
    <t xml:space="preserve">Last rent listing on 11/19/24 was for $11,800 before the home was sold. It was relisted for rent after the fires on 1/7/25 for $32k/month which is a 171.2% increase from the original rent rate, it was increased a second time on 1/9/25 so it's now at $33,950 total.
</t>
  </si>
  <si>
    <t>https://drive.google.com/open?id=1MF6FDE8kEkFLdtGrQG8TrqIpxLmlJyCZ</t>
  </si>
  <si>
    <t>0112-154023</t>
  </si>
  <si>
    <t>8185 Mannix Dr</t>
  </si>
  <si>
    <t>https://www.zillow.com/homedetails/8185-Mannix-Dr-Los-Angeles-CA-90046/82881919_zpid/</t>
  </si>
  <si>
    <t xml:space="preserve">This one is weird because it was listed at 10,500 in December, then down to $9,500 on 1/8 and back up to 10,500 on 1/9
</t>
  </si>
  <si>
    <t>https://drive.google.com/open?id=1rdOoAnlRFuSbVzgkHT4DDqHpANi46bk6, https://drive.google.com/open?id=184dcDiCn4BUEP7GL2zvPqHNWhABEyY63</t>
  </si>
  <si>
    <t>0112-154736</t>
  </si>
  <si>
    <t>4707 Libbit Ave</t>
  </si>
  <si>
    <t>https://www.zillow.com/homedetails/4707-Libbit-Ave-Encino-CA-91436/19991540_zpid/</t>
  </si>
  <si>
    <t>Allen DAHAN</t>
  </si>
  <si>
    <t>(323) 747-7705</t>
  </si>
  <si>
    <t xml:space="preserve">Previous rent listing was for $20k, removed on 4/18/24. Relisted for rent at a 60% increase on 1/12/25 after the fires for $32k.
</t>
  </si>
  <si>
    <t>https://drive.google.com/open?id=1-rNasGbTjI-w93MTPDozdiHKGN4qFyFr</t>
  </si>
  <si>
    <t>1-1525085001</t>
  </si>
  <si>
    <t>0112-154808</t>
  </si>
  <si>
    <t xml:space="preserve">2430 7th St </t>
  </si>
  <si>
    <t>https://www.zillow.com/homedetails/2430-7th-St-Santa-Monica-CA-90405/20482351_zpid/?utm_campaign=iosappmessage&amp;utm_medium=referral&amp;utm_source=txtshare</t>
  </si>
  <si>
    <t>Batoul</t>
  </si>
  <si>
    <t>(213) 674-3438</t>
  </si>
  <si>
    <t>https://drive.google.com/open?id=1x5F7xUgAKOP6_GGvf5Dk47j2c4CrnlZU</t>
  </si>
  <si>
    <t>0112-154819</t>
  </si>
  <si>
    <t>2119 S West View St</t>
  </si>
  <si>
    <t>https://www.zillow.com/homedetails/2119-S-West-View-St-Los-Angeles-CA-90016/20596651_zpid/</t>
  </si>
  <si>
    <t>Kevin Danialifar</t>
  </si>
  <si>
    <t>(310) 598-0011</t>
  </si>
  <si>
    <t xml:space="preserve">Listed at $7,500 on 12/3/24.  Increased to $15,000 on 1/8.  Then decreased to $12,000 on 1/11.
</t>
  </si>
  <si>
    <t>https://drive.google.com/open?id=1LXAbeR2NF7wZlrqvQQhd7JcTcOl5VdYu, https://drive.google.com/open?id=1wyOp-6T3T0BlKoMJgtW6Es4o_95WYMFg</t>
  </si>
  <si>
    <t>0112-155101</t>
  </si>
  <si>
    <t>9621 Royalton Dr</t>
  </si>
  <si>
    <t>https://www.zillow.com/homedetails/9621-Royalton-Dr-Beverly-Hills-CA-90210/20533828_zpid/</t>
  </si>
  <si>
    <t>Avi Einav - Beverly and Company</t>
  </si>
  <si>
    <t>(323) 284-5557</t>
  </si>
  <si>
    <t xml:space="preserve">Listed for rent at a reduced rate of $21k as of 10/21/24 after sitting on the market. Price increased b y 42.9% to #30k after the fires on 1/9/25.
</t>
  </si>
  <si>
    <t>https://drive.google.com/open?id=1J-PBKqq30VAZsOE1R0HYvvQ0zzc0lJVF</t>
  </si>
  <si>
    <t>0112-155205</t>
  </si>
  <si>
    <t>5948 Abernathy Dr</t>
  </si>
  <si>
    <t>https://www.zillow.com/homedetails/5948-Abernathy-Dr-Los-Angeles-CA-90045/20378962_zpid/</t>
  </si>
  <si>
    <t>Carly Drake</t>
  </si>
  <si>
    <t>(414) 339-8982</t>
  </si>
  <si>
    <t>https://drive.google.com/open?id=1BAJxou-I0vqezS1E3AQwDhD9IO1Fn5Z0</t>
  </si>
  <si>
    <t>0112-155229</t>
  </si>
  <si>
    <t>https://www.zillow.com/homedetails/649-N-Edinburgh-Ave-Los-Angeles-CA-90048/20786041_zpid/</t>
  </si>
  <si>
    <t>LA Luxuries</t>
  </si>
  <si>
    <t xml:space="preserve">Last listing was 2/27/2024 for 24,000, updated today 1/12/25 for 35,000
</t>
  </si>
  <si>
    <t>https://drive.google.com/open?id=1I8NK__--QgZfBNlkJ9wEprKEavLSEZY1, https://drive.google.com/open?id=1XmcuvgA8uG6pZty3AnegiuAVAWDBnwE7</t>
  </si>
  <si>
    <t>0112-155234</t>
  </si>
  <si>
    <t>8429 Wiley Post Ave</t>
  </si>
  <si>
    <t>https://www.zillow.com/homedetails/8429-Wiley-Post-Ave-Los-Angeles-CA-90045/20380558_zpid/?utm_campaign=iosappmessage&amp;utm_medium=referral&amp;utm_source=txtshare</t>
  </si>
  <si>
    <t>batoul</t>
  </si>
  <si>
    <t>https://drive.google.com/open?id=1aGY98jQbt2iSCHhzQDlio7tvHTzVs_jB</t>
  </si>
  <si>
    <t>0112-155326</t>
  </si>
  <si>
    <t>610 N Stanley Ave</t>
  </si>
  <si>
    <t>https://www.zillow.com/homedetails/610-N-Stanley-Ave-Los-Angeles-CA-90036/20785234_zpid/</t>
  </si>
  <si>
    <t xml:space="preserve">Listed for rent at $20k on 11/11/24 and price increased after fires on 1/9/25 to $30k - a 50% increase.
</t>
  </si>
  <si>
    <t>https://drive.google.com/open?id=1L8SAiBnhn-CN7UModhGaXSSvOvYQexJM</t>
  </si>
  <si>
    <t>0112-155329</t>
  </si>
  <si>
    <t>11842 Culver Blvd</t>
  </si>
  <si>
    <t>https://www.zillow.com/homedetails/11842-Culver-Blvd-Los-Angeles-CA-90066/2123490972_zpid/?utm_source=txtshare</t>
  </si>
  <si>
    <t>Zuly</t>
  </si>
  <si>
    <t>(424) 234-8005</t>
  </si>
  <si>
    <t>https://drive.google.com/open?id=1uDToPTs5SANI7Q-6c1JULA7ypAhDp5Vg, https://drive.google.com/open?id=1iH_MUW5CA9xkTUozhk9uKlEulkjGA_k9</t>
  </si>
  <si>
    <t>0112-155549</t>
  </si>
  <si>
    <t>5442 W 76th St</t>
  </si>
  <si>
    <t>https://www.zillow.com/homedetails/5442-W-76th-St-Los-Angeles-CA-90045/20391003_zpid/?utm_campaign=iosappmessage&amp;utm_medium=referral&amp;utm_source=txtshare</t>
  </si>
  <si>
    <t>batoul amir-ahmad’s</t>
  </si>
  <si>
    <t>310) 695-6275</t>
  </si>
  <si>
    <t xml:space="preserve">owns 3 properties, price gouged on all 3
</t>
  </si>
  <si>
    <t>https://drive.google.com/open?id=1iy3vQ_D_UmLpHzaIeslr0NdrwlFvxl3v</t>
  </si>
  <si>
    <t>0112-155618</t>
  </si>
  <si>
    <t>446 S Almont Dr</t>
  </si>
  <si>
    <t>https://www.zillow.com/homedetails/446-S-Almont-Dr-Beverly-Hills-CA-90211/20513005_zpid/</t>
  </si>
  <si>
    <t>Deborah gabbai, Uzan realty</t>
  </si>
  <si>
    <t>(213) 668-7520</t>
  </si>
  <si>
    <t>https://drive.google.com/open?id=1WwE00MiyjxRRmfvXtzlihPpwolGb1Suq</t>
  </si>
  <si>
    <t>0112-155730</t>
  </si>
  <si>
    <t>4243 Mary Ellen Ave</t>
  </si>
  <si>
    <t xml:space="preserve">Studio City </t>
  </si>
  <si>
    <t>https://www.zillow.com/homedetails/4243-Mary-Ellen-Ave-497B9FBCD-Studio-City-CA-91604/353484968_zpid/?utm_campaign=iosappmessage&amp;utm_medium=referral&amp;utm_source=txtshare</t>
  </si>
  <si>
    <t>Brenda</t>
  </si>
  <si>
    <t>(818) 824-5029</t>
  </si>
  <si>
    <t>https://drive.google.com/open?id=1x7_xOpaLzAiwH1Dk84XrhMgrH5iDOlJx, https://drive.google.com/open?id=1s27p-kMR3GtvQWW7kObNYzK3j9DD_VDB</t>
  </si>
  <si>
    <t>0112-155800</t>
  </si>
  <si>
    <t xml:space="preserve">13252 Magnolia Blvd </t>
  </si>
  <si>
    <t xml:space="preserve">Sherman Oaks </t>
  </si>
  <si>
    <t>https://www.zillow.com/homedetails/13252-Magnolia-Blvd-Sherman-Oaks-CA-91423/20021216_zpid/</t>
  </si>
  <si>
    <t xml:space="preserve">Shelly Mashiach </t>
  </si>
  <si>
    <t>(818) 486-8984</t>
  </si>
  <si>
    <t>https://drive.google.com/open?id=1pta5JIAS9StFpAqk3qlgO8nmKqJrDBAM, https://drive.google.com/open?id=1U6G2Tzgk8cZkNSkNEbsS1OqtnMWwK-Gh, https://drive.google.com/open?id=1K7016EzHhbcVEARfBcDeB6nQe5Vlwqpi</t>
  </si>
  <si>
    <t>0112-155846</t>
  </si>
  <si>
    <t>4405-029-013</t>
  </si>
  <si>
    <t>157 S Anita Ave</t>
  </si>
  <si>
    <t>https://www.zillow.com/homedetails/157-S-Anita-Ave-Los-Angeles-CA-90049/20537967_zpid/</t>
  </si>
  <si>
    <t>https://drive.google.com/open?id=19BT85d6UwVi4gdzVdHL2EPPh1ua-ZVR6</t>
  </si>
  <si>
    <t>0112-155907</t>
  </si>
  <si>
    <t>138 N Hamel Dr</t>
  </si>
  <si>
    <t>https://www.zillow.com/homedetails/138-N-Hamel-Dr-Beverly-Hills-CA-90211/20514615_zpid/</t>
  </si>
  <si>
    <t>Beki Jun</t>
  </si>
  <si>
    <t>(213) 761-2766</t>
  </si>
  <si>
    <t>https://drive.google.com/open?id=17n9BhuDDd9AGDbjYzMlnJfMZOES_GgM_</t>
  </si>
  <si>
    <t>0112-160230</t>
  </si>
  <si>
    <t>317 Westbourne Dr</t>
  </si>
  <si>
    <t>https://www.zillow.com/homedetails/317-Westbourne-Dr-West-Hollywood-CA-90048/20517150_zpid/</t>
  </si>
  <si>
    <t>Vered Bar</t>
  </si>
  <si>
    <t>(786) 543-6499</t>
  </si>
  <si>
    <t>https://drive.google.com/open?id=19nzhkkUaiBGrXT8i5FxFEZt3g9CjPXbL</t>
  </si>
  <si>
    <t>0112-160239</t>
  </si>
  <si>
    <t>na</t>
  </si>
  <si>
    <t>2307 Federal Ave</t>
  </si>
  <si>
    <t>https://www.zillow.com/homedetails/2307-Federal-Ave-Los-Angeles-CA-90064/2052980412_zpid/</t>
  </si>
  <si>
    <t>Richard Sherbrooke</t>
  </si>
  <si>
    <t>(213) 319-4576</t>
  </si>
  <si>
    <t xml:space="preserve">+39.5% since 10/29/24
</t>
  </si>
  <si>
    <t>https://drive.google.com/open?id=1vi5GECNsAJpLueOp1dBQHEayJEmCpyB5, https://drive.google.com/open?id=1II2k_XNBgUwuSjpHlZDq7eB2nLIdHUCR</t>
  </si>
  <si>
    <t>0112-160334</t>
  </si>
  <si>
    <t>https://www.zillow.com/homedetails/114-Pacific-Ave-Venice-CA-90291/20482017_zpid/?utm_campaign=iosappmessage&amp;utm_medium=referral&amp;utm_source=txtshare</t>
  </si>
  <si>
    <t>Lee Tonks</t>
  </si>
  <si>
    <t>https://drive.google.com/open?id=1Zev9PIso1a8dzC7pNzOUawwCr8wW--kN</t>
  </si>
  <si>
    <t>0112-161001</t>
  </si>
  <si>
    <t>811 23rd St</t>
  </si>
  <si>
    <t>https://www.zillow.com/homedetails/811-23rd-St-Santa-Monica-CA-90403/20474791_zpid/?utm_campaign=iosappmessage&amp;utm_medium=referral&amp;utm_source=txtshare</t>
  </si>
  <si>
    <t>Azad Virani</t>
  </si>
  <si>
    <t>https://drive.google.com/open?id=1vT4ETMcdP3zM7xr4-3EVAS7BALMSPBSj</t>
  </si>
  <si>
    <t>0112-161201</t>
  </si>
  <si>
    <t>1741 Stearns Drive</t>
  </si>
  <si>
    <t>https://www.zillow.com/homedetails/1741-Stearns-Dr-Los-Angeles-CA-90035/20598494_zpid/</t>
  </si>
  <si>
    <t xml:space="preserve">This one is weird - Listed at $14995 on 12/13/14, jumped up to $19,000 on 1/10, then back down to $14,995 on 1/12.
</t>
  </si>
  <si>
    <t>https://drive.google.com/open?id=1DR5n-JJZcYCKVR9WfOH69dJ7ZoH5unlk, https://drive.google.com/open?id=1NfGxuBqFnPSDXjzHi8IKWu5fpKiMCVjK</t>
  </si>
  <si>
    <t>0112-161329</t>
  </si>
  <si>
    <t>8680 Franklin Ave</t>
  </si>
  <si>
    <t>https://www.zillow.com/homedetails/8680-Franklin-Ave-Los-Angeles-CA-90069/20798318_zpid/</t>
  </si>
  <si>
    <t>Rhiannon Genov, LA Estate Brokerage</t>
  </si>
  <si>
    <t>(408) 829-3693</t>
  </si>
  <si>
    <t>https://drive.google.com/open?id=1A-soIUjd5PAmtxUsxqHcRj8j0ub7wEGb</t>
  </si>
  <si>
    <t>0112-161613</t>
  </si>
  <si>
    <t>1106 Oakwood Ave</t>
  </si>
  <si>
    <t>https://www.zillow.com/homedetails/1106-Oakwood-Ave-Venice-CA-90291/20450981_zpid/?utm_campaign=iosappmessage&amp;utm_medium=referral&amp;utm_source=txtshare</t>
  </si>
  <si>
    <t>Megan Raney Aarons</t>
  </si>
  <si>
    <t>310) 266-1611</t>
  </si>
  <si>
    <t>https://drive.google.com/open?id=1UJACklG5nc83YYFqXuqqrCbbt1GVb80Y</t>
  </si>
  <si>
    <t>0112-161805</t>
  </si>
  <si>
    <t>1533 Marlay Dr</t>
  </si>
  <si>
    <t>https://www.zillow.com/homedetails/1533-Marlay-Dr-West-Hollywood-CA-90069/20798034_zpid/</t>
  </si>
  <si>
    <t>Tracy Tutor, Compass</t>
  </si>
  <si>
    <t>(310) 464-2321</t>
  </si>
  <si>
    <t>https://drive.google.com/open?id=1XP6fivbXUPcz0msibc26R74FE1q5PfEQ</t>
  </si>
  <si>
    <t>0112-162245</t>
  </si>
  <si>
    <t>637 Oxford Ave</t>
  </si>
  <si>
    <t>01/10/0025</t>
  </si>
  <si>
    <t>https://www.zillow.com/homedetails/637-Oxford-Ave-Venice-CA-90291/20445192_zpid/</t>
  </si>
  <si>
    <t>https://drive.google.com/open?id=1SvFuB6NoY9HqCxe9AxAHnZgTT455nnJi, https://drive.google.com/open?id=1zQfjVPZ2uxX94EB2ml3RaIVy4Og4ISb0</t>
  </si>
  <si>
    <t>0112-162325</t>
  </si>
  <si>
    <t>1612 Courtney Ave</t>
  </si>
  <si>
    <t>https://www.zillow.com/homedetails/1612-Courtney-Ave-Los-Angeles-CA-90046/20794166_zpid/</t>
  </si>
  <si>
    <t>Robert Erickson, Erickson Estates, Inc</t>
  </si>
  <si>
    <t>(310) 890-7895</t>
  </si>
  <si>
    <t>https://drive.google.com/open?id=1DKzGSKa1tenN-YHceTeH8MAIko197Sm-</t>
  </si>
  <si>
    <t>0112-162835</t>
  </si>
  <si>
    <t>1941 Glencoe Way</t>
  </si>
  <si>
    <t>https://www.zillow.com/homedetails/1941-Glencoe-Way-Los-Angeles-CA-90068/20793801_zpid/</t>
  </si>
  <si>
    <t>https://drive.google.com/open?id=1KIwqg617OILA2Z3n4UJmjm8UJ23dHQKb, https://drive.google.com/open?id=1kON3ImZlCafGvi92KAIobyLmxqiPhmTw</t>
  </si>
  <si>
    <t>0112-162952</t>
  </si>
  <si>
    <t>8147 Mulholland Ter</t>
  </si>
  <si>
    <t>https://www.zillow.com/homedetails/8147-Mulholland-Ter-Los-Angeles-CA-90046/20031972_zpid/?utm_campaign=iosappmessage&amp;utm_medium=referral&amp;utm_source=txtshare</t>
  </si>
  <si>
    <t>Lyndall</t>
  </si>
  <si>
    <t>https://drive.google.com/open?id=1XxZrlW3J4rO4tz29su9cdzZ5FtpvJZQ7, https://drive.google.com/open?id=1KIVhHw4l8eNJ3lAb2YQ_O5TH6jlT6PPa</t>
  </si>
  <si>
    <t>0112-163400</t>
  </si>
  <si>
    <t>4227 McLaughlin Ave FLOOR 3-ID136</t>
  </si>
  <si>
    <t>https://www.zillow.com/homedetails/4227-McLaughlin-Ave-FLOOR-3-ID136-Los-Angeles-CA-90066/439767586_zpid/</t>
  </si>
  <si>
    <t>Blueground US BLUEGROUND Management company</t>
  </si>
  <si>
    <t>(323) 672-4236</t>
  </si>
  <si>
    <t>https://drive.google.com/open?id=1FR-jnhP8KST_5Rbmke4HAc3iWZaZ4iv0, https://drive.google.com/open?id=1hGJEKULIVd-p8jWgF0LQfNM3Efh_u16j</t>
  </si>
  <si>
    <t>0112-164211</t>
  </si>
  <si>
    <t>1846 N Alvarado St</t>
  </si>
  <si>
    <t>01/11/0025</t>
  </si>
  <si>
    <t>https://www.zillow.com/homedetails/1846-N-Alvarado-St-Los-Angeles-CA-90026/20742169_zpid/</t>
  </si>
  <si>
    <t>https://drive.google.com/open?id=1i3JsYHLxDov9XlOidmTvYRrS80EfpmMd, https://drive.google.com/open?id=1qv4I9qsYnlJEIMcXkohjBydfeoKM89sw</t>
  </si>
  <si>
    <t>0112-164246</t>
  </si>
  <si>
    <t>4630 Vantage Ave</t>
  </si>
  <si>
    <t>Valley Village</t>
  </si>
  <si>
    <t>https://www.zillow.com/homedetails/4630-Vantage-Ave-Valley-Village-CA-91607/2073592574_zpid/</t>
  </si>
  <si>
    <t>Haggit Man</t>
  </si>
  <si>
    <t>(213) 786-4819</t>
  </si>
  <si>
    <t>https://drive.google.com/open?id=1ENJOqJN5vU4XC--88NFeD1LRdM1L3BNA, https://drive.google.com/open?id=16dLTX9IyCrD2V6eyLczm0hHxs1tAHcrl</t>
  </si>
  <si>
    <t>0112-164345</t>
  </si>
  <si>
    <t>9987 Reevesbury Dr</t>
  </si>
  <si>
    <t>https://zillow.com/homedetails/9987-Reevesbury-Dr-Beverly-Hills-CA-90210/20532823_zpid/</t>
  </si>
  <si>
    <t>Kaven Asvar venetian realty and finance</t>
  </si>
  <si>
    <t>(310) 628-1546</t>
  </si>
  <si>
    <t>https://drive.google.com/open?id=1vf8hpHBjuhq8v2Ecqd2dojvA1zHbRFnN</t>
  </si>
  <si>
    <t>0112-164356</t>
  </si>
  <si>
    <t>https://www.zillow.com/homedetails/8429-Wiley-Post-Ave-Los-Angeles-CA-90045/20380558_zpid/</t>
  </si>
  <si>
    <t>https://drive.google.com/open?id=1QQCrIanzYCaV2uc9oYmYzAlElI0YS8mP, https://drive.google.com/open?id=1qTLXMsPHwHHGF7rbCFv8_lZ6lugI1kPt</t>
  </si>
  <si>
    <t>0112-164531</t>
  </si>
  <si>
    <t>3205 Waverly Dr</t>
  </si>
  <si>
    <t>https://www.zillow.com/homedetails/3205-Waverly-Dr-Los-Angeles-CA-90027/20749233_zpid/</t>
  </si>
  <si>
    <t>Sharona Davidian, Legacy Villa Rentals</t>
  </si>
  <si>
    <t>(310) 498-7574</t>
  </si>
  <si>
    <t>https://drive.google.com/open?id=1W-ioNzPqFRqCqmztCBTDGiBYb4kwXgV2</t>
  </si>
  <si>
    <t>0112-164609</t>
  </si>
  <si>
    <t>Undisclosed address</t>
  </si>
  <si>
    <t>https://www.zillow.com/homedetails/Burbank-CA-91504/20060493_zpid/?utm_campaign=androidappmessage&amp;utm_medium=referral&amp;utm_source=txtshare</t>
  </si>
  <si>
    <t>Nina Bui</t>
  </si>
  <si>
    <t>(818) 860-2561</t>
  </si>
  <si>
    <t>https://drive.google.com/open?id=1UCuUxiuVkab58yEIr4FRbvB4VSNRQ8Rk, https://drive.google.com/open?id=1M1o-kPiLeo1O-8b81WnYuXbVpOnZ66wy</t>
  </si>
  <si>
    <t>0112-164810</t>
  </si>
  <si>
    <t>3600 Valley Meadow Rd</t>
  </si>
  <si>
    <t>https://www.zillow.com/homedetails/3600-Valley-Meadow-Rd-Sherman-Oaks-CA-91403/19990550_zpid/</t>
  </si>
  <si>
    <t>Lisa Morin</t>
  </si>
  <si>
    <t>(872) 266-2415</t>
  </si>
  <si>
    <t>https://drive.google.com/open?id=1fffNCVUmW7zSAOiHiCIcQjTks9tFOgny, https://drive.google.com/open?id=1pjaA9a5q25nYPk1mbD4Cu9bwGNYIom2Q</t>
  </si>
  <si>
    <t>0112-164924</t>
  </si>
  <si>
    <t>1172 Linda Flora Dr</t>
  </si>
  <si>
    <t xml:space="preserve"> Los Angeles</t>
  </si>
  <si>
    <t>https://www.zillow.com/homedetails/1172-Linda-Flora-Dr-Los-Angeles-CA-90049/20528914_zpid/</t>
  </si>
  <si>
    <t>https://drive.google.com/open?id=1y0ZpIYBBjLSmm7OJESP7aZoQiIpj6_9Q</t>
  </si>
  <si>
    <t>0112-164938</t>
  </si>
  <si>
    <t>1966 Rangeview Dr</t>
  </si>
  <si>
    <t>https://www.zillow.com/homedetails/1966-Rangeview-Dr-Glendale-CA-91201/20821772_zpid/</t>
  </si>
  <si>
    <t xml:space="preserve">    Gevorg Sahakyan</t>
  </si>
  <si>
    <t>(818) 858-9272</t>
  </si>
  <si>
    <t xml:space="preserve">Price raised before fires, but by over 80%
</t>
  </si>
  <si>
    <t>https://drive.google.com/open?id=1W906Jv2fvSSPhw77-SnWW1Cg9fzdXPuA</t>
  </si>
  <si>
    <t>0112-165206</t>
  </si>
  <si>
    <t>1801 Roscomare Rd</t>
  </si>
  <si>
    <t>https://www.zillow.com/homedetails/1801-Roscomare-Rd-Los-Angeles-CA-90077/20530151_zpid/</t>
  </si>
  <si>
    <t>Alex</t>
  </si>
  <si>
    <t>(213) 816-4694</t>
  </si>
  <si>
    <t xml:space="preserve">Briefly dropped to 13,500 on 1/7/25
</t>
  </si>
  <si>
    <t>https://drive.google.com/open?id=1PktMQjfVeJVGk9umFpB8-JyLVBntwK31, https://drive.google.com/open?id=1bL2lfRESUbupwD3-Z9K8WuHWQI-jShwY</t>
  </si>
  <si>
    <t>0112-165306</t>
  </si>
  <si>
    <t>4641 crown ave</t>
  </si>
  <si>
    <t>la canada flintridge</t>
  </si>
  <si>
    <t>https://www.zillow.com/homedetails/4641-Crown-Ave-La-Canada-Flintridge-CA-91011/20906018_zpid/?utm_campaign=iosappmessage&amp;utm_medium=referral&amp;utm_source=txtshare</t>
  </si>
  <si>
    <t>Ruby</t>
  </si>
  <si>
    <t>(626) 610-4819</t>
  </si>
  <si>
    <t>https://drive.google.com/open?id=1jAj3JFVgL-hTCv8gsqSVqiPpISB2eA4L, https://drive.google.com/open?id=1qHjmI5IawpA9AL5PPNV78etwWyrpxwRV</t>
  </si>
  <si>
    <t>0112-165327</t>
  </si>
  <si>
    <t xml:space="preserve">Undisclosed </t>
  </si>
  <si>
    <t>https://www.zillow.com/homedetails/Los-Angeles-CA-90291/95551094_zpid/</t>
  </si>
  <si>
    <t>Sherwin Aryeh</t>
  </si>
  <si>
    <t>(424) 244-0805</t>
  </si>
  <si>
    <t xml:space="preserve">Listed by management company. Rental price has been decreasing consistently since 5/2024 with the lastest decrease was on 11/15/24 where it was decreased from $6,667 to $6,250 (-6.3%). The listing was most recently listed on 1/6/2024 for $6250 and there was a price change on 1/9/2025 to $8,000 (+28%).
</t>
  </si>
  <si>
    <t>https://drive.google.com/open?id=1XG9iqbkqIViCq-rsdT7-IEHlyCmMj5En</t>
  </si>
  <si>
    <t>0112-165423</t>
  </si>
  <si>
    <t>9509 Cresta Dr</t>
  </si>
  <si>
    <t>https://www.zillow.com/homedetails/9509-Cresta-Dr-Los-Angeles-CA-90035/20493657_zpid/</t>
  </si>
  <si>
    <t>Dezireh Haghayeghi</t>
  </si>
  <si>
    <t>(310) 626-2096</t>
  </si>
  <si>
    <t>https://drive.google.com/open?id=1YIXIrkHjZvuWe_ZTcjPCP7msmaNxwdW4</t>
  </si>
  <si>
    <t>0112-165921</t>
  </si>
  <si>
    <t>927 N Fairview St</t>
  </si>
  <si>
    <t>https://www.zillow.com/homedetails/Burbank-CA-91505/20062811_zpid/</t>
  </si>
  <si>
    <t xml:space="preserve">This property was originally listed for $19,750/mo on 12/4/24. IT has had two decreases, landing at $14,950 on 12/30/2024 until it was increased to $19,750 (+32.1%) on 1/8/2025.
</t>
  </si>
  <si>
    <t>https://drive.google.com/open?id=1-Eb5AEYrX4Hfke_KyB58ZP98YUwDTlwr</t>
  </si>
  <si>
    <t>0112-170302</t>
  </si>
  <si>
    <t>20 28th Ave #Penthouse</t>
  </si>
  <si>
    <t>https://www.zillow.com/homedetails/20-28th-Ave-PENTHOUSE-Venice-CA-90291/442583506_zpid/</t>
  </si>
  <si>
    <t>Eli Mashiach - MGB Realty Group</t>
  </si>
  <si>
    <t>(818) 850-2757</t>
  </si>
  <si>
    <t xml:space="preserve">This property was first listed at $9,500 on 11/13/24. It was decreased on 12/4/2024 to $9000 until 1/12/2025 when it was increased to $9,895 (+9.9%) on 1/12/2025.
</t>
  </si>
  <si>
    <t>https://drive.google.com/open?id=1YoVaUBPOqLwNTz4M-C_iei4pwUkgbAEp</t>
  </si>
  <si>
    <t>0112-170552</t>
  </si>
  <si>
    <t>Parcel number: 4236007006</t>
  </si>
  <si>
    <t>2428 glyndon ave</t>
  </si>
  <si>
    <t>https://www.zillow.com/homedetails/2428-Glyndon-Ave-Venice-CA-90291/20448951_zpid/?utm_campaign=iosappmessage&amp;utm_medium=referral&amp;utm_source=txtshare</t>
  </si>
  <si>
    <t>Andrew quezada</t>
  </si>
  <si>
    <t>https://drive.google.com/open?id=1UZixRhfyvVJ1TEMDreb0N0Tv3NPiCGZZ, https://drive.google.com/open?id=1mYncaGcof9Wriz02qzvJhkQPRs9KuPPD, https://drive.google.com/open?id=1cXthGHXLiXNRhiCxnKUuEt5z6NOX5-cQ</t>
  </si>
  <si>
    <t>0112-171206</t>
  </si>
  <si>
    <t>MLS #24-457879</t>
  </si>
  <si>
    <t>12318 W Sunset Blvd</t>
  </si>
  <si>
    <t>https://www.redfin.com/CA/Los-Angeles/12318-W-Sunset-Blvd-90049/home/6838818</t>
  </si>
  <si>
    <t>Mehrnoosh Moosh Bahri</t>
  </si>
  <si>
    <t xml:space="preserve">310-433-1807 </t>
  </si>
  <si>
    <t xml:space="preserve">This property has been consistently decreasing in monthly price since 11/2024. As of 1/3/2025 the property was listed for $29,500/mo until being increased to as much as $35,000 on 1/11/2025 and then to $30,000 on 1/12/2025. 
</t>
  </si>
  <si>
    <t>https://drive.google.com/open?id=1_SAi9JLdagD4oQrTUMTUV5MK_wG2-7Ep</t>
  </si>
  <si>
    <t>0112-171854</t>
  </si>
  <si>
    <t>https://www.zillow.com/homedetails/2950-Tyburn-St-Los-Angeles-CA-90039/20751814_zpid/?utm_campaign=iosappmessage&amp;utm_medium=referral&amp;utm_source=txtshare</t>
  </si>
  <si>
    <t>(310) 810-8529</t>
  </si>
  <si>
    <t>Barton Tamamian</t>
  </si>
  <si>
    <t>https://drive.google.com/open?id=1LkCGRZUSPcznFDdG8d8jmfO5gjg1xq1y, https://drive.google.com/open?id=1p4rHOSfokWyQNl8--b_RHzPGSReRtFYg, https://drive.google.com/open?id=16smliL29gtcDrW_reANVePri9pK7nVi2</t>
  </si>
  <si>
    <t>Awaiting call</t>
  </si>
  <si>
    <t>0112-172620</t>
  </si>
  <si>
    <t>1427 Columbia Dr,</t>
  </si>
  <si>
    <t>https://www.zillow.com/homedetails/1427-Columbia-Dr-Glendale-CA-91205/20847539_zpid/?utm_campaign=iosappmessage&amp;utm_medium=referral&amp;utm_source=txtshare</t>
  </si>
  <si>
    <t>Aurelia</t>
  </si>
  <si>
    <t>(323) 557-5850</t>
  </si>
  <si>
    <t>https://drive.google.com/open?id=1xI-tv5HiznaTBZ_KhQfrakkLPgZfHM0r, https://drive.google.com/open?id=1b9u4931e5D-jWsVmgVtZFmawvWgIih8R</t>
  </si>
  <si>
    <t>0112-173213</t>
  </si>
  <si>
    <t>848 15th St APT 2</t>
  </si>
  <si>
    <t>https://www.zillow.com/homedetails/848-15th-St-APT-2-Santa-Monica-CA-90403/20478339_zpid/</t>
  </si>
  <si>
    <t>Wyatt Parker</t>
  </si>
  <si>
    <t>(310) 995-7588</t>
  </si>
  <si>
    <t>https://drive.google.com/open?id=13XxrWddwBbsSyjIJlvNNxD8Hu9RndxAt</t>
  </si>
  <si>
    <t>0112-173243</t>
  </si>
  <si>
    <t xml:space="preserve">425 29th St. </t>
  </si>
  <si>
    <t xml:space="preserve">Manhattan Beach </t>
  </si>
  <si>
    <t>https://www.zillow.com/homedetails/425-29th-St-Manhattan-Beach-CA-90266/20420888_zpid/</t>
  </si>
  <si>
    <t>Says listed by property owner</t>
  </si>
  <si>
    <t>Virginia Moore</t>
  </si>
  <si>
    <t>(949) 278-7466</t>
  </si>
  <si>
    <t>Looks like the place was being rented and then was sold, and is now being rented again for more than double its rental cost in 2021.
last listing 2020</t>
  </si>
  <si>
    <t>https://drive.google.com/open?id=1QdCaG10dp_0I5G20noHWOZH14EruF-_M</t>
  </si>
  <si>
    <t>0112-173325</t>
  </si>
  <si>
    <t>https://www.zillow.com/homedetails/1026-E-Verdugo-Ave-Burbank-CA-91501/20054588_zpid/?utm_campaign=androidappmessage&amp;utm_medium=referral&amp;utm_source=txtshare</t>
  </si>
  <si>
    <t>Price increased from $7,865 to $12,000 (52.6%) between 1/7/25 and 1/9/25, then dropped to $8,650 on 1/11/25 (net 9.98% increase)
last listing 2020</t>
  </si>
  <si>
    <t>https://drive.google.com/open?id=1X6lYkwkCrczlgyveFigm7pbAcDCGu2kC, https://drive.google.com/open?id=1zR_GyY0xYgY_-sam2AEr1lWGYW0LlJGR</t>
  </si>
  <si>
    <t>0112-174017</t>
  </si>
  <si>
    <t>12243 Gorham Ave #A</t>
  </si>
  <si>
    <t>https://www.zillow.com/homedetails/12243-Gorham-Ave-A-Los-Angeles-CA-90049/2079729137_zpid/</t>
  </si>
  <si>
    <t>Maricela</t>
  </si>
  <si>
    <t>(310) 613-2241</t>
  </si>
  <si>
    <t>https://drive.google.com/open?id=1TZylGqslTVsNsSkNnM9Mp7SFtJAUebkq</t>
  </si>
  <si>
    <t>0112-174152</t>
  </si>
  <si>
    <t>640 Harbor St Apt 1</t>
  </si>
  <si>
    <t>https://www.zillow.com/homedetails/640-Harbor-St-APT-1-Venice-CA-90291/20444876_zpid/</t>
  </si>
  <si>
    <t>Josh Afighom, Josh Afi Group</t>
  </si>
  <si>
    <t>(310) 500-6319</t>
  </si>
  <si>
    <t xml:space="preserve">
last listing 2023</t>
  </si>
  <si>
    <t>https://drive.google.com/open?id=1helEMAdM-ub5OuLiHjpDTAh-ahcUYdbQ</t>
  </si>
  <si>
    <t>0112-174418</t>
  </si>
  <si>
    <t>2311 Malcolm Ave</t>
  </si>
  <si>
    <t>https://www.zillow.com/homedetails/2311-Malcolm-Ave-Los-Angeles-CA-90064/20500588_zpid/</t>
  </si>
  <si>
    <t>Shah Noorvash</t>
  </si>
  <si>
    <t>(310) 709-7424</t>
  </si>
  <si>
    <t>https://drive.google.com/open?id=1xuerSwngFGX_-pO2OY9yuXAT9OjclwEh</t>
  </si>
  <si>
    <t>0112-174717</t>
  </si>
  <si>
    <t>2219 Estribo Dr</t>
  </si>
  <si>
    <t>Rolling Hills</t>
  </si>
  <si>
    <t>https://www.zillow.com/homedetails/2219-Estribo-Dr-Rolling-Hills-CA-90274/21348855_zpid/</t>
  </si>
  <si>
    <t>Justin Miller, Beach City Brokers</t>
  </si>
  <si>
    <t>(424) 401-7564</t>
  </si>
  <si>
    <t xml:space="preserve">
last listing 2019</t>
  </si>
  <si>
    <t>https://drive.google.com/open?id=1siOQVYGTV-42wGjf7h22O5kzdWY9AJ06, https://drive.google.com/open?id=1fqvC3JxrpzXX073R3arqQx4RU_P2Mt2o</t>
  </si>
  <si>
    <t>0112-174723</t>
  </si>
  <si>
    <t>2229 willetta st</t>
  </si>
  <si>
    <t xml:space="preserve">los angeles </t>
  </si>
  <si>
    <t>https://www.zillow.com/homedetails/2229-Willetta-St-Los-Angeles-CA-90068/20804418_zpid/?utm_campaign=iosappmessage&amp;utm_medium=referral&amp;utm_source=txtshare</t>
  </si>
  <si>
    <t>Mike</t>
  </si>
  <si>
    <t>https://drive.google.com/open?id=1RJ619Qxtje21besq3-Katu3HJQkAn2qW, https://drive.google.com/open?id=1Tp6JJVzisFrnOtsKEUro8pRTEgr2jzl8</t>
  </si>
  <si>
    <t>0112-175040</t>
  </si>
  <si>
    <t>427 Manhattan Ave</t>
  </si>
  <si>
    <t>Hermosa Beach</t>
  </si>
  <si>
    <t>https://www.zillow.com/homedetails/427-Manhattan-Ave-Hermosa-Beach-CA-90254/2078086078_zpid/</t>
  </si>
  <si>
    <t>(310) 620-1628</t>
  </si>
  <si>
    <t>https://drive.google.com/open?id=1chXcnQGDmfJ9qW96zxhmNs168JA9waLh, https://drive.google.com/open?id=1IUfbmHgTSUdMOlReWl54D867ml7teY8N</t>
  </si>
  <si>
    <t>0112-175102</t>
  </si>
  <si>
    <t>10919 Ayres Ave</t>
  </si>
  <si>
    <t>https://www.zillow.com/homedetails/10919-Ayres-Ave-Los-Angeles-CA-90064/2098430421_zpid/</t>
  </si>
  <si>
    <t>Sam</t>
  </si>
  <si>
    <t>(818) 632-2411</t>
  </si>
  <si>
    <t xml:space="preserve">
removed on 1/4</t>
  </si>
  <si>
    <t>https://drive.google.com/open?id=18VwtNi21SWtzIJgo4yu0DiKSB15fH3jl</t>
  </si>
  <si>
    <t>0112-175334</t>
  </si>
  <si>
    <t>208 Marine Ave</t>
  </si>
  <si>
    <t>Manhattan Beach</t>
  </si>
  <si>
    <t>https://www.zillow.com/homedetails/208-Marine-Ave-Manhattan-Beach-CA-90266/20421873_zpid/</t>
  </si>
  <si>
    <t>(424) 329-8910</t>
  </si>
  <si>
    <t>https://drive.google.com/open?id=1vN_aec17VRwRSCoMTlSVu36iF8cvYV1B, https://drive.google.com/open?id=14Y8fC1EqoWAUSCZ8yjXE-mJSyi0o7Gpu</t>
  </si>
  <si>
    <t>0112-175442</t>
  </si>
  <si>
    <t>10 20th Ave</t>
  </si>
  <si>
    <t>https://zillow.com/homedetails/10-20th-Ave-Venice-CA-90291/60295991_zpid/</t>
  </si>
  <si>
    <t>Zev Forrest</t>
  </si>
  <si>
    <t>(323) 638-4289</t>
  </si>
  <si>
    <t xml:space="preserve">
off market, illegal price before</t>
  </si>
  <si>
    <t>https://drive.google.com/open?id=1y-OPc2OM-z1FaGOQ2zwtAxETwo4buQtc</t>
  </si>
  <si>
    <t>0112-175445</t>
  </si>
  <si>
    <t>https://www.zillow.com/homedetails/907-Pine-Grove-Ave-Los-Angeles-CA-90042/20769156_zpid/</t>
  </si>
  <si>
    <t>+1 (323) 333-2367</t>
  </si>
  <si>
    <t xml:space="preserve">Price has been consistently dropping the last few months until 1/12/25, when it was raised more than 10.5%. I toured this property on 1/3/25 and it was unoccupied.
</t>
  </si>
  <si>
    <t>https://drive.google.com/open?id=1NSXv9w6CbnEEGAybgcAZI2OUToPcg_kg, https://drive.google.com/open?id=1zgbMTRC3fmGspH2r5CM3-iorh9q93YDm, https://drive.google.com/open?id=1jhJVwWegD9wfWinngzUzpELedo4qBytP</t>
  </si>
  <si>
    <t>1-5125478451</t>
  </si>
  <si>
    <t>0112-175631</t>
  </si>
  <si>
    <t>undisclosed</t>
  </si>
  <si>
    <t>burbank</t>
  </si>
  <si>
    <t>https://www.zillow.com/homedetails/(undisclosed-Address)-Burbank-CA-91504/20060493_zpid/?utm_campaign=iosappmessage&amp;utm_medium=referral&amp;utm_source=txtshare</t>
  </si>
  <si>
    <t>https://drive.google.com/open?id=1PaTD_zGphZXyFQkBo56Nkqab3kBruXzP, https://drive.google.com/open?id=1AZmRlaB6sSQcpj-tnMQS7XE0f-iip30U</t>
  </si>
  <si>
    <t>0112-175756</t>
  </si>
  <si>
    <t>700 N Irena Ave</t>
  </si>
  <si>
    <t>https://www.zillow.com/homedetails/700-N-Irena-Ave-Redondo-Beach-CA-90277/21317441_zpid/</t>
  </si>
  <si>
    <t>Linda</t>
  </si>
  <si>
    <t>(424) 265-3535</t>
  </si>
  <si>
    <t>https://drive.google.com/open?id=1WX-vvmzofdChn74LPMgyvQIF-vPL-Yzw, https://drive.google.com/open?id=1brwH-B8nY4SArCPP-ybe3J8bo_htGvdA</t>
  </si>
  <si>
    <t>0112-180037</t>
  </si>
  <si>
    <t>2727 El Oeste Dr</t>
  </si>
  <si>
    <t>https://www.zillow.com/homedetails/2727-El-Oeste-Dr-Hermosa-Beach-CA-90254/20416648_zpid/</t>
  </si>
  <si>
    <t>Yasmina</t>
  </si>
  <si>
    <t>(213) 667-6953</t>
  </si>
  <si>
    <t>https://drive.google.com/open?id=1ApWPbKwniqBaWo4DjlpZmZUiOQCZlgrs, https://drive.google.com/open?id=1MMNL_xRWDdJVvLG_AEkQYLZdMiBz2-2X</t>
  </si>
  <si>
    <t>0112-180210</t>
  </si>
  <si>
    <t>3408 Alma Ave</t>
  </si>
  <si>
    <t>https://www.zillow.com/homedetails/3408-Alma-Ave-Manhattan-Beach-CA-90266/20420312_zpid/</t>
  </si>
  <si>
    <t>Montie Taylor</t>
  </si>
  <si>
    <t>(310) 994-3695</t>
  </si>
  <si>
    <t>https://drive.google.com/open?id=1_wwFu5NROqgMuL41drhiEyyKx5irwwhi</t>
  </si>
  <si>
    <t>0112-180211</t>
  </si>
  <si>
    <t>1222 Hilldale Ave</t>
  </si>
  <si>
    <t>https://www.zillow.com/homedetails/1222-Hilldale-Ave-Los-Angeles-CA-90069/20799396_zpid/</t>
  </si>
  <si>
    <t>Henry Orozco (mgmt company)</t>
  </si>
  <si>
    <t>(424) 370-0738</t>
  </si>
  <si>
    <t>Note that last rental listing/price was in Feb. 2023, and listing was removed in March 2023; the increase still seems significant but should be cross referenced average pre-fire rent for the area and property type 
last listing 2020</t>
  </si>
  <si>
    <t>https://drive.google.com/open?id=1VYfHI6Fx2N2nYT3a8UDPFzSiMWLV9xv9, https://drive.google.com/open?id=1U4H0A5K9vgMhZTle2fqjilsqh6nvdhUt, https://drive.google.com/open?id=1GFOwgJfck-fLbgXsK2s2j7frLuMy_MD_</t>
  </si>
  <si>
    <t>0112-180425</t>
  </si>
  <si>
    <t>3100 The Strand</t>
  </si>
  <si>
    <t>https://www.zillow.com/homedetails/3100-The-Strand-Hermosa-Beach-CA-90254/20424059_zpid/</t>
  </si>
  <si>
    <t>Shannon Aikman, Coldwell Banker Realty</t>
  </si>
  <si>
    <t>(949) 246-2990</t>
  </si>
  <si>
    <t>https://drive.google.com/open?id=167MoE7nVy5sjMI9irwTB27E30vJD-_uS, https://drive.google.com/open?id=1DO85qW4sCsYclIgxt6MDQ7HfAiz9sS71</t>
  </si>
  <si>
    <t>0112-180500</t>
  </si>
  <si>
    <t>11570 W Sunset Blvd</t>
  </si>
  <si>
    <t>https://www.zillow.com/homedetails/11570-W-Sunset-Blvd-Los-Angeles-CA-90049/20527245_zpid/</t>
  </si>
  <si>
    <t>Elle</t>
  </si>
  <si>
    <t>(310) 428-2553</t>
  </si>
  <si>
    <t>https://drive.google.com/open?id=1uPsZMr9JXmrdVRIOC1OSEDPL9WcA2L33</t>
  </si>
  <si>
    <t>0112-180811</t>
  </si>
  <si>
    <t>233 17th St</t>
  </si>
  <si>
    <t>https://www.zillow.com/homedetails/233-17th-St-Manhattan-Beach-CA-90266/20421726_zpid/</t>
  </si>
  <si>
    <t>cg cecil</t>
  </si>
  <si>
    <t>https://drive.google.com/open?id=1YjINqNcdE2BofRmmkT0zfkYKBx3ok7HI, https://drive.google.com/open?id=1757nvfI2Qcvj-Fig51x2kxN52PWNkDPb</t>
  </si>
  <si>
    <t>0112-181118</t>
  </si>
  <si>
    <t>500 14th St</t>
  </si>
  <si>
    <t>https://www.zillow.com/homedetails/500-14th-St-Manhattan-Beach-CA-90266/20418321_zpid/</t>
  </si>
  <si>
    <t>Jenny Morant, Compass</t>
  </si>
  <si>
    <t>(424) 409-8976</t>
  </si>
  <si>
    <t>https://drive.google.com/open?id=1yKsZtsIby3ELWgrXxmdgPtRRNUWXcEik, https://drive.google.com/open?id=10cxJn4HUZBz-BI370kORlqoQc7oMfmRg</t>
  </si>
  <si>
    <t>0112-181434</t>
  </si>
  <si>
    <t>11246 Segrell Way</t>
  </si>
  <si>
    <t>Culver City</t>
  </si>
  <si>
    <t>https://www.zillow.com/homedetails/11246-Segrell-Way-Culver-City-CA-90230/20438478_zpid/</t>
  </si>
  <si>
    <t>Hofit Kahn</t>
  </si>
  <si>
    <t>https://drive.google.com/open?id=1Q9vPuxCvxfsl41GSeNPWht_Bo1qii-Qs</t>
  </si>
  <si>
    <t>0112-181510</t>
  </si>
  <si>
    <t>918 N Screenland Dr</t>
  </si>
  <si>
    <t>https://www.zillow.com/homedetails/918-N-Screenland-Dr-Burbank-CA-91505/20064092_zpid/</t>
  </si>
  <si>
    <t xml:space="preserve">Peter </t>
  </si>
  <si>
    <t>(626) 833-5151</t>
  </si>
  <si>
    <t>Peter</t>
  </si>
  <si>
    <t>Price lowered to $3,500 on 1/12/25
last listing 2022</t>
  </si>
  <si>
    <t>https://drive.google.com/open?id=1Bv7Wip_9bKpqyRr_LYUzVBvFKol7-uuQ</t>
  </si>
  <si>
    <t>0112-181607</t>
  </si>
  <si>
    <t>https://www.zillow.com/homedetails/8147-Mulholland-Ter-Los-Angeles-CA-90046/20031972_zpid/</t>
  </si>
  <si>
    <t>(424) 233-1575</t>
  </si>
  <si>
    <t xml:space="preserve">listed on 1/7/25 for $15,900. Removed listing on 1/10. Relisted on 1/13 for $20,000, a 25.8% increase.
</t>
  </si>
  <si>
    <t>https://drive.google.com/open?id=1c3pVWwcTW_y8cQ8vXVpZdgeXeWyfHncC</t>
  </si>
  <si>
    <t>0112-181732</t>
  </si>
  <si>
    <t>711 Huntley Dr</t>
  </si>
  <si>
    <t>https://www.zillow.com/homedetails/711-Huntley-Dr-West-Hollywood-CA-90069/20517081_zpid/</t>
  </si>
  <si>
    <t xml:space="preserve"> Nicoleta Chipercean LA Estate Rentals</t>
  </si>
  <si>
    <t>(323) 507-7278</t>
  </si>
  <si>
    <t>https://drive.google.com/open?id=1EUrRth6TK1anfnH0gJ0jzf1bR0RtGlZG</t>
  </si>
  <si>
    <t>0112-181844</t>
  </si>
  <si>
    <t>825 N Pasadena Ave</t>
  </si>
  <si>
    <t>https://www.zillow.com/homedetails/825-N-Pasadena-Ave-Pasadena-CA-91103/20857788_zpid/</t>
  </si>
  <si>
    <t>AnnMarie, Engel &amp; Voelkers  Management company</t>
  </si>
  <si>
    <t>(626) 319-0585</t>
  </si>
  <si>
    <t xml:space="preserve">
removed post 1/7</t>
  </si>
  <si>
    <t>https://drive.google.com/open?id=1TV3eQ4Qdpz2DKqlC7QJL21_8294I9k__, https://drive.google.com/open?id=1GtfZRE40yWfL-bLvU3RQTUOreocEjosu</t>
  </si>
  <si>
    <t>0112-181956</t>
  </si>
  <si>
    <t>1321 Londonderry Pl</t>
  </si>
  <si>
    <t>https://www.zillow.com/homedetails/1321-Londonderry-Pl-Los-Angeles-CA-90069/20798979_zpid/</t>
  </si>
  <si>
    <t>Peter Cornell Oppenheimer Group</t>
  </si>
  <si>
    <t xml:space="preserve"> (310) 466-3200</t>
  </si>
  <si>
    <t>https://drive.google.com/open?id=1ATYe5B5jzNSry08ltD0XTPf2iHS8s37b</t>
  </si>
  <si>
    <t>0112-182232</t>
  </si>
  <si>
    <t>1920 Sunset Plaza Dr</t>
  </si>
  <si>
    <t>https://www.zillow.com/homedetails/1920-Sunset-Plaza-Dr-Los-Angeles-CA-90069/20798268_zpid/</t>
  </si>
  <si>
    <t>Adam Rosenfeld Grauman Rosenfeld Group</t>
  </si>
  <si>
    <t>(424) 600-7576</t>
  </si>
  <si>
    <t>https://drive.google.com/open?id=1F4K1W5k5QTO2OM0ImMyiCWvH2yAo6MTM</t>
  </si>
  <si>
    <t>0112-182445</t>
  </si>
  <si>
    <t>815 N Whittier Dr</t>
  </si>
  <si>
    <t>https://www.zillow.com/homedetails/815-N-Whittier-Dr-Beverly-Hills-CA-90210/20521924_zpid/</t>
  </si>
  <si>
    <t>EQM Real Estate</t>
  </si>
  <si>
    <t>(213) 772-4996</t>
  </si>
  <si>
    <t xml:space="preserve">
last listing 2022</t>
  </si>
  <si>
    <t>https://drive.google.com/open?id=1qjQGpYS4NVE8KEG0qchARlBWc0TQcv9A</t>
  </si>
  <si>
    <t>0112-182515</t>
  </si>
  <si>
    <t>8911 Cynthia St APT 9</t>
  </si>
  <si>
    <t>https://www.zillow.com/homedetails/8911-Cynthia-St-APT-9-West-Hollywood-CA-90069/2100113899_zpid/</t>
  </si>
  <si>
    <t>Adam Zunder (mgmt company)</t>
  </si>
  <si>
    <t>(747) 214-0470</t>
  </si>
  <si>
    <t xml:space="preserve">Last rental price was established on Nov. 7, 2024; the listing was both removed and relisted on 1/12/25 -- not sure if this is a way to get around the terms of price gouging? Or is a listed by default removed/relisted when prices change? 
</t>
  </si>
  <si>
    <t>https://drive.google.com/open?id=1HY642_B12O4tAZv3kPJiynE3KB0FoHy2, https://drive.google.com/open?id=10c4PZVlK3Q1Dnx79qFqwZD071uBGoKFK</t>
  </si>
  <si>
    <t>0112-182554</t>
  </si>
  <si>
    <t>274 S La Fayette Park Pl #2B-2BA</t>
  </si>
  <si>
    <t>https://www.zillow.com/homedetails/274-S-La-Fayette-Park-Pl-2B-2BA-Los-Angeles-CA-90057/441951840_zpid/</t>
  </si>
  <si>
    <t xml:space="preserve">absolutely wack 37% increase
</t>
  </si>
  <si>
    <t>https://drive.google.com/open?id=1I2N6IXCNajYrAsvTl1Wd3pJpQXmGpgaS</t>
  </si>
  <si>
    <t>0112-182759</t>
  </si>
  <si>
    <t>2070 Layton St</t>
  </si>
  <si>
    <t>https://www.zillow.com/homedetails/2070-Layton-St-Pasadena-CA-91104/20921040_zpid/</t>
  </si>
  <si>
    <t>Cynthia Lambakis</t>
  </si>
  <si>
    <t>(626) 726-3820</t>
  </si>
  <si>
    <t>https://drive.google.com/open?id=1Fa-XV_3jGLtavP7BPaDTaS9ZmEY4TFNu, https://drive.google.com/open?id=14FDum8KSJuqDAbbm7qKhev5qtV-Fz3es</t>
  </si>
  <si>
    <t>0112-182847</t>
  </si>
  <si>
    <t>5514 Sylvia Ave</t>
  </si>
  <si>
    <t>Tarzana</t>
  </si>
  <si>
    <t>https://www.zillow.com/homedetails/5514-Sylvia-Ave-Tarzana-CA-91356/19940536_zpid/</t>
  </si>
  <si>
    <t>Matthew Omrani</t>
  </si>
  <si>
    <t xml:space="preserve"> (424) 500-0731</t>
  </si>
  <si>
    <t>https://drive.google.com/open?id=1nUhxHUlZWRBrwRSE0-2jBaWPreBIuOlG</t>
  </si>
  <si>
    <t>0112-183130</t>
  </si>
  <si>
    <t>1221 Myra Ave #PENTHOUSE 605</t>
  </si>
  <si>
    <t>https://www.zillow.com/homedetails/1221-Myra-Ave-PENTHOUSE-605-Los-Angeles-CA-90029/442628656_zpid/</t>
  </si>
  <si>
    <t xml:space="preserve">these people might have a bot adjusting prices to match some average for the area or something? the price changed frequently and by large percentages. 
</t>
  </si>
  <si>
    <t>https://drive.google.com/open?id=1IvEc_KP1v7xZsNs2ZrFsM3mbKVtRdQoV</t>
  </si>
  <si>
    <t>0112-184638</t>
  </si>
  <si>
    <t>446 S Almont Dr, Beverly Hills, CA 90211</t>
  </si>
  <si>
    <t>Beverly hills</t>
  </si>
  <si>
    <t>https://www.zillow.com/homedetails/446-S-Almont-Dr-Beverly-Hills-CA-90211/20513005_zpid/?utm_campaign=iosappmessage&amp;utm_medium=referral&amp;utm_source=txtshare</t>
  </si>
  <si>
    <t>Deborah gabbai</t>
  </si>
  <si>
    <t>https://drive.google.com/open?id=1kc8cWkJNhoNGL5SeGv_uxElVfbH7F1Rm, https://drive.google.com/open?id=1Pu2b5G3UAaMHHMDvyaZUtPH016y2ID8L, https://drive.google.com/open?id=12LiP-G38aCJ9O7qDVNDdi8cDUeQRvMyp</t>
  </si>
  <si>
    <t>0112-184805</t>
  </si>
  <si>
    <t>1106 Maybrook dr</t>
  </si>
  <si>
    <t>https://docs.google.com/spreadsheets/d/1RXWxLqTyWvAuq8A0PgaBuWeEn_G6qTLyTZ8lzfNEaNw/htmlview</t>
  </si>
  <si>
    <t xml:space="preserve">None </t>
  </si>
  <si>
    <t>Jd medwin</t>
  </si>
  <si>
    <t>https://drive.google.com/open?id=11Iv-CCnPA9bMtFnS8do0QNNqbH0N19M3, https://drive.google.com/open?id=1XWc51eyBSAKIRDLiVgHncM3l1vPL_gfV</t>
  </si>
  <si>
    <t>0112-184817</t>
  </si>
  <si>
    <t>1106 Maybrook D</t>
  </si>
  <si>
    <t>https://www.zillow.com/homedetails/1106-Maybrook-Dr-Beverly-Hills-CA-90210/20524112_zpid/</t>
  </si>
  <si>
    <t>Last price listing was Nov 2020.  Just listed today with a 29% increase
off market, illegal before</t>
  </si>
  <si>
    <t>https://drive.google.com/open?id=1FCc3hVLZluutG08uUEkV69VHkWoF-4ll</t>
  </si>
  <si>
    <t>0112-185433</t>
  </si>
  <si>
    <t>10734 Bloomfield St</t>
  </si>
  <si>
    <t>North Hollywood</t>
  </si>
  <si>
    <t>https://www.zillow.com/homedetails/10734-Bloomfield-St-North-Hollywood-CA-91602/157718290_zpid/</t>
  </si>
  <si>
    <t xml:space="preserve">Blueground </t>
  </si>
  <si>
    <t>(213) 693-4849</t>
  </si>
  <si>
    <t>They may be doing this for multiple properties. https://www.theblueground.com/furnished-apartments-los-angeles-usa?utm_source=Zillow&amp;utm_medium=Feed&amp;utm_campaign=LAX&amp;zgRef=zillow
last listing 2020</t>
  </si>
  <si>
    <t>https://drive.google.com/open?id=1hqZQ-OHDpn88e21nYEOkA7sE1ROSjUBK, https://drive.google.com/open?id=1SySN_BmuW17vbiGzXnMuvrXPMZM3D0Eh, https://drive.google.com/open?id=1JuDAsf82YD-IvdHwepeQAW9TTt2yOfGP, https://drive.google.com/open?id=1iUDqt4UMRb9QxXNnOhkwcTZ8sNpAZePy</t>
  </si>
  <si>
    <t>0112-185648</t>
  </si>
  <si>
    <t>15105 Mulholland Dr</t>
  </si>
  <si>
    <t>https://www.zillow.com/homedetails/15105-Mulholland-Dr-Los-Angeles-CA-90077/19990206_zpid/</t>
  </si>
  <si>
    <t>HangNy Nguyen Advance Estate Realty</t>
  </si>
  <si>
    <t>(714) 657-4821</t>
  </si>
  <si>
    <t>https://drive.google.com/open?id=16BcWxiHgDEVc2qXkR3c2Do5-EiPYJXr5</t>
  </si>
  <si>
    <t>0112-191801</t>
  </si>
  <si>
    <t>10714 Franklin Ave</t>
  </si>
  <si>
    <t>https://www.zillow.com/homedetails/10714-Franklin-Ave-Culver-City-CA-90230/20434510_zpid/</t>
  </si>
  <si>
    <t xml:space="preserve">   Courtney     </t>
  </si>
  <si>
    <t>(310) 848-3199</t>
  </si>
  <si>
    <t>https://drive.google.com/open?id=1z9NXhbEDm_M5w6CnT0khDRyOldxpX6wP</t>
  </si>
  <si>
    <t>0112-192855</t>
  </si>
  <si>
    <t>7599 W Coastal Dr</t>
  </si>
  <si>
    <t>https://www.zillow.com/homedetails/7599-W-Coastal-View-Dr-Los-Angeles-CA-90045/443793824_zpid/?utm_campaign=iosappmessage&amp;utm_medium=referral&amp;utm_source=txtshare</t>
  </si>
  <si>
    <t>James Scott Suarez</t>
  </si>
  <si>
    <t>(424) 425-3775</t>
  </si>
  <si>
    <t>https://drive.google.com/open?id=1pmlGPUW-dbDyMNDuu5UMKihfmhSUF8si</t>
  </si>
  <si>
    <t>0112-193131</t>
  </si>
  <si>
    <t>4368-011-012</t>
  </si>
  <si>
    <t>1104 Casiano Rd</t>
  </si>
  <si>
    <t>https://www.zillow.com/los-angeles-ca/rentals/?searchQueryState=%7B%22pagination%22%3A%7B%7D%2C%22isMapVisible%22%3Atrue%2C%22mapBounds%22%3A%7B%22west%22%3A-118.52363831787109%2C%22east%22%3A-118.4144616821289%2C%22south%22%3A34.03261687026668%2C%22north%22%3A34.12929785798081%7D%2C%22regionSelection%22%3A%5B%7B%22regionId%22%3A12447%2C%22regionType%22%3A6%7D%5D%2C%22filterState%22%3A%7B%22fr%22%3A%7B%22value%22%3Atrue%7D%2C%22fsba%22%3A%7B%22value%22%3Afalse%7D%2C%22fsbo%22%3A%7B%22value%22%3Afalse%7D%2C%22nc%22%3A%7B%22value%22%3Afalse%7D%2C%22cmsn%22%3A%7B%22value%22%3Afalse%7D%2C%22auc%22%3A%7B%22value%22%3Afalse%7D%2C%22fore%22%3A%7B%22value%22%3Afalse%7D%7D%2C%22isListVisible%22%3Atrue%2C%22mapZoom%22%3A13%7D</t>
  </si>
  <si>
    <t>Dina Goldstein</t>
  </si>
  <si>
    <t>(310) 508-5563</t>
  </si>
  <si>
    <t xml:space="preserve">
probably accident</t>
  </si>
  <si>
    <t>https://drive.google.com/open?id=1hUF40jtHmwEUFRlQlBnzS_AArT52eupk, https://drive.google.com/open?id=1FpGzB3F7EGQWqEeOHkVGeutGD_JhP3xC</t>
  </si>
  <si>
    <t>0112-193305</t>
  </si>
  <si>
    <t>3552 Federal Ave</t>
  </si>
  <si>
    <t>https://www.zillow.com/homedetails/3552-Federal-Ave-Los-Angeles-CA-90066/20458262_zpid/</t>
  </si>
  <si>
    <t>Gabriel Palmrot</t>
  </si>
  <si>
    <t>(424) 394-5309</t>
  </si>
  <si>
    <t>https://drive.google.com/open?id=1wM0IFIAro2SiNr32j0Uu4L5rl__obEfv</t>
  </si>
  <si>
    <t>0112-193543</t>
  </si>
  <si>
    <t>11455 Segrell Way</t>
  </si>
  <si>
    <t>https://www.zillow.com/homedetails/11455-Segrell-Way-Culver-City-CA-90230/20438430_zpid/</t>
  </si>
  <si>
    <t>Todd Miller DRE # 01389620 310-923-5353, KW Advisors</t>
  </si>
  <si>
    <t>310-482-2200</t>
  </si>
  <si>
    <t>https://drive.google.com/open?id=1nbGSlmqxN1nLCaKBYgJcYnz91F2BK1_b, https://drive.google.com/open?id=1AUpWxiQ2Jg_ijD8UJLL6RXS05_GEmLpK</t>
  </si>
  <si>
    <t>0112-193602</t>
  </si>
  <si>
    <t>11310 Valley Spring Ln</t>
  </si>
  <si>
    <t>north hollywood</t>
  </si>
  <si>
    <t>https://www.zillow.com/homedetails/11310-Valley-Spring-Ln-North-Hollywood-CA-91602/80620474_zpid/</t>
  </si>
  <si>
    <t>mike medina</t>
  </si>
  <si>
    <t>(562) 456-5651</t>
  </si>
  <si>
    <t xml:space="preserve">has been vacant a while, price was dropped twice since September 2024. all of a sudden a huge increase in spike since the LA fires
</t>
  </si>
  <si>
    <t>https://drive.google.com/open?id=1bmzYjkvGlufXrTKBcwKKAUgYUxt1EJ2J</t>
  </si>
  <si>
    <t>0112-193730</t>
  </si>
  <si>
    <t>N/a</t>
  </si>
  <si>
    <t>https://www.zillow.com/homedetails/10919-Ayres-Ave-Los-Angeles-CA-90064/2098430421_zpid/?utm_campaign=iosappmessage&amp;utm_medium=referral&amp;utm_source=txtshare</t>
  </si>
  <si>
    <t xml:space="preserve">
off market, illegal before</t>
  </si>
  <si>
    <t>https://drive.google.com/open?id=1wJswTOxgO6ogd0_x5M7kvXbLQDQeEIap, https://drive.google.com/open?id=1wv9gjJz6WdX765LYhaa8NQM3ov3eU-tm, https://drive.google.com/open?id=1aADYqZAaxDteC6Q7WEfIclATF1ZmeCtA</t>
  </si>
  <si>
    <t>0112-193854</t>
  </si>
  <si>
    <t xml:space="preserve">3452 Maplewood Ave </t>
  </si>
  <si>
    <t>https://www.redfin.com/CA/Los-Angeles/3452-Maplewood-Ave-90066/home/6745385</t>
  </si>
  <si>
    <t>Listed by Sherri Noel •DRE #01329053 • KW Advisors •310-482-2175 (agent) •sherri@sherrinoel.com (agent) Listed by Annelise Collins •DRE #01793674 • KW Advisors Bought with Janet Thompson •DRE #01406180 • First Team Real Estate</t>
  </si>
  <si>
    <t xml:space="preserve">310-482-2175 </t>
  </si>
  <si>
    <t xml:space="preserve">Listing has been removed
</t>
  </si>
  <si>
    <t>https://drive.google.com/open?id=1-PyMDtUe4hRGJT2g366p6gb1-Py7Pc1u</t>
  </si>
  <si>
    <t>0112-193927</t>
  </si>
  <si>
    <t>2010 Vineburn Street</t>
  </si>
  <si>
    <t>01/07/0025</t>
  </si>
  <si>
    <t>https://www.zillow.com/homedetails/2010-Vineburn-Ave-Los-Angeles-CA-90032/20640422_zpid/</t>
  </si>
  <si>
    <t>Pro Properties</t>
  </si>
  <si>
    <t>(323) 919-3491</t>
  </si>
  <si>
    <t>https://drive.google.com/open?id=12q8bxKgVtQznwu8-d5CmocGerjBR6afY, https://drive.google.com/open?id=1_2MfNaKNNxEbPKSGNc6Xo2SSoM6u0yxz</t>
  </si>
  <si>
    <t>0112-194434</t>
  </si>
  <si>
    <t>1405 Elkgrove Cir FLR 2-ID71</t>
  </si>
  <si>
    <t>https://www.zillow.com/homedetails/1405-Elkgrove-Cir-FLOOR-2-ID71-Venice-CA-90291/439767588_zpid/</t>
  </si>
  <si>
    <t>Blueground US</t>
  </si>
  <si>
    <t>(213) 682-3969</t>
  </si>
  <si>
    <t>https://drive.google.com/open?id=1dZMhf6V3P5XLpO-wEa-mdR9jz09YL54o, https://drive.google.com/open?id=1ZncXfxkQJ9ah2Kmcky-JCKG4heuQncHT, https://drive.google.com/open?id=1c7M-yfApWKZP9eVYVfZBjsOOEQ20F5uJ</t>
  </si>
  <si>
    <t>0112-194623</t>
  </si>
  <si>
    <t>9314 Sierra Mar Dr, Los Angeles, CA 90069</t>
  </si>
  <si>
    <t>https://www.zillow.com/homedetails/9314-Sierra-Mar-Dr-Los-Angeles-CA-90069/20535099_zpid/</t>
  </si>
  <si>
    <t>Litta Lee Coldwell Banker Realty</t>
  </si>
  <si>
    <t>(213) 595-2455</t>
  </si>
  <si>
    <t xml:space="preserve">listing was posted 1/11/2025 for $10,000 as of tomorrow (1/13/2025) they raised it $4,000
</t>
  </si>
  <si>
    <t>https://drive.google.com/open?id=1To-wMgLjwDdFW73Kj5AUtuKuoe2_8nts</t>
  </si>
  <si>
    <t>0112-194933</t>
  </si>
  <si>
    <t>1659 Waynecrest Dr</t>
  </si>
  <si>
    <t>https://www.zillow.com/homedetails/1659-Waynecrest-Dr-Beverly-Hills-CA-90210/20522844_zpid/</t>
  </si>
  <si>
    <t>Joshua Altman</t>
  </si>
  <si>
    <t>(310) 819-3250</t>
  </si>
  <si>
    <t>https://drive.google.com/open?id=1bA6okqOMHzTBpunt8fkIpws42Pf7AX45</t>
  </si>
  <si>
    <t>0112-194934</t>
  </si>
  <si>
    <t>https://www.zillow.com/homedetails/11842-Culver-Blvd-Los-Angeles-CA-90066/2123490972_zpid/</t>
  </si>
  <si>
    <t>https://drive.google.com/open?id=15qA2u2OeySJVBuMkdGhfdBG1Z2G-1g2o</t>
  </si>
  <si>
    <t>1-5125737311</t>
  </si>
  <si>
    <t>0112-195154</t>
  </si>
  <si>
    <t>2260 Maravilla Dr,</t>
  </si>
  <si>
    <t>https://www.zillow.com/homedetails/2260-Maravilla-Dr-Los-Angeles-CA-90068/20793606_zpid/?utm_campaign=iosappmessage&amp;utm_medium=referral&amp;utm_source=txtshare</t>
  </si>
  <si>
    <t>702) 502-3223</t>
  </si>
  <si>
    <t>https://drive.google.com/open?id=1GJ_HPbHk0cqknP6y4Ce4xHkp_no6Y9UQ</t>
  </si>
  <si>
    <t>0112-195810</t>
  </si>
  <si>
    <t>3935 Inglewood Blvd #3935</t>
  </si>
  <si>
    <t>https://www.zillow.com/homedetails/3935-Inglewood-Blvd-3935-Los-Angeles-CA-90066/401885716_zpid/</t>
  </si>
  <si>
    <t>(310) 985-1299</t>
  </si>
  <si>
    <t>https://drive.google.com/open?id=18-FWX8oBc2ajP1l8XRJkuII87rYsI19A, https://drive.google.com/open?id=1WXGK72lpldRnrL1V3KFtiqfkM3_ie-ME</t>
  </si>
  <si>
    <t>0112-200027</t>
  </si>
  <si>
    <t>4188 Marcasel Ave</t>
  </si>
  <si>
    <t>https://www.zillow.com/homedetails/4188-Marcasel-Ave-Los-Angeles-CA-90066/20447597_zpid/</t>
  </si>
  <si>
    <t>Benchmark Management</t>
  </si>
  <si>
    <t>(213) 660-4923</t>
  </si>
  <si>
    <t xml:space="preserve">Listed for 	$9,950 in 11/2024
</t>
  </si>
  <si>
    <t>https://drive.google.com/open?id=17MUQwwoRY02n8MJ6H06objHdOIg7bXoS</t>
  </si>
  <si>
    <t>0112-200635</t>
  </si>
  <si>
    <t>4531 Van Nuys Blvd</t>
  </si>
  <si>
    <t>https://www.zillow.com/homedetails/4531-Van-Nuys-Blvd-Sherman-Oaks-CA-91403/134800501_zpid/</t>
  </si>
  <si>
    <t>Eli Mashiach MGB Realty Group</t>
  </si>
  <si>
    <t>https://drive.google.com/open?id=1N6zazTNeZTu4T6Xh8sZ4-zHUNtDXsNXL, https://drive.google.com/open?id=1UfJx9Bnjxh6X08y2qXa7u2NK_YxIWRuE</t>
  </si>
  <si>
    <t>0112-200734</t>
  </si>
  <si>
    <t>2442 Beverwil Dr</t>
  </si>
  <si>
    <t>LA</t>
  </si>
  <si>
    <t>https://www.zillow.com/homedetails/2442-Beverwil-Dr-Los-Angeles-CA-90034/20494462_zpid/</t>
  </si>
  <si>
    <t>JNM Realty</t>
  </si>
  <si>
    <t>(424) 405-4073</t>
  </si>
  <si>
    <t>https://drive.google.com/open?id=1IO27b-BWYpVKLvNWqghtVTf7-zjxcxxl</t>
  </si>
  <si>
    <t>0112-200807</t>
  </si>
  <si>
    <t xml:space="preserve">700 Main St UNIT 25 </t>
  </si>
  <si>
    <t>https://www.zillow.com/homedetails/700-Main-St-UNIT-25-Venice-CA-90291/82877585_zpid/</t>
  </si>
  <si>
    <t>Olivia Rud</t>
  </si>
  <si>
    <t>(610) 563-8866</t>
  </si>
  <si>
    <t xml:space="preserve">1/12/2025	Price change	$9,100-39.3%
1/10/2025	Price change	$15,000+11.1%
1/8/2025	Price change	$13,500+22.7%
12/16/2024	Price change	$11,000+20.9%
</t>
  </si>
  <si>
    <t>https://drive.google.com/open?id=1if9-R9HXJvapmlRaWUOW7IG3W041Glmf</t>
  </si>
  <si>
    <t>0112-201027</t>
  </si>
  <si>
    <t>823 S Sierra Bonita Ave</t>
  </si>
  <si>
    <t>https://www.zillow.com/homedetails/823-S-Sierra-Bonita-Ave-Los-Angeles-CA-90036/20610339_zpid/</t>
  </si>
  <si>
    <t>Bryan Danna, The Collective Realty (mgmt company)</t>
  </si>
  <si>
    <t>(323) 250-8789</t>
  </si>
  <si>
    <t xml:space="preserve">
last listing 2018</t>
  </si>
  <si>
    <t>https://drive.google.com/open?id=16hCxQpZBpg8TW2sH6sTdCEhQQG7Q3JOj, https://drive.google.com/open?id=1aEponYCsNf0llHV7dp9bGINleT-_jyMK</t>
  </si>
  <si>
    <t>0112-201237</t>
  </si>
  <si>
    <t>241 Rees St</t>
  </si>
  <si>
    <t>https://www.zillow.com/homedetails/241-Rees-St-Playa-Del-Rey-CA-90293/20386149_zpid/</t>
  </si>
  <si>
    <t>Kimberly Kessler</t>
  </si>
  <si>
    <t>(310) 922-4626</t>
  </si>
  <si>
    <t>https://www.instagram.com/kimkesslerhomes/?hl=en
Lister lowered price below previous low price on 1/12</t>
  </si>
  <si>
    <t>https://drive.google.com/open?id=1UynTGmtnnXwQOVC5fMieZUL_cLYCtQnG</t>
  </si>
  <si>
    <t>0112-202024</t>
  </si>
  <si>
    <t>518 Rialto Ave #A</t>
  </si>
  <si>
    <t>https://www.zillow.com/homedetails/518-Rialto-Ave-A-Venice-CA-90291/440956450_zpid/</t>
  </si>
  <si>
    <t>https://drive.google.com/open?id=1ZfvmETC2TfxMbO_BjUu6n1k01xBPOe7j, https://drive.google.com/open?id=18nPE9B9dH9f1zT3deVedGiVSJFQSyDQv</t>
  </si>
  <si>
    <t>0112-203323</t>
  </si>
  <si>
    <t>5516 Willowcrest Ave, North Hollywood, CA 91601</t>
  </si>
  <si>
    <t>https://www.zillow.com/homedetails/5516-Willowcrest-Ave-North-Hollywood-CA-91601/20040950_zpid/</t>
  </si>
  <si>
    <t>Camila Banus</t>
  </si>
  <si>
    <t>(786) 282-1518</t>
  </si>
  <si>
    <t>https://drive.google.com/open?id=1ax9-PyAODayii8KqROn3Wp5GcrdUIawN</t>
  </si>
  <si>
    <t>0112-203655</t>
  </si>
  <si>
    <t>17841 Tarzana St, Encino, CA 91316</t>
  </si>
  <si>
    <t>https://www.zillow.com/homedetails/17841-Tarzana-St-Encino-CA-91316/19950053_zpid/</t>
  </si>
  <si>
    <t>Juan Jay Martinez</t>
  </si>
  <si>
    <t>(818) 212-3057</t>
  </si>
  <si>
    <t>https://drive.google.com/open?id=1aT6yXhDCdjV_BU9gbqgEx96KcKpSpMT7, https://drive.google.com/open?id=1Mi1uVuZSNqCHcb77jiju40z3e8-YRJrM</t>
  </si>
  <si>
    <t>0112-203810</t>
  </si>
  <si>
    <t>20 28th Ave APT C</t>
  </si>
  <si>
    <t>https://www.zillow.com/homedetails/20-28th-Ave-APT-C-Venice-CA-90291/2092186923_zpid/</t>
  </si>
  <si>
    <t>https://drive.google.com/open?id=1kE0Z4iwpP0hA0OBCWbs0jXwUI6dtBdry, https://drive.google.com/open?id=1jmJmzgXx5cDBOotfu0X99e5UfCBt3-JL</t>
  </si>
  <si>
    <t>0112-204200</t>
  </si>
  <si>
    <t>22527 Cass Ave #1</t>
  </si>
  <si>
    <t>Woodland Hills</t>
  </si>
  <si>
    <t>https://www.zillow.com/homedetails/22527-Cass-Ave-1-Woodland-Hills-CA-91364/443629345_zpid/</t>
  </si>
  <si>
    <t xml:space="preserve">
last listing 2024</t>
  </si>
  <si>
    <t>https://drive.google.com/open?id=1Pam-ErmjRte0pLzDCSBSJMmsEwVabFSt, https://drive.google.com/open?id=1z7D2Ts7w-5OmZRUj8ExeUg9YvocBRIdT</t>
  </si>
  <si>
    <t>0112-204347</t>
  </si>
  <si>
    <t>13318 Mulholland Dr</t>
  </si>
  <si>
    <t>https://www.zillow.com/homedetails/13318-Mulholland-Dr-Beverly-Hills-CA-90210/20533184_zpid/</t>
  </si>
  <si>
    <t>listed by property owner</t>
  </si>
  <si>
    <t>Michael Owner (appears to be psudonym)</t>
  </si>
  <si>
    <t>(310) 569-0490</t>
  </si>
  <si>
    <t xml:space="preserve">the property has its own website: https://13318mulhollanddr.com/ 
</t>
  </si>
  <si>
    <t>https://drive.google.com/open?id=1DKcoRKoeAm2r6kU91LsmY9FUaLganslw</t>
  </si>
  <si>
    <t>0112-204740</t>
  </si>
  <si>
    <t>4368-016-049</t>
  </si>
  <si>
    <t>11361 Ovada Pl Apt 2</t>
  </si>
  <si>
    <t>https://www.zillow.com/homedetails/11361-Ovada-Pl-APT-2-Los-Angeles-CA-90049/2111162635_zpid/</t>
  </si>
  <si>
    <t>The InterGroup Corporation</t>
  </si>
  <si>
    <t>(213) 510-2874</t>
  </si>
  <si>
    <t>https://drive.google.com/open?id=1EJQgEvtr3MhFPsV2GIyOcR6emhq2EdNW, https://drive.google.com/open?id=1orFgoN7GK9viRvnmpG1WmKEKmyZ9c3LV</t>
  </si>
  <si>
    <t>0112-205124</t>
  </si>
  <si>
    <t>4521 Alla Rd</t>
  </si>
  <si>
    <t xml:space="preserve">Marina Del Rey </t>
  </si>
  <si>
    <t>https://www.zillow.com/homedetails/4521-Alla-Rd-Marina-Del-Rey-CA-90292/441836699_zpid/</t>
  </si>
  <si>
    <t>Rafael Baron</t>
  </si>
  <si>
    <t>https://drive.google.com/open?id=1QdryXCxjZPOnT6lGj79GyhvLM7z9z5wu, https://drive.google.com/open?id=1-rzSB3r9Pd4dJZWBRm6SXAQjP77Gf66P</t>
  </si>
  <si>
    <t>0112-205125</t>
  </si>
  <si>
    <t>2040-011-011</t>
  </si>
  <si>
    <t>22731 Burbank Blvd</t>
  </si>
  <si>
    <t>https://www.zillow.com/homedetails/22731-Burbank-Blvd-Woodland-Hills-CA-91367/19878010_zpid/</t>
  </si>
  <si>
    <t>Judith Saban Coldwell Banker</t>
  </si>
  <si>
    <t>(818) 915-0465</t>
  </si>
  <si>
    <t>https://drive.google.com/open?id=1fRm856KXoalSA-xSqu9OqncAUPHw71NK, https://drive.google.com/open?id=1WSeZmGnHUldAZG1doed_vzl_O1e9AiEM</t>
  </si>
  <si>
    <t>0112-205241</t>
  </si>
  <si>
    <t>9031 Alto Cedro Dr</t>
  </si>
  <si>
    <t>https://www.zillow.com/homedetails/9031-Alto-Cedro-Dr-Beverly-Hills-CA-90210/20534161_zpid/</t>
  </si>
  <si>
    <t>Monika Lis</t>
  </si>
  <si>
    <t>(310) 994-7906</t>
  </si>
  <si>
    <t>https://drive.google.com/open?id=1fvox9OVsX6_LVi0HxfI93D5vCleSz-c-, https://drive.google.com/open?id=1WrGh09m2-ucK9kuaMPCkd-u8FuXGszHY</t>
  </si>
  <si>
    <t>0112-205341</t>
  </si>
  <si>
    <t>3731 W 59th Pl</t>
  </si>
  <si>
    <t>https://www.zillow.com/homedetails/3731-W-59th-Pl-Los-Angeles-CA-90043/20325270_zpid/</t>
  </si>
  <si>
    <t>Bespoke Selection LLC</t>
  </si>
  <si>
    <t>949) 508-5453</t>
  </si>
  <si>
    <t>https://drive.google.com/open?id=1i_ALZuHmfPo1tfSSeeNz4ym95dJw7su9</t>
  </si>
  <si>
    <t>0112-205835</t>
  </si>
  <si>
    <t>5709 Calvin Ave, Tarzana, CA 91356</t>
  </si>
  <si>
    <t>https://www.zillow.com/homedetails/5709-Calvin-Ave-Tarzana-CA-91356/19932890_zpid/</t>
  </si>
  <si>
    <t>Ron Bahat</t>
  </si>
  <si>
    <t>(310) 497-5438</t>
  </si>
  <si>
    <t xml:space="preserve">
last listing 2021</t>
  </si>
  <si>
    <t>https://drive.google.com/open?id=1oj_DrtOsZnQL5MDgTS8jWMpY46qXFpK8, https://drive.google.com/open?id=15xygeYPFjFRNzgB4Kk34bET1QHBESEDn</t>
  </si>
  <si>
    <t>0112-210126</t>
  </si>
  <si>
    <t>Na</t>
  </si>
  <si>
    <t>Undisclosed</t>
  </si>
  <si>
    <t>https://www.zillow.com/homedetails/Culver-City-CA-90232/20432486_zpid/</t>
  </si>
  <si>
    <t>Alex Shirazi</t>
  </si>
  <si>
    <t>310-910-3410</t>
  </si>
  <si>
    <t>2/1 999 sq ft
last listing 2023</t>
  </si>
  <si>
    <t>https://drive.google.com/open?id=1J9EoPLu4glghACRFU1NrGHAgUMFW0zlU, https://drive.google.com/open?id=1f3YmDR96368TEOn-WxxP6AbD0VHCSAns</t>
  </si>
  <si>
    <t>0112-211228</t>
  </si>
  <si>
    <t>2461 Jupiter Dr</t>
  </si>
  <si>
    <t>https://www.zillow.com/homedetails/2461-Jupiter-Dr-Los-Angeles-CA-90046/20802089_zpid/</t>
  </si>
  <si>
    <t>Amy Yang - Compass</t>
  </si>
  <si>
    <t>(310) 625-2206</t>
  </si>
  <si>
    <t xml:space="preserve">Price was lowered in Oct 2024 and removed from market on 12/19/24 at $20K. Relisted after the fires on 1/8/25 at a 30% increase for $26k.
</t>
  </si>
  <si>
    <t>https://drive.google.com/open?id=1PWp7PllOi1Rub3Tl7Z2EZWi8m_J1F7K8</t>
  </si>
  <si>
    <t>0112-211644</t>
  </si>
  <si>
    <t>https://www.zillow.com/homedetails/Sherman-Oaks-CA-91423/2061731923_zpid/</t>
  </si>
  <si>
    <t>Claire D</t>
  </si>
  <si>
    <t>(310) 622-5838</t>
  </si>
  <si>
    <t>Last listed on the market for $18,500 and removed on 3/1/23. Relisted after the fires on 1/11/25 at a 35.1% increase to $25K. 
In description: Short and Long term, Filming and Insurance claims welcome
last listing 2022</t>
  </si>
  <si>
    <t>https://drive.google.com/open?id=1zRZufXef6ZvR_o2IbNZa3dn-f3AxFKEj</t>
  </si>
  <si>
    <t>0112-211932</t>
  </si>
  <si>
    <t>2242 Jeffersonia Way</t>
  </si>
  <si>
    <t>https://www.zillow.com/homedetails/2242-Jeffersonia-Way-Los-Angeles-CA-90049/89149575_zpid/</t>
  </si>
  <si>
    <t xml:space="preserve">Kelsey </t>
  </si>
  <si>
    <t xml:space="preserve">Listing removed; screenshots from Google show price change
</t>
  </si>
  <si>
    <t>https://drive.google.com/open?id=1Vgd6BF3qjZ150JmXCMhqF_pdhOk0Kz3q, https://drive.google.com/open?id=1CthpeWvxpG558hAi-Hh_n6Af5bKxhDZF</t>
  </si>
  <si>
    <t>0112-212045</t>
  </si>
  <si>
    <t>1807 San Ysidro Dr</t>
  </si>
  <si>
    <t>https://www.zillow.com/homedetails/1807-San-Ysidro-Dr-Beverly-Hills-CA-90210/20523504_zpid/</t>
  </si>
  <si>
    <t>Monty Abramov - The Beverly Hills Estates</t>
  </si>
  <si>
    <t>(310) 989-2217</t>
  </si>
  <si>
    <t>Previously on the market for $19,500 and removed on 12/25/24. Relisted after the fires on 1/9/25 with a 28.2% increase to $25K. 
last listing 2023</t>
  </si>
  <si>
    <t>https://drive.google.com/open?id=1cDi20Egfm1CzPUZHE-YX4Ih3Y-92PCL2</t>
  </si>
  <si>
    <t>0112-212442</t>
  </si>
  <si>
    <t>15541 Aqua Verde Dr</t>
  </si>
  <si>
    <t>https://www.zillow.com/homedetails/15541-Aqua-Verde-Dr-Los-Angeles-CA-90077/20531173_zpid/</t>
  </si>
  <si>
    <t>Simon Mills - Mills Realty</t>
  </si>
  <si>
    <t>(818) 763-4462</t>
  </si>
  <si>
    <t xml:space="preserve">Previously listed for $19k and removed on 12/4/24. Relisted after the fires on 1/12/25 with a 31.6% increase to $25k. 
</t>
  </si>
  <si>
    <t>https://drive.google.com/open?id=1XIWAmEMheuJtE6JHUCdlaJIJid8go9m1</t>
  </si>
  <si>
    <t>0112-212731</t>
  </si>
  <si>
    <t>11964 Brentwood Grove Dr</t>
  </si>
  <si>
    <t>https://www.zillow.com/homedetails/11964-Brentwood-Grove-Dr-Los-Angeles-CA-90049/20547052_zpid/</t>
  </si>
  <si>
    <t>Lily Vosough</t>
  </si>
  <si>
    <t>(310) 626-5630</t>
  </si>
  <si>
    <t>Listing removed
last listing 2018</t>
  </si>
  <si>
    <t>https://drive.google.com/open?id=1iC3YDc9sAw5kQF7xd8RQmqgwgK-Kxydf</t>
  </si>
  <si>
    <t>0112-212744</t>
  </si>
  <si>
    <t>802 N Edinburgh Ave</t>
  </si>
  <si>
    <t>https://www.zillow.com/homedetails/802-N-Edinburgh-Ave-Los-Angeles-CA-90046/441737128_zpid/</t>
  </si>
  <si>
    <t>Dylan Mantay, Management company</t>
  </si>
  <si>
    <t>(310) 634-1751</t>
  </si>
  <si>
    <t>https://drive.google.com/open?id=1dKbQ2NInStjgTIGW0lo0KNIjBFiC47Hw, https://drive.google.com/open?id=1f6_721wlRQr4_QD38HEydstyg1mZre9F</t>
  </si>
  <si>
    <t>0112-213522</t>
  </si>
  <si>
    <t>https://www.zillow.com/homedetails/1106-Oakwood-Ave-Venice-CA-90291/20450981_zpid/</t>
  </si>
  <si>
    <t>(310) 266-1611</t>
  </si>
  <si>
    <t xml:space="preserve">Listing removed 
</t>
  </si>
  <si>
    <t>https://drive.google.com/open?id=103BLSYoIgGN6zJqNX5aO86D_qqOHQEa5</t>
  </si>
  <si>
    <t>0112-213822</t>
  </si>
  <si>
    <t>774 N Kenter Ave</t>
  </si>
  <si>
    <t>https://www.zillow.com/homedetails/774-N-Kenter-Ave-Los-Angeles-CA-90049/20560441_zpid/</t>
  </si>
  <si>
    <t xml:space="preserve"> Benjamin Donel - Sootheby's International Realty</t>
  </si>
  <si>
    <t>(310) 721-4071</t>
  </si>
  <si>
    <t>This listing was previously listed at a reduced rate of $20,970 on 11/4/24. It was removed after the fires on 1/12/25 and readded the next day at a 19.2% increase to $24,995.
Description also states:
FULLY FURNISHED SHORT TERM OR LONG TERM RENTAL AVAILABLE
last listing 2023</t>
  </si>
  <si>
    <t>https://drive.google.com/open?id=1eQpDcw_omE99_VuokbxMSps7-SH1bogE</t>
  </si>
  <si>
    <t>0112-214425</t>
  </si>
  <si>
    <t>2369 Jupiter Dr</t>
  </si>
  <si>
    <t>https://www.zillow.com/homedetails/2369-Jupiter-Dr-Los-Angeles-CA-90046/20801934_zpid/</t>
  </si>
  <si>
    <t>Patrick Michael - LA Estate Brokerage</t>
  </si>
  <si>
    <t xml:space="preserve">Previously listed for $18,500 and removed on 12/31/24. Relisted on 1/12/25 at a 27% increase after the fires at $23,500.
Description also states:
This home and all our listings are available immediately to assist displaced victims from the fires. Available full-furnished and turnkey for short or long-term rentals.
</t>
  </si>
  <si>
    <t>https://drive.google.com/open?id=1dB8163Gv8GJ2_JkaamKPYUJRnwaQoNqj</t>
  </si>
  <si>
    <t>0112-214600</t>
  </si>
  <si>
    <t>634 W California Ave</t>
  </si>
  <si>
    <t>https://www.zillow.com/homedetails/634-W-California-Ave-Glendale-CA-91203/20832386_zpid/</t>
  </si>
  <si>
    <t>Zanoza Home Rentals (mgmt company)</t>
  </si>
  <si>
    <t>(310) 923-9779</t>
  </si>
  <si>
    <t xml:space="preserve">Price was $3200 as of November 2024; unit is being advertised as for short-term monthly rental, in addition to long-term 
</t>
  </si>
  <si>
    <t>https://drive.google.com/open?id=1yqekWwa3IDLBLZmQ6iEwBUnHbN8OggAt, https://drive.google.com/open?id=1twkQGMCjToXebslnnBvcqUYiklBi1OF2</t>
  </si>
  <si>
    <t>0112-215139</t>
  </si>
  <si>
    <t>1416 Pandora Ave</t>
  </si>
  <si>
    <t>https://www.zillow.com/homedetails/1416-Pandora-Ave-Los-Angeles-CA-90024/20507742_zpid/</t>
  </si>
  <si>
    <t xml:space="preserve">Was last listed at $12k and removed on 12/7/23. Relisted after the fires on 1/9/25 at $22k for a 83.3% increase in a little over a year.
Description also states:
Available for SHORT RENTAL &amp; MONTH TO MONTH
</t>
  </si>
  <si>
    <t>https://drive.google.com/open?id=1A8nEpPZ8CUjNFA4JjlXkOZUWTjWsBXyN</t>
  </si>
  <si>
    <t>0112-215430</t>
  </si>
  <si>
    <t>354 S Spring St FLOOR 10-ID1208</t>
  </si>
  <si>
    <t>https://www.zillow.com/homedetails/354-S-Spring-St-FLOOR-10-ID1208-Los-Angeles-CA-90013/442289384_zpid/</t>
  </si>
  <si>
    <t>BLUEGROUND  Management company</t>
  </si>
  <si>
    <t>(213) 660-4841</t>
  </si>
  <si>
    <t xml:space="preserve">Price lowered twice in Dec. 2024, most recently to $4140 on 12/24/24; raised to $5400 on 1/10/25; offers short-term leases 
</t>
  </si>
  <si>
    <t>https://drive.google.com/open?id=1hF3njAxY5uA7YxQ5yf9Pooci7lzmSfUd, https://drive.google.com/open?id=1wExV2veeUIzCd3YcxKbpgkPsnb1WRHqL</t>
  </si>
  <si>
    <t>0112-215506</t>
  </si>
  <si>
    <t>929 Marco Pl</t>
  </si>
  <si>
    <t>https://www.zillow.com/homedetails/929-Marco-Pl-Venice-CA-90291/2071334027_zpid/</t>
  </si>
  <si>
    <t>Penny Muck</t>
  </si>
  <si>
    <t>(310)-266-9946</t>
  </si>
  <si>
    <t>listing removed
Removed on 1/12</t>
  </si>
  <si>
    <t>https://drive.google.com/open?id=1GutkeLSrphQtlFLUYwX3X-8QVxhFUYUR, https://drive.google.com/open?id=1__wQzKCMxCzot_pibwMifMjXyl7zfB04</t>
  </si>
  <si>
    <t>0112-220813</t>
  </si>
  <si>
    <t>1723 S Durango Ave</t>
  </si>
  <si>
    <t>https://www.zillow.com/homedetails/1723-S-Durango-Ave-Los-Angeles-CA-90035/20492797_zpid/</t>
  </si>
  <si>
    <t>Margalit Bensimon - Nourmand &amp; Associates Realtors</t>
  </si>
  <si>
    <t>(310) 925-9193</t>
  </si>
  <si>
    <t xml:space="preserve">Previously listed and reduced multile times in 2024 before being removed on 12/14/24 at $17,995. Relisted after the fires on 1/10/25 at an 11.1% increase to $19,995.
</t>
  </si>
  <si>
    <t>https://drive.google.com/open?id=1FgYG8OLfMOD62HvtBpRodseuS1AXp0HE</t>
  </si>
  <si>
    <t>1-5125065661</t>
  </si>
  <si>
    <t>0112-221201</t>
  </si>
  <si>
    <t>1445 S Ogden Dr</t>
  </si>
  <si>
    <t>https://www.zillow.com/homedetails/1445-S-Ogden-Dr-Los-Angeles-CA-90019/20599990_zpid/</t>
  </si>
  <si>
    <t>Olivier Pomedio</t>
  </si>
  <si>
    <t>(917) 216-9745</t>
  </si>
  <si>
    <t xml:space="preserve">Listed for rent on 12/2/24 at $15k, rent increase by 33.3% to $19,995 after the fires on 1/9/25.
Available starting Jan 26th 2025
Description also states:
Fully Furnished with flexible lease terms.
</t>
  </si>
  <si>
    <t>https://drive.google.com/open?id=1hsVL0s6p3nQ9hXzZKMIzvMnCEfloERIm</t>
  </si>
  <si>
    <t>0112-221537</t>
  </si>
  <si>
    <t>1637 S Sherbourne Dr</t>
  </si>
  <si>
    <t>https://www.zillow.com/homedetails/1637-S-Sherbourne-Dr-Los-Angeles-CA-90035/20491861_zpid/</t>
  </si>
  <si>
    <t>Micah Hiller - The RFC Group</t>
  </si>
  <si>
    <t>(310) 280-6417</t>
  </si>
  <si>
    <t xml:space="preserve">Previously listed and price reduced to $14,995 on 10/1/24. Price increased after the fires on 1/8/25 to $19,995 fir a 33.3% increase.
</t>
  </si>
  <si>
    <t>https://drive.google.com/open?id=16t9TH_P5VbagmL3RUUqwgWBvTrYOQ5Tp</t>
  </si>
  <si>
    <t>0112-221637</t>
  </si>
  <si>
    <t>https://www.zillow.com/los-angeles-ca/rentals/?searchQueryState=%7B%22pagination%22%3A%7B%7D%2C%22isMapVisible%22%3Atrue%2C%22mapBounds%22%3A%7B%22west%22%3A-118.49452988525391%2C%22east%22%3A-118.0543901147461%2C%22south%22%3A33.954100149236645%2C%22north%22%3A34.23045662689283%7D%2C%22regionSelection%22%3A%5B%7B%22regionId%22%3A12447%2C%22regionType%22%3A6%7D%5D%2C%22filterState%22%3A%7B%22fr%22%3A%7B%22value%22%3Atrue%7D%2C%22fsba%22%3A%7B%22value%22%3Afalse%7D%2C%22fsbo%22%3A%7B%22value%22%3Afalse%7D%2C%22nc%22%3A%7B%22value%22%3Afalse%7D%2C%22cmsn%22%3A%7B%22value%22%3Afalse%7D%2C%22auc%22%3A%7B%22value%22%3Afalse%7D%2C%22fore%22%3A%7B%22value%22%3Afalse%7D%2C%22tow%22%3A%7B%22value%22%3Afalse%7D%2C%22con%22%3A%7B%22value%22%3Afalse%7D%2C%22apa%22%3A%7B%22value%22%3Afalse%7D%2C%22apco%22%3A%7B%22value%22%3Afalse%7D%7D%2C%22isListVisible%22%3Atrue%2C%22mapZoom%22%3A11%7D</t>
  </si>
  <si>
    <t xml:space="preserve">I thin they removed the listing as a rental 
</t>
  </si>
  <si>
    <t>https://drive.google.com/open?id=1_anY07b46bP2B1y5EjUI7r0W_oXlD5Mh, https://drive.google.com/open?id=1aAYm6tHe2ueYVcjMgXMcU2HmPY-0d2Su, https://drive.google.com/open?id=1FHe-wuGQZCA2VFI93cLD48JHUBoQoTFB</t>
  </si>
  <si>
    <t>0112-222031</t>
  </si>
  <si>
    <t>8401 Remmet Ave</t>
  </si>
  <si>
    <t>Canoga Park</t>
  </si>
  <si>
    <t>https://www.zillow.com/homedetails/8401-Remmet-Ave-Canoga-Park-CA-91304/20179428_zpid/</t>
  </si>
  <si>
    <t>Ronit Malamud</t>
  </si>
  <si>
    <t>(213) 722-3944</t>
  </si>
  <si>
    <t>https://drive.google.com/open?id=1P-3SMENkjAvD6dH6NXxOO9D0UqLAzSt1, https://drive.google.com/open?id=1zFZf4dvH9xrjy-ddf6ZkRDmv5wDK9zKd</t>
  </si>
  <si>
    <t>0112-222248</t>
  </si>
  <si>
    <t>7901 Limerick Ave #1</t>
  </si>
  <si>
    <t>Winnetka</t>
  </si>
  <si>
    <t>https://www.zillow.com/homedetails/7901-Limerick-Ave-1-Winnetka-CA-91306/2054214691_zpid/</t>
  </si>
  <si>
    <t>David</t>
  </si>
  <si>
    <t>(805) 568-8470</t>
  </si>
  <si>
    <t>https://drive.google.com/open?id=1gIHqDwN00dLrLUuXP46XYfB-jNtw8gFi, https://drive.google.com/open?id=1UKCMpPnkYayTBIR1yquWMc-gBM0GJpTP</t>
  </si>
  <si>
    <t>0112-222256</t>
  </si>
  <si>
    <t>17808 Sherman Way APT 127</t>
  </si>
  <si>
    <t>Reseda</t>
  </si>
  <si>
    <t>https://www.zillow.com/homedetails/17808-Sherman-Way-APT-127-Reseda-CA-91335/2061798789_zpid/</t>
  </si>
  <si>
    <t>Shapell Properties</t>
  </si>
  <si>
    <t>(213) 510-1426</t>
  </si>
  <si>
    <t xml:space="preserve">this one actually feels like a particularly strong case because they listed it on 1/5 for the initial price, then the fires started, and then on 1/12 they hiked it by 24%
</t>
  </si>
  <si>
    <t>https://drive.google.com/open?id=1y1wVtoLvl0ufZ__cKjeBwrPafVlwTKp8</t>
  </si>
  <si>
    <t>0112-222430</t>
  </si>
  <si>
    <t>1636 N Occidental Blvd</t>
  </si>
  <si>
    <t>https://www.zillow.com/homedetails/1636-N-Occidental-Blvd-Los-Angeles-CA-90026/20743781_zpid/</t>
  </si>
  <si>
    <t>Amanda Lee</t>
  </si>
  <si>
    <t>(626) 375-0232</t>
  </si>
  <si>
    <t>https://drive.google.com/open?id=1GKEYyRovOaJ3k2E8_daixmVEDtmeqjMI, https://drive.google.com/open?id=1Bv_GLiNs4yT3f3GMOxdh4XikHIZUMsLz, https://drive.google.com/open?id=1x5lqbXFEt5FMN1sQ9-m1pKDLOozwDKeZ</t>
  </si>
  <si>
    <t>0112-222655</t>
  </si>
  <si>
    <t>5535 Carlton Way #1B-1BA</t>
  </si>
  <si>
    <t>https://www.zillow.com/homedetails/5535-Carlton-Way-1B-1BA-Los-Angeles-CA-90028/443351112_zpid/</t>
  </si>
  <si>
    <t>melissa</t>
  </si>
  <si>
    <t>(747) 836-3663</t>
  </si>
  <si>
    <t xml:space="preserve">it's been listed since early december with (relatively) little interest, suddenly price increased by 10.6%
</t>
  </si>
  <si>
    <t>https://drive.google.com/open?id=1UEvkwHSoV1xWMhiBpvmzjjni_wtQz5Dk</t>
  </si>
  <si>
    <t>0112-225919</t>
  </si>
  <si>
    <t>110 Bennett Ave</t>
  </si>
  <si>
    <t>Long Beach</t>
  </si>
  <si>
    <t>https://www.zillow.com/homedetails/110-Bennett-Ave-Long-Beach-CA-90803/2054770491_zpid/</t>
  </si>
  <si>
    <t>Jack Yang  Re/Max Premier Properties  Management company</t>
  </si>
  <si>
    <t>(626) 203-8269</t>
  </si>
  <si>
    <t>https://drive.google.com/open?id=1E5Row2cX8lr-ORLwYzMCXXnmO0AevfS1, https://drive.google.com/open?id=1MWetjWoo0EV2FDefoNyIvAUWk9uRYIdD</t>
  </si>
  <si>
    <t>0112-230341</t>
  </si>
  <si>
    <t>747 Monterey Blvd</t>
  </si>
  <si>
    <t>https://www.zillow.com/homedetails/747-Monterey-Blvd-Hermosa-Beach-CA-90254/20427731_zpid/</t>
  </si>
  <si>
    <t>Oliver</t>
  </si>
  <si>
    <t>(818) 310-8571</t>
  </si>
  <si>
    <t>https://drive.google.com/open?id=1MoPlvqAjJyBqghmVdI-EoKiNIkgvFIae, https://drive.google.com/open?id=1yahYJao2_H_2vM0lO9L5-VkDes4pEXcE</t>
  </si>
  <si>
    <t>0112-230848</t>
  </si>
  <si>
    <t>12117 Alberta Dr</t>
  </si>
  <si>
    <t>https://www.zillow.com/homedetails/12117-Alberta-Dr-Los-Angeles-CA-90230/20439895_zpid/</t>
  </si>
  <si>
    <t>Eiman Shirazi</t>
  </si>
  <si>
    <t>(323) 772-2009</t>
  </si>
  <si>
    <t>https://drive.google.com/open?id=17GW-LQ-W3aTZR65sMNmCo5gq-aNniwtt, https://drive.google.com/open?id=14gytUzCP-Uvl4J2y4mfQi8T1KkGgQXCm</t>
  </si>
  <si>
    <t>0112-231154</t>
  </si>
  <si>
    <t xml:space="preserve">817 Manhattan Ave, </t>
  </si>
  <si>
    <t>https://www.zillow.com/homedetails/817-Manhattan-Ave-Hermosa-Beach-CA-90254/2127122732_zpid/?utm_campaign=iosappmessage&amp;utm_medium=referral&amp;utm_source=txtshare</t>
  </si>
  <si>
    <t>Barbara Rosenberg</t>
  </si>
  <si>
    <t>310–704– 8077</t>
  </si>
  <si>
    <t>https://drive.google.com/open?id=14AtT3dYEljLZnnqfk0yA4esm5lOAmmvj</t>
  </si>
  <si>
    <t>0112-231346</t>
  </si>
  <si>
    <t>2666 Hutton Dr</t>
  </si>
  <si>
    <t>, Beverly Hills</t>
  </si>
  <si>
    <t>https://www.zillow.com/homedetails/2666-Hutton-Dr-Beverly-Hills-CA-90210/20532893_zpid/</t>
  </si>
  <si>
    <t>Unknown</t>
  </si>
  <si>
    <t xml:space="preserve">
last entry on ZIllow is "listing removed" but after a 15% increase on 1-10-25</t>
  </si>
  <si>
    <t>https://drive.google.com/open?id=1Sl4o0K4RXjkhXy0afE1ZW0eZGQea16Qz</t>
  </si>
  <si>
    <t>0112-231601</t>
  </si>
  <si>
    <t>2328 San Ysidro Dr</t>
  </si>
  <si>
    <t>https://www.zillow.com/homedetails/2328-San-Ysidro-Dr-Beverly-Hills-CA-90210/20533103_zpid/</t>
  </si>
  <si>
    <t>Sharon Hakimfar THE Real Estate Agency</t>
  </si>
  <si>
    <t>(310) 480-1911</t>
  </si>
  <si>
    <t>https://drive.google.com/open?id=1ALdQjDNHz4eViUl7THeU1QVPs68PNJyO</t>
  </si>
  <si>
    <t>0112-231726</t>
  </si>
  <si>
    <t>2639 S Genesee Ave</t>
  </si>
  <si>
    <t>https://www.zillow.com/homedetails/2639-S-Genesee-Ave-Los-Angeles-CA-90016/20588130_zpid/</t>
  </si>
  <si>
    <t>Douglas Liang</t>
  </si>
  <si>
    <t>(317) 597-6226</t>
  </si>
  <si>
    <t xml:space="preserve">
last Zillow entry is listing removed</t>
  </si>
  <si>
    <t>https://drive.google.com/open?id=11NaTagampEIB3fn-7v7V8ACfRB5ZzvBO, https://drive.google.com/open?id=1y-0Uix-b4r0yxh7GY47YUwv2A4GLXLI7</t>
  </si>
  <si>
    <t>0112-231809</t>
  </si>
  <si>
    <t>745 Oxford Ave</t>
  </si>
  <si>
    <t>Marina Del Rey</t>
  </si>
  <si>
    <t>https://www.zillow.com/homedetails/745-Oxford-Ave-Marina-Del-Rey-CA-90292/20445282_zpid/</t>
  </si>
  <si>
    <t>Rohin Bhasin</t>
  </si>
  <si>
    <t>(213) 300-3012</t>
  </si>
  <si>
    <t>https://drive.google.com/open?id=1DRr90Iq2Hpi34Lg2JvgIxmZ5SARVlOp1</t>
  </si>
  <si>
    <t>0112-232040</t>
  </si>
  <si>
    <t>1185 Corsica Dr</t>
  </si>
  <si>
    <t>Pacific Palisades</t>
  </si>
  <si>
    <t>https://www.zillow.com/homedetails/1185-Corsica-Dr-Pacific-Palisades-CA-90272/20538915_zpid/</t>
  </si>
  <si>
    <t>Amir Zac Mostame Carolwood Estates</t>
  </si>
  <si>
    <t>(424) 527-8889</t>
  </si>
  <si>
    <t xml:space="preserve">inside the evac zone???
</t>
  </si>
  <si>
    <t>https://drive.google.com/open?id=1SEaIrNQHq4Qp3gOLE_-aVWDEDICAciIm</t>
  </si>
  <si>
    <t>0112-232721</t>
  </si>
  <si>
    <t>190 Arroyo Ter APT 202</t>
  </si>
  <si>
    <t>https://www.zillow.com/homedetails/190-Arroyo-Ter-APT-202-Pasadena-CA-91103/20857668_zpid/</t>
  </si>
  <si>
    <t>Cornerstone R/E Management, Inc.  Management company</t>
  </si>
  <si>
    <t>(626) 681-4880</t>
  </si>
  <si>
    <t>https://drive.google.com/open?id=1PNTZ1pl71Cyv3TR2-d_jww1IBNreLlnw, https://drive.google.com/open?id=1qtt8RweUvz47Lhea2L30D4WVcdwF5crb</t>
  </si>
  <si>
    <t>0112-232752</t>
  </si>
  <si>
    <t>https://www.zillow.com/homedetails/1104-Casiano-Rd-Los-Angeles-CA-90049/20528677_zpid/</t>
  </si>
  <si>
    <t>https://drive.google.com/open?id=1-OSQ9jAhp-dgupf07uzTjXEra3e9OeJ9</t>
  </si>
  <si>
    <t>0112-233029</t>
  </si>
  <si>
    <t>1815 Oak View Ln</t>
  </si>
  <si>
    <t>https://www.zillow.com/homedetails/1815-Oak-View-Ln-Arcadia-CA-91006/20883953_zpid/</t>
  </si>
  <si>
    <t>Beini Mo</t>
  </si>
  <si>
    <t>(626) 684-7439</t>
  </si>
  <si>
    <t>https://drive.google.com/open?id=1zjvYgCbs-3AWOV7SLq5djtZinX1LLn1I, https://drive.google.com/open?id=10npF0xEWHUYra_67qKBXIYWmGzZdxwHg</t>
  </si>
  <si>
    <t>0112-233108</t>
  </si>
  <si>
    <t>1931 Nelson Ave</t>
  </si>
  <si>
    <t>Trulia</t>
  </si>
  <si>
    <t>https://www.trulia.com/home/1931-nelson-ave-redondo-beach-ca-90278-2061986612?cid=shr%7Capp_ios_rental_phone%7Crent%7Cpdp_share</t>
  </si>
  <si>
    <t>Maya Brewer</t>
  </si>
  <si>
    <t>https://drive.google.com/open?id=1XaJT_1-1vdKGWwStln1D3hty2nIlsuFg</t>
  </si>
  <si>
    <t>0112-233404</t>
  </si>
  <si>
    <t xml:space="preserve">592 30th St, </t>
  </si>
  <si>
    <t>https://www.trulia.com/home/592-30th-st-manhattan-beach-ca-90266-20420685?cid=shr%7Capp_ios_rental_phone%7Crent%7Cpdp_share</t>
  </si>
  <si>
    <t>Yana Beranek</t>
  </si>
  <si>
    <t>https://drive.google.com/open?id=1WKmzFPUehSrJx6E4dQib0edWutRXTf1V</t>
  </si>
  <si>
    <t>0113-045554</t>
  </si>
  <si>
    <t>241 Rees street</t>
  </si>
  <si>
    <t>Playa del rey</t>
  </si>
  <si>
    <t>https://www.zillow.com/homedetails/241-Rees-St-Playa-Del-Rey-CA-90293/20386149_zpid/?utm_campaign=iosappmessage&amp;utm_medium=referral&amp;utm_source=txtshare</t>
  </si>
  <si>
    <t>Kimberly kessler</t>
  </si>
  <si>
    <t>https://drive.google.com/open?id=1TwNNXBLJBLw9ZvytFuUtA2EQWzsgW96H, https://drive.google.com/open?id=1h0EB3zyiANPuZ2CK0JA2UFiCu_B7pio_</t>
  </si>
  <si>
    <t>0113-070446</t>
  </si>
  <si>
    <t>917 S Berendo St #401</t>
  </si>
  <si>
    <t>https://www.zillow.com/homedetails/917-S-Berendo-St-401-Los-Angeles-CA-90006/2056259359_zpid/?utm_campaign=iosappmessage&amp;utm_medium=referral&amp;utm_source=txtshare</t>
  </si>
  <si>
    <t xml:space="preserve">Akiva </t>
  </si>
  <si>
    <t>(213) 616-9536</t>
  </si>
  <si>
    <t>https://drive.google.com/open?id=1mXNDyBNvv-dMObjSsNqe7KkOouFF6hKG</t>
  </si>
  <si>
    <t>0113-071259</t>
  </si>
  <si>
    <t>724 S Gramercy Dr</t>
  </si>
  <si>
    <t>https://www.zillow.com/homedetails/724-S-Gramercy-Dr-Los-Angeles-CA-90005/2070015636_zpid/?utm_campaign=iosappmessage&amp;utm_medium=referral&amp;utm_source=txtshare</t>
  </si>
  <si>
    <t>Amber Tarshis</t>
  </si>
  <si>
    <t>213-583-4229</t>
  </si>
  <si>
    <t>https://drive.google.com/open?id=1zLWR6UB-X-Lkisyzd6O0WBVgTrXvSd3N</t>
  </si>
  <si>
    <t>0113-083025</t>
  </si>
  <si>
    <t>8038 Blackburn Ave #7</t>
  </si>
  <si>
    <t>https://www.zillow.com/homedetails/8038-Blackburn-Ave-7-Los-Angeles-CA-90048/2067901955_zpid/</t>
  </si>
  <si>
    <t>listed by management company - Sara</t>
  </si>
  <si>
    <t>213-770-4565</t>
  </si>
  <si>
    <t>https://drive.google.com/open?id=1jjrFVIhD3jOep7bXXqMTcWy1OZtIyEKl</t>
  </si>
  <si>
    <t>0113-083640</t>
  </si>
  <si>
    <t>748 N Detroit St</t>
  </si>
  <si>
    <t>https://www.zillow.com/homedetails/748-N-Detroit-St-Los-Angeles-CA-90046/20784322_zpid/?utm_campaign=iosappmessage&amp;utm_medium=referral&amp;utm_source=txtshare</t>
  </si>
  <si>
    <t>Luke Anderson</t>
  </si>
  <si>
    <t>(310) 279-6613</t>
  </si>
  <si>
    <t>https://drive.google.com/open?id=1KgiVmkJ1rj-ZQAfU8IXkDWqdwNDwRu1C</t>
  </si>
  <si>
    <t>0113-085222</t>
  </si>
  <si>
    <t>845 N Formosa Ave</t>
  </si>
  <si>
    <t>https://www.zillow.com/homedetails/845-N-Formosa-Ave-Los-Angeles-CA-90046/2088165910_zpid/</t>
  </si>
  <si>
    <t>Michael Telega</t>
  </si>
  <si>
    <t>(310) 429-6961</t>
  </si>
  <si>
    <t>https://drive.google.com/open?id=1iFuLYuRsor84s82Xao-mwX5GGkQSu5CA</t>
  </si>
  <si>
    <t>0113-091555</t>
  </si>
  <si>
    <t>1533 Marlay Drive</t>
  </si>
  <si>
    <t>https://www.zillow.com/homedetails/1533-Marlay-Dr-West-Hollywood-CA-90069/20798034_zpid/?utm_campaign=iosappmessage&amp;utm_medium=referral&amp;utm_source=txtshare</t>
  </si>
  <si>
    <t>Tracy Tutor</t>
  </si>
  <si>
    <t xml:space="preserve">Initially listed at $29,000, price lowered in December to $26,000, then went back up. It’s furnished and not clear if this is new, so perhaps an increase for furnishing which would make ok.
</t>
  </si>
  <si>
    <t>https://drive.google.com/open?id=1q_YnNlYOV4Nkktfv6-hZUzWBaEzxgOuA</t>
  </si>
  <si>
    <t>0113-092840</t>
  </si>
  <si>
    <t>https://www.zillow.com/homedetails/(undisclosed-Address)-Pacific-Palisades-CA-90272/20542872_zpid/?utm_campaign=iosappmessage&amp;utm_medium=referral&amp;utm_source=txtshare</t>
  </si>
  <si>
    <t>Anna P</t>
  </si>
  <si>
    <t xml:space="preserve">Hasn’t been updated in a year and says it’s available tomorrow with its new high price. Includes being fully furnished which is a common theme for the gouging.
</t>
  </si>
  <si>
    <t>https://drive.google.com/open?id=16JzbveeTHJy6W5UTcnWUHsH-IZw8mE7R</t>
  </si>
  <si>
    <t>0113-095111</t>
  </si>
  <si>
    <t>22720 Oxnard St</t>
  </si>
  <si>
    <t>https://www.zillow.com/homedetails/22720-Oxnard-St-2-Woodland-Hills-CA-91367/441854582_zpid/</t>
  </si>
  <si>
    <t>VINNEY GHARIB</t>
  </si>
  <si>
    <t>(310) 999-5523</t>
  </si>
  <si>
    <t>https://drive.google.com/open?id=1rTME-k1oGSUcjq-D7oQhSj7pwdAi-CBt, https://drive.google.com/open?id=1Z3S46cXNLQFUOLJLMUCvu-o2kDcAFUiI</t>
  </si>
  <si>
    <t>0113-102358</t>
  </si>
  <si>
    <t>2948 Eckleson St</t>
  </si>
  <si>
    <t>Lakewood</t>
  </si>
  <si>
    <t>https://www.zillow.com/homedetails/2948-Eckleson-St-Lakewood-CA-90712/21168830_zpid/?utm_campaign=iosappmessage&amp;utm_medium=referral&amp;utm_source=txtshare</t>
  </si>
  <si>
    <t>Daniel Flynn of Flynn Investment Team</t>
  </si>
  <si>
    <t xml:space="preserve">While they say they are primarily focused on helping displaced families and open to flexible lease terms and short terms, they brought up the price 12.7%
</t>
  </si>
  <si>
    <t>https://drive.google.com/open?id=1G0vuBLB2LJ3ENED2HK1wCaxeLPRMFMOR, https://drive.google.com/open?id=1RA7WIX0F91WQboPbPI-aK0Z63_hrZgxO</t>
  </si>
  <si>
    <t>0113-102954</t>
  </si>
  <si>
    <t>10123 Angelo View Dr</t>
  </si>
  <si>
    <t>https://www.zillow.com/homedetails/10123-Angelo-View-Dr-Beverly-Hills-CA-90210/20523808_zpid/?msockid=0b6a884f9a7b68f23d399d259b1a69d4</t>
  </si>
  <si>
    <t>Nicole Singer</t>
  </si>
  <si>
    <t>(818) 519-1543</t>
  </si>
  <si>
    <t xml:space="preserve">Listed for 15750 in December 2024 - now up to 24995 as of 1/13/2025
</t>
  </si>
  <si>
    <t>https://drive.google.com/open?id=1VQygLJ_YQEvevj_Nxrs7xC1omnFMhJJ9</t>
  </si>
  <si>
    <t>0113-103643</t>
  </si>
  <si>
    <t>https://www.redfin.com/CA/Los-Angeles/15541-Aqua-Verde-Dr-90077/home/6831653#property-history</t>
  </si>
  <si>
    <t xml:space="preserve">Listed in 2024 for 19k; now 25k
</t>
  </si>
  <si>
    <t>https://drive.google.com/open?id=1rT-8MNa_fhtodlQg8X4PmmER-0tT5Nq4</t>
  </si>
  <si>
    <t>0113-103657</t>
  </si>
  <si>
    <t>2442 W Sunset Blvd</t>
  </si>
  <si>
    <t>https://www.zillow.com/homedetails/2442-W-Sunset-Blvd-Los-Angeles-CA-90026/443714015_zpid/</t>
  </si>
  <si>
    <t>Mark</t>
  </si>
  <si>
    <t xml:space="preserve">I toured this property at the end of 2024 when the price was $4,500 and had all the same exact specs. Mark (the property owner) initially increased the rent from $4,500 to $12,500 on 1/8, one day after the fire. After being confronted, the listing was removed, and has now been reposted at a still illegal percentage increase (22%). He is relentless and must be stopped. He will also lie if he feels he's being accused. He also owns the apartments at 1032 Coronado behind this unit and I fear that he may be price gouging units there as well. I believe his name is Mark Stephen Perl but i'm not 100% sure - I overheard the current tenant say this name out loud when I was touring the unit. 
</t>
  </si>
  <si>
    <t>https://drive.google.com/open?id=1eM1_DkGw6IFD-D8O2e2qRaGBndp9_S0j, https://drive.google.com/open?id=1IBGGM9bkmb2v9sBrGUgeI1h2oxIx6paS, https://drive.google.com/open?id=1B_kA9B_bYiNPrg6VJO3alhoqMXaBLEHJ, https://drive.google.com/open?id=1c9UJmUsd_z7IcLBP0rAhXFg487e4ljEc</t>
  </si>
  <si>
    <t>0113-103926</t>
  </si>
  <si>
    <t xml:space="preserve">233 17th Street </t>
  </si>
  <si>
    <t>zillow.com/homedetails/233-17th-St-Manhattan-Beach-CA-90266/20421726_zpid/</t>
  </si>
  <si>
    <t>CG Cecil</t>
  </si>
  <si>
    <t>https://drive.google.com/open?id=1UvPDBwWt65XNCX7sac7zg1Jx9UI-8dsd, https://drive.google.com/open?id=1rL4r5Xzethvh1xbq8I2m-qv9FvjSbQwp</t>
  </si>
  <si>
    <t>0113-104444</t>
  </si>
  <si>
    <t>20850 Kingsbury St</t>
  </si>
  <si>
    <t>Chatsworth</t>
  </si>
  <si>
    <t>https://www.zillow.com/homedetails/20850-Kingsbury-St-Chatsworth-CA-91311/134988770_zpid/</t>
  </si>
  <si>
    <t>Suria Calacuayo</t>
  </si>
  <si>
    <t>(818) 389-5021</t>
  </si>
  <si>
    <t xml:space="preserve">$1,800 per month was last posted on August 27, 2024 so may be too long, but 150% increase vs. August seems egregious
</t>
  </si>
  <si>
    <t>https://drive.google.com/open?id=1BXEVP_uwHpu9G-iY0zLPJBpOrKcwZeVB, https://drive.google.com/open?id=1dfH4-ysyYrGfr7N3qK4JxdMn3YVft-H3</t>
  </si>
  <si>
    <t>0113-110139</t>
  </si>
  <si>
    <t>22147 Gresham St</t>
  </si>
  <si>
    <t>https://www.zillow.com/homedetails/22147-Gresham-St-West-Hills-CA-91304/51576724_zpid/</t>
  </si>
  <si>
    <t>Sona Dastan</t>
  </si>
  <si>
    <t>(818) 516-8045</t>
  </si>
  <si>
    <t xml:space="preserve">Priced at 14K jan of 2024, may be too long but 42% increase in just under a year
</t>
  </si>
  <si>
    <t>https://drive.google.com/open?id=1SeOGt1Zaa45kk62BFW95pCN-RvsmN0zQ, https://drive.google.com/open?id=1dl8vNJit9UcsPl0iqUwnTOHeX3CwbeJC</t>
  </si>
  <si>
    <t>0113-110249</t>
  </si>
  <si>
    <t>1533 Twin Tides Pl</t>
  </si>
  <si>
    <t>Oxnard</t>
  </si>
  <si>
    <t>https://www.zillow.com/homedetails/1533-Twin-Tides-Pl-Oxnard-CA-93035/63031008_zpid/?utm_campaign=iosappmessage&amp;utm_medium=referral&amp;utm_source=txtshare</t>
  </si>
  <si>
    <t>Vijay Sain</t>
  </si>
  <si>
    <t>805-258-1797</t>
  </si>
  <si>
    <t>H</t>
  </si>
  <si>
    <t xml:space="preserve">Highest the property was listed was for 10k on 9/30/23
</t>
  </si>
  <si>
    <t>https://drive.google.com/open?id=19eGBV5q3FGpuvAbDFYez3kukHfw7H3py</t>
  </si>
  <si>
    <t>0113-110840</t>
  </si>
  <si>
    <t>7540 Quimby Ave</t>
  </si>
  <si>
    <t>https://www.zillow.com/homedetails/7540-Quimby-Ave-West-Hills-CA-91307/19865941_zpid/</t>
  </si>
  <si>
    <t>Earnest Homes</t>
  </si>
  <si>
    <t>https://drive.google.com/open?id=1bY59AwBk6jilLCt1nu821g_o7sQ711kP, https://drive.google.com/open?id=1ysb3wD6mT7dQhsyeh-5u6Z2MYMiS6QCW</t>
  </si>
  <si>
    <t>0113-111429</t>
  </si>
  <si>
    <t>22958 Cantlay St</t>
  </si>
  <si>
    <t>https://www.zillow.com/homedetails/22958-Cantlay-St-West-Hills-CA-91307/19866343_zpid/</t>
  </si>
  <si>
    <t>Omer Tsarfati</t>
  </si>
  <si>
    <t>(818) 853-9437</t>
  </si>
  <si>
    <t>https://drive.google.com/open?id=1m18-tOjRp7vpBMhGtNJNnr-_kjL4_r9K, https://drive.google.com/open?id=1YOJlWHvU0_dflf_SDd2DWs-WlzOirWM2</t>
  </si>
  <si>
    <t>0113-111909</t>
  </si>
  <si>
    <t>9530 Cedarbrook Dr</t>
  </si>
  <si>
    <t>https://www.zillow.com/homedetails/9530-Cedarbrook-Dr-Beverly-Hills-CA-90210/20533876_zpid/</t>
  </si>
  <si>
    <t>Aren Afsharian Carolwood</t>
  </si>
  <si>
    <t>(310) 200-9323</t>
  </si>
  <si>
    <t>https://drive.google.com/open?id=1UkFkxy45gqyre1X_mRJVqj5Hb-t8iH9U</t>
  </si>
  <si>
    <t>0113-112056</t>
  </si>
  <si>
    <t>2021 Vineburn Ave</t>
  </si>
  <si>
    <t>https://www.zillow.com/homedetails/2021-Vineburn-Ave-Los-Angeles-CA-90032/20640409_zpid/</t>
  </si>
  <si>
    <t>Aleksandra Ola Daniel</t>
  </si>
  <si>
    <t>(310) 925-0682</t>
  </si>
  <si>
    <t>https://drive.google.com/open?id=1_KkCraSFoj1ksSCpKLxzV1ICRmhXnwoC</t>
  </si>
  <si>
    <t>0113-113650</t>
  </si>
  <si>
    <t>16 Park Ave</t>
  </si>
  <si>
    <t>https://www.zillow.com/homedetails/16-Park-Ave-Venice-CA-90291/20482259_zpid/</t>
  </si>
  <si>
    <t>Kevin Krakower Douglas Elliman</t>
  </si>
  <si>
    <t>(310) 493-9895</t>
  </si>
  <si>
    <t xml:space="preserve">12/11/24 posted at $7995. 1/9/25 listing removed. Reposted on 1/13/25 at $30,000, 275% increase. insane.
</t>
  </si>
  <si>
    <t>https://drive.google.com/open?id=13yAlsTN0FCKkQaq3CzYSccKv5NwYx2NY</t>
  </si>
  <si>
    <t>0113-114400</t>
  </si>
  <si>
    <t>317 N Flores St, Los Angeles, CA 90048</t>
  </si>
  <si>
    <t xml:space="preserve">Los angeles </t>
  </si>
  <si>
    <t>https://www.zillow.com/homedetails/317-N-Flores-St-Los-Angeles-CA-90048/20779077_zpid/</t>
  </si>
  <si>
    <t>They said the owners increased the price 
Listing removed 1/13</t>
  </si>
  <si>
    <t>https://drive.google.com/open?id=1dptJdziJJOk5SERVhBEgLXtfm_DvUh7w</t>
  </si>
  <si>
    <t>0113-115511</t>
  </si>
  <si>
    <t>22660 Baltar St</t>
  </si>
  <si>
    <t>https://www.zillow.com/homedetails/22660-Baltar-St-West-Hills-CA-91304/51578714_zpid/</t>
  </si>
  <si>
    <t>rachel hebert</t>
  </si>
  <si>
    <t>(213) 583-5681</t>
  </si>
  <si>
    <t xml:space="preserve">Listed for 7K in November, raised to 9K in december and then another raise to 10K on the 8th - total 43% increase since Nov
</t>
  </si>
  <si>
    <t>https://drive.google.com/open?id=1hvVwXxLaBW4z8PnXWBBRFvQkCvwwi-SG, https://drive.google.com/open?id=1Xpi2I87sZ5NI0l9MAsA1bxBSWQyZZUVL</t>
  </si>
  <si>
    <t>0113-121132</t>
  </si>
  <si>
    <t>1622 Viewmont Dr.</t>
  </si>
  <si>
    <t>https://www.zillow.com/homedetails/1622-Viewmont-Dr-Los-Angeles-CA-90069/95641245_zpid/</t>
  </si>
  <si>
    <t>Santiago Arana / The Agency</t>
  </si>
  <si>
    <t>(424) 231-2400</t>
  </si>
  <si>
    <t>https://drive.google.com/open?id=1Q-aiJcKg6trx3JfFcsyKHAlRKVvYqSTU</t>
  </si>
  <si>
    <t>0113-121735</t>
  </si>
  <si>
    <t>2730 Earle Ave</t>
  </si>
  <si>
    <t>Rosemead</t>
  </si>
  <si>
    <t>https://www.zillow.com/homedetails/2730-Earle-Ave-Rosemead-CA-91770/2097129855_zpid/</t>
  </si>
  <si>
    <t>Jeff D</t>
  </si>
  <si>
    <t>(213) 318-4804</t>
  </si>
  <si>
    <t xml:space="preserve">ugh, I haven't really been submitting listings here where the place went off market for a while and then came back on the market this week at a hiked price because it feels like a weaker case to make legally (ie they could have made changes to the property to iNcReAsE vAlUe or whatever they'd argue) but this one came back at a 90% increase which is just so gross. unfortunately it's been unlisted since 2017 :( so, if this is actionable cool; if not sorry for the noise
</t>
  </si>
  <si>
    <t>https://drive.google.com/open?id=1GCQHND3CStqFIbIbmlL_WU-U3RHF9B6i</t>
  </si>
  <si>
    <t>0113-123448</t>
  </si>
  <si>
    <t>1235 Highland Oaks Dr</t>
  </si>
  <si>
    <t>https://www.zillow.com/homedetails/1235-Highland-Oaks-Dr-Arcadia-CA-91006/20887520_zpid/</t>
  </si>
  <si>
    <t>Sam Lee</t>
  </si>
  <si>
    <t>(626) 772-6245</t>
  </si>
  <si>
    <t xml:space="preserve">listing removed mid november and then went back up this week with 13.7% increase
</t>
  </si>
  <si>
    <t>https://drive.google.com/open?id=18Hr_OC_Bmj6-3fMq5KsPC2xOOamEgGVe</t>
  </si>
  <si>
    <t>0113-123825</t>
  </si>
  <si>
    <t>17063 San Fernando Mission Blvd</t>
  </si>
  <si>
    <t>Granada Hills</t>
  </si>
  <si>
    <t>https://www.zillow.com/homedetails/17063-San-Fernando-Mission-Blvd-Granada-Hills-CA-91344/20154671_zpid/</t>
  </si>
  <si>
    <t>philip mancesa</t>
  </si>
  <si>
    <t>(805) 328-5175</t>
  </si>
  <si>
    <t>https://drive.google.com/open?id=1w23AUwH92Br7D7JigQdhvR-dLQeHUBTS, https://drive.google.com/open?id=1TJTV28VSV6Oml1ulmInpBkMN5jqnrRZw</t>
  </si>
  <si>
    <t>0113-124348</t>
  </si>
  <si>
    <t>3816 San Augustine Dr</t>
  </si>
  <si>
    <t>https://www.zillow.com/homedetails/3816-San-Augustine-Dr-Glendale-CA-91206/20842133_zpid/</t>
  </si>
  <si>
    <t>GASVP Realty LLC</t>
  </si>
  <si>
    <t>(213) 715-6578</t>
  </si>
  <si>
    <t xml:space="preserve">wasn't listed for 5 years and then put on the market 1/6 with a 60% increase
</t>
  </si>
  <si>
    <t>https://drive.google.com/open?id=1dqL42dYKMuGzsS3Jp8y923MXmRqoxvc6</t>
  </si>
  <si>
    <t>0113-124623</t>
  </si>
  <si>
    <t>828 Westmount Dr</t>
  </si>
  <si>
    <t>https://www.redfin.com/CA/West-Hollywood/828-Westmount-Dr-90069/home/6816738#property-history</t>
  </si>
  <si>
    <t>Wesley Early</t>
  </si>
  <si>
    <t>310) 992-6691</t>
  </si>
  <si>
    <t xml:space="preserve">Last asking price was in December 2023. 
</t>
  </si>
  <si>
    <t>https://drive.google.com/open?id=1R9Fp71i1VfdcbEEhPt0xZ9_fV2_81r2a</t>
  </si>
  <si>
    <t>0113-125156</t>
  </si>
  <si>
    <t>8434 Shirley Ave</t>
  </si>
  <si>
    <t>Northridge</t>
  </si>
  <si>
    <t>https://www.zillow.com/homedetails/8434-Shirley-Ave-Northridge-CA-91324/20182539_zpid/</t>
  </si>
  <si>
    <t>Gall BenAharon</t>
  </si>
  <si>
    <t>(818) 590-7136</t>
  </si>
  <si>
    <t>https://drive.google.com/open?id=11Tz4lxSXaoYHBbg0DG4OY6hoXk2M5Shb, https://drive.google.com/open?id=1uWsdQZ8XXT_RkoCZ2i6wG_jSaeqaqKnI</t>
  </si>
  <si>
    <t>0113-125326</t>
  </si>
  <si>
    <t>512 Griswold St APT 6</t>
  </si>
  <si>
    <t>https://www.zillow.com/homedetails/512-Griswold-St-APT-6-Glendale-CA-91205/2089256757_zpid/</t>
  </si>
  <si>
    <t>Arthur Chalekian</t>
  </si>
  <si>
    <t>(818) 873-5633</t>
  </si>
  <si>
    <t xml:space="preserve">went off market in 2021 at lower price, became available today at 13% increase from previous
</t>
  </si>
  <si>
    <t>https://drive.google.com/open?id=1YfA8WvE-02u1yo5LCj4wODpXVDyYdbDm</t>
  </si>
  <si>
    <t>0113-125829</t>
  </si>
  <si>
    <t>11633 Chenault St UNIT 202</t>
  </si>
  <si>
    <t>https://www.zillow.com/homedetails/11633-Chenault-St-UNIT-202-Los-Angeles-CA-90049/119677949_zpid/</t>
  </si>
  <si>
    <t>Keven Stirdivant KASE Real Estate</t>
  </si>
  <si>
    <t>(949) 545-8588</t>
  </si>
  <si>
    <t>https://drive.google.com/open?id=1fcxn9QdsuzZyW4LXSyu80Yazu6jdzHBs</t>
  </si>
  <si>
    <t>0113-130148</t>
  </si>
  <si>
    <t>https://www.zillow.com/homedetails/724-S-Gramercy-Dr-Los-Angeles-CA-90005/2070015636_zpid/</t>
  </si>
  <si>
    <t>(213) 583-4229</t>
  </si>
  <si>
    <t>I know this unit has been used as an illegal Airbnb in the past.
listing removed 1/13</t>
  </si>
  <si>
    <t>https://drive.google.com/open?id=1GfpfsW2MYAa8RmTy-4XUPixjbLNhnkwf</t>
  </si>
  <si>
    <t>0113-130944</t>
  </si>
  <si>
    <t>472 36th street</t>
  </si>
  <si>
    <t>Manhattan beach</t>
  </si>
  <si>
    <t>https://www.zillow.com/homedetails/472-36th-St-Manhattan-Beach-CA-90266/20420178_zpid/</t>
  </si>
  <si>
    <t>Fortify Property Management Fortify Property Management Verified Source (</t>
  </si>
  <si>
    <t>310) 706-2155</t>
  </si>
  <si>
    <t>https://drive.google.com/open?id=1wvgWF7Mv4FVNQcDegmeayWrXk8kUlbTz</t>
  </si>
  <si>
    <t>0113-131042</t>
  </si>
  <si>
    <t>23608 Pineforest Lane</t>
  </si>
  <si>
    <t>Harbor City</t>
  </si>
  <si>
    <t>https://www.zillow.com/homedetails/23608-Pineforest-Ln-Harbor-City-CA-90710/21289318_zpid/</t>
  </si>
  <si>
    <t>Maria Angela Segura</t>
  </si>
  <si>
    <t>(213) 668-7652</t>
  </si>
  <si>
    <t>https://drive.google.com/open?id=1I5lhGNS7VS8Lwrm3BrpKbHx329EvBwNU, https://drive.google.com/open?id=1l1oQ3OXKzybFw1JNRK1JsRimtPg94bZF</t>
  </si>
  <si>
    <t>0113-131415</t>
  </si>
  <si>
    <t>26865 Via Linda St</t>
  </si>
  <si>
    <t>Malibu</t>
  </si>
  <si>
    <t>https://www.zillow.com/homedetails/26865-Via-Linda-St-Malibu-CA-90265/20554740_zpid/</t>
  </si>
  <si>
    <t>Jessica Ezor</t>
  </si>
  <si>
    <t>(310) 430-1194</t>
  </si>
  <si>
    <t>https://drive.google.com/open?id=1WcKkv6ewyYREaTHbRAhDPhH8ZEssCfhA</t>
  </si>
  <si>
    <t>0113-131453</t>
  </si>
  <si>
    <t>119 W Live Oak St APT J</t>
  </si>
  <si>
    <t>San Gabriel</t>
  </si>
  <si>
    <t>https://www.zillow.com/homedetails/119-W-Live-Oak-St-APT-J-San-Gabriel-CA-91776/2101023272_zpid/</t>
  </si>
  <si>
    <t>Patty Tsai</t>
  </si>
  <si>
    <t>(626) 323-8447</t>
  </si>
  <si>
    <t xml:space="preserve">
last listing 2020</t>
  </si>
  <si>
    <t>https://drive.google.com/open?id=1ce3wJ_J3K76gz9ExRsaG-QJ2ugCYnyxV</t>
  </si>
  <si>
    <t>0113-131527</t>
  </si>
  <si>
    <t>Unknown, 90028</t>
  </si>
  <si>
    <t>https://www.zillow.com/homedetails/Los-Angeles-CA-90028/2063392866_zpid/</t>
  </si>
  <si>
    <t>Connie Dinh</t>
  </si>
  <si>
    <t>https://drive.google.com/open?id=1ZCW5cdQm3CKc901iI_RBl5tvzsaOfnmj</t>
  </si>
  <si>
    <t>0113-131913</t>
  </si>
  <si>
    <t>31678 Cottontail Ln</t>
  </si>
  <si>
    <t>https://www.zillow.com/homedetails/31678-Cottontail-Ln-Malibu-CA-90265/2054295562_zpid/</t>
  </si>
  <si>
    <t xml:space="preserve">Stay Awhile Villas </t>
  </si>
  <si>
    <t>https://drive.google.com/open?id=1YoZzS-Zpo6z0Iuk307iFqld83xIY7I3M</t>
  </si>
  <si>
    <t>0113-132023</t>
  </si>
  <si>
    <t>16070 W Sunset Blvd FLOOR 1-ID361</t>
  </si>
  <si>
    <t>https://www.zillow.com/homedetails/16070-W-Sunset-Blvd-FLOOR-1-ID361-Pacific-Palisades-CA-90272/2066994843_zpid/</t>
  </si>
  <si>
    <t>(213) 466-0591</t>
  </si>
  <si>
    <t>https://drive.google.com/open?id=1m8Hdtg0vvAKyY00tkJWEr0-lXlznCGfh</t>
  </si>
  <si>
    <t>0113-132233</t>
  </si>
  <si>
    <t>900 S Orange Grove Blvd APT C</t>
  </si>
  <si>
    <t xml:space="preserve">Pasadena </t>
  </si>
  <si>
    <t>https://www.zillow.com/homedetails/900-S-Orange-Grove-Blvd-APT-C-Pasadena-CA-91105/20860599_zpid/?utm_campaign=iosappmessage&amp;utm_medium=referral&amp;utm_source=txtshare</t>
  </si>
  <si>
    <t xml:space="preserve">Kevin Yuen </t>
  </si>
  <si>
    <t xml:space="preserve">
last listing 2017</t>
  </si>
  <si>
    <t>https://drive.google.com/open?id=1V5W4yGBti5Ip_wwrzcfHg-Ef6zqNclv1</t>
  </si>
  <si>
    <t>0113-132351</t>
  </si>
  <si>
    <t>4416012020 (unlisted)</t>
  </si>
  <si>
    <t>Undisclosed Address on Zillow - but it's 17614 Posetano Rd</t>
  </si>
  <si>
    <t>https://www.zillow.com/homedetails/Pacific-Palisades-CA-90272/20542872_zpid/</t>
  </si>
  <si>
    <t>(213) 561-6952</t>
  </si>
  <si>
    <t xml:space="preserve">Address is unlisted but I've confirmed it to be 17614 Posetano Rd. Duplicate photos found on Redfin pagehttps://www.redfin.com/CA/Pacific-Palisades/17614-Posetano-Rd-90272/home/6843476
</t>
  </si>
  <si>
    <t>https://drive.google.com/open?id=17OWevdaNkbqT-SpxfbL6ArLYP8bUfTvU, https://drive.google.com/open?id=1emtJM7BeHnKxldclEC6fC55rsnQtMl7P</t>
  </si>
  <si>
    <t>0113-132435</t>
  </si>
  <si>
    <t>286 N Madison Ave FLOOR 3-ID1153</t>
  </si>
  <si>
    <t>https://www.zillow.com/homedetails/286-N-Madison-Ave-FLOOR-3-ID1153-Pasadena-CA-91101/348506118_zpid/</t>
  </si>
  <si>
    <t>(323) 645-2797</t>
  </si>
  <si>
    <t>https://drive.google.com/open?id=1MqemVQD-QAhxCaBLJdkfGLHpADnaYHQt</t>
  </si>
  <si>
    <t>0113-132530</t>
  </si>
  <si>
    <t>30830 Broad Beach Rd</t>
  </si>
  <si>
    <t>https://www.zillow.com/homedetails/30830-Broad-Beach-Rd-Malibu-CA-90265/20557654_zpid/</t>
  </si>
  <si>
    <t>Joshua Spiegel Sotheby's International Realty</t>
  </si>
  <si>
    <t>Off market as of Jan 13.
off market</t>
  </si>
  <si>
    <t>https://drive.google.com/open?id=1LgXeZNdkFk38s7IUai7euxsDWk7jWYPM</t>
  </si>
  <si>
    <t>0113-132631</t>
  </si>
  <si>
    <t>3608 The Strand APT 2, Manhattan Beach, CA 90266</t>
  </si>
  <si>
    <t>https://www.zillow.com/homedetails/3608-The-Strand-APT-2-Manhattan-Beach-CA-90266/2094828516_zpid/</t>
  </si>
  <si>
    <t>Ally</t>
  </si>
  <si>
    <t>https://drive.google.com/open?id=1Cp-hsZPhx9i3lznyjfgiJoUcvvQq9aeZ</t>
  </si>
  <si>
    <t>0113-132728</t>
  </si>
  <si>
    <t>31777 Broad Beach Rd</t>
  </si>
  <si>
    <t>https://www.zillow.com/homedetails/31777-Broad-Beach-Rd-Malibu-CA-90265/20557808_zpid/</t>
  </si>
  <si>
    <t xml:space="preserve">Veronika Ban Coldwell Banker Realty </t>
  </si>
  <si>
    <t>(805) 208-5243</t>
  </si>
  <si>
    <t>https://drive.google.com/open?id=1L-Esep3aicoPnNwkBZF-7pR8dpku-Jug</t>
  </si>
  <si>
    <t>0113-132832</t>
  </si>
  <si>
    <t>909 El Centro St FLOOR 2-ID1158</t>
  </si>
  <si>
    <t>South Pasadena</t>
  </si>
  <si>
    <t>https://www.zillow.com/homedetails/909-El-Centro-St-FLOOR-2-ID1158-South-Pasadena-CA-91030/2053698939_zpid/</t>
  </si>
  <si>
    <t>https://drive.google.com/open?id=1LpQWHFBVxG1wIoWUQ8p3xqIb5criphEn</t>
  </si>
  <si>
    <t>0113-134030</t>
  </si>
  <si>
    <t>314 Upper Lake Rd</t>
  </si>
  <si>
    <t>Westlake Village</t>
  </si>
  <si>
    <t>https://www.zillow.com/homedetails/314-Upper-Lake-Rd-Westlake-Village-CA-91361/2062639240_zpid/</t>
  </si>
  <si>
    <t>Stephanie Rosenfeld, Beverly &amp; Co. Westlake Village</t>
  </si>
  <si>
    <t>(818) 825-3693</t>
  </si>
  <si>
    <t>https://drive.google.com/open?id=1kTDWyyNhDIQjD-3IjId-dmHpSGYzD-IX, https://drive.google.com/open?id=1UbYQLOXz4lLzJ71sFa7TLHKUVg-YQrhT</t>
  </si>
  <si>
    <t>0113-134049</t>
  </si>
  <si>
    <t>20752 Collins St</t>
  </si>
  <si>
    <t>https://www.zillow.com/homedetails/20752-Collins-St-Woodland-Hills-CA-91367/19932187_zpid/</t>
  </si>
  <si>
    <t>AirHive Rentals LLC</t>
  </si>
  <si>
    <t>(424) 313-4044</t>
  </si>
  <si>
    <t xml:space="preserve">Lots of price adjustments but most recently grew +15%, lowest is 6K but was listed for 7K in september
</t>
  </si>
  <si>
    <t>https://drive.google.com/open?id=1cNDdMCw913MS615TrlG_YpEusyW-rzgx, https://drive.google.com/open?id=1amxSX2bGEqlhoGeMhRS9SpayKOz8g1hb</t>
  </si>
  <si>
    <t>0113-134737</t>
  </si>
  <si>
    <t>20202 Clark St</t>
  </si>
  <si>
    <t>https://www.zillow.com/homedetails/20202-Clark-St-Woodland-Hills-CA-91367/2054703692_zpid/</t>
  </si>
  <si>
    <t>Yana</t>
  </si>
  <si>
    <t>(626) 531-1353</t>
  </si>
  <si>
    <t>https://drive.google.com/open?id=1BncS50LFR7RAxAd_pTLSs3C1Z-aNo_B7, https://drive.google.com/open?id=1kp0zjfkWAHFB2oHuaegBT7yKSRNb1Dkl</t>
  </si>
  <si>
    <t>0113-135001</t>
  </si>
  <si>
    <t>https://www.zillow.com/homedetails/Van-Nuys-CA-91406/19964598_zpid/</t>
  </si>
  <si>
    <t>TK</t>
  </si>
  <si>
    <t>(310) 728-0832</t>
  </si>
  <si>
    <t>https://drive.google.com/open?id=17gHniZilixi9ePk15wA1_QGeOsHrrHPB, https://drive.google.com/open?id=1-UCze-pTX4b71tveVB7gm3-1-Kssl4H1</t>
  </si>
  <si>
    <t>0113-135143</t>
  </si>
  <si>
    <t>3977 Dalton Ave #1</t>
  </si>
  <si>
    <t>https://www.zillow.com/homedetails/3977-Dalton-Ave-1-Los-Angeles-CA-90062/347232716_zpid/</t>
  </si>
  <si>
    <t>Jared Bergenstal</t>
  </si>
  <si>
    <t>(310) 606-1619</t>
  </si>
  <si>
    <t>https://drive.google.com/open?id=1NU49cZp2C5UHKtlRgSoeG7ozxqGIeMwQ, https://drive.google.com/open?id=1ThIGdP7AoXGfFzSxzdW4qBIBRAQkoKKj</t>
  </si>
  <si>
    <t>0113-135500</t>
  </si>
  <si>
    <t>592 30th St, Manhattan Beach, CA 90266</t>
  </si>
  <si>
    <t>https://www.zillow.com/homedetails/592-30th-St-Manhattan-Beach-CA-90266/20420685_zpid/</t>
  </si>
  <si>
    <t>Yana Beranek BHHS Santa Monica 5 / 5 42 reviews (424) 343-4213</t>
  </si>
  <si>
    <t>https://drive.google.com/open?id=1tvCi2Jo1cWdqa7iH9I3Xd9cvwFuzk8_-</t>
  </si>
  <si>
    <t>0113-135535</t>
  </si>
  <si>
    <t>5358 Baza Ave</t>
  </si>
  <si>
    <t>https://www.zillow.com/homedetails/5358-Baza-Ave-Woodland-Hills-CA-91364/19942951_zpid/</t>
  </si>
  <si>
    <t>Tony Pacific</t>
  </si>
  <si>
    <t>(213) 320-5069</t>
  </si>
  <si>
    <t>https://drive.google.com/open?id=103QRVY-0MMPJeenI_SNbFr22H0KjqoTu, https://drive.google.com/open?id=1ZCffD_l4RAbSm4ZPpIh7LVGBdNcMtNyt</t>
  </si>
  <si>
    <t>0113-135725</t>
  </si>
  <si>
    <t>359 E Broadway</t>
  </si>
  <si>
    <t>https://www.zillow.com/homedetails/359-E-Broadway-Long-Beach-CA-90802/2083979360_zpid/</t>
  </si>
  <si>
    <t>Ghulam Ashiq  Ashby &amp; Graff Real Estate  Management company</t>
  </si>
  <si>
    <t>(949) 899-2732</t>
  </si>
  <si>
    <t>https://drive.google.com/open?id=1IaoiJI-AOSFXc2xwIRczfob4UfumD0r5, https://drive.google.com/open?id=1oNlFsWkxu1fg6mgM_lh4g45jyNwrFiFu</t>
  </si>
  <si>
    <t>0113-140307</t>
  </si>
  <si>
    <t>Sherway Villa, 17808 Sherman Way APT 127</t>
  </si>
  <si>
    <t>https://www.zillow.com/homedetails/17808-Sherman-Way-APT-127-Reseda-CA-91335/2061798789_zpid/?utm_campaign=iosappmessage&amp;utm_medium=referral&amp;utm_source=txtshare</t>
  </si>
  <si>
    <t>Shapell properties</t>
  </si>
  <si>
    <t>213 510-1426</t>
  </si>
  <si>
    <t xml:space="preserve">Price has been raised on 01/05/2025, again on 01/12/2025 (by over 20%), and again on 01/13/2025
</t>
  </si>
  <si>
    <t>https://drive.google.com/open?id=1ttVIvi-CSobryGROKiA-7DH0m6DksybI</t>
  </si>
  <si>
    <t>0113-140321</t>
  </si>
  <si>
    <t xml:space="preserve">( undisclosed) Hermosa Beach </t>
  </si>
  <si>
    <t>https://www.zillow.com/homedetails/Hermosa-Beach-CA-90254/20425174_zpid/</t>
  </si>
  <si>
    <t>Dude is putting in details and erasing to show the rent increase is in the negative
listed at $15,500 1/9/2025, increased to $18,500 1/11, reduced down to $17,025 on 1/13</t>
  </si>
  <si>
    <t>https://drive.google.com/open?id=1LdFH1VeuzmSbUFzP0UlZWDcsS1Q1rBSg</t>
  </si>
  <si>
    <t>0113-140323</t>
  </si>
  <si>
    <t>6229 Fallbrook Ave</t>
  </si>
  <si>
    <t>https://www.zillow.com/homedetails/6229-Fallbrook-Ave-Woodland-Hills-CA-91367/19877436_zpid/</t>
  </si>
  <si>
    <t>lilach cohen</t>
  </si>
  <si>
    <t>(818) 744-1200</t>
  </si>
  <si>
    <t xml:space="preserve">
last listing 4/20/2019</t>
  </si>
  <si>
    <t>https://drive.google.com/open?id=1o0DPmMu4AnOW2cunsBklU5ypFY0PjGm5, https://drive.google.com/open?id=1SbD6C6tJ5ZknQE_8yR0SA6goRfCebMZL</t>
  </si>
  <si>
    <t>0113-140452</t>
  </si>
  <si>
    <t>n/a</t>
  </si>
  <si>
    <t xml:space="preserve">1070 S Bedford St #405A </t>
  </si>
  <si>
    <t>https://www.zillow.com/homedetails/1070-S-Bedford-St-405A-Los-Angeles-CA-90035/443493164_zpid/</t>
  </si>
  <si>
    <t>Mikey</t>
  </si>
  <si>
    <t>213-855-2731</t>
  </si>
  <si>
    <t xml:space="preserve">Hoffman Brother's Reality </t>
  </si>
  <si>
    <t>(323) 416-3316</t>
  </si>
  <si>
    <t xml:space="preserve">On 1/7, the first day of the fires it was listed for $4,690. On 1/13 it raised to $10,000. 
</t>
  </si>
  <si>
    <t>https://drive.google.com/open?id=1a-WYDLcGBl4IZmWF8DzX3AXxoGl9Zrk4</t>
  </si>
  <si>
    <t>0113-140507</t>
  </si>
  <si>
    <t>6358 La Rocha Dr</t>
  </si>
  <si>
    <t>https://www.redfin.com/CA/Los-Angeles/6358-La-Rocha-Dr-90068/home/7127670#property-history</t>
  </si>
  <si>
    <t>https://drive.google.com/open?id=1zq7sGmKX4LMWYLrExqaL0CgPqHv0hWQs</t>
  </si>
  <si>
    <t>0113-140552</t>
  </si>
  <si>
    <t>3055 Landa St</t>
  </si>
  <si>
    <t>https://www.zillow.com/homedetails/3055-Landa-St-Los-Angeles-CA-90039/20747666_zpid/?rtoken=b1891952-e094-45d9-ae50-3cab14af4087~X1-ZU14jqana78s9vt_5gnlt&amp;utm_campaign=emo-instantsavedsearch-rental&amp;utm_source=email&amp;utm_term=urn:msg:20250113143102be2199294cc2065f&amp;utm_medium=email&amp;utm_content=forrentimage&amp;sse=X1-SSx1jqpcj6xc560000000000_3wguh&amp;srp=H4sIAAAAAAAAAI2UTXObMBCGfw3HxNKCBD50Ok3aQ4+NL51ePAsWAUcfWB+O8+/LWJjiNG7FSVqed3f1smjVGSXcqjV2a4X2q89OoG26H0HYt41HLz5l5UMGoHB4MEHv3LjO8i8x+Cqcj/s7Sqt7WFNO1hR4UTDKMngc3wm8RoAD4bSgFXBCI+JM8F1k8uKeMM5yXpSMVIyWkdDGLghK2FiA83WRl0B5Vn6NVNtLL+y56WWTbhQv90eU4QIADLY3tvdvrjH2HJ2z2Rsib8fVTLkab3AtSncFmiRQN0lYo5xOAjGkJWyn8/8XVMMSU/3UBgAhE4CnGKLAxthFV4vr4ZmV+TuZDlL+UaHvPpbBv2SqTXPRpJkoUe/S3O5SpgaHtKHBoUkbGndo/YcmUfbXV7nySWJIaXhA+3Kr5Qs4W4/DL2PUVL+YjA7OG/Uknnujv1+sBKgYr2vOWdX8pHePT8djccA87F9qW29p7qw814hHxKPYbc6X0zdtjZRqvK4WqcYEm82J7g9Ds+enhnEyP9v89Tl08ef+Dfk5Hs/wBAAA</t>
  </si>
  <si>
    <t>Per a post on X.com, it looks like this potential property owner Edward Kay had another property that he price gouged on as well (3512 Crestmont Ave Los Angeles, CA 90026), which incidentally enough, I also got a Zillow alert about this morning that I was going to add, but it looks like it's been reported on the excel already + listing now offline. https://x.com/kristentepper/status/1878331214030856236?mx=2
listing removed 1/11</t>
  </si>
  <si>
    <t>https://drive.google.com/open?id=1WdO4IxIyxSvlHInEagDuMmlv_piExZJX, https://drive.google.com/open?id=13SJGJ2G-42_LUlMxz5mSVb9LmZqCc2I7, https://drive.google.com/open?id=1vjU-EhnBGXVzJTItgoLFYjna4JuAU0NO</t>
  </si>
  <si>
    <t>0113-140641</t>
  </si>
  <si>
    <t>414 Monterey Blvd, Hermosa Beach, CA 90254</t>
  </si>
  <si>
    <t>Hermosa Beach, CA 90254</t>
  </si>
  <si>
    <t>https://www.zillow.com/homedetails/414-Monterey-Blvd-Hermosa-Beach-CA-90254/20428484_zpid/</t>
  </si>
  <si>
    <t>https://drive.google.com/open?id=1f8I2DxZfiad6SVYQyQ8sMmIFEbqHKyuc</t>
  </si>
  <si>
    <t>0113-140701</t>
  </si>
  <si>
    <t>632 N Hayworth Ave APT 3</t>
  </si>
  <si>
    <t>https://www.zillow.com/homedetails/632-N-Hayworth-Ave-APT-3-Los-Angeles-CA-90048/2080867853_zpid/</t>
  </si>
  <si>
    <t>Sarah</t>
  </si>
  <si>
    <t>(513) 478-7990</t>
  </si>
  <si>
    <t>https://drive.google.com/open?id=1_CqTrRKKyImUtMZZoTrGiwQpFD0oiydU, https://drive.google.com/open?id=1jkb121HjIu65RyGm_tNLy_08nHGLueGt</t>
  </si>
  <si>
    <t>0113-140753</t>
  </si>
  <si>
    <t>5571 Camp Street</t>
  </si>
  <si>
    <t>Cypress</t>
  </si>
  <si>
    <t>https://www.zillow.com/homedetails/5571-Camp-St-Cypress-CA-90630/25330127_zpid/</t>
  </si>
  <si>
    <t>626-417-1036</t>
  </si>
  <si>
    <t xml:space="preserve">+33% increase. Was listed to rent for $7,500 on 11/29/2024.
</t>
  </si>
  <si>
    <t>https://drive.google.com/open?id=1vhscfmJ6Mer4-mqRLU7vHc5f8PzSo3gC, https://drive.google.com/open?id=19H4H8UY1M9iinlNXJdbVgU1gcrvk_FKb</t>
  </si>
  <si>
    <t>0113-141028</t>
  </si>
  <si>
    <t>8568 Burton Way APT 301</t>
  </si>
  <si>
    <t>https://www.zillow.com/homedetails/8568-Burton-Way-APT-301-Los-Angeles-CA-90048/20514791_zpid/</t>
  </si>
  <si>
    <t>Daniel Gan</t>
  </si>
  <si>
    <t>(323) 972-8132</t>
  </si>
  <si>
    <t xml:space="preserve">
listed for $5495 in november, listing removed. relisted for $6495 1/13</t>
  </si>
  <si>
    <t>https://drive.google.com/open?id=1DsqgDEGGJAACAMw2xu4oO-MnRrVlvVqk, https://drive.google.com/open?id=1444fyyv1iSyeTMzz4h8_uSrOdSAc8AMD</t>
  </si>
  <si>
    <t>0113-141423</t>
  </si>
  <si>
    <t>14649 Addison St</t>
  </si>
  <si>
    <t>https://www.zillow.com/homedetails/14649-Addison-St-Sherman-Oaks-CA-91403/19982606_zpid/</t>
  </si>
  <si>
    <t>Rachel Neuwirth</t>
  </si>
  <si>
    <t>(310) 467-0998</t>
  </si>
  <si>
    <t>Listing removed december 19th, put back up jan 10 with +13% increase vs. december. 
listed for rent 8/30 at $13,500 removed 12/24, relisted 1/10/25 for $15,300</t>
  </si>
  <si>
    <t>https://drive.google.com/open?id=1eD7wf-gnt8J08rzkG7WesYLQv94ASngX, https://drive.google.com/open?id=1gH7N1-1qcR1SrcDaEMBGuip8hcrTkQjB</t>
  </si>
  <si>
    <t>0113-141458</t>
  </si>
  <si>
    <t>4643 1/2 Pickford St</t>
  </si>
  <si>
    <t>https://www.zillow.com/homedetails/4643-1-2-Pickford-St-Los-Angeles-CA-90019/2096718267_zpid/</t>
  </si>
  <si>
    <t>Jessica Bapties</t>
  </si>
  <si>
    <t>(310) 361-2609</t>
  </si>
  <si>
    <t xml:space="preserve">
listed for rent 1/4/2022 at $2195, relisted at $2795 1/13/2025. </t>
  </si>
  <si>
    <t>https://drive.google.com/open?id=169N3ZuhW2Y4lnNssKj4xPXOj9yuRKfz_, https://drive.google.com/open?id=1sMyYT8nKG_eHTC7flHDawvxx6Wt8KLIm</t>
  </si>
  <si>
    <t>0113-142310</t>
  </si>
  <si>
    <t>672 Walther Way</t>
  </si>
  <si>
    <t>https://www.zillow.com/homedetails/672-Walther-Way-Los-Angeles-CA-90049/2059425368_zpid/</t>
  </si>
  <si>
    <t>Santiago Arana The Agency</t>
  </si>
  <si>
    <t>(310) 926-9808</t>
  </si>
  <si>
    <t>Listing removed Jan 13
listing removed 1/13/2025</t>
  </si>
  <si>
    <t>https://drive.google.com/open?id=1zJaI5ibBy5sVUbwhw45IMiLcO5E2HRQA</t>
  </si>
  <si>
    <t>0113-142447</t>
  </si>
  <si>
    <t>108 W 2nd St #206</t>
  </si>
  <si>
    <t>https://www.redfin.com/CA/Los-Angeles/108-W-2nd-St-90012/unit-206/home/21923543#property-history</t>
  </si>
  <si>
    <t xml:space="preserve">
listed 11/20/23 for 3250, removed 1/6/2025, relisted 1/13/2025 $4000</t>
  </si>
  <si>
    <t>https://drive.google.com/open?id=1UF7R4-oLHrMp5_RpODpqboRzkrU4lmqT</t>
  </si>
  <si>
    <t>0113-142615</t>
  </si>
  <si>
    <t>1646 Blue Jay Way</t>
  </si>
  <si>
    <t>https://www.zillow.com/homedetails/1646-Blue-Jay-Way-Los-Angeles-CA-90069/20799931_zpid/</t>
  </si>
  <si>
    <t xml:space="preserve">Mark Rutstein Iconic Homes </t>
  </si>
  <si>
    <t>(310) 200-2524</t>
  </si>
  <si>
    <t xml:space="preserve">
listed 11/8/2024 for $39,500. removed 11/19/2024, relisrted 1/9;2025 for $45,000</t>
  </si>
  <si>
    <t>https://drive.google.com/open?id=17Va2mZb9Arl9DZ2N5Rul2Qqno0Kcrbs2</t>
  </si>
  <si>
    <t>0113-143757</t>
  </si>
  <si>
    <t>1661 259th St Unit 235</t>
  </si>
  <si>
    <t>https://www.redfin.com/CA/Harbor-City/1661-259th-St-90710/unit-235/home/193276678#property-history</t>
  </si>
  <si>
    <t xml:space="preserve">
listed for $2000 11/3/2024, listing removed 11/28/2024, relisted for $2495</t>
  </si>
  <si>
    <t>https://drive.google.com/open?id=1XUITWWIP2ZwGy8xwaUOjvKHvjWYhy0lY</t>
  </si>
  <si>
    <t>0113-143811</t>
  </si>
  <si>
    <t>7665 Woodrow Wilson Dr</t>
  </si>
  <si>
    <t>https://www.zillow.com/homedetails/7665-Woodrow-Wilson-Dr-Los-Angeles-CA-90046/20802829_zpid/</t>
  </si>
  <si>
    <t xml:space="preserve">Joshua Czar Property Management </t>
  </si>
  <si>
    <t>(310) 742-8640</t>
  </si>
  <si>
    <t xml:space="preserve">
reduced the 25% rent increase to original price</t>
  </si>
  <si>
    <t>https://drive.google.com/open?id=1l6P2y4cxchVE90aPqvCEm4NywLnp46kx</t>
  </si>
  <si>
    <t>0113-144005</t>
  </si>
  <si>
    <t>5109 Longridge Ave</t>
  </si>
  <si>
    <t>https://www.zillow.com/homedetails/5109-Longridge-Ave-Sherman-Oaks-CA-91423/20021223_zpid/</t>
  </si>
  <si>
    <t>Avi Shabtai</t>
  </si>
  <si>
    <t>https://drive.google.com/open?id=1X0uyH3OOXTuItMa4tMDIfrxXC_LTex9J</t>
  </si>
  <si>
    <t>0113-144447</t>
  </si>
  <si>
    <t>5344 Leghorn Ave,</t>
  </si>
  <si>
    <t>https://www.zillow.com/homedetails/5344-Leghorn-Ave-Van-Nuys-CA-91401/20015679_zpid/</t>
  </si>
  <si>
    <t>(213) 642-1490</t>
  </si>
  <si>
    <t>https://drive.google.com/open?id=1NdXx2bCA3ymxCJP39eqetoT00zbpJc6M</t>
  </si>
  <si>
    <t>0113-144537</t>
  </si>
  <si>
    <t>745 Patterson Ave</t>
  </si>
  <si>
    <t>https://www.zillow.com/homedetails/745-Patterson-Ave-Glendale-CA-91202/20830106_zpid/</t>
  </si>
  <si>
    <t>Chris Eskandarian</t>
  </si>
  <si>
    <t xml:space="preserve">he removed the listing on Zillow but I found it on WestSide Rentals for 7k
</t>
  </si>
  <si>
    <t>https://drive.google.com/open?id=1v5g2FtuPdu2RbxIGgzZFv_69QdEnhH0V, https://drive.google.com/open?id=1Ds3M7IX5im4mXUR4QlQOaTMoW2hu2tmd, https://drive.google.com/open?id=1-MKtn1611x7CMy5EURIgVX8iODBAVABn, https://drive.google.com/open?id=1uYXbsEY0JFXXo8_A3Xyf2mBQJL2osE4W, https://drive.google.com/open?id=17HD8_qhrLgWvEwA8_3Q82nwu1FrkpNK8</t>
  </si>
  <si>
    <t>0113-144611</t>
  </si>
  <si>
    <t>1237 S Holt Ave Unit 206</t>
  </si>
  <si>
    <t>https://www.redfin.com/CA/Los-Angeles/1237-S-Holt-Ave-90035/unit-206/home/191150566#property-history</t>
  </si>
  <si>
    <t>424) 352-1555</t>
  </si>
  <si>
    <t>https://drive.google.com/open?id=1KY7dvVWL0xZEzMZdH2lUAtbJWlLMXVt-</t>
  </si>
  <si>
    <t>0113-144807</t>
  </si>
  <si>
    <t>3418 Glendale Blvd #1/2, Los Angeles, CA 90039</t>
  </si>
  <si>
    <t>https://www.zillow.com/homedetails/3418-Glendale-Blvd-1-2-Los-Angeles-CA-90039/441657486_zpid/</t>
  </si>
  <si>
    <t>Odet</t>
  </si>
  <si>
    <t xml:space="preserve"> (818) 408-4843</t>
  </si>
  <si>
    <t xml:space="preserve">Raised the rent 21.4% on 1/13
</t>
  </si>
  <si>
    <t>https://drive.google.com/open?id=1OspzwTiV4amwFN8EcwcC6-xSJ7fok_tT</t>
  </si>
  <si>
    <t>0113-145139</t>
  </si>
  <si>
    <t>812 N Croft Ave APT 201</t>
  </si>
  <si>
    <t>https://www.zillow.com/homedetails/812-N-Croft-Ave-APT-201-Los-Angeles-CA-90069/2098592518_zpid/</t>
  </si>
  <si>
    <t xml:space="preserve">David Adamo </t>
  </si>
  <si>
    <t>(917) 909-9890</t>
  </si>
  <si>
    <t>https://drive.google.com/open?id=1p94nlE3V3myTnWaoHP5hQZl_6-IGICRa</t>
  </si>
  <si>
    <t>0113-145441</t>
  </si>
  <si>
    <t>3771 Keystone Ave, #06</t>
  </si>
  <si>
    <t>https://www.zillow.com/homedetails/3771-Keystone-Ave-14106-Los-Angeles-CA-90034/442573913_zpid/</t>
  </si>
  <si>
    <t>Ben Leeds Properties</t>
  </si>
  <si>
    <t>(213) 319-2518</t>
  </si>
  <si>
    <t xml:space="preserve">This unit was listed in October 2024 for $3,150 (Listed as Unit 06). The listing was removed and reuploaded several times between Oct-Dec 2024. On December 30, they even reduced the price to $3,075. They accidentally made a new unit listing under the building on January 12 (Listed as Unit 14106) with an increased rent of $3,845. This is a very clear instance of price gouging and Ben Leeds is a repeat offender, with multiple listings at over a 10% increase.
</t>
  </si>
  <si>
    <t>https://drive.google.com/open?id=14777g5pgso10TVrpjRUTpKwpGTPlpw36, https://drive.google.com/open?id=1vX0kuJ9MXiX4GhrTKrzC3n1x6bZRJlvP</t>
  </si>
  <si>
    <t>0113-145502</t>
  </si>
  <si>
    <t>13918 Chandler Blvd</t>
  </si>
  <si>
    <t>https://www.zillow.com/homedetails/13918-Chandler-Blvd-Van-Nuys-CA-91401/19974663_zpid/</t>
  </si>
  <si>
    <t>(747) 227-7261</t>
  </si>
  <si>
    <t>https://drive.google.com/open?id=1ji22KuOkeVGFM8kyjMB6lu9wOL74EkKd</t>
  </si>
  <si>
    <t>0113-150209</t>
  </si>
  <si>
    <t>7801 White Oak Ave</t>
  </si>
  <si>
    <t>https://www.zillow.com/homedetails/7801-White-Oak-Ave-Reseda-CA-91335/19903033_zpid/</t>
  </si>
  <si>
    <t>Paul Peress</t>
  </si>
  <si>
    <t>(917) 359-1055</t>
  </si>
  <si>
    <t>https://drive.google.com/open?id=10L1a_kVIg0L3FRbF08qbKLrnFSDyt1cS, https://drive.google.com/open?id=1CE4ZVYbUmh1Eb8Gh95_XV9c4p149FbVL</t>
  </si>
  <si>
    <t>0113-150520</t>
  </si>
  <si>
    <t>https://www.redfin.com/CA/Los-Angeles/1941-Glencoe-Way-90068/home/7114955</t>
  </si>
  <si>
    <t>Steve Sanders</t>
  </si>
  <si>
    <t>323-828-6471</t>
  </si>
  <si>
    <t>They somehow scrubbed the updated listing from Zillow, but the price history is there.($8,500). The new listing is on Redfin ($12,500). 
https://www.zillow.com/homedetails/1941-Glencoe-Way-Los-Angeles-CA-90068/20793801_zpid/
listing removed</t>
  </si>
  <si>
    <t>https://drive.google.com/open?id=1ZJIskOCBEO6IyOdaPMWrh9W7gXZVcQ9a, https://drive.google.com/open?id=1yfR9NHI-kdPOfhK8nf8q1EI91KzwKaVz</t>
  </si>
  <si>
    <t>0113-150630</t>
  </si>
  <si>
    <t>3215 Ocean Front Walk #101</t>
  </si>
  <si>
    <t>https://www.zillow.com/homedetails/3215-Ocean-Front-Walk-101-Marina-Del-Rey-CA-90292/51582315_zpid/</t>
  </si>
  <si>
    <t>Bethany Woolf</t>
  </si>
  <si>
    <t>310-927-8072</t>
  </si>
  <si>
    <t xml:space="preserve">I complained via Zillow to the listing agent and she told me the following load of crap about the owner: 
"He lives out of state and this ocean front unit is his vacation home that he and his family enjoy frequently.  I believe that from time to time, he would rent it for shorter, defined periods of time that would allow him to still use it when he wanted to. $9,000 (a reduced rent according to the comps) simply allowed him the flexibility to rent short terms within timeframes that worked for him and his family so they could still enjoy their asset. I was not involved in those leases and I’m not even sure if he did actually lease it out or how many times he did.   
Until these horrific wildfires, he never considered renting it for a long duration. Given the current events, he wants to help a family and is willing to forgo his beloved vacation home for a long term lease, furnished with his personal belongings - all while leaving him without an opportunity to use it himself.  
For this, he is simply asking a market rent price that JUST covers his expenses, without considering the fact that it is furnished. He is making no profit it this endeavor.  I ran the comps and market price for a furnished, ocean view unit with 2 parking spaces in prime Marina Del Rey could easily extend past the fair price he is asking."
SO...if he would normally rent it for short periods for $9K, why is this $12.5K what he needs to ask now "to cover his expenses?" F this guy and the broker who is helping him. 
</t>
  </si>
  <si>
    <t>https://drive.google.com/open?id=1B2R044yM1Vh3l87LV7qsCGbuShcNdTrO, https://drive.google.com/open?id=1JyKeAZgs2CJeAGAoATCkf6rQ6t-Xxyyt</t>
  </si>
  <si>
    <t>0113-150843</t>
  </si>
  <si>
    <t>14133 Tiara St</t>
  </si>
  <si>
    <t>https://www.zillow.com/homedetails/14133-Tiara-St-Sherman-Oaks-CA-91401/19972784_zpid/</t>
  </si>
  <si>
    <t>Gal</t>
  </si>
  <si>
    <t>(323) 283-3880</t>
  </si>
  <si>
    <t>https://drive.google.com/open?id=1y4x3osig7e8Kz9E4C5uTOH9M055vlU-9</t>
  </si>
  <si>
    <t>0113-151551</t>
  </si>
  <si>
    <t>10923 Ayres Ave #1</t>
  </si>
  <si>
    <t>https://www.zillow.com/homedetails/10923-Ayres-Ave-1-Los-Angeles-CA-90064/440958563_zpid/</t>
  </si>
  <si>
    <t>Albert Sarfati</t>
  </si>
  <si>
    <t>https://drive.google.com/open?id=1rNGTi5jgLAPUYMX_fh6xV8SiBME4Jikw, https://drive.google.com/open?id=17CX2SpcCp-pAswBmNLUETkl-DFIiGist</t>
  </si>
  <si>
    <t>0113-152340</t>
  </si>
  <si>
    <t>3701 Royal Meadow Rd</t>
  </si>
  <si>
    <t>https://www.zillow.com/homedetails/3701-Royal-Meadow-Rd-Sherman-Oaks-CA-91403/19990560_zpid/</t>
  </si>
  <si>
    <t>bruce lavi (Keller Williams)</t>
  </si>
  <si>
    <t>(213) 539-4377</t>
  </si>
  <si>
    <t>Bruce Lavi</t>
  </si>
  <si>
    <t>Raised prices by 50.8% on 1/8/25, then lowered their price 27.3% on 1/11/25 (still the overall price has risen enough to be illegal)
price correction not within 10%</t>
  </si>
  <si>
    <t>https://drive.google.com/open?id=1zQy_r3JN941ZOrOhvPzV9Tm7nRPlY_GG</t>
  </si>
  <si>
    <t>0113-152635</t>
  </si>
  <si>
    <t>306 N Venice Blvd</t>
  </si>
  <si>
    <t>https://www.zillow.com/homedetails/306-N-Venice-Blvd-Venice-CA-90291/20450581_zpid/</t>
  </si>
  <si>
    <t>Lisa Detamore</t>
  </si>
  <si>
    <t>(213)463-5020</t>
  </si>
  <si>
    <t xml:space="preserve">Last listed in 2009, listing added again on 1/12/2025
</t>
  </si>
  <si>
    <t>https://drive.google.com/open?id=1wD2nfMFxezLpu6xPnVVIEMOi87wdpnB6, https://drive.google.com/open?id=1Ow1sNt-_QBmAN33qmnKpIb9bljBLmP_a</t>
  </si>
  <si>
    <t>0113-153230</t>
  </si>
  <si>
    <t>10802 Wilkins Ave</t>
  </si>
  <si>
    <t>https://www.zillow.com/homedetails/10802-Wilkins-Ave-Los-Angeles-CA-90024/2053179796_zpid/</t>
  </si>
  <si>
    <t>Innis Casey</t>
  </si>
  <si>
    <t>(213)566-7087</t>
  </si>
  <si>
    <t xml:space="preserve">Listing was removed on 2/1/24 and then reposted on 1/12/25
</t>
  </si>
  <si>
    <t>https://drive.google.com/open?id=1yfZDRIVV8onw8RYZfkg6VuGeONtWwUKj, https://drive.google.com/open?id=15dUWLZpZK8J2R0FrGRZqlfna-mHHQWTq</t>
  </si>
  <si>
    <t>0113-155050</t>
  </si>
  <si>
    <t>11633 Chenault St #202</t>
  </si>
  <si>
    <t>Brentwood</t>
  </si>
  <si>
    <t>https://www.redfin.com/CA/Los-Angeles/11633-Chenault-St-90049/unit-202/home/51587417#property-history</t>
  </si>
  <si>
    <t>Kevin Stirdivant</t>
  </si>
  <si>
    <t>949) 355-5947</t>
  </si>
  <si>
    <t>https://drive.google.com/open?id=14zkeT4FH4-C5xn2FnnO2dILmRpAyGPkM</t>
  </si>
  <si>
    <t>0113-155338</t>
  </si>
  <si>
    <t>6617 S Sherbourne Dr</t>
  </si>
  <si>
    <t>https://www.zillow.com/homedetails/6617-S-Sherbourne-Dr-Los-Angeles-CA-90056/20377951_zpid/</t>
  </si>
  <si>
    <t>Grena Lofton</t>
  </si>
  <si>
    <t xml:space="preserve">The advantageous date of the price increase and there is no reason stated for it (example: price change reflects furnished home). 
</t>
  </si>
  <si>
    <t>https://drive.google.com/open?id=1AjqN0aQ8AXSsOa1iOn7lwpshsYqdDf2X</t>
  </si>
  <si>
    <t>0113-161041</t>
  </si>
  <si>
    <t>5117 Bakman Ave</t>
  </si>
  <si>
    <t>https://www.zillow.com/homedetails/5117-Bakman-Ave-North-Hollywood-CA-91601/2131031938_zpid/</t>
  </si>
  <si>
    <t>Sean,  Socal Rent</t>
  </si>
  <si>
    <t>(714) 920-4710</t>
  </si>
  <si>
    <t>https://drive.google.com/open?id=1DiT1nD71AmLOGjsovxW6zzTkg-QW47D-, https://drive.google.com/open?id=1AWYvTXyGmqrJAL6av2RJUbFulmoozxEs</t>
  </si>
  <si>
    <t>0113-161646</t>
  </si>
  <si>
    <t>4341-021-005</t>
  </si>
  <si>
    <t>610 N Foothill Rd</t>
  </si>
  <si>
    <t>The MLS</t>
  </si>
  <si>
    <t>https://www.themls.com/Share/YWFmaWFkZmZp</t>
  </si>
  <si>
    <t>Natalie Zamir</t>
  </si>
  <si>
    <t>323-509-9814</t>
  </si>
  <si>
    <t>Zamir Yosef</t>
  </si>
  <si>
    <t>https://drive.google.com/open?id=1n_zEv5aXfX1mS5kdOU2sU1dmIqKoaHv9</t>
  </si>
  <si>
    <t>0113-162128</t>
  </si>
  <si>
    <t>7171 La Presa Dr</t>
  </si>
  <si>
    <t>https://www.zillow.com/homedetails/7171-La-Presa-Dr-Los-Angeles-CA-90068/20793583_zpid/</t>
  </si>
  <si>
    <t>https://drive.google.com/open?id=18ANVW2RhU7_XDtzSOZkq307Gca7zU3h0</t>
  </si>
  <si>
    <t>0113-162417</t>
  </si>
  <si>
    <t>Uundisclosed but IDed as 1026 Echo Park Ave</t>
  </si>
  <si>
    <t>https://www.zillow.com/homedetails/Los-Angeles-CA-90026/20739765_zpid/?</t>
  </si>
  <si>
    <t>Melanie Middien  Caring Realty  Property owner</t>
  </si>
  <si>
    <t>(310) 435-5450</t>
  </si>
  <si>
    <t>https://drive.google.com/open?id=1UwwTzGaR3Q81r1_z4sOT6VZr4vKJLOQV, https://drive.google.com/open?id=18G1hZdYYdXGV2yomnvm2_ezGJRNOBuuO, https://drive.google.com/open?id=1eURGWOBSVqXV5DhVdsCCRfWLUIn1U_4a</t>
  </si>
  <si>
    <t>0113-162447</t>
  </si>
  <si>
    <t>3108 Yale Ave</t>
  </si>
  <si>
    <t>https://www.zillow.com/homedetails/3108-Yale-Ave-Marina-Del-Rey-CA-90292/20445056_zpid/</t>
  </si>
  <si>
    <t>F. Ron Smith Compass</t>
  </si>
  <si>
    <t>(310) 500-3931</t>
  </si>
  <si>
    <t xml:space="preserve">rent increased to $25K on 1/12/2025 from $13K in 2020. No mention of price change reflecting furnishing or renovations.
</t>
  </si>
  <si>
    <t>https://drive.google.com/open?id=1UTLbM8N6A4irbIHWeR3y03YCRdvzED8c</t>
  </si>
  <si>
    <t>0113-162721</t>
  </si>
  <si>
    <t>18220 Fallenleaf Cir</t>
  </si>
  <si>
    <t>Fountain Valley</t>
  </si>
  <si>
    <t>https://www.zillow.com/homedetails/18220-Fallenleaf-Cir-Fountain-Valley-CA-92708/25284910_zpid/</t>
  </si>
  <si>
    <t>Allen Duan</t>
  </si>
  <si>
    <t>(781) 512-6397</t>
  </si>
  <si>
    <t>https://drive.google.com/open?id=1_-vMA51ge4sAy5mBpbZQK-KcUXVo7ov_, https://drive.google.com/open?id=1Nn3ZYq5arKVSiyO-Xe0GzgnnqsESpwQz</t>
  </si>
  <si>
    <t>0113-162824</t>
  </si>
  <si>
    <t>6111 San Vincente Blvd</t>
  </si>
  <si>
    <t>https://www.zillow.com/homedetails/6111-San-Vicente-Blvd-Los-Angeles-CA-90048/20609731_zpid/</t>
  </si>
  <si>
    <t>Bryan</t>
  </si>
  <si>
    <t>(213)354-7384</t>
  </si>
  <si>
    <t xml:space="preserve">Property listing was removed in 2014 and then relisted after the fires began
</t>
  </si>
  <si>
    <t>https://drive.google.com/open?id=1F4KvfS972iFxL5eRT8ZYfoaTz1Uh-rxa, https://drive.google.com/open?id=1cIESnqlLR_8mwruWVANbwKjup44P1a3m</t>
  </si>
  <si>
    <t>0113-163637</t>
  </si>
  <si>
    <t>undisclosed address</t>
  </si>
  <si>
    <t>https://www.zillow.com/homedetails/Woodland-Hills-CA-91367/19878327_zpid/</t>
  </si>
  <si>
    <t>Allon Shelly</t>
  </si>
  <si>
    <t>(213)772-4723</t>
  </si>
  <si>
    <t xml:space="preserve">Listing was removed on 10/6/22 and then relisted 1/13/25
</t>
  </si>
  <si>
    <t>https://drive.google.com/open?id=1kqTbIo9wvKjIK3HpbSpir0KF-nMkWUZG, https://drive.google.com/open?id=15zImWICD9gSS_XWD5k8asYy7KyOna6Vp</t>
  </si>
  <si>
    <t>0113-163713</t>
  </si>
  <si>
    <t>16412 Ardsley Cir</t>
  </si>
  <si>
    <t>Huntington Beach</t>
  </si>
  <si>
    <t>https://www.zillow.com/homedetails/16412-Ardsley-Cir-Huntington-Beach-CA-92649/25298727_zpid/</t>
  </si>
  <si>
    <t>Antoinette Naddour</t>
  </si>
  <si>
    <t>(949) 787-3096</t>
  </si>
  <si>
    <t>https://drive.google.com/open?id=1Ew-1RWSMGL0doMKNV0lJsxDTlwsrJAIG, https://drive.google.com/open?id=165xPVHPFwJCD4ia2L7BXEoQtSmhZ_oip</t>
  </si>
  <si>
    <t>0113-164132</t>
  </si>
  <si>
    <t>Hollywood</t>
  </si>
  <si>
    <t>https://www.redfin.com/CA/Los-Angeles/1612-Courtney-Ave-90046/home/7115359#property-history</t>
  </si>
  <si>
    <t>Robert Erickson</t>
  </si>
  <si>
    <t>310) 890-7895</t>
  </si>
  <si>
    <t>https://drive.google.com/open?id=1W9LOShcgzXNoMBqWjzRNkciX-Fda4QQk</t>
  </si>
  <si>
    <t>0113-170025</t>
  </si>
  <si>
    <t>2227 Pearl St</t>
  </si>
  <si>
    <t>https://www.zillow.com/homedetails/2227-Pearl-St-Santa-Monica-CA-90405/20472937_zpid/</t>
  </si>
  <si>
    <t>Eric Pemberton</t>
  </si>
  <si>
    <t xml:space="preserve">Posted that they will consider a short-term lease
</t>
  </si>
  <si>
    <t>https://drive.google.com/open?id=10mu_QAdzwq6ueQS2HO-IoPsSXQSsU_7n</t>
  </si>
  <si>
    <t>0113-170049</t>
  </si>
  <si>
    <t>2390 Nalin Dr.</t>
  </si>
  <si>
    <t>https://www.redfin.com/CA/Los-Angeles/2390-Nalin-Dr-90077/home/6831567#property-history</t>
  </si>
  <si>
    <t xml:space="preserve">818-802-8669 </t>
  </si>
  <si>
    <t>https://drive.google.com/open?id=1gfYUzh7ZpO48bEZy7LB5YEUsQucAcZSg</t>
  </si>
  <si>
    <t>0113-170130</t>
  </si>
  <si>
    <t>10290 Seabury Ln</t>
  </si>
  <si>
    <t>https://www.zillow.com/homedetails/10290-Seabury-Ln-Los-Angeles-CA-90077/20531944_zpid/</t>
  </si>
  <si>
    <t>Adam</t>
  </si>
  <si>
    <t>(818) 643-7243</t>
  </si>
  <si>
    <t>https://drive.google.com/open?id=1Vq82Rao8nun98mKoX8rJCsJVvPd2KKyg</t>
  </si>
  <si>
    <t>0113-170854</t>
  </si>
  <si>
    <t>10824 Chalon Rd</t>
  </si>
  <si>
    <t>https://www.zillow.com/homedetails/10824-Chalon-Rd-Los-Angeles-CA-90077/20529073_zpid/</t>
  </si>
  <si>
    <t>Tara Kohan</t>
  </si>
  <si>
    <t>(213)444-5617</t>
  </si>
  <si>
    <t xml:space="preserve">Listing was removed 9/12/24 and then relisted 1/13/25
</t>
  </si>
  <si>
    <t>https://drive.google.com/open?id=1ItT3qLlF5NFbROP7S2kfnP4Br7EqA7a8, https://drive.google.com/open?id=1iHbLmaQ81IPtcIH-u2gMFiamX5Yy-TFy</t>
  </si>
  <si>
    <t>0113-170906</t>
  </si>
  <si>
    <t>Parcel number: 2151002008</t>
  </si>
  <si>
    <t>20300 Oxnard St</t>
  </si>
  <si>
    <t>https://www.zillow.com/homedetails/20300-Oxnard-St-Woodland-Hills-CA-91367/19931424_zpid/?utm_campaign=iosappmessage&amp;utm_medium=referral&amp;utm_source=txtshare</t>
  </si>
  <si>
    <t>Breathe Deeper Rentals</t>
  </si>
  <si>
    <t>https://drive.google.com/open?id=1C-C3pL1zEj8pVKlozycZU9d5T17tpMu-, https://drive.google.com/open?id=15LNyc0rhs1nmhhU2ZkF8TtKAuYLTijMS</t>
  </si>
  <si>
    <t>0113-171313</t>
  </si>
  <si>
    <t>6557 Laramie Ave</t>
  </si>
  <si>
    <t>https://www.zillow.com/homedetails/6557-Laramie-Ave-Winnetka-CA-91306/2057632822_zpid/</t>
  </si>
  <si>
    <t>Tomer Eliyahoo</t>
  </si>
  <si>
    <t>(310)742-9125</t>
  </si>
  <si>
    <t xml:space="preserve">Originally listed for rent on 12/30/24 and price was changed on 1/13/25
</t>
  </si>
  <si>
    <t>https://drive.google.com/open?id=1MAiBT6QvQrZCwPukqOGb9uTZPkm_r6LZ, https://drive.google.com/open?id=1iMv51sWuCNq7b8WklGfUEb70bXRF_GAZ</t>
  </si>
  <si>
    <t>0113-172102</t>
  </si>
  <si>
    <t>1524 N Sierra Bonita Ave</t>
  </si>
  <si>
    <t>https://www.zillow.com/homedetails/1524-N-Sierra-Bonita-Ave-Los-Angeles-CA-90046/20794339_zpid/</t>
  </si>
  <si>
    <t>Lindsay Segal (The Beverly Hills Estates)</t>
  </si>
  <si>
    <t>(310) 721-1383</t>
  </si>
  <si>
    <t xml:space="preserve">$39,000 security deposit 
</t>
  </si>
  <si>
    <t>https://drive.google.com/open?id=1LHBerSq90b20eNK7dRyZZujekGW9DcHu</t>
  </si>
  <si>
    <t>0113-172151</t>
  </si>
  <si>
    <t>6248 Teesdale Ave</t>
  </si>
  <si>
    <t>https://www.zillow.com/homedetails/6248-Teesdale-Ave-North-Hollywood-CA-91606/20009083_zpid/</t>
  </si>
  <si>
    <t>Adrianna Escalas</t>
  </si>
  <si>
    <t>(213)568-6456</t>
  </si>
  <si>
    <t xml:space="preserve">Listing was removed on 6/6/23 and relisted on 1/11/25 with increased rent
</t>
  </si>
  <si>
    <t>https://drive.google.com/open?id=1f1FJXJwTBlE_H_FKg9OLwHcgSpNBoDwd, https://drive.google.com/open?id=1DSOxOBKJbCU0c39w4e-btZAQRYupnHx8</t>
  </si>
  <si>
    <t>0113-173023</t>
  </si>
  <si>
    <t>Undisclosed but IDed as 10290 Seabury Lane</t>
  </si>
  <si>
    <t>https://www.zillow.com/homedetails/Los-Angeles-CA-90077/20531944_zpid/?</t>
  </si>
  <si>
    <t>https://drive.google.com/open?id=1FpXSJutQ1ens7fRBUX6x0H_R_sBnKKel, https://drive.google.com/open?id=1ZMT8TGh8upcHiuLR2MLjwsbOdVtuezqU</t>
  </si>
  <si>
    <t>0113-173042</t>
  </si>
  <si>
    <t>1250 S Beverly Glen Blvd APT 107</t>
  </si>
  <si>
    <t>https://www.zillow.com/homedetails/1250-S-Beverly-Glen-Blvd-APT-107-Los-Angeles-CA-90024/20508096_zpid/</t>
  </si>
  <si>
    <t xml:space="preserve">Nina Gabbay Christie's International Real Estate SoCal </t>
  </si>
  <si>
    <t>(310) 990-6166</t>
  </si>
  <si>
    <t>https://drive.google.com/open?id=1rYM8FTeXTzErDh2ArKQiZ-rH_puvT29W</t>
  </si>
  <si>
    <t>0113-174043</t>
  </si>
  <si>
    <t>2414 N Millstream Ln</t>
  </si>
  <si>
    <t>Orange</t>
  </si>
  <si>
    <t>https://www.zillow.com/homedetails/2414-N-Millstream-Ln-Orange-CA-92865/25424064_zpid/</t>
  </si>
  <si>
    <t>Denise Holt</t>
  </si>
  <si>
    <t>(714) 321-6251</t>
  </si>
  <si>
    <t>https://drive.google.com/open?id=1aND8inr1hMYZclVyNrv7uwJ3m1yiNc0s, https://drive.google.com/open?id=1QGx9OlNm8Hi0ghzdOejAOIynSjzZ_AvQ</t>
  </si>
  <si>
    <t>0113-174145</t>
  </si>
  <si>
    <t>550 San Juan Ave</t>
  </si>
  <si>
    <t>https://www.zillow.com/homedetails/550-San-Juan-Ave-Venice-CA-90291/95663701_zpid/</t>
  </si>
  <si>
    <t xml:space="preserve">Jennifer Tucker </t>
  </si>
  <si>
    <t>(310) 702-3198</t>
  </si>
  <si>
    <t>https://drive.google.com/open?id=1zJVbMvCnCjeFQWMzDS-qSUUZHv6l4A6s</t>
  </si>
  <si>
    <t>0113-174341</t>
  </si>
  <si>
    <t>7320 Balboa Blvd</t>
  </si>
  <si>
    <t>https://www.zillow.com/homedetails/7320-Balboa-Blvd-Van-Nuys-CA-91406/2076966998_zpid/</t>
  </si>
  <si>
    <t>Sue Karns</t>
  </si>
  <si>
    <t>(818)862-3134</t>
  </si>
  <si>
    <t>Listed for rent 1/31/22, then removed 2/14/22; listed for sale 1/2/23 and removed by 2/1/23; relisted 1/11/25
first listing post sale</t>
  </si>
  <si>
    <t>https://drive.google.com/open?id=1WWJQd2GmPVV5sfOzVVtqnyeyiU4R8H0L, https://drive.google.com/open?id=14mdikuZ9oraTGzoQbhngw8gylJ17R4Rq</t>
  </si>
  <si>
    <t>0113-174424</t>
  </si>
  <si>
    <t>2470 Venus Drive</t>
  </si>
  <si>
    <t>https://www.zillow.com/homedetails/2470-Venus-Dr-Los-Angeles-CA-90046/20802366_zpid/?utm_campaign=iosappmessage&amp;utm_medium=referral&amp;utm_source=txtshare</t>
  </si>
  <si>
    <t>Lara Kajajian</t>
  </si>
  <si>
    <t>https://drive.google.com/open?id=1oPbjPaUhIYvoOELqRRm8VFZpV8k8kZOs, https://drive.google.com/open?id=1aIsCzItZ_0GGniHJk2M4h6F4kg14ARPj</t>
  </si>
  <si>
    <t>0113-174827</t>
  </si>
  <si>
    <t>1318 S Roxbury Dr #111</t>
  </si>
  <si>
    <t>https://www.zillow.com/homedetails/1318-S-Roxbury-Dr-111-Los-Angeles-CA-90035/95527136_zpid/</t>
  </si>
  <si>
    <t>Luis Hong KW Executive</t>
  </si>
  <si>
    <t>(909) 918-7688</t>
  </si>
  <si>
    <t>https://drive.google.com/open?id=1qQzgWuWAIsmaRGaH_1Qh1MqRkXZ9k70X</t>
  </si>
  <si>
    <t>0113-175303</t>
  </si>
  <si>
    <t>15705 Gun Tree Dr</t>
  </si>
  <si>
    <t>Hacienda Heights</t>
  </si>
  <si>
    <t>https://www.zillow.com/homedetails/15705-Gun-Tree-Dr-Hacienda-Heights-CA-91745/21492050_zpid/</t>
  </si>
  <si>
    <t>Agent Image Luis Hong  KW Executive</t>
  </si>
  <si>
    <t xml:space="preserve">Last listed rent was 2018, but still a 39% increase
</t>
  </si>
  <si>
    <t>https://drive.google.com/open?id=1h08WEsUKHO2pus6mKB8Z3d2mBXUaopQw, https://drive.google.com/open?id=1bsJPrNxzeuDQp19_e047zNAMaPRwNgbV</t>
  </si>
  <si>
    <t>0113-175429</t>
  </si>
  <si>
    <t>10228 Encino Ave</t>
  </si>
  <si>
    <t>https://www.zillow.com/homedetails/10228-Encino-Ave-Northridge-CA-91325/20169508_zpid/</t>
  </si>
  <si>
    <t>Abraham</t>
  </si>
  <si>
    <t>(213)894-9702</t>
  </si>
  <si>
    <t xml:space="preserve">Listing removed 8/28/21 and relisted 1/10/25
</t>
  </si>
  <si>
    <t>https://drive.google.com/open?id=1ImIBxRr_-mjWNyXStbe7wphRr296sOav, https://drive.google.com/open?id=1K1ua7bNY85WlGjxuWme9WDqvD0JaygRK</t>
  </si>
  <si>
    <t>0113-180256</t>
  </si>
  <si>
    <t>316 Market St, Venice, CA 90291</t>
  </si>
  <si>
    <t>https://www.zillow.com/homedetails/(undisclosed-Address)-Venice-CA-90291/20450249_zpid/?utm_campaign=iosappmessage&amp;utm_medium=referral&amp;utm_source=txtshare</t>
  </si>
  <si>
    <t xml:space="preserve">
Corrected to 10% </t>
  </si>
  <si>
    <t>https://drive.google.com/open?id=14VZ3cuN8nmRt4YXJKZCmpuZu0ccei2cj, https://drive.google.com/open?id=1pR-S_333V5QP2PPD03G8yYE0PGJE5dOC</t>
  </si>
  <si>
    <t>0113-180430</t>
  </si>
  <si>
    <t>9907 National Blvd</t>
  </si>
  <si>
    <t>https://www.zillow.com/homedetails/9907-National-Blvd-Los-Angeles-CA-90034/402290876_zpid/</t>
  </si>
  <si>
    <t>Teresa</t>
  </si>
  <si>
    <t>(213)699-3155</t>
  </si>
  <si>
    <t xml:space="preserve">Listing removed on 8/15/24 and then relisted 1/7/25
</t>
  </si>
  <si>
    <t>https://drive.google.com/open?id=1Au5hpfLfUfrWx6FEwcVG3gwGO26ukwFc, https://drive.google.com/open?id=1ZOyumGC9MJT42hStRQRJ4UKaZuJBIrAA</t>
  </si>
  <si>
    <t>0113-180507</t>
  </si>
  <si>
    <t>709 E Manchester Blvd</t>
  </si>
  <si>
    <t>Inglewood</t>
  </si>
  <si>
    <t>https://www.zillow.com/homedetails/709-E-Manchester-Blvd-Inglewood-CA-90301/20336485_zpid/</t>
  </si>
  <si>
    <t xml:space="preserve">Repeat offender
</t>
  </si>
  <si>
    <t>https://drive.google.com/open?id=1Is820YGYW2mRPBc63-RFypG1sr0NKdxJ, https://drive.google.com/open?id=1lzmqhYHW_bRxFtfBSXt86Lb3N4Gi0Z1v</t>
  </si>
  <si>
    <t>0113-182614</t>
  </si>
  <si>
    <t>2333 Grand Canal Walk</t>
  </si>
  <si>
    <t>https://www.zillow.com/homedetails/(undisclosed-Address)-Venice-CA-90291/443897944_zpid/?utm_campaign=iosappmessage&amp;utm_medium=referral&amp;utm_source=txtshare</t>
  </si>
  <si>
    <t>Donna Bohana</t>
  </si>
  <si>
    <t xml:space="preserve">
corrected but still a 36% increase</t>
  </si>
  <si>
    <t>https://drive.google.com/open?id=1LOQfUgMf7LQWah7gcc2OQc6fjvYjm8eW, https://drive.google.com/open?id=15Ac3W1uY-vpAhy751PRjYcYh1vWMkl2l</t>
  </si>
  <si>
    <t>0113-183002</t>
  </si>
  <si>
    <t>https://www.zillow.com/homedetails/Tarzana-CA-91356/19948070_zpid/</t>
  </si>
  <si>
    <t>E. yar</t>
  </si>
  <si>
    <t>(820)500-4533</t>
  </si>
  <si>
    <t xml:space="preserve">listing was removed on 3/2/24 and relisted 1/9/25
</t>
  </si>
  <si>
    <t>https://drive.google.com/open?id=1RB1H_NaErj9GPtDdcSKOLrxB_gsdNZZL, https://drive.google.com/open?id=1gjVcv06nRyASpIy6pQvPzt8DwG1e4gY8</t>
  </si>
  <si>
    <t>0113-183014</t>
  </si>
  <si>
    <t>700 Main St UNIT 25</t>
  </si>
  <si>
    <t>https://www.zillow.com/homedetails/700-Main-St-UNIT-25-Venice-CA-90291/82877585_zpid/?utm_campaign=iosappmessage&amp;utm_medium=referral&amp;utm_source=txtshare</t>
  </si>
  <si>
    <t xml:space="preserve">
Increased illegally twice, then corrected below the price of pre-jan 7th listing</t>
  </si>
  <si>
    <t>https://drive.google.com/open?id=18kl2Vc5lBYwFNmlcTbLJFd4HHe-YQDbc, https://drive.google.com/open?id=1gmbYzT4vgpA9lRXQfkN7_t3Qf4sJSldQ</t>
  </si>
  <si>
    <t>0113-183548</t>
  </si>
  <si>
    <t>15236 Hesby St</t>
  </si>
  <si>
    <t>https://www.zillow.com/homedetails/15236-Hesby-St-Sherman-Oaks-CA-91403/19982151_zpid/</t>
  </si>
  <si>
    <t>Andrew</t>
  </si>
  <si>
    <t>(213)377-6351</t>
  </si>
  <si>
    <t>listing was removed 3/7/22 and relisted 1/10/25
now removed or rented as of 1/14/25</t>
  </si>
  <si>
    <t>https://drive.google.com/open?id=1JIviA3JJEMwqKXJ88TGFiFgWPUw3VfA9, https://drive.google.com/open?id=1xxh0eTzaAOKFLtJU332YUI8tPD31GYKv</t>
  </si>
  <si>
    <t>0113-184536</t>
  </si>
  <si>
    <t>19500 Oxnard St</t>
  </si>
  <si>
    <t>https://www.zillow.com/homedetails/19500-Oxnard-St-Tarzana-CA-91356/401888932_zpid/</t>
  </si>
  <si>
    <t>Yoav Nagar</t>
  </si>
  <si>
    <t>(818)646-5822</t>
  </si>
  <si>
    <t>listing removed 11/28/24 and relisted 1/9/25
Corrected to 9%, now delisted</t>
  </si>
  <si>
    <t>https://drive.google.com/open?id=1A18fKADkL3LIwZi61UCCD4Lnsx7uRDQl, https://drive.google.com/open?id=1qa6AsjJNVO_U8iN6fnKBxjxW3hrsDfc3</t>
  </si>
  <si>
    <t>0113-185318</t>
  </si>
  <si>
    <t>23863 Friar St</t>
  </si>
  <si>
    <t>https://www.zillow.com/homedetails/23863-Friar-St-Woodland-Hills-CA-91367/19873812_zpid/</t>
  </si>
  <si>
    <t>Farah Mohsenian</t>
  </si>
  <si>
    <t>(213)642-1710</t>
  </si>
  <si>
    <t xml:space="preserve">Listing removed 7/11/20 and relisted 1/11/25
</t>
  </si>
  <si>
    <t>https://drive.google.com/open?id=10mJeAk4ILxbNzxuXD0ACQrk0k-LXS5Ns, https://drive.google.com/open?id=1BLf5FZYRtYuRT3MT3w6Bq63uftCpHSTF</t>
  </si>
  <si>
    <t>0113-190012</t>
  </si>
  <si>
    <t>18821 Kirkcolm Ln</t>
  </si>
  <si>
    <t>Porter Ranch</t>
  </si>
  <si>
    <t>https://www.zillow.com/homedetails/18821-Kirkcolm-Ln-Porter-Ranch-CA-91326/20199559_zpid/</t>
  </si>
  <si>
    <t>Keith</t>
  </si>
  <si>
    <t>(213)682-3702</t>
  </si>
  <si>
    <t xml:space="preserve">listing removed 6/21/21 and relisted 1/11/25
</t>
  </si>
  <si>
    <t>https://drive.google.com/open?id=1d6KOLihlzZAG6eTWpWxxNYZ-AcE24SIb, https://drive.google.com/open?id=1DTau-AgVDvpTwzh3Rg4CYIO8-mMqjBPK</t>
  </si>
  <si>
    <t>0113-190019</t>
  </si>
  <si>
    <t>32802 Pacific Coast Hwy</t>
  </si>
  <si>
    <t>https://www.zillow.com/homedetails/32802-Pacific-Coast-Hwy-Malibu-CA-90265/20558217_zpid/</t>
  </si>
  <si>
    <t>Lawrence Whalen, Compass</t>
  </si>
  <si>
    <t>(310) 435-0386</t>
  </si>
  <si>
    <t>https://drive.google.com/open?id=1uMVC4Cme1pjnmdapSu3lTNo87IS825cX, https://drive.google.com/open?id=1myH6C95hZFmVLSE0r9IuIZJna6CWxV_Q</t>
  </si>
  <si>
    <t>0113-190208</t>
  </si>
  <si>
    <t>256 N Rafael Walk</t>
  </si>
  <si>
    <t>https://www.zillow.com/homedetails/256-N-Rafael-Walk-Long-Beach-CA-90803/21216243_zpid/?utm_campaign=iosappmessage&amp;utm_medium=referral&amp;utm_source=txtshare</t>
  </si>
  <si>
    <t>Bryce Bannerman</t>
  </si>
  <si>
    <t>562-889-8810</t>
  </si>
  <si>
    <t>https://drive.google.com/open?id=1ruluOV0XIGaul23eknjFVTxQTxZ08LOA</t>
  </si>
  <si>
    <t>0113-190801</t>
  </si>
  <si>
    <t>1330 N Harper Ave #100</t>
  </si>
  <si>
    <t>https://www.zillow.com/homedetails/1330-N-Harper-Ave-100-Los-Angeles-CA-90046/2068797074_zpid/</t>
  </si>
  <si>
    <t>Allegra</t>
  </si>
  <si>
    <t>(310) 991-0474</t>
  </si>
  <si>
    <t>https://drive.google.com/open?id=1LuoFLV9ltCfeJ8pWJO2pc6A_NK7sf6H7, https://drive.google.com/open?id=1ocTE0ub5xxtwkyMpTtmpNyT6_moMXsBb</t>
  </si>
  <si>
    <t>0113-191015</t>
  </si>
  <si>
    <t>729 Raymond Ave</t>
  </si>
  <si>
    <t>https://www.zillow.com/homedetails/729-Raymond-Ave-Santa-Monica-CA-90405/20482750_zpid/?utm_campaign=iosappmessage&amp;utm_medium=referral&amp;utm_source=txtshare</t>
  </si>
  <si>
    <t xml:space="preserve">
Initially increased by .7% then raised again by 14.3 %</t>
  </si>
  <si>
    <t>https://drive.google.com/open?id=1P91XQz4q-lGshCfBMZlOcqBYAiq0jIDV, https://drive.google.com/open?id=1uuga28PueVKRPVerKOdKvIdG-ZquxSrr</t>
  </si>
  <si>
    <t>0113-191036</t>
  </si>
  <si>
    <t>5625 W 83rd St</t>
  </si>
  <si>
    <t>https://www.zillow.com/homedetails/5625-W-83rd-St-Los-Angeles-CA-90045/20379415_zpid/</t>
  </si>
  <si>
    <t>Heather, Zacha Homes Management company</t>
  </si>
  <si>
    <t>(310) 738-4779</t>
  </si>
  <si>
    <t xml:space="preserve">Rent raised 11.1% from just two months ago
</t>
  </si>
  <si>
    <t>https://drive.google.com/open?id=15jZ_JqoK-68_wbJQzWx-_297M4Va-CYB, https://drive.google.com/open?id=1cgsFm7FehqF6Zm5briuqAuMA2yAc2VXS</t>
  </si>
  <si>
    <t>0113-191338</t>
  </si>
  <si>
    <t>822 S Plymouth Blvd #2</t>
  </si>
  <si>
    <t>https://www.zillow.com/homedetails/822-S-Plymouth-Blvd-2-Los-Angeles-CA-90005/339398724_zpid/</t>
  </si>
  <si>
    <t>Jasmine Choi, Keller Williams Executive</t>
  </si>
  <si>
    <t>(213) 220-6565</t>
  </si>
  <si>
    <t>https://drive.google.com/open?id=1p8W8mbTFp--UIUWMNlewwpPQmPYm4YGV, https://drive.google.com/open?id=1rp7b6hVnIeu_YEuWLUhWdiTYrwZveH0Y</t>
  </si>
  <si>
    <t>0113-192008</t>
  </si>
  <si>
    <t>52004 Etiwanda Ave</t>
  </si>
  <si>
    <t>https://www.zillow.com/homedetails/5204-Etiwanda-Ave-Tarzana-CA-91356/19949467_zpid/</t>
  </si>
  <si>
    <t>Shirley</t>
  </si>
  <si>
    <t>(213) 642-1669</t>
  </si>
  <si>
    <t>Listed from 4/11/2024 - 4/19/2024 for $4,995
Corrected to 3.1%</t>
  </si>
  <si>
    <t>https://drive.google.com/open?id=1S4sFn4ROyHa1rDJbRDirdIvc2bLwlljk</t>
  </si>
  <si>
    <t>0113-193432</t>
  </si>
  <si>
    <t>14729 Otsego Street</t>
  </si>
  <si>
    <t>Compass</t>
  </si>
  <si>
    <t>https://www.compass.com/listing/14729-otsego-street-sherman-oaks-ca-91403/1751946698597328937/</t>
  </si>
  <si>
    <t>Noelle Lesinski</t>
  </si>
  <si>
    <t>(310)-623-1300</t>
  </si>
  <si>
    <t xml:space="preserve">
The last listing was in May 2023. It expired in Aug 2023</t>
  </si>
  <si>
    <t>https://drive.google.com/open?id=1vXjfny69IBRHtjQTu2feytrPcfxAzACP</t>
  </si>
  <si>
    <t>0113-193447</t>
  </si>
  <si>
    <t>Undisclosed Address (likely 3142 Drew Street)</t>
  </si>
  <si>
    <t>https://www.zillow.com/homedetails/Los-Angeles-CA-90065/443611488_zpid/?</t>
  </si>
  <si>
    <t>"Lix Neumayr"</t>
  </si>
  <si>
    <t>Name is probably Liz Neumayr. Price raised 13.6% from just three weeks ago
The increase is only shown on the delisted event</t>
  </si>
  <si>
    <t>https://drive.google.com/open?id=1_Z36SCWCndzwYZqU2a14YlhUrCK8j0iU, https://drive.google.com/open?id=1YYLtccNpBFsaFlVgxLPrZlgpTX3y0uMU</t>
  </si>
  <si>
    <t>0113-193519</t>
  </si>
  <si>
    <t>6617 S Sherbourne Drive</t>
  </si>
  <si>
    <t>https://www.zillow.com/homedetails/6617-S-Sherbourne-Dr-Los-Angeles-CA-90056/20377951_zpid/?utm_campaign=iosappmessage&amp;utm_medium=referral&amp;utm_source=txtshare</t>
  </si>
  <si>
    <t>Gena Lofton, Passive Income Advisors LLC</t>
  </si>
  <si>
    <t xml:space="preserve">Originally listed at 10,500 in the summer of 2024, then price jumped to 16000 1/10/25 and by $600 more on 1/12/25
</t>
  </si>
  <si>
    <t>https://drive.google.com/open?id=14z21zG9jQy0iQg-dRfcjVS0O7vPSChrS</t>
  </si>
  <si>
    <t>0113-193721</t>
  </si>
  <si>
    <t>10097 Tujunga Canyon Blvd</t>
  </si>
  <si>
    <t>Tujunga</t>
  </si>
  <si>
    <t>https://www.zillow.com/homedetails/10097-Tujunga-Canyon-Blvd-Tujunga-CA-91042/2080530432_zpid/</t>
  </si>
  <si>
    <t>Annette</t>
  </si>
  <si>
    <t>(818) 476-2251</t>
  </si>
  <si>
    <t>https://drive.google.com/open?id=1bIULYHZrdEFEgh_UdZoCsZwozsY_MmWt, https://drive.google.com/open?id=151L0twrAzXYUBcwsbnQfZmttmgVryJd_</t>
  </si>
  <si>
    <t>0113-194721</t>
  </si>
  <si>
    <t>5222 Ventura Canyon Ave</t>
  </si>
  <si>
    <t>https://www.compass.com/listing/5222-ventura-canyon-avenue-sherman-oaks-ca-91401/1749053077309590265/#propertyHistory</t>
  </si>
  <si>
    <t>(818)-426-6380</t>
  </si>
  <si>
    <t>$38k security deposit 
Jan 7 increased by 5.6%, Jan 8 increased by 10.5%</t>
  </si>
  <si>
    <t>https://drive.google.com/open?id=1CPsz1i4P39bm_gC1B3uui3oF4OQJs0c1</t>
  </si>
  <si>
    <t>0113-194912</t>
  </si>
  <si>
    <t xml:space="preserve">6130 Galahad Rd </t>
  </si>
  <si>
    <t>https://www.redfin.com/CA/Malibu/6130-Galahad-Rd-90265/home/22137187</t>
  </si>
  <si>
    <t>Emil Hartoonian</t>
  </si>
  <si>
    <t>310-990-0063</t>
  </si>
  <si>
    <t xml:space="preserve">30% rental increase 
</t>
  </si>
  <si>
    <t>https://drive.google.com/open?id=1yzeDZzMJ5jrnVlKKivqSiJZTn03DEIx7</t>
  </si>
  <si>
    <t>0113-195339</t>
  </si>
  <si>
    <t>3351 N Knoll Dr</t>
  </si>
  <si>
    <t>https://www.redfin.com/CA/Los-Angeles/3351-N-Knoll-Dr-90068/home/8181304</t>
  </si>
  <si>
    <t>Dag Eliason</t>
  </si>
  <si>
    <t xml:space="preserve">424-230-8493 </t>
  </si>
  <si>
    <t>15% rent increase 
Corrected to 9.4%</t>
  </si>
  <si>
    <t>https://drive.google.com/open?id=197ATC5H295tlnPyEPvRqeA0jF7QK3c2r</t>
  </si>
  <si>
    <t>0113-195748</t>
  </si>
  <si>
    <t>626 University Ave</t>
  </si>
  <si>
    <t>https://www.zillow.com/homedetails/626-University-Ave-Burbank-CA-91504/2062931190_zpid/</t>
  </si>
  <si>
    <t>University Ave LLC</t>
  </si>
  <si>
    <t>818) 399-7196</t>
  </si>
  <si>
    <t xml:space="preserve">
Corrected but from 40% to 16%</t>
  </si>
  <si>
    <t>https://drive.google.com/open?id=105WnS3WagVmLhv0TH3sJLHrkeR5QkBfZ, https://drive.google.com/open?id=1O_Mny6c7KJa4An7QxXdEYNcI_XnXf2Uw</t>
  </si>
  <si>
    <t>0113-200113</t>
  </si>
  <si>
    <t>166 S McCadden Pl</t>
  </si>
  <si>
    <t>https://www.zillow.com/homedetails/166-S-McCadden-Pl-Los-Angeles-CA-90004/20778258_zpid/</t>
  </si>
  <si>
    <t>Basya Gradon</t>
  </si>
  <si>
    <t>(323) 447-7331</t>
  </si>
  <si>
    <t>https://drive.google.com/open?id=1gUX306YX_uGOQEDkiuZvo-KeeNS6sd3P</t>
  </si>
  <si>
    <t>0113-201007</t>
  </si>
  <si>
    <t>1516 N Beverly Glen Blvd</t>
  </si>
  <si>
    <t>https://www.zillow.com/homedetails/1516-N-Beverly-Glen-Blvd-Los-Angeles-CA-90077/250219152_zpid/?utm_campaign=iosappmessage&amp;utm_medium=referral&amp;utm_source=txtshare</t>
  </si>
  <si>
    <t xml:space="preserve">West Reliable Investment, Inc. </t>
  </si>
  <si>
    <t>(562) 716-5920</t>
  </si>
  <si>
    <t xml:space="preserve">
2 increases, 1st 20% then an additional 25%</t>
  </si>
  <si>
    <t>https://drive.google.com/open?id=1_d83ViJfrW8b3x7ANjQHFb_6NRD80HPF, https://drive.google.com/open?id=1H9gTkcpSvdvE1Z17OWDny16ilIkQmsd-</t>
  </si>
  <si>
    <t>0113-201330</t>
  </si>
  <si>
    <t>27553 Country Glen Rd</t>
  </si>
  <si>
    <t>Agoura Hills</t>
  </si>
  <si>
    <t>https://www.zillow.com/homedetails/27553-Country-Glen-Rd-Agoura-Hills-CA-91301/19894551_zpid/</t>
  </si>
  <si>
    <t>Ofir Shemesh</t>
  </si>
  <si>
    <t>(720) 442-6472</t>
  </si>
  <si>
    <t>Listed for rent at $9,000 12/24, price increased to $10,477 1/8
Corrected to 10%</t>
  </si>
  <si>
    <t>https://drive.google.com/open?id=1AVTg7Hjv1_eq1FnZ-hO4O3Ckrhvxxwel</t>
  </si>
  <si>
    <t>0113-201503</t>
  </si>
  <si>
    <t>zNa</t>
  </si>
  <si>
    <t>venice</t>
  </si>
  <si>
    <t>https://www.zillow.com/homedetails/16-Park-Ave-Venice-CA-90291/20482259_zpid/?utm_campaign=iosappmessage&amp;utm_medium=referral&amp;utm_source=txtshare</t>
  </si>
  <si>
    <t>Kevin Krakower</t>
  </si>
  <si>
    <t>310-493-9895</t>
  </si>
  <si>
    <t xml:space="preserve">
Scrubbed!</t>
  </si>
  <si>
    <t>https://drive.google.com/open?id=1ojAz8CInNNo_u3TSdbHu5vFrbWfE02U0</t>
  </si>
  <si>
    <t>0113-201749</t>
  </si>
  <si>
    <t>1141 Summit Dr</t>
  </si>
  <si>
    <t>https://www.zillow.com/homedetails/1141-Summit-Dr-Beverly-Hills-CA-90210/135433958_zpid/</t>
  </si>
  <si>
    <t>Victor Noval</t>
  </si>
  <si>
    <t>(310) 850-2102</t>
  </si>
  <si>
    <t xml:space="preserve">Listing was removed in November 2024 and posted again before fires began at 165k. 30k more 2 days later. 
</t>
  </si>
  <si>
    <t>https://drive.google.com/open?id=1hbLs-BZuuUluLLt8rjImWeOBJy83z9uJ, https://drive.google.com/open?id=1tJAHBnnrujM1ljRlHiyzfeWksXekwlgi</t>
  </si>
  <si>
    <t>0113-202528</t>
  </si>
  <si>
    <t>Redondo beach</t>
  </si>
  <si>
    <t>https://www.redfin.com/CA/Redondo-Beach/220-Avenue-A-90277/home/7705462</t>
  </si>
  <si>
    <t>J. Suzanne Rampe</t>
  </si>
  <si>
    <t>310-844-5415</t>
  </si>
  <si>
    <t>https://drive.google.com/open?id=15cujACJg97LVm5qNxSu7zxjoZPQi1wYT, https://drive.google.com/open?id=16BATZO7nOEIZwvAAHg_ZMqKgXcNQUDNy, https://drive.google.com/open?id=1vog0_98GV_2mIK7z7Vfgm3VjCXR3B-Tb</t>
  </si>
  <si>
    <t>0113-204007</t>
  </si>
  <si>
    <t>12267 San Vicente Blvd</t>
  </si>
  <si>
    <t>https://www.zillow.com/homedetails/12267-San-Vicente-Blvd-Los-Angeles-CA-90049/20538212_zpid/</t>
  </si>
  <si>
    <t>Nina Hunt</t>
  </si>
  <si>
    <t>(760) 504-8271</t>
  </si>
  <si>
    <t xml:space="preserve">
Scrubbed</t>
  </si>
  <si>
    <t>https://drive.google.com/open?id=1HK85z-TzuplZPCfu_ZP6wtuKnnoV2VF-</t>
  </si>
  <si>
    <t>0113-204519</t>
  </si>
  <si>
    <t>380 Trousdale Pl</t>
  </si>
  <si>
    <t>https://www.zillow.com/homedetails/380-Trousdale-Pl-Beverly-Hills-CA-90210/20534471_zpid/</t>
  </si>
  <si>
    <t>Safir Shamsi - Rodeo Realty</t>
  </si>
  <si>
    <t>(310) 400-2046</t>
  </si>
  <si>
    <t>https://drive.google.com/open?id=1gUZpYYzEvVj5clayaT3B_A944_EX1wal, https://drive.google.com/open?id=1Xk3iL-b8MnyzkmR4-L1mwi_o32uAAhyM</t>
  </si>
  <si>
    <t>0113-150506</t>
  </si>
  <si>
    <t xml:space="preserve">
0113-150506</t>
  </si>
  <si>
    <t>https://drive.google.com/open?id=1V0FyQafcLdLlmVZb6RtYQo4PbXgUSdqg</t>
  </si>
  <si>
    <t>They somehow scrubbed the updated listing from Zillow, but the price history is there.($8,500). The new listing is on Redfin ($12,500). 
https://www.zillow.com/homedetails/1941-Glencoe-Way-Los-Angeles-CA-90068/20793801_zpid/
0113-150520</t>
  </si>
  <si>
    <t>I complained via Zillow to the listing agent and she told me the following load of crap about the owner: 
"He lives out of state and this ocean front unit is his vacation home that he and his family enjoy frequently.  I believe that from time to time, he would rent it for shorter, defined periods of time that would allow him to still use it when he wanted to. $9,000 (a reduced rent according to the comps) simply allowed him the flexibility to rent short terms within timeframes that worked for him and his family so they could still enjoy their asset. I was not involved in those leases and I’m not even sure if he did actually lease it out or how many times he did.   
Until these horrific wildfires, he never considered renting it for a long duration. Given the current events, he wants to help a family and is willing to forgo his beloved vacation home for a long term lease, furnished with his personal belongings - all while leaving him without an opportunity to use it himself.  
For this, he is simply asking a market rent price that JUST covers his expenses, without considering the fact that it is furnished. He is making no profit it this endeavor.  I ran the comps and market price for a furnished, ocean view unit with 2 parking spaces in prime Marina Del Rey could easily extend past the fair price he is asking."
SO...if he would normally rent it for short periods for $9K, why is this $12.5K what he needs to ask now "to cover his expenses?" F this guy and the broker who is helping him. 
0113-150630</t>
  </si>
  <si>
    <t xml:space="preserve">
0113-150843</t>
  </si>
  <si>
    <t xml:space="preserve">
0113-151551</t>
  </si>
  <si>
    <t>Raised prices by 50.8% on 1/8/25, then lowered their price 27.3% on 1/11/25 (still the overall price has risen enough to be illegal)
0113-152340</t>
  </si>
  <si>
    <t>0113-153645</t>
  </si>
  <si>
    <t>Simon Mills</t>
  </si>
  <si>
    <t xml:space="preserve">818-642-2224 </t>
  </si>
  <si>
    <t xml:space="preserve">
0113-153645</t>
  </si>
  <si>
    <t>https://drive.google.com/open?id=1mtOIovnQcc2__4BoJWkF76gXQY7idyIT</t>
  </si>
  <si>
    <t xml:space="preserve">
0113-161646</t>
  </si>
  <si>
    <t xml:space="preserve">
0113-162128</t>
  </si>
  <si>
    <t>To submit a potential instance of rent gouging to this sheet, please use this form:</t>
  </si>
  <si>
    <t xml:space="preserve">If you are interested in volunteering with the project, go here: </t>
  </si>
  <si>
    <t>https://forms.gle/nW591zv4rSypQaQA7</t>
  </si>
  <si>
    <t>If you have been personally affected by rent gouging in relation to the crisis and would like to tell us about that, please use this form:</t>
  </si>
  <si>
    <t>https://forms.gle/kg1FY83BuW8hXTEq8</t>
  </si>
  <si>
    <t xml:space="preserve">Contact: </t>
  </si>
  <si>
    <t>stoprentgouging@gmail.com</t>
  </si>
  <si>
    <t xml:space="preserve">FAQ </t>
  </si>
  <si>
    <t>https://docs.google.com/document/d/1hn0IKHW4kjbthblhoEA4MaqhgIMHZALUqEUj-G55CSI/edit?tab=t.0</t>
  </si>
  <si>
    <t xml:space="preserve"> </t>
  </si>
  <si>
    <t>About this data</t>
  </si>
  <si>
    <t xml:space="preserve">This is a crowd-sourced effort to gather information about rental price gouging for public benefit. Because listing sites like Zillow and AirBnB decline to produce a public dataset about rent gouging during a crisis, it has been necessary to use the crowd-sourced approach. The project has a publicly-accessible submission portal, which allows anybody to submit anything they want to submit.
This crowd-source approach means that there can be no guarantees about the accuracy or meaning of the data in the spreadsheet. This spreadsheet does not make the claim that any particular listing or property owner engaged in price gouging or any other illegal behavior. It is critical that before you draw conclusions about any one submission, you do your own research. </t>
  </si>
  <si>
    <t xml:space="preserve">Going to put this sheet on view only  please submit listings via this google form: </t>
  </si>
  <si>
    <t>https://forms.gle/aDNScFVJP5wRqkQX9</t>
  </si>
  <si>
    <t>Date</t>
  </si>
  <si>
    <t xml:space="preserve">Address </t>
  </si>
  <si>
    <t xml:space="preserve">City </t>
  </si>
  <si>
    <t>Council District</t>
  </si>
  <si>
    <t>Zip Code</t>
  </si>
  <si>
    <t>Lat</t>
  </si>
  <si>
    <t>Long</t>
  </si>
  <si>
    <t xml:space="preserve">Parcel # </t>
  </si>
  <si>
    <t>Date rent changed</t>
  </si>
  <si>
    <t xml:space="preserve">Link to Listing </t>
  </si>
  <si>
    <t xml:space="preserve">% of increase </t>
  </si>
  <si>
    <t>Listing Agent</t>
  </si>
  <si>
    <t>Contact Info</t>
  </si>
  <si>
    <t>Property Owner</t>
  </si>
  <si>
    <t>Notes</t>
  </si>
  <si>
    <t>Screenshot</t>
  </si>
  <si>
    <r>
      <rPr>
        <b/>
        <u/>
        <sz val="11"/>
        <color theme="1"/>
        <rFont val="Arial"/>
      </rPr>
      <t>About this spreadsheet:</t>
    </r>
    <r>
      <rPr>
        <sz val="11"/>
        <color theme="1"/>
        <rFont val="Arial"/>
      </rPr>
      <t xml:space="preserve"> Price gouging is illegal under a state of emergency. Rents should not be increased more than 10%. If you see listings where rents have been increased beyond 10% include them here and we can track and report. If you see the price history of a listing shows it has been increased by more than 10% since 1/7/25 include here.</t>
    </r>
  </si>
  <si>
    <t>Last price change 1/3/25</t>
  </si>
  <si>
    <t>Listed $7,250 on 10/9/24, price increase on 1/10/25</t>
  </si>
  <si>
    <t>Price came down to $3,700 on 12/30/24, price increase to $4,080 on 1/10/25</t>
  </si>
  <si>
    <t>Listed $4,495 on 12/20/24 and then increased to $4995 on 1/11/2025</t>
  </si>
  <si>
    <t>Price came down $100 to $5,400 on 1/4/25 but then price increased to $6k on 1/10/25</t>
  </si>
  <si>
    <t>Listed $8,350 on 1/3/25, price increase on 1/11/25</t>
  </si>
  <si>
    <t>Listed for $3,395 in April 2024, increased to $3,800 Jan 7 2025</t>
  </si>
  <si>
    <t>Updated to $3,910 on 1/3/25, bigger price increase on 1/10/25</t>
  </si>
  <si>
    <t>3663 Edenhurst Ave</t>
  </si>
  <si>
    <t>Listed $3,999 on 11/10/24, price increase to $4,500 on 1/7/25</t>
  </si>
  <si>
    <t>Initially listed at 4,500 but reduced to 3,926 and then 3,500</t>
  </si>
  <si>
    <t>Listed at $4,500 on 1/2, increased to $5,100</t>
  </si>
  <si>
    <t xml:space="preserve">518 1/2 Rialto Ave </t>
  </si>
  <si>
    <t>https://www.zillow.com/homedetails/518-1-2-Rialto-Ave-B-Venice-CA-90291/440973656_zpid/</t>
  </si>
  <si>
    <t>Initially listed at $4,500 on 1/7(!) increased to $5,100. Same building as row 27</t>
  </si>
  <si>
    <t>6439 W 86 Pl</t>
  </si>
  <si>
    <t>https://www.zillow.com/homedetails/6439-W-86th-Pl-Los-Angeles-CA-90045/2085329619_zpid/</t>
  </si>
  <si>
    <t>Price came down $200 on 1/7/25 but then price increased by $1k on 1/11/25</t>
  </si>
  <si>
    <t>4418 S Slauson Ave #402</t>
  </si>
  <si>
    <t>https://www.zillow.com/homedetails/4418-S-Slauson-Ave-402-Culver-City-CA-90230/440875021_zpid/</t>
  </si>
  <si>
    <t>Listed came down to $4,350 on 11/20/24, price increase to $4,950 on 1/11/25</t>
  </si>
  <si>
    <t>22809 Del Valle St Apt 10</t>
  </si>
  <si>
    <t>2042-005-091</t>
  </si>
  <si>
    <t>https://www.zillow.com/homedetails/22809-Del-Valle-St-APT-10-Woodland-Hills-CA-91364/89145149_zpid/</t>
  </si>
  <si>
    <t>Last price change 11/26/23; listing removed 11/29/23</t>
  </si>
  <si>
    <t xml:space="preserve">20 28th Ave Apt C </t>
  </si>
  <si>
    <t>Initially listed at 4,200 but reduced to 3,500 in December</t>
  </si>
  <si>
    <t>Last price change 1/6/25</t>
  </si>
  <si>
    <t>Last price change 5/21/21; listing removed 6/24/21</t>
  </si>
  <si>
    <t>4045 Jackson Ave #A</t>
  </si>
  <si>
    <t>https://www.zillow.com/homedetails/4045-Jackson-Ave-A-Culver-City-CA-90232/2080461895_zpid/</t>
  </si>
  <si>
    <t>Listed $5,950 on 12/30/24, price increase on 1/11/25</t>
  </si>
  <si>
    <t>20500 Ventura Blvd</t>
  </si>
  <si>
    <t>2166-012-006</t>
  </si>
  <si>
    <t>https://www.zillow.com/homedetails/20500-Ventura-Blvd-FLOOR-3-ID681-Woodland-Hills-CA-91364/2065471166_zpid/</t>
  </si>
  <si>
    <t>22527 Cass Ave Apt 1</t>
  </si>
  <si>
    <t>2075-011-021</t>
  </si>
  <si>
    <t>Last price change 1/8/25; previous price change 12/27/24</t>
  </si>
  <si>
    <t>12318 W Sunset Ave</t>
  </si>
  <si>
    <t>4405-042-019</t>
  </si>
  <si>
    <t>https://www.zillow.com/homedetails/12318-W-Sunset-Blvd-Los-Angeles-CA-90049/20538275_zpid/</t>
  </si>
  <si>
    <t>Last price change 11/25/24; listing removed 1/2/25 - only increased 1.7% since 1/2</t>
  </si>
  <si>
    <t>14949 La Cumbre Dr</t>
  </si>
  <si>
    <t>4411-022-006</t>
  </si>
  <si>
    <t>https://www.zillow.com/homedetails/14949-La-Cumbre-Dr-Pacific-Palisades-CA-90272/20540543_zpid/</t>
  </si>
  <si>
    <t>Listing removed 10/2/24</t>
  </si>
  <si>
    <t>636 Acanto St Apt 104</t>
  </si>
  <si>
    <t>4368-016-024</t>
  </si>
  <si>
    <r>
      <rPr>
        <sz val="11"/>
        <color rgb="FF000000"/>
        <rFont val="Arial"/>
      </rPr>
      <t>https://www.zillow.com/homedetails/4865-Eldred-St-Los-Angeles-CA-90042/20763415_zpid/</t>
    </r>
    <r>
      <rPr>
        <sz val="11"/>
        <color rgb="FF000000"/>
        <rFont val="Arial"/>
      </rPr>
      <t xml:space="preserve"> </t>
    </r>
  </si>
  <si>
    <t>Priced at $2,500 on 11/27/24</t>
  </si>
  <si>
    <t>Listed at $5,000 on 1/4, raised to $6,000</t>
  </si>
  <si>
    <t>Listed for $2350 and then relisted on 1/10/25 at $2850. Landlord has already rented the unit at the gouged price.</t>
  </si>
  <si>
    <t>3715 Kelton Ave APT 3</t>
  </si>
  <si>
    <t>Price came down to $3,695 on 12/13/24, price increase to $4,500 on 1/11/25</t>
  </si>
  <si>
    <t>https://www.zillow.com/homedetails/543-Rialto-Ave-Venice-CA-90291/95643815_zpid/</t>
  </si>
  <si>
    <t>Listing removed on 1/8/25 and relisted on 1/10/25 with increase</t>
  </si>
  <si>
    <t>4265-017-048</t>
  </si>
  <si>
    <t>Last listed in 2020</t>
  </si>
  <si>
    <t>4429-024-001</t>
  </si>
  <si>
    <t>Listed $6,250 on 1/6, price increase on 1/9/25</t>
  </si>
  <si>
    <t>2477-027-012</t>
  </si>
  <si>
    <t>https://www.zillow.com/homedetails/927-N-Fairview-St-Burbank-CA-91505/20062811_zpid/</t>
  </si>
  <si>
    <t>Last price change 12/30/24</t>
  </si>
  <si>
    <t>Listed $9,000 12/4/24, price increase on 1/9/25</t>
  </si>
  <si>
    <t>https://www.zillow.com/homedetails/3055-Landa-St-Los-Angeles-CA-90039/20747666_zpid/</t>
  </si>
  <si>
    <t>On 10/19/2024 listed rent was $9K, then increased on 1/11/2024 to $12K</t>
  </si>
  <si>
    <t>Listed $11,000 5/1/24, price increase 1/9/25</t>
  </si>
  <si>
    <t>700 Main St Unit 25</t>
  </si>
  <si>
    <t>1/8/25 + 1/10/25</t>
  </si>
  <si>
    <t>Listed $11,000 12/16/24, price increase on 1/8/25 + 1/10/25</t>
  </si>
  <si>
    <t>Listed $9,995 on 1/7/2025 (!) and then increased to $14,500 on 1/11/2025</t>
  </si>
  <si>
    <t>last price change 12/4/24</t>
  </si>
  <si>
    <t>Listed $7500 on 1/11/2025, from a previous rent of $4750 in 2020</t>
  </si>
  <si>
    <t>210 N California St</t>
  </si>
  <si>
    <t>2483-022-010</t>
  </si>
  <si>
    <t>https://www.zillow.com/homedetails/210-N-California-St-Burbank-CA-91505/20065843_zpid/</t>
  </si>
  <si>
    <t>Last price change 2/15/23; listing removed 3/7/23</t>
  </si>
  <si>
    <r>
      <rPr>
        <sz val="11"/>
        <color rgb="FF000000"/>
        <rFont val="Arial"/>
      </rPr>
      <t xml:space="preserve"> </t>
    </r>
    <r>
      <rPr>
        <u/>
        <sz val="11"/>
        <color rgb="FF1155CC"/>
        <rFont val="Arial"/>
      </rPr>
      <t>https://www.zillow.com/homedetails/1719-Wellesley-Ave-Los-Angeles-CA-90025/20464247_zpid/</t>
    </r>
    <r>
      <rPr>
        <sz val="11"/>
        <color rgb="FF000000"/>
        <rFont val="Arial"/>
      </rPr>
      <t xml:space="preserve"> </t>
    </r>
  </si>
  <si>
    <t>Listed $4500 on 1/11/2025, from a previous rent of $2500 on 12/29/2023</t>
  </si>
  <si>
    <t xml:space="preserve">Most recent rent was $9000 in 2020, next rent increase was on 1/10/25 to $19,500 </t>
  </si>
  <si>
    <t>Rent 10/24 was $8K, increased to $9K on 1/9/25</t>
  </si>
  <si>
    <t>3365 Tyburn St</t>
  </si>
  <si>
    <t xml:space="preserve">Most recent rent was $3750 in 2021, next rent increase was on 1/9/25 to $6500 </t>
  </si>
  <si>
    <t>Listed $4,990 on 12/13/24, price increase to $5,995 on 1/10/25</t>
  </si>
  <si>
    <t>Listed $4,995 on 1/5/25, price increase to $5,500 on 1/11/25</t>
  </si>
  <si>
    <t>Listed $4,900 on 1/2/25, price increase to $5,500 on 1/10/25</t>
  </si>
  <si>
    <t>Listed $3,595 on 1/7/25, price increase to $4,495 on 1/8/25 and again on 1/10/25 to $5,495</t>
  </si>
  <si>
    <t>Listing removed on 1/8/25 at $9,500 and relisted next day 1/9/25 at $10,500</t>
  </si>
  <si>
    <t>3323 N Knoll Dr</t>
  </si>
  <si>
    <t>https://www.zillow.com/homedetails/3323-N-Knoll-Dr-Los-Angeles-CA-90068/20805677_zpid/</t>
  </si>
  <si>
    <t>Last price change was a decrease to $6,495 on 11/11/24, price increased to $12,000 on 1/9/25</t>
  </si>
  <si>
    <t>1/8/25 + 1/11/25</t>
  </si>
  <si>
    <t>Price doubled on 1/8/25 from listing that was set on 12/3/24 to $15K, then they felt slightly guilty and reduced to $12k on 1/11/25, still a total increase of 60%</t>
  </si>
  <si>
    <t>Most recent rent was $2,945 on 12/03/2024. Listing was taken down then relisted at a $700+ mark up on 1/12/25. Well over 10%.</t>
  </si>
  <si>
    <t xml:space="preserve">1812 Navy Street </t>
  </si>
  <si>
    <t>https://www.zillow.com/homedetails/1812-Navy-St-Santa-Monica-CA-90405/20472397_zpid/</t>
  </si>
  <si>
    <t xml:space="preserve">11708 exposition blvd </t>
  </si>
  <si>
    <t>Parcel number: 4260028003</t>
  </si>
  <si>
    <t>https://www.zillow.com/homedetails/11708-Exposition-Blvd-Los-Angeles-CA-90064/20464795_zpid/?utm_campaign=iosappmessage&amp;utm_medium=referral&amp;utm_source=txtshare</t>
  </si>
  <si>
    <t>Selia Hao</t>
  </si>
  <si>
    <t>Edward Kay (818) 401-8719</t>
  </si>
  <si>
    <t>Mark Bua KELLER WILLLIAMS STUDIO CITY (818) 380-5206</t>
  </si>
  <si>
    <t>N/A - HOA</t>
  </si>
  <si>
    <t>N/A HOA</t>
  </si>
  <si>
    <t>1/11/0025</t>
  </si>
  <si>
    <t>couldn’t locate - https://www.zillow.com/homedetails/3715-Kelton-Ave-APT-3-Los-Angeles-CA-90034/2080996983_zpid/</t>
  </si>
  <si>
    <t xml:space="preserve"> Metropolitan Property Services, LLC</t>
  </si>
  <si>
    <t>Mark Rogo</t>
  </si>
  <si>
    <t>Iliona</t>
  </si>
  <si>
    <t xml:space="preserve"> Peter V Buonocore</t>
  </si>
  <si>
    <t>1702 Sunset Plaza Dr</t>
  </si>
  <si>
    <t>https://www.zillow.com/homedetails/1702-Sunset-Plaza-Dr-Los-Angeles-CA-90069/20798287_zpid/</t>
  </si>
  <si>
    <t>Peter Cornell</t>
  </si>
  <si>
    <t>Sandy Shifers</t>
  </si>
  <si>
    <t>Soar Estates</t>
  </si>
  <si>
    <t>Dustin Nicholas</t>
  </si>
  <si>
    <t>Patrick Michael</t>
  </si>
  <si>
    <t>Ashlie Fisher</t>
  </si>
  <si>
    <t>https://www.zillow.com/homedetails/1235-Highland-Oaks-Dr-Arcadia-CA-91006/20887520_zpid/?utm_campaign=iosappmessage&amp;utm_medium=referral&amp;utm_source=txtshare</t>
  </si>
  <si>
    <t>88capital</t>
  </si>
  <si>
    <t>361 Norumbega Dr, Monrovia</t>
  </si>
  <si>
    <t>Monrovia</t>
  </si>
  <si>
    <t>https://www.zillow.com/homedetails/361-Norumbega-Dr-Monrovia-CA-91016/21583767_zpid/?utm_campaign=iosappmessage&amp;utm_medium=referral&amp;utm_source=txtshare</t>
  </si>
  <si>
    <t>Not listed</t>
  </si>
  <si>
    <t>Lawrence Chung 626-560-9364</t>
  </si>
  <si>
    <t>4115 camero ave</t>
  </si>
  <si>
    <t>https://www.zillow.com/homedetails/4115-Camero-Ave-Los-Angeles-CA-90027/20746609_zpid/</t>
  </si>
  <si>
    <t xml:space="preserve">3055 Landa St, </t>
  </si>
  <si>
    <t xml:space="preserve">Los Angeles, </t>
  </si>
  <si>
    <t>Parcel number: 5220022022</t>
  </si>
  <si>
    <t>130 S Meredith Ave Apartment 1</t>
  </si>
  <si>
    <t>5736-026-032</t>
  </si>
  <si>
    <t>2346 Selby Ave</t>
  </si>
  <si>
    <t>https://zillow.com/homedetails/2346-Selby-Ave-Los-Angeles-CA-90064/20500634_zpid/</t>
  </si>
  <si>
    <t>Joel Newton Coldwell Banker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</si>
</sst>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0"/>
    <numFmt numFmtId="165" formatCode="mm/dd/yyyy"/>
    <numFmt numFmtId="166" formatCode="&quot;$&quot;#,##0.00"/>
    <numFmt numFmtId="167" formatCode="m/d/yyyy\ h:mm:ss"/>
    <numFmt numFmtId="168" formatCode="m/d/yy"/>
    <numFmt numFmtId="169" formatCode="m/d"/>
  </numFmts>
  <fonts count="43">
    <font>
      <sz val="10"/>
      <color rgb="FF000000"/>
      <name val="Arial"/>
      <scheme val="minor"/>
    </font>
    <font>
      <b/>
      <sz val="11"/>
      <color theme="1"/>
      <name val="Arial"/>
      <scheme val="minor"/>
    </font>
    <font>
      <sz val="10"/>
      <color theme="1"/>
      <name val="Arial"/>
      <scheme val="minor"/>
    </font>
    <font>
      <b/>
      <sz val="10"/>
      <color theme="1"/>
      <name val="Arial"/>
      <scheme val="minor"/>
    </font>
    <font>
      <u/>
      <sz val="10"/>
      <color rgb="FF0000FF"/>
      <name val="Arial"/>
    </font>
    <font>
      <u/>
      <sz val="10"/>
      <color rgb="FF0000FF"/>
      <name val="Arial"/>
    </font>
    <font>
      <b/>
      <sz val="10"/>
      <color theme="1"/>
      <name val="Arial"/>
    </font>
    <font>
      <sz val="10"/>
      <color theme="1"/>
      <name val="Arial"/>
    </font>
    <font>
      <u/>
      <sz val="10"/>
      <color rgb="FF0000FF"/>
      <name val="Arial"/>
    </font>
    <font>
      <u/>
      <sz val="10"/>
      <color rgb="FF0000FF"/>
      <name val="Arial"/>
    </font>
    <font>
      <sz val="10"/>
      <color theme="1"/>
      <name val="Arial"/>
    </font>
    <font>
      <u/>
      <sz val="10"/>
      <color rgb="FF1155CC"/>
      <name val="Arial"/>
    </font>
    <font>
      <u/>
      <sz val="10"/>
      <color rgb="FF1155CC"/>
      <name val="Arial"/>
    </font>
    <font>
      <u/>
      <sz val="10"/>
      <color rgb="FF0000FF"/>
      <name val="Arial"/>
    </font>
    <font>
      <sz val="13"/>
      <color theme="1"/>
      <name val="Arial"/>
      <scheme val="minor"/>
    </font>
    <font>
      <b/>
      <u/>
      <sz val="11"/>
      <color rgb="FF0000FF"/>
      <name val="Arial"/>
    </font>
    <font>
      <sz val="11"/>
      <color theme="1"/>
      <name val="Arial"/>
      <scheme val="minor"/>
    </font>
    <font>
      <u/>
      <sz val="11"/>
      <color rgb="FF0000FF"/>
      <name val="Arial"/>
    </font>
    <font>
      <u/>
      <sz val="11"/>
      <color rgb="FF0000FF"/>
      <name val="Arial"/>
    </font>
    <font>
      <sz val="8"/>
      <color rgb="FF000000"/>
      <name val="Arial"/>
    </font>
    <font>
      <sz val="12"/>
      <color rgb="FF2A2A33"/>
      <name val="&quot;Open Sans&quot;"/>
    </font>
    <font>
      <sz val="11"/>
      <color rgb="FF2A2A33"/>
      <name val="Arial"/>
      <scheme val="minor"/>
    </font>
    <font>
      <u/>
      <sz val="11"/>
      <color rgb="FF0000FF"/>
      <name val="Arial"/>
    </font>
    <font>
      <sz val="11"/>
      <color rgb="FF000000"/>
      <name val="Arial"/>
    </font>
    <font>
      <sz val="11"/>
      <color rgb="FF000000"/>
      <name val="Arial"/>
      <scheme val="minor"/>
    </font>
    <font>
      <sz val="10"/>
      <color rgb="FF000000"/>
      <name val="Arial"/>
    </font>
    <font>
      <sz val="11"/>
      <color rgb="FF000000"/>
      <name val="Arial"/>
    </font>
    <font>
      <u/>
      <sz val="11"/>
      <color rgb="FF0000FF"/>
      <name val="Arial"/>
    </font>
    <font>
      <u/>
      <sz val="11"/>
      <color rgb="FF0000FF"/>
      <name val="Arial"/>
    </font>
    <font>
      <u/>
      <sz val="10"/>
      <color rgb="FF0000FF"/>
      <name val="Arial"/>
    </font>
    <font>
      <sz val="10"/>
      <color rgb="FF434343"/>
      <name val="Roboto"/>
    </font>
    <font>
      <sz val="10"/>
      <color rgb="FF434343"/>
      <name val="Arial"/>
      <scheme val="minor"/>
    </font>
    <font>
      <sz val="11"/>
      <color rgb="FF434343"/>
      <name val="Arial"/>
      <scheme val="minor"/>
    </font>
    <font>
      <u/>
      <sz val="10"/>
      <color rgb="FF434343"/>
      <name val="Roboto"/>
    </font>
    <font>
      <u/>
      <sz val="10"/>
      <color rgb="FF434343"/>
      <name val="Roboto"/>
    </font>
    <font>
      <u/>
      <sz val="10"/>
      <color rgb="FF434343"/>
      <name val="Roboto"/>
    </font>
    <font>
      <sz val="11"/>
      <color rgb="FF434343"/>
      <name val="Roboto"/>
    </font>
    <font>
      <sz val="10"/>
      <color rgb="FF434343"/>
      <name val="Roboto"/>
    </font>
    <font>
      <u/>
      <sz val="10"/>
      <color rgb="FF434343"/>
      <name val="Roboto"/>
    </font>
    <font>
      <sz val="11"/>
      <color rgb="FF000000"/>
      <name val="Roboto"/>
    </font>
    <font>
      <b/>
      <u/>
      <sz val="11"/>
      <color theme="1"/>
      <name val="Arial"/>
    </font>
    <font>
      <sz val="11"/>
      <color theme="1"/>
      <name val="Arial"/>
    </font>
    <font>
      <u/>
      <sz val="11"/>
      <color rgb="FF1155CC"/>
      <name val="Arial"/>
    </font>
  </fonts>
  <fills count="5">
    <fill>
      <patternFill patternType="none"/>
    </fill>
    <fill>
      <patternFill patternType="gray125"/>
    </fill>
    <fill>
      <patternFill patternType="solid">
        <fgColor rgb="FFFFFF00"/>
        <bgColor rgb="FFFFFF00"/>
      </patternFill>
    </fill>
    <fill>
      <patternFill patternType="solid">
        <fgColor rgb="FFFFFFFF"/>
        <bgColor rgb="FFFFFFFF"/>
      </patternFill>
    </fill>
    <fill>
      <patternFill patternType="solid">
        <fgColor rgb="FFF8F9FA"/>
        <bgColor rgb="FFF8F9FA"/>
      </patternFill>
    </fill>
  </fills>
  <borders count="12">
    <border>
      <left/>
      <right/>
      <top/>
      <bottom/>
      <diagonal/>
    </border>
    <border>
      <left/>
      <right/>
      <top/>
      <bottom style="thin">
        <color rgb="FF808080"/>
      </bottom>
      <diagonal/>
    </border>
    <border>
      <left style="thin">
        <color rgb="FF442F65"/>
      </left>
      <right style="thin">
        <color rgb="FFFFFFFF"/>
      </right>
      <top style="thin">
        <color rgb="FFFFFFFF"/>
      </top>
      <bottom style="thin">
        <color rgb="FFFFFFFF"/>
      </bottom>
      <diagonal/>
    </border>
    <border>
      <left style="thin">
        <color rgb="FFFFFFFF"/>
      </left>
      <right style="thin">
        <color rgb="FFFFFFFF"/>
      </right>
      <top style="thin">
        <color rgb="FFFFFFFF"/>
      </top>
      <bottom style="thin">
        <color rgb="FFFFFFFF"/>
      </bottom>
      <diagonal/>
    </border>
    <border>
      <left style="thin">
        <color rgb="FF442F65"/>
      </left>
      <right style="thin">
        <color rgb="FFF8F9FA"/>
      </right>
      <top style="thin">
        <color rgb="FFF8F9FA"/>
      </top>
      <bottom style="thin">
        <color rgb="FFF8F9FA"/>
      </bottom>
      <diagonal/>
    </border>
    <border>
      <left style="thin">
        <color rgb="FFF8F9FA"/>
      </left>
      <right style="thin">
        <color rgb="FFF8F9FA"/>
      </right>
      <top style="thin">
        <color rgb="FFF8F9FA"/>
      </top>
      <bottom style="thin">
        <color rgb="FFF8F9FA"/>
      </bottom>
      <diagonal/>
    </border>
    <border>
      <left style="thin">
        <color rgb="FFF8F9FA"/>
      </left>
      <right style="thin">
        <color rgb="FFF8F9FA"/>
      </right>
      <top style="thin">
        <color rgb="FFF8F9FA"/>
      </top>
      <bottom style="thin">
        <color rgb="FF442F65"/>
      </bottom>
      <diagonal/>
    </border>
    <border>
      <left style="thin">
        <color rgb="FFFFFFFF"/>
      </left>
      <right style="thin">
        <color rgb="FF442F65"/>
      </right>
      <top style="thin">
        <color rgb="FFFFFFFF"/>
      </top>
      <bottom style="thin">
        <color rgb="FFFFFFFF"/>
      </bottom>
      <diagonal/>
    </border>
    <border>
      <left style="thin">
        <color rgb="FFF8F9FA"/>
      </left>
      <right style="thin">
        <color rgb="FF442F65"/>
      </right>
      <top style="thin">
        <color rgb="FFF8F9FA"/>
      </top>
      <bottom style="thin">
        <color rgb="FFF8F9FA"/>
      </bottom>
      <diagonal/>
    </border>
    <border>
      <left style="thin">
        <color rgb="FF442F65"/>
      </left>
      <right style="thin">
        <color rgb="FFFFFFFF"/>
      </right>
      <top style="thin">
        <color rgb="FFFFFFFF"/>
      </top>
      <bottom style="thin">
        <color rgb="FF442F65"/>
      </bottom>
      <diagonal/>
    </border>
    <border>
      <left style="thin">
        <color rgb="FFFFFFFF"/>
      </left>
      <right style="thin">
        <color rgb="FFFFFFFF"/>
      </right>
      <top style="thin">
        <color rgb="FFFFFFFF"/>
      </top>
      <bottom style="thin">
        <color rgb="FF442F65"/>
      </bottom>
      <diagonal/>
    </border>
    <border>
      <left style="thin">
        <color rgb="FFFFFFFF"/>
      </left>
      <right style="thin">
        <color rgb="FF442F65"/>
      </right>
      <top style="thin">
        <color rgb="FFFFFFFF"/>
      </top>
      <bottom style="thin">
        <color rgb="FF442F65"/>
      </bottom>
      <diagonal/>
    </border>
  </borders>
  <cellStyleXfs count="1">
    <xf numFmtId="0" fontId="0" fillId="0" borderId="0"/>
  </cellStyleXfs>
  <cellXfs count="115">
    <xf numFmtId="0" fontId="0" fillId="0" borderId="0" xfId="0"/>
    <xf numFmtId="0" fontId="1" fillId="2" borderId="0" xfId="0" applyFont="1" applyFill="1" applyAlignment="1">
      <alignment horizontal="left"/>
    </xf>
    <xf numFmtId="165" fontId="3" fillId="0" borderId="0" xfId="0" applyNumberFormat="1" applyFont="1" applyAlignment="1">
      <alignment wrapText="1"/>
    </xf>
    <xf numFmtId="0" fontId="3" fillId="0" borderId="0" xfId="0" applyFont="1" applyAlignment="1">
      <alignment wrapText="1"/>
    </xf>
    <xf numFmtId="0" fontId="3" fillId="0" borderId="0" xfId="0" applyFont="1"/>
    <xf numFmtId="0" fontId="2" fillId="0" borderId="0" xfId="0" applyFont="1"/>
    <xf numFmtId="0" fontId="2" fillId="0" borderId="0" xfId="0" applyFont="1" applyAlignment="1">
      <alignment wrapText="1"/>
    </xf>
    <xf numFmtId="1" fontId="3" fillId="0" borderId="0" xfId="0" applyNumberFormat="1" applyFont="1" applyAlignment="1">
      <alignment wrapText="1"/>
    </xf>
    <xf numFmtId="164" fontId="3" fillId="0" borderId="0" xfId="0" applyNumberFormat="1" applyFont="1" applyAlignment="1">
      <alignment wrapText="1"/>
    </xf>
    <xf numFmtId="164" fontId="2" fillId="0" borderId="0" xfId="0" applyNumberFormat="1" applyFont="1" applyAlignment="1">
      <alignment wrapText="1"/>
    </xf>
    <xf numFmtId="9" fontId="3" fillId="0" borderId="0" xfId="0" applyNumberFormat="1" applyFont="1" applyAlignment="1">
      <alignment wrapText="1"/>
    </xf>
    <xf numFmtId="1" fontId="2" fillId="0" borderId="0" xfId="0" applyNumberFormat="1" applyFont="1"/>
    <xf numFmtId="164" fontId="2" fillId="0" borderId="0" xfId="0" applyNumberFormat="1" applyFont="1"/>
    <xf numFmtId="9" fontId="2" fillId="0" borderId="0" xfId="0" applyNumberFormat="1" applyFont="1"/>
    <xf numFmtId="165" fontId="2" fillId="0" borderId="0" xfId="0" applyNumberFormat="1" applyFont="1"/>
    <xf numFmtId="0" fontId="4" fillId="0" borderId="0" xfId="0" applyFont="1"/>
    <xf numFmtId="0" fontId="5" fillId="0" borderId="0" xfId="0" applyFont="1"/>
    <xf numFmtId="0" fontId="2" fillId="0" borderId="0" xfId="0" quotePrefix="1" applyFont="1"/>
    <xf numFmtId="14" fontId="2" fillId="0" borderId="0" xfId="0" applyNumberFormat="1" applyFont="1"/>
    <xf numFmtId="166" fontId="2" fillId="0" borderId="0" xfId="0" applyNumberFormat="1" applyFont="1"/>
    <xf numFmtId="166" fontId="3" fillId="0" borderId="0" xfId="0" applyNumberFormat="1" applyFont="1"/>
    <xf numFmtId="10" fontId="2" fillId="0" borderId="0" xfId="0" applyNumberFormat="1" applyFont="1"/>
    <xf numFmtId="0" fontId="7" fillId="0" borderId="0" xfId="0" applyFont="1"/>
    <xf numFmtId="0" fontId="6" fillId="0" borderId="0" xfId="0" applyFont="1"/>
    <xf numFmtId="167" fontId="2" fillId="0" borderId="0" xfId="0" applyNumberFormat="1" applyFont="1"/>
    <xf numFmtId="0" fontId="8" fillId="0" borderId="0" xfId="0" applyFont="1"/>
    <xf numFmtId="0" fontId="9" fillId="0" borderId="0" xfId="0" applyFont="1"/>
    <xf numFmtId="167" fontId="7" fillId="0" borderId="0" xfId="0" applyNumberFormat="1" applyFont="1"/>
    <xf numFmtId="0" fontId="10" fillId="0" borderId="0" xfId="0" applyFont="1"/>
    <xf numFmtId="0" fontId="11" fillId="0" borderId="0" xfId="0" applyFont="1"/>
    <xf numFmtId="0" fontId="12" fillId="0" borderId="0" xfId="0" applyFont="1"/>
    <xf numFmtId="0" fontId="10" fillId="0" borderId="0" xfId="0" applyFont="1" applyAlignment="1">
      <alignment wrapText="1"/>
    </xf>
    <xf numFmtId="0" fontId="13" fillId="0" borderId="0" xfId="0" applyFont="1"/>
    <xf numFmtId="0" fontId="15" fillId="2" borderId="0" xfId="0" applyFont="1" applyFill="1"/>
    <xf numFmtId="0" fontId="1" fillId="2" borderId="0" xfId="0" applyFont="1" applyFill="1" applyAlignment="1">
      <alignment horizontal="right"/>
    </xf>
    <xf numFmtId="0" fontId="1" fillId="2" borderId="0" xfId="0" applyFont="1" applyFill="1" applyAlignment="1">
      <alignment horizontal="right" wrapText="1"/>
    </xf>
    <xf numFmtId="0" fontId="1" fillId="0" borderId="0" xfId="0" applyFont="1"/>
    <xf numFmtId="0" fontId="16" fillId="0" borderId="0" xfId="0" applyFont="1"/>
    <xf numFmtId="0" fontId="16" fillId="0" borderId="0" xfId="0" applyFont="1" applyAlignment="1">
      <alignment wrapText="1"/>
    </xf>
    <xf numFmtId="0" fontId="1" fillId="0" borderId="0" xfId="0" applyFont="1" applyAlignment="1">
      <alignment wrapText="1"/>
    </xf>
    <xf numFmtId="0" fontId="1" fillId="0" borderId="0" xfId="0" applyFont="1" applyAlignment="1">
      <alignment horizontal="right" wrapText="1"/>
    </xf>
    <xf numFmtId="0" fontId="1" fillId="0" borderId="0" xfId="0" applyFont="1" applyAlignment="1">
      <alignment horizontal="left"/>
    </xf>
    <xf numFmtId="168" fontId="16" fillId="0" borderId="0" xfId="0" applyNumberFormat="1" applyFont="1" applyAlignment="1">
      <alignment horizontal="right"/>
    </xf>
    <xf numFmtId="0" fontId="16" fillId="0" borderId="0" xfId="0" applyFont="1" applyAlignment="1">
      <alignment horizontal="right"/>
    </xf>
    <xf numFmtId="0" fontId="16" fillId="0" borderId="0" xfId="0" applyFont="1" applyAlignment="1">
      <alignment horizontal="left"/>
    </xf>
    <xf numFmtId="0" fontId="17" fillId="0" borderId="0" xfId="0" applyFont="1"/>
    <xf numFmtId="10" fontId="16" fillId="0" borderId="0" xfId="0" applyNumberFormat="1" applyFont="1"/>
    <xf numFmtId="168" fontId="16" fillId="0" borderId="0" xfId="0" applyNumberFormat="1" applyFont="1"/>
    <xf numFmtId="0" fontId="18" fillId="0" borderId="0" xfId="0" applyFont="1"/>
    <xf numFmtId="0" fontId="19" fillId="3" borderId="1" xfId="0" applyFont="1" applyFill="1" applyBorder="1" applyAlignment="1">
      <alignment horizontal="left" vertical="top"/>
    </xf>
    <xf numFmtId="168" fontId="16" fillId="0" borderId="0" xfId="0" applyNumberFormat="1" applyFont="1" applyAlignment="1">
      <alignment horizontal="right" wrapText="1"/>
    </xf>
    <xf numFmtId="0" fontId="20" fillId="3" borderId="0" xfId="0" applyFont="1" applyFill="1" applyAlignment="1">
      <alignment horizontal="left"/>
    </xf>
    <xf numFmtId="0" fontId="21" fillId="3" borderId="0" xfId="0" applyFont="1" applyFill="1" applyAlignment="1">
      <alignment horizontal="left"/>
    </xf>
    <xf numFmtId="14" fontId="16" fillId="0" borderId="0" xfId="0" applyNumberFormat="1" applyFont="1" applyAlignment="1">
      <alignment horizontal="right"/>
    </xf>
    <xf numFmtId="0" fontId="22" fillId="0" borderId="0" xfId="0" applyFont="1"/>
    <xf numFmtId="0" fontId="23" fillId="3" borderId="0" xfId="0" applyFont="1" applyFill="1" applyAlignment="1">
      <alignment horizontal="left" vertical="top"/>
    </xf>
    <xf numFmtId="0" fontId="24" fillId="3" borderId="0" xfId="0" applyFont="1" applyFill="1" applyAlignment="1">
      <alignment horizontal="left" vertical="top"/>
    </xf>
    <xf numFmtId="0" fontId="25" fillId="3" borderId="0" xfId="0" applyFont="1" applyFill="1" applyAlignment="1">
      <alignment horizontal="left" vertical="top" wrapText="1"/>
    </xf>
    <xf numFmtId="0" fontId="16" fillId="0" borderId="1" xfId="0" applyFont="1" applyBorder="1" applyAlignment="1">
      <alignment horizontal="left"/>
    </xf>
    <xf numFmtId="0" fontId="21" fillId="3" borderId="0" xfId="0" applyFont="1" applyFill="1" applyAlignment="1">
      <alignment horizontal="right"/>
    </xf>
    <xf numFmtId="0" fontId="26" fillId="0" borderId="0" xfId="0" applyFont="1"/>
    <xf numFmtId="0" fontId="24" fillId="0" borderId="0" xfId="0" applyFont="1"/>
    <xf numFmtId="9" fontId="16" fillId="0" borderId="0" xfId="0" applyNumberFormat="1" applyFont="1"/>
    <xf numFmtId="0" fontId="24" fillId="3" borderId="1" xfId="0" applyFont="1" applyFill="1" applyBorder="1" applyAlignment="1">
      <alignment horizontal="left" vertical="top"/>
    </xf>
    <xf numFmtId="0" fontId="27" fillId="0" borderId="0" xfId="0" applyFont="1"/>
    <xf numFmtId="14" fontId="16" fillId="0" borderId="0" xfId="0" applyNumberFormat="1" applyFont="1" applyAlignment="1">
      <alignment horizontal="right" wrapText="1"/>
    </xf>
    <xf numFmtId="0" fontId="28" fillId="0" borderId="0" xfId="0" applyFont="1"/>
    <xf numFmtId="168" fontId="2" fillId="0" borderId="0" xfId="0" applyNumberFormat="1" applyFont="1"/>
    <xf numFmtId="169" fontId="16" fillId="0" borderId="0" xfId="0" applyNumberFormat="1" applyFont="1" applyAlignment="1">
      <alignment horizontal="right"/>
    </xf>
    <xf numFmtId="0" fontId="2" fillId="0" borderId="0" xfId="0" applyFont="1" applyAlignment="1">
      <alignment horizontal="left"/>
    </xf>
    <xf numFmtId="0" fontId="29" fillId="0" borderId="0" xfId="0" applyFont="1"/>
    <xf numFmtId="167" fontId="30" fillId="3" borderId="2" xfId="0" applyNumberFormat="1" applyFont="1" applyFill="1" applyBorder="1" applyAlignment="1">
      <alignment horizontal="right"/>
    </xf>
    <xf numFmtId="0" fontId="31" fillId="3" borderId="3" xfId="0" applyFont="1" applyFill="1" applyBorder="1"/>
    <xf numFmtId="0" fontId="32" fillId="3" borderId="3" xfId="0" applyFont="1" applyFill="1" applyBorder="1"/>
    <xf numFmtId="0" fontId="31" fillId="3" borderId="3" xfId="0" applyFont="1" applyFill="1" applyBorder="1" applyAlignment="1">
      <alignment horizontal="right"/>
    </xf>
    <xf numFmtId="0" fontId="7" fillId="0" borderId="0" xfId="0" applyFont="1" applyAlignment="1">
      <alignment horizontal="left"/>
    </xf>
    <xf numFmtId="14" fontId="7" fillId="0" borderId="0" xfId="0" applyNumberFormat="1" applyFont="1" applyAlignment="1">
      <alignment horizontal="right"/>
    </xf>
    <xf numFmtId="0" fontId="33" fillId="3" borderId="3" xfId="0" applyFont="1" applyFill="1" applyBorder="1"/>
    <xf numFmtId="167" fontId="30" fillId="4" borderId="4" xfId="0" applyNumberFormat="1" applyFont="1" applyFill="1" applyBorder="1" applyAlignment="1">
      <alignment horizontal="right"/>
    </xf>
    <xf numFmtId="0" fontId="31" fillId="4" borderId="5" xfId="0" applyFont="1" applyFill="1" applyBorder="1"/>
    <xf numFmtId="0" fontId="32" fillId="4" borderId="5" xfId="0" applyFont="1" applyFill="1" applyBorder="1"/>
    <xf numFmtId="0" fontId="31" fillId="4" borderId="5" xfId="0" applyFont="1" applyFill="1" applyBorder="1" applyAlignment="1">
      <alignment horizontal="right"/>
    </xf>
    <xf numFmtId="0" fontId="34" fillId="4" borderId="5" xfId="0" applyFont="1" applyFill="1" applyBorder="1"/>
    <xf numFmtId="0" fontId="31" fillId="4" borderId="6" xfId="0" applyFont="1" applyFill="1" applyBorder="1"/>
    <xf numFmtId="0" fontId="32" fillId="4" borderId="6" xfId="0" applyFont="1" applyFill="1" applyBorder="1"/>
    <xf numFmtId="0" fontId="31" fillId="4" borderId="6" xfId="0" applyFont="1" applyFill="1" applyBorder="1" applyAlignment="1">
      <alignment horizontal="right"/>
    </xf>
    <xf numFmtId="0" fontId="35" fillId="4" borderId="6" xfId="0" applyFont="1" applyFill="1" applyBorder="1"/>
    <xf numFmtId="0" fontId="30" fillId="3" borderId="3" xfId="0" applyFont="1" applyFill="1" applyBorder="1"/>
    <xf numFmtId="0" fontId="36" fillId="3" borderId="3" xfId="0" applyFont="1" applyFill="1" applyBorder="1"/>
    <xf numFmtId="0" fontId="30" fillId="3" borderId="3" xfId="0" applyFont="1" applyFill="1" applyBorder="1" applyAlignment="1">
      <alignment horizontal="right"/>
    </xf>
    <xf numFmtId="0" fontId="30" fillId="3" borderId="7" xfId="0" applyFont="1" applyFill="1" applyBorder="1" applyAlignment="1">
      <alignment horizontal="right"/>
    </xf>
    <xf numFmtId="14" fontId="30" fillId="3" borderId="3" xfId="0" applyNumberFormat="1" applyFont="1" applyFill="1" applyBorder="1" applyAlignment="1">
      <alignment horizontal="right"/>
    </xf>
    <xf numFmtId="0" fontId="30" fillId="4" borderId="5" xfId="0" applyFont="1" applyFill="1" applyBorder="1"/>
    <xf numFmtId="0" fontId="36" fillId="4" borderId="5" xfId="0" applyFont="1" applyFill="1" applyBorder="1"/>
    <xf numFmtId="0" fontId="30" fillId="4" borderId="5" xfId="0" applyFont="1" applyFill="1" applyBorder="1" applyAlignment="1">
      <alignment horizontal="right"/>
    </xf>
    <xf numFmtId="0" fontId="30" fillId="4" borderId="8" xfId="0" applyFont="1" applyFill="1" applyBorder="1" applyAlignment="1">
      <alignment horizontal="right"/>
    </xf>
    <xf numFmtId="14" fontId="30" fillId="4" borderId="5" xfId="0" applyNumberFormat="1" applyFont="1" applyFill="1" applyBorder="1" applyAlignment="1">
      <alignment horizontal="right"/>
    </xf>
    <xf numFmtId="0" fontId="30" fillId="3" borderId="7" xfId="0" applyFont="1" applyFill="1" applyBorder="1"/>
    <xf numFmtId="167" fontId="30" fillId="3" borderId="9" xfId="0" applyNumberFormat="1" applyFont="1" applyFill="1" applyBorder="1" applyAlignment="1">
      <alignment horizontal="right"/>
    </xf>
    <xf numFmtId="0" fontId="30" fillId="3" borderId="10" xfId="0" applyFont="1" applyFill="1" applyBorder="1"/>
    <xf numFmtId="0" fontId="36" fillId="3" borderId="10" xfId="0" applyFont="1" applyFill="1" applyBorder="1"/>
    <xf numFmtId="0" fontId="30" fillId="3" borderId="10" xfId="0" applyFont="1" applyFill="1" applyBorder="1" applyAlignment="1">
      <alignment horizontal="right"/>
    </xf>
    <xf numFmtId="0" fontId="30" fillId="3" borderId="11" xfId="0" applyFont="1" applyFill="1" applyBorder="1"/>
    <xf numFmtId="14" fontId="30" fillId="3" borderId="10" xfId="0" applyNumberFormat="1" applyFont="1" applyFill="1" applyBorder="1" applyAlignment="1">
      <alignment horizontal="right"/>
    </xf>
    <xf numFmtId="14" fontId="36" fillId="0" borderId="0" xfId="0" applyNumberFormat="1" applyFont="1" applyAlignment="1">
      <alignment horizontal="right"/>
    </xf>
    <xf numFmtId="0" fontId="37" fillId="0" borderId="0" xfId="0" applyFont="1"/>
    <xf numFmtId="0" fontId="37" fillId="0" borderId="0" xfId="0" applyFont="1" applyAlignment="1">
      <alignment horizontal="right"/>
    </xf>
    <xf numFmtId="0" fontId="37" fillId="0" borderId="0" xfId="0" applyFont="1" applyAlignment="1">
      <alignment horizontal="left"/>
    </xf>
    <xf numFmtId="0" fontId="38" fillId="0" borderId="0" xfId="0" applyFont="1"/>
    <xf numFmtId="0" fontId="37" fillId="3" borderId="0" xfId="0" applyFont="1" applyFill="1" applyAlignment="1">
      <alignment horizontal="left" wrapText="1"/>
    </xf>
    <xf numFmtId="0" fontId="39" fillId="3" borderId="0" xfId="0" applyFont="1" applyFill="1" applyAlignment="1">
      <alignment wrapText="1"/>
    </xf>
    <xf numFmtId="0" fontId="14" fillId="0" borderId="0" xfId="0" applyFont="1"/>
    <xf numFmtId="0" fontId="0" fillId="0" borderId="0" xfId="0"/>
    <xf numFmtId="0" fontId="2" fillId="0" borderId="0" xfId="0" applyFont="1" applyAlignment="1">
      <alignment wrapText="1"/>
    </xf>
    <xf numFmtId="0" fontId="1" fillId="2" borderId="0" xfId="0" applyFont="1" applyFill="1" applyAlignment="1">
      <alignment horizontal="left" wrapText="1"/>
    </xf>
  </cellXfs>
  <cellStyles count="1">
    <cellStyle name="Normal" xfId="0" builtinId="0"/>
  </cellStyles>
  <dxfs count="10">
    <dxf>
      <fill>
        <patternFill patternType="solid">
          <fgColor rgb="FFF8F9FA"/>
          <bgColor rgb="FFF8F9FA"/>
        </patternFill>
      </fill>
    </dxf>
    <dxf>
      <fill>
        <patternFill patternType="solid">
          <fgColor rgb="FFFFFFFF"/>
          <bgColor rgb="FFFFFFFF"/>
        </patternFill>
      </fill>
    </dxf>
    <dxf>
      <fill>
        <patternFill patternType="solid">
          <fgColor rgb="FFF8F9FA"/>
          <bgColor rgb="FFF8F9FA"/>
        </patternFill>
      </fill>
    </dxf>
    <dxf>
      <fill>
        <patternFill patternType="solid">
          <fgColor rgb="FFFFFFFF"/>
          <bgColor rgb="FFFFFFFF"/>
        </patternFill>
      </fill>
    </dxf>
    <dxf>
      <fill>
        <patternFill patternType="solid">
          <fgColor rgb="FFF8F9FA"/>
          <bgColor rgb="FFF8F9FA"/>
        </patternFill>
      </fill>
    </dxf>
    <dxf>
      <fill>
        <patternFill patternType="solid">
          <fgColor rgb="FFFFFFFF"/>
          <bgColor rgb="FFFFFFFF"/>
        </patternFill>
      </fill>
    </dxf>
    <dxf>
      <fill>
        <patternFill patternType="solid">
          <fgColor rgb="FFF8F9FA"/>
          <bgColor rgb="FFF8F9FA"/>
        </patternFill>
      </fill>
    </dxf>
    <dxf>
      <fill>
        <patternFill patternType="solid">
          <fgColor rgb="FFFFFFFF"/>
          <bgColor rgb="FFFFFFFF"/>
        </patternFill>
      </fill>
    </dxf>
    <dxf>
      <fill>
        <patternFill patternType="solid">
          <fgColor rgb="FFF8F9FA"/>
          <bgColor rgb="FFF8F9FA"/>
        </patternFill>
      </fill>
    </dxf>
    <dxf>
      <fill>
        <patternFill patternType="solid">
          <fgColor rgb="FFFFFFFF"/>
          <bgColor rgb="FFFFFFFF"/>
        </patternFill>
      </fill>
    </dxf>
  </dxfs>
  <tableStyles count="5">
    <tableStyle name="Old 1-style" pivot="0" count="2" xr9:uid="{00000000-0011-0000-FFFF-FFFF00000000}">
      <tableStyleElement type="firstRowStripe" dxfId="9"/>
      <tableStyleElement type="secondRowStripe" dxfId="8"/>
    </tableStyle>
    <tableStyle name="Old 1-style 2" pivot="0" count="2" xr9:uid="{00000000-0011-0000-FFFF-FFFF01000000}">
      <tableStyleElement type="firstRowStripe" dxfId="7"/>
      <tableStyleElement type="secondRowStripe" dxfId="6"/>
    </tableStyle>
    <tableStyle name="Old 1-style 3" pivot="0" count="2" xr9:uid="{00000000-0011-0000-FFFF-FFFF02000000}">
      <tableStyleElement type="firstRowStripe" dxfId="5"/>
      <tableStyleElement type="secondRowStripe" dxfId="4"/>
    </tableStyle>
    <tableStyle name="Old 1-style 4" pivot="0" count="2" xr9:uid="{00000000-0011-0000-FFFF-FFFF03000000}">
      <tableStyleElement type="firstRowStripe" dxfId="3"/>
      <tableStyleElement type="secondRowStripe" dxfId="2"/>
    </tableStyle>
    <tableStyle name="Old 1-style 5" pivot="0" count="2" xr9:uid="{00000000-0011-0000-FFFF-FFFF04000000}">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63:A119" headerRowCount="0">
  <tableColumns count="1">
    <tableColumn id="1" xr3:uid="{00000000-0010-0000-0000-000001000000}" name="Column1"/>
  </tableColumns>
  <tableStyleInfo name="Old 1-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2" displayName="Table_2" ref="B63:D119" headerRowCount="0">
  <tableColumns count="3">
    <tableColumn id="1" xr3:uid="{00000000-0010-0000-0100-000001000000}" name="Column1"/>
    <tableColumn id="2" xr3:uid="{00000000-0010-0000-0100-000002000000}" name="Column2"/>
    <tableColumn id="3" xr3:uid="{00000000-0010-0000-0100-000003000000}" name="Column3"/>
  </tableColumns>
  <tableStyleInfo name="Old 1-style 2" showFirstColumn="1" showLastColumn="1"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_3" displayName="Table_3" ref="E63:E119" headerRowCount="0">
  <tableColumns count="1">
    <tableColumn id="1" xr3:uid="{00000000-0010-0000-0200-000001000000}" name="Column1"/>
  </tableColumns>
  <tableStyleInfo name="Old 1-style 3" showFirstColumn="1" showLastColumn="1"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_4" displayName="Table_4" ref="K63:K119" headerRowCount="0">
  <tableColumns count="1">
    <tableColumn id="1" xr3:uid="{00000000-0010-0000-0300-000001000000}" name="Column1"/>
  </tableColumns>
  <tableStyleInfo name="Old 1-style 4" showFirstColumn="1" showLastColumn="1"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_5" displayName="Table_5" ref="H103:I119" headerRowCount="0">
  <tableColumns count="2">
    <tableColumn id="1" xr3:uid="{00000000-0010-0000-0400-000001000000}" name="Column1"/>
    <tableColumn id="2" xr3:uid="{00000000-0010-0000-0400-000002000000}" name="Column2"/>
  </tableColumns>
  <tableStyleInfo name="Old 1-style 5"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www.zillow.com/homedetails/1001-Hanover-Dr-Beverly-Hills-CA-90210/20523966_zpid/" TargetMode="External"/><Relationship Id="rId21" Type="http://schemas.openxmlformats.org/officeDocument/2006/relationships/hyperlink" Target="https://www.zillow.com/homedetails/3931-Berry-Dr-Studio-City-CA-91604/20028364_zpid/" TargetMode="External"/><Relationship Id="rId324" Type="http://schemas.openxmlformats.org/officeDocument/2006/relationships/hyperlink" Target="https://drive.google.com/open?id=1if9-R9HXJvapmlRaWUOW7IG3W041Glmf" TargetMode="External"/><Relationship Id="rId531" Type="http://schemas.openxmlformats.org/officeDocument/2006/relationships/hyperlink" Target="https://drive.google.com/open?id=1p94nlE3V3myTnWaoHP5hQZl_6-IGICRa" TargetMode="External"/><Relationship Id="rId629" Type="http://schemas.openxmlformats.org/officeDocument/2006/relationships/hyperlink" Target="https://drive.google.com/open?id=1HK85z-TzuplZPCfu_ZP6wtuKnnoV2VF-" TargetMode="External"/><Relationship Id="rId170" Type="http://schemas.openxmlformats.org/officeDocument/2006/relationships/hyperlink" Target="https://www.zillow.com/homedetails/8429-Wiley-Post-Ave-Los-Angeles-CA-90045/20380558_zpid/?utm_campaign=iosappmessage&amp;utm_medium=referral&amp;utm_source=txtshare" TargetMode="External"/><Relationship Id="rId268" Type="http://schemas.openxmlformats.org/officeDocument/2006/relationships/hyperlink" Target="https://www.zillow.com/homedetails/8147-Mulholland-Ter-Los-Angeles-CA-90046/20031972_zpid/" TargetMode="External"/><Relationship Id="rId475" Type="http://schemas.openxmlformats.org/officeDocument/2006/relationships/hyperlink" Target="https://www.zillow.com/homedetails/286-N-Madison-Ave-FLOOR-3-ID1153-Pasadena-CA-91101/348506118_zpid/" TargetMode="External"/><Relationship Id="rId32" Type="http://schemas.openxmlformats.org/officeDocument/2006/relationships/hyperlink" Target="https://www.zillow.com/homedetails/1914-Laurel-Canyon-Blvd-Los-Angeles-CA-90046/20802462_zpid/" TargetMode="External"/><Relationship Id="rId128" Type="http://schemas.openxmlformats.org/officeDocument/2006/relationships/hyperlink" Target="https://drive.google.com/open?id=1bZ-470yBHTZ72KOic54bEz_XSQvlGOLK" TargetMode="External"/><Relationship Id="rId335" Type="http://schemas.openxmlformats.org/officeDocument/2006/relationships/hyperlink" Target="https://drive.google.com/open?id=1DKcoRKoeAm2r6kU91LsmY9FUaLganslw" TargetMode="External"/><Relationship Id="rId542" Type="http://schemas.openxmlformats.org/officeDocument/2006/relationships/hyperlink" Target="https://drive.google.com/open?id=1zQy_r3JN941ZOrOhvPzV9Tm7nRPlY_GG" TargetMode="External"/><Relationship Id="rId181" Type="http://schemas.openxmlformats.org/officeDocument/2006/relationships/hyperlink" Target="https://www.zillow.com/homedetails/157-S-Anita-Ave-Los-Angeles-CA-90049/20537967_zpid/" TargetMode="External"/><Relationship Id="rId402" Type="http://schemas.openxmlformats.org/officeDocument/2006/relationships/hyperlink" Target="https://drive.google.com/open?id=1WKmzFPUehSrJx6E4dQib0edWutRXTf1V" TargetMode="External"/><Relationship Id="rId279" Type="http://schemas.openxmlformats.org/officeDocument/2006/relationships/hyperlink" Target="https://www.zillow.com/homedetails/8911-Cynthia-St-APT-9-West-Hollywood-CA-90069/2100113899_zpid/" TargetMode="External"/><Relationship Id="rId486" Type="http://schemas.openxmlformats.org/officeDocument/2006/relationships/hyperlink" Target="https://www.zillow.com/homedetails/20752-Collins-St-Woodland-Hills-CA-91367/19932187_zpid/" TargetMode="External"/><Relationship Id="rId43" Type="http://schemas.openxmlformats.org/officeDocument/2006/relationships/hyperlink" Target="https://www.zillow.com/homedetails/2379-Venus-Dr-Los-Angeles-CA-90046/20802341_zpid/" TargetMode="External"/><Relationship Id="rId139" Type="http://schemas.openxmlformats.org/officeDocument/2006/relationships/hyperlink" Target="https://www.zillow.com/homedetails/1849-N-Coldwater-Canyon-Dr-Beverly-Hills-CA-90210/125270046_zpid/" TargetMode="External"/><Relationship Id="rId346" Type="http://schemas.openxmlformats.org/officeDocument/2006/relationships/hyperlink" Target="https://www.zillow.com/homedetails/Sherman-Oaks-CA-91423/2061731923_zpid/" TargetMode="External"/><Relationship Id="rId553" Type="http://schemas.openxmlformats.org/officeDocument/2006/relationships/hyperlink" Target="https://drive.google.com/open?id=18ANVW2RhU7_XDtzSOZkq307Gca7zU3h0" TargetMode="External"/><Relationship Id="rId192" Type="http://schemas.openxmlformats.org/officeDocument/2006/relationships/hyperlink" Target="https://www.zillow.com/homedetails/1741-Stearns-Dr-Los-Angeles-CA-90035/20598494_zpid/" TargetMode="External"/><Relationship Id="rId206" Type="http://schemas.openxmlformats.org/officeDocument/2006/relationships/hyperlink" Target="https://www.zillow.com/homedetails/4630-Vantage-Ave-Valley-Village-CA-91607/2073592574_zpid/" TargetMode="External"/><Relationship Id="rId413" Type="http://schemas.openxmlformats.org/officeDocument/2006/relationships/hyperlink" Target="https://drive.google.com/open?id=1iFuLYuRsor84s82Xao-mwX5GGkQSu5CA" TargetMode="External"/><Relationship Id="rId497" Type="http://schemas.openxmlformats.org/officeDocument/2006/relationships/hyperlink" Target="https://drive.google.com/open?id=1LdFH1VeuzmSbUFzP0UlZWDcsS1Q1rBSg" TargetMode="External"/><Relationship Id="rId620" Type="http://schemas.openxmlformats.org/officeDocument/2006/relationships/hyperlink" Target="https://drive.google.com/open?id=1gUX306YX_uGOQEDkiuZvo-KeeNS6sd3P" TargetMode="External"/><Relationship Id="rId357" Type="http://schemas.openxmlformats.org/officeDocument/2006/relationships/hyperlink" Target="https://drive.google.com/open?id=103BLSYoIgGN6zJqNX5aO86D_qqOHQEa5" TargetMode="External"/><Relationship Id="rId54" Type="http://schemas.openxmlformats.org/officeDocument/2006/relationships/hyperlink" Target="https://www.zillow.com/homedetails/1670-Arboles-Dr-Glendale-CA-91207/20838671_zpid/?utm_campaign=iosappmessage&amp;utm_medium=referral&amp;utm_source=txtshare" TargetMode="External"/><Relationship Id="rId217" Type="http://schemas.openxmlformats.org/officeDocument/2006/relationships/hyperlink" Target="https://drive.google.com/open?id=1W906Jv2fvSSPhw77-SnWW1Cg9fzdXPuA" TargetMode="External"/><Relationship Id="rId564" Type="http://schemas.openxmlformats.org/officeDocument/2006/relationships/hyperlink" Target="https://drive.google.com/open?id=10mu_QAdzwq6ueQS2HO-IoPsSXQSsU_7n" TargetMode="External"/><Relationship Id="rId424" Type="http://schemas.openxmlformats.org/officeDocument/2006/relationships/hyperlink" Target="https://www.zillow.com/homedetails/2442-W-Sunset-Blvd-Los-Angeles-CA-90026/443714015_zpid/" TargetMode="External"/><Relationship Id="rId631" Type="http://schemas.openxmlformats.org/officeDocument/2006/relationships/hyperlink" Target="https://www.zillow.com/homedetails/6229-Fallbrook-Ave-Woodland-Hills-CA-91367/19877436_zpid/" TargetMode="External"/><Relationship Id="rId270" Type="http://schemas.openxmlformats.org/officeDocument/2006/relationships/hyperlink" Target="https://www.zillow.com/homedetails/711-Huntley-Dr-West-Hollywood-CA-90069/20517081_zpid/" TargetMode="External"/><Relationship Id="rId65" Type="http://schemas.openxmlformats.org/officeDocument/2006/relationships/hyperlink" Target="https://www.zillow.com/homedetails/1439-Cabrillo-Ave-Venice-CA-90291/20450140_zpid/" TargetMode="External"/><Relationship Id="rId130" Type="http://schemas.openxmlformats.org/officeDocument/2006/relationships/hyperlink" Target="https://drive.google.com/open?id=14yN-0unH9X9XjCAltPjtLGDz9sWKFgbP" TargetMode="External"/><Relationship Id="rId368" Type="http://schemas.openxmlformats.org/officeDocument/2006/relationships/hyperlink" Target="https://drive.google.com/open?id=1FgYG8OLfMOD62HvtBpRodseuS1AXp0HE" TargetMode="External"/><Relationship Id="rId575" Type="http://schemas.openxmlformats.org/officeDocument/2006/relationships/hyperlink" Target="https://www.zillow.com/homedetails/Los-Angeles-CA-90077/20531944_zpid/?" TargetMode="External"/><Relationship Id="rId228" Type="http://schemas.openxmlformats.org/officeDocument/2006/relationships/hyperlink" Target="https://www.zillow.com/homedetails/2428-Glyndon-Ave-Venice-CA-90291/20448951_zpid/?utm_campaign=iosappmessage&amp;utm_medium=referral&amp;utm_source=txtshare" TargetMode="External"/><Relationship Id="rId435" Type="http://schemas.openxmlformats.org/officeDocument/2006/relationships/hyperlink" Target="https://drive.google.com/open?id=1_KkCraSFoj1ksSCpKLxzV1ICRmhXnwoC" TargetMode="External"/><Relationship Id="rId642" Type="http://schemas.openxmlformats.org/officeDocument/2006/relationships/hyperlink" Target="https://www.themls.com/Share/YWFmaWFkZmZp" TargetMode="External"/><Relationship Id="rId281" Type="http://schemas.openxmlformats.org/officeDocument/2006/relationships/hyperlink" Target="https://drive.google.com/open?id=1I2N6IXCNajYrAsvTl1Wd3pJpQXmGpgaS" TargetMode="External"/><Relationship Id="rId502" Type="http://schemas.openxmlformats.org/officeDocument/2006/relationships/hyperlink" Target="https://drive.google.com/open?id=1zq7sGmKX4LMWYLrExqaL0CgPqHv0hWQs" TargetMode="External"/><Relationship Id="rId76" Type="http://schemas.openxmlformats.org/officeDocument/2006/relationships/hyperlink" Target="https://www.zillow.com/homedetails/114-Pacific-Ave-Venice-CA-90291/20482017_zpid/" TargetMode="External"/><Relationship Id="rId141" Type="http://schemas.openxmlformats.org/officeDocument/2006/relationships/hyperlink" Target="https://www.zillow.com/homedetails/6230-Lindenhurst-Ave-6230-Los-Angeles-CA-90048/2053399272_zpid/" TargetMode="External"/><Relationship Id="rId379" Type="http://schemas.openxmlformats.org/officeDocument/2006/relationships/hyperlink" Target="https://www.zillow.com/homedetails/5535-Carlton-Way-1B-1BA-Los-Angeles-CA-90028/443351112_zpid/" TargetMode="External"/><Relationship Id="rId586" Type="http://schemas.openxmlformats.org/officeDocument/2006/relationships/hyperlink" Target="https://www.zillow.com/homedetails/10228-Encino-Ave-Northridge-CA-91325/20169508_zpid/" TargetMode="External"/><Relationship Id="rId7" Type="http://schemas.openxmlformats.org/officeDocument/2006/relationships/hyperlink" Target="https://www.zillow.com/homedetails/1923-Sunset-Plaza-Dr-Los-Angeles-CA-90069/20798097_zpid/" TargetMode="External"/><Relationship Id="rId239" Type="http://schemas.openxmlformats.org/officeDocument/2006/relationships/hyperlink" Target="https://drive.google.com/open?id=1TZylGqslTVsNsSkNnM9Mp7SFtJAUebkq" TargetMode="External"/><Relationship Id="rId446" Type="http://schemas.openxmlformats.org/officeDocument/2006/relationships/hyperlink" Target="https://drive.google.com/open?id=18Hr_OC_Bmj6-3fMq5KsPC2xOOamEgGVe" TargetMode="External"/><Relationship Id="rId292" Type="http://schemas.openxmlformats.org/officeDocument/2006/relationships/hyperlink" Target="https://www.zillow.com/homedetails/15105-Mulholland-Dr-Los-Angeles-CA-90077/19990206_zpid/" TargetMode="External"/><Relationship Id="rId306" Type="http://schemas.openxmlformats.org/officeDocument/2006/relationships/hyperlink" Target="https://drive.google.com/open?id=1-PyMDtUe4hRGJT2g366p6gb1-Py7Pc1u" TargetMode="External"/><Relationship Id="rId87" Type="http://schemas.openxmlformats.org/officeDocument/2006/relationships/hyperlink" Target="https://drive.google.com/open?id=1eK4g73pSgopIZGRSRDoSubYa0_t8NyfD" TargetMode="External"/><Relationship Id="rId513" Type="http://schemas.openxmlformats.org/officeDocument/2006/relationships/hyperlink" Target="https://www.redfin.com/CA/Los-Angeles/108-W-2nd-St-90012/unit-206/home/21923543" TargetMode="External"/><Relationship Id="rId597" Type="http://schemas.openxmlformats.org/officeDocument/2006/relationships/hyperlink" Target="https://www.zillow.com/homedetails/32802-Pacific-Coast-Hwy-Malibu-CA-90265/20558217_zpid/" TargetMode="External"/><Relationship Id="rId152" Type="http://schemas.openxmlformats.org/officeDocument/2006/relationships/hyperlink" Target="https://www.zillow.com/homedetails/15373-Valley-Vista-Blvd-Sherman-Oaks-CA-91403/19991451_zpid/" TargetMode="External"/><Relationship Id="rId457" Type="http://schemas.openxmlformats.org/officeDocument/2006/relationships/hyperlink" Target="https://www.zillow.com/homedetails/724-S-Gramercy-Dr-Los-Angeles-CA-90005/2070015636_zpid/" TargetMode="External"/><Relationship Id="rId14" Type="http://schemas.openxmlformats.org/officeDocument/2006/relationships/hyperlink" Target="https://drive.google.com/open?id=1islSFMMCwgXyhAlstDg6hU7Xl7m3yO9p" TargetMode="External"/><Relationship Id="rId317" Type="http://schemas.openxmlformats.org/officeDocument/2006/relationships/hyperlink" Target="https://www.zillow.com/homedetails/3935-Inglewood-Blvd-3935-Los-Angeles-CA-90066/401885716_zpid/" TargetMode="External"/><Relationship Id="rId524" Type="http://schemas.openxmlformats.org/officeDocument/2006/relationships/hyperlink" Target="https://drive.google.com/open?id=1NdXx2bCA3ymxCJP39eqetoT00zbpJc6M" TargetMode="External"/><Relationship Id="rId98" Type="http://schemas.openxmlformats.org/officeDocument/2006/relationships/hyperlink" Target="https://drive.google.com/open?id=1IrXriRSXcp7ZJtW5_erTzE7xDkKv5TO5" TargetMode="External"/><Relationship Id="rId163" Type="http://schemas.openxmlformats.org/officeDocument/2006/relationships/hyperlink" Target="https://drive.google.com/open?id=1x5F7xUgAKOP6_GGvf5Dk47j2c4CrnlZU" TargetMode="External"/><Relationship Id="rId370" Type="http://schemas.openxmlformats.org/officeDocument/2006/relationships/hyperlink" Target="https://drive.google.com/open?id=1hsVL0s6p3nQ9hXzZKMIzvMnCEfloERIm" TargetMode="External"/><Relationship Id="rId230" Type="http://schemas.openxmlformats.org/officeDocument/2006/relationships/hyperlink" Target="https://drive.google.com/open?id=1_SAi9JLdagD4oQrTUMTUV5MK_wG2-7Ep" TargetMode="External"/><Relationship Id="rId468" Type="http://schemas.openxmlformats.org/officeDocument/2006/relationships/hyperlink" Target="https://www.zillow.com/homedetails/31678-Cottontail-Ln-Malibu-CA-90265/2054295562_zpid/" TargetMode="External"/><Relationship Id="rId25" Type="http://schemas.openxmlformats.org/officeDocument/2006/relationships/hyperlink" Target="https://www.zillow.com/homedetails/649-N-Edinburgh-Ave-Los-Angeles-CA-90048/20786041_zpid/?utm_campaign=iosappmessage&amp;utm_medium=referral&amp;utm_source=txtshare" TargetMode="External"/><Relationship Id="rId328" Type="http://schemas.openxmlformats.org/officeDocument/2006/relationships/hyperlink" Target="https://www.zillow.com/homedetails/518-Rialto-Ave-A-Venice-CA-90291/440956450_zpid/" TargetMode="External"/><Relationship Id="rId535" Type="http://schemas.openxmlformats.org/officeDocument/2006/relationships/hyperlink" Target="https://www.zillow.com/homedetails/7801-White-Oak-Ave-Reseda-CA-91335/19903033_zpid/" TargetMode="External"/><Relationship Id="rId174" Type="http://schemas.openxmlformats.org/officeDocument/2006/relationships/hyperlink" Target="https://www.zillow.com/homedetails/11842-Culver-Blvd-Los-Angeles-CA-90066/2123490972_zpid/?utm_source=txtshare" TargetMode="External"/><Relationship Id="rId381" Type="http://schemas.openxmlformats.org/officeDocument/2006/relationships/hyperlink" Target="https://www.zillow.com/homedetails/110-Bennett-Ave-Long-Beach-CA-90803/2054770491_zpid/" TargetMode="External"/><Relationship Id="rId602" Type="http://schemas.openxmlformats.org/officeDocument/2006/relationships/hyperlink" Target="https://www.zillow.com/homedetails/5625-W-83rd-St-Los-Angeles-CA-90045/20379415_zpid/" TargetMode="External"/><Relationship Id="rId241" Type="http://schemas.openxmlformats.org/officeDocument/2006/relationships/hyperlink" Target="https://drive.google.com/open?id=1helEMAdM-ub5OuLiHjpDTAh-ahcUYdbQ" TargetMode="External"/><Relationship Id="rId479" Type="http://schemas.openxmlformats.org/officeDocument/2006/relationships/hyperlink" Target="https://www.zillow.com/homedetails/3608-The-Strand-APT-2-Manhattan-Beach-CA-90266/2094828516_zpid/" TargetMode="External"/><Relationship Id="rId36" Type="http://schemas.openxmlformats.org/officeDocument/2006/relationships/hyperlink" Target="https://www.zillow.com/homedetails/3663-Edenhurst-Ave-Los-Angeles-CA-90039/20749912_zpid/" TargetMode="External"/><Relationship Id="rId339" Type="http://schemas.openxmlformats.org/officeDocument/2006/relationships/hyperlink" Target="https://www.zillow.com/homedetails/9031-Alto-Cedro-Dr-Beverly-Hills-CA-90210/20534161_zpid/" TargetMode="External"/><Relationship Id="rId546" Type="http://schemas.openxmlformats.org/officeDocument/2006/relationships/hyperlink" Target="https://drive.google.com/open?id=14zkeT4FH4-C5xn2FnnO2dILmRpAyGPkM" TargetMode="External"/><Relationship Id="rId101" Type="http://schemas.openxmlformats.org/officeDocument/2006/relationships/hyperlink" Target="https://www.zillow.com/homedetails/9297-Burton-Way-B-Beverly-Hills-CA-90210/2070939537_zpid/" TargetMode="External"/><Relationship Id="rId185" Type="http://schemas.openxmlformats.org/officeDocument/2006/relationships/hyperlink" Target="https://www.zillow.com/homedetails/317-Westbourne-Dr-West-Hollywood-CA-90048/20517150_zpid/" TargetMode="External"/><Relationship Id="rId406" Type="http://schemas.openxmlformats.org/officeDocument/2006/relationships/hyperlink" Target="https://www.zillow.com/homedetails/724-S-Gramercy-Dr-Los-Angeles-CA-90005/2070015636_zpid/?utm_campaign=iosappmessage&amp;utm_medium=referral&amp;utm_source=txtshare" TargetMode="External"/><Relationship Id="rId392" Type="http://schemas.openxmlformats.org/officeDocument/2006/relationships/hyperlink" Target="https://drive.google.com/open?id=1DRr90Iq2Hpi34Lg2JvgIxmZ5SARVlOp1" TargetMode="External"/><Relationship Id="rId613" Type="http://schemas.openxmlformats.org/officeDocument/2006/relationships/hyperlink" Target="https://drive.google.com/open?id=1CPsz1i4P39bm_gC1B3uui3oF4OQJs0c1" TargetMode="External"/><Relationship Id="rId252" Type="http://schemas.openxmlformats.org/officeDocument/2006/relationships/hyperlink" Target="https://www.zillow.com/homedetails/907-Pine-Grove-Ave-Los-Angeles-CA-90042/20769156_zpid/" TargetMode="External"/><Relationship Id="rId47" Type="http://schemas.openxmlformats.org/officeDocument/2006/relationships/hyperlink" Target="https://www.zillow.com/homedetails/915-Edie-Dr-Duarte-CA-91010/58477819_zpid/?utm_campaign=iosappmessage&amp;utm_medium=referral&amp;utm_source=txtshare" TargetMode="External"/><Relationship Id="rId112" Type="http://schemas.openxmlformats.org/officeDocument/2006/relationships/hyperlink" Target="https://www.zillow.com/homedetails/2950-Tyburn-St-Los-Angeles-CA-90039/20751814_zpid/" TargetMode="External"/><Relationship Id="rId557" Type="http://schemas.openxmlformats.org/officeDocument/2006/relationships/hyperlink" Target="https://www.zillow.com/homedetails/18220-Fallenleaf-Cir-Fountain-Valley-CA-92708/25284910_zpid/" TargetMode="External"/><Relationship Id="rId196" Type="http://schemas.openxmlformats.org/officeDocument/2006/relationships/hyperlink" Target="https://drive.google.com/open?id=1UJACklG5nc83YYFqXuqqrCbbt1GVb80Y" TargetMode="External"/><Relationship Id="rId417" Type="http://schemas.openxmlformats.org/officeDocument/2006/relationships/hyperlink" Target="https://drive.google.com/open?id=16JzbveeTHJy6W5UTcnWUHsH-IZw8mE7R" TargetMode="External"/><Relationship Id="rId459" Type="http://schemas.openxmlformats.org/officeDocument/2006/relationships/hyperlink" Target="https://www.zillow.com/homedetails/472-36th-St-Manhattan-Beach-CA-90266/20420178_zpid/" TargetMode="External"/><Relationship Id="rId624" Type="http://schemas.openxmlformats.org/officeDocument/2006/relationships/hyperlink" Target="https://www.zillow.com/homedetails/16-Park-Ave-Venice-CA-90291/20482259_zpid/?utm_campaign=iosappmessage&amp;utm_medium=referral&amp;utm_source=txtshare" TargetMode="External"/><Relationship Id="rId16" Type="http://schemas.openxmlformats.org/officeDocument/2006/relationships/hyperlink" Target="https://drive.google.com/open?id=1LFNYyfOfLWzQJCUTfqJyy5sO9xFI8daV" TargetMode="External"/><Relationship Id="rId221" Type="http://schemas.openxmlformats.org/officeDocument/2006/relationships/hyperlink" Target="https://drive.google.com/open?id=1XG9iqbkqIViCq-rsdT7-IEHlyCmMj5En" TargetMode="External"/><Relationship Id="rId263" Type="http://schemas.openxmlformats.org/officeDocument/2006/relationships/hyperlink" Target="https://www.zillow.com/homedetails/500-14th-St-Manhattan-Beach-CA-90266/20418321_zpid/" TargetMode="External"/><Relationship Id="rId319" Type="http://schemas.openxmlformats.org/officeDocument/2006/relationships/hyperlink" Target="https://drive.google.com/open?id=17MUQwwoRY02n8MJ6H06objHdOIg7bXoS" TargetMode="External"/><Relationship Id="rId470" Type="http://schemas.openxmlformats.org/officeDocument/2006/relationships/hyperlink" Target="https://www.zillow.com/homedetails/16070-W-Sunset-Blvd-FLOOR-1-ID361-Pacific-Palisades-CA-90272/2066994843_zpid/" TargetMode="External"/><Relationship Id="rId526" Type="http://schemas.openxmlformats.org/officeDocument/2006/relationships/hyperlink" Target="https://www.redfin.com/CA/Los-Angeles/1237-S-Holt-Ave-90035/unit-206/home/191150566" TargetMode="External"/><Relationship Id="rId58" Type="http://schemas.openxmlformats.org/officeDocument/2006/relationships/hyperlink" Target="https://drive.google.com/open?id=1ykTw-MninZQREUhz3VJJVdhr_XoM3_rA" TargetMode="External"/><Relationship Id="rId123" Type="http://schemas.openxmlformats.org/officeDocument/2006/relationships/hyperlink" Target="https://www.zillow.com/homedetails/3400-Greenfield-Ave-APT-1-Los-Angeles-CA-90034/2061747538_zpid/" TargetMode="External"/><Relationship Id="rId330" Type="http://schemas.openxmlformats.org/officeDocument/2006/relationships/hyperlink" Target="https://drive.google.com/open?id=1ax9-PyAODayii8KqROn3Wp5GcrdUIawN" TargetMode="External"/><Relationship Id="rId568" Type="http://schemas.openxmlformats.org/officeDocument/2006/relationships/hyperlink" Target="https://drive.google.com/open?id=1Vq82Rao8nun98mKoX8rJCsJVvPd2KKyg" TargetMode="External"/><Relationship Id="rId165" Type="http://schemas.openxmlformats.org/officeDocument/2006/relationships/hyperlink" Target="https://www.zillow.com/homedetails/9621-Royalton-Dr-Beverly-Hills-CA-90210/20533828_zpid/" TargetMode="External"/><Relationship Id="rId372" Type="http://schemas.openxmlformats.org/officeDocument/2006/relationships/hyperlink" Target="https://drive.google.com/open?id=16t9TH_P5VbagmL3RUUqwgWBvTrYOQ5Tp" TargetMode="External"/><Relationship Id="rId428" Type="http://schemas.openxmlformats.org/officeDocument/2006/relationships/hyperlink" Target="https://www.zillow.com/homedetails/1533-Twin-Tides-Pl-Oxnard-CA-93035/63031008_zpid/?utm_campaign=iosappmessage&amp;utm_medium=referral&amp;utm_source=txtshare" TargetMode="External"/><Relationship Id="rId635" Type="http://schemas.openxmlformats.org/officeDocument/2006/relationships/hyperlink" Target="https://www.zillow.com/homedetails/14133-Tiara-St-Sherman-Oaks-CA-91401/19972784_zpid/" TargetMode="External"/><Relationship Id="rId232" Type="http://schemas.openxmlformats.org/officeDocument/2006/relationships/hyperlink" Target="https://www.zillow.com/homedetails/1427-Columbia-Dr-Glendale-CA-91205/20847539_zpid/?utm_campaign=iosappmessage&amp;utm_medium=referral&amp;utm_source=txtshare" TargetMode="External"/><Relationship Id="rId274" Type="http://schemas.openxmlformats.org/officeDocument/2006/relationships/hyperlink" Target="https://drive.google.com/open?id=1ATYe5B5jzNSry08ltD0XTPf2iHS8s37b" TargetMode="External"/><Relationship Id="rId481" Type="http://schemas.openxmlformats.org/officeDocument/2006/relationships/hyperlink" Target="https://www.zillow.com/homedetails/31777-Broad-Beach-Rd-Malibu-CA-90265/20557808_zpid/" TargetMode="External"/><Relationship Id="rId27" Type="http://schemas.openxmlformats.org/officeDocument/2006/relationships/hyperlink" Target="https://www.zillow.com/homedetails/1916-W-Court-St-Los-Angeles-CA-90026/20627817_zpid/" TargetMode="External"/><Relationship Id="rId69" Type="http://schemas.openxmlformats.org/officeDocument/2006/relationships/hyperlink" Target="https://www.zillow.com/homedetails/2559-Hutton-Dr-Beverly-Hills-CA-90210/20532078_zpid/" TargetMode="External"/><Relationship Id="rId134" Type="http://schemas.openxmlformats.org/officeDocument/2006/relationships/hyperlink" Target="https://www.zillow.com/homedetails/716-N-Kenter-Ave-Los-Angeles-CA-90049/20560387_zpid/" TargetMode="External"/><Relationship Id="rId537" Type="http://schemas.openxmlformats.org/officeDocument/2006/relationships/hyperlink" Target="https://www.zillow.com/homedetails/3215-Ocean-Front-Walk-101-Marina-Del-Rey-CA-90292/51582315_zpid/" TargetMode="External"/><Relationship Id="rId579" Type="http://schemas.openxmlformats.org/officeDocument/2006/relationships/hyperlink" Target="https://www.zillow.com/homedetails/550-San-Juan-Ave-Venice-CA-90291/95663701_zpid/" TargetMode="External"/><Relationship Id="rId80" Type="http://schemas.openxmlformats.org/officeDocument/2006/relationships/hyperlink" Target="https://www.zillow.com/homedetails/8700-Chalmers-Dr-301-Los-Angeles-CA-90035/2078397244_zpid/" TargetMode="External"/><Relationship Id="rId176" Type="http://schemas.openxmlformats.org/officeDocument/2006/relationships/hyperlink" Target="https://drive.google.com/open?id=1iy3vQ_D_UmLpHzaIeslr0NdrwlFvxl3v" TargetMode="External"/><Relationship Id="rId341" Type="http://schemas.openxmlformats.org/officeDocument/2006/relationships/hyperlink" Target="https://drive.google.com/open?id=1i_ALZuHmfPo1tfSSeeNz4ym95dJw7su9" TargetMode="External"/><Relationship Id="rId383" Type="http://schemas.openxmlformats.org/officeDocument/2006/relationships/hyperlink" Target="https://www.zillow.com/homedetails/12117-Alberta-Dr-Los-Angeles-CA-90230/20439895_zpid/" TargetMode="External"/><Relationship Id="rId439" Type="http://schemas.openxmlformats.org/officeDocument/2006/relationships/hyperlink" Target="https://drive.google.com/open?id=1dptJdziJJOk5SERVhBEgLXtfm_DvUh7w" TargetMode="External"/><Relationship Id="rId590" Type="http://schemas.openxmlformats.org/officeDocument/2006/relationships/hyperlink" Target="https://www.zillow.com/homedetails/(undisclosed-Address)-Venice-CA-90291/443897944_zpid/?utm_campaign=iosappmessage&amp;utm_medium=referral&amp;utm_source=txtshare" TargetMode="External"/><Relationship Id="rId604" Type="http://schemas.openxmlformats.org/officeDocument/2006/relationships/hyperlink" Target="https://www.zillow.com/homedetails/5204-Etiwanda-Ave-Tarzana-CA-91356/19949467_zpid/" TargetMode="External"/><Relationship Id="rId201" Type="http://schemas.openxmlformats.org/officeDocument/2006/relationships/hyperlink" Target="https://drive.google.com/open?id=1DKzGSKa1tenN-YHceTeH8MAIko197Sm-" TargetMode="External"/><Relationship Id="rId243" Type="http://schemas.openxmlformats.org/officeDocument/2006/relationships/hyperlink" Target="https://drive.google.com/open?id=1xuerSwngFGX_-pO2OY9yuXAT9OjclwEh" TargetMode="External"/><Relationship Id="rId285" Type="http://schemas.openxmlformats.org/officeDocument/2006/relationships/hyperlink" Target="https://www.zillow.com/homedetails/1221-Myra-Ave-PENTHOUSE-605-Los-Angeles-CA-90029/442628656_zpid/" TargetMode="External"/><Relationship Id="rId450" Type="http://schemas.openxmlformats.org/officeDocument/2006/relationships/hyperlink" Target="https://www.redfin.com/CA/West-Hollywood/828-Westmount-Dr-90069/home/6816738" TargetMode="External"/><Relationship Id="rId506" Type="http://schemas.openxmlformats.org/officeDocument/2006/relationships/hyperlink" Target="https://www.zillow.com/homedetails/632-N-Hayworth-Ave-APT-3-Los-Angeles-CA-90048/2080867853_zpid/" TargetMode="External"/><Relationship Id="rId38" Type="http://schemas.openxmlformats.org/officeDocument/2006/relationships/hyperlink" Target="https://www.zillow.com/homedetails/1610-S-Hayworth-Ave-Los-Angeles-CA-90035/20599960_zpid/" TargetMode="External"/><Relationship Id="rId103" Type="http://schemas.openxmlformats.org/officeDocument/2006/relationships/hyperlink" Target="https://www.zillow.com/homedetails/6076-Hargis-St-Los-Angeles-CA-90034/20598124_zpid/" TargetMode="External"/><Relationship Id="rId310" Type="http://schemas.openxmlformats.org/officeDocument/2006/relationships/hyperlink" Target="https://drive.google.com/open?id=1To-wMgLjwDdFW73Kj5AUtuKuoe2_8nts" TargetMode="External"/><Relationship Id="rId492" Type="http://schemas.openxmlformats.org/officeDocument/2006/relationships/hyperlink" Target="https://www.zillow.com/homedetails/5358-Baza-Ave-Woodland-Hills-CA-91364/19942951_zpid/" TargetMode="External"/><Relationship Id="rId548" Type="http://schemas.openxmlformats.org/officeDocument/2006/relationships/hyperlink" Target="https://drive.google.com/open?id=1AjqN0aQ8AXSsOa1iOn7lwpshsYqdDf2X" TargetMode="External"/><Relationship Id="rId91" Type="http://schemas.openxmlformats.org/officeDocument/2006/relationships/hyperlink" Target="https://www.zillow.com/homedetails/5316-Teesdale-Ave-Valley-Village-CA-91607/2053789692_zpid/" TargetMode="External"/><Relationship Id="rId145" Type="http://schemas.openxmlformats.org/officeDocument/2006/relationships/hyperlink" Target="https://drive.google.com/open?id=1nPArvHoEpy9CRXY8uairvDo-GHl_Yvtf" TargetMode="External"/><Relationship Id="rId187" Type="http://schemas.openxmlformats.org/officeDocument/2006/relationships/hyperlink" Target="https://www.zillow.com/homedetails/2307-Federal-Ave-Los-Angeles-CA-90064/2052980412_zpid/" TargetMode="External"/><Relationship Id="rId352" Type="http://schemas.openxmlformats.org/officeDocument/2006/relationships/hyperlink" Target="https://drive.google.com/open?id=1XIWAmEMheuJtE6JHUCdlaJIJid8go9m1" TargetMode="External"/><Relationship Id="rId394" Type="http://schemas.openxmlformats.org/officeDocument/2006/relationships/hyperlink" Target="https://drive.google.com/open?id=1SEaIrNQHq4Qp3gOLE_-aVWDEDICAciIm" TargetMode="External"/><Relationship Id="rId408" Type="http://schemas.openxmlformats.org/officeDocument/2006/relationships/hyperlink" Target="https://www.zillow.com/homedetails/8038-Blackburn-Ave-7-Los-Angeles-CA-90048/2067901955_zpid/" TargetMode="External"/><Relationship Id="rId615" Type="http://schemas.openxmlformats.org/officeDocument/2006/relationships/hyperlink" Target="https://drive.google.com/open?id=1yzeDZzMJ5jrnVlKKivqSiJZTn03DEIx7" TargetMode="External"/><Relationship Id="rId212" Type="http://schemas.openxmlformats.org/officeDocument/2006/relationships/hyperlink" Target="https://www.zillow.com/homedetails/Burbank-CA-91504/20060493_zpid/?utm_campaign=androidappmessage&amp;utm_medium=referral&amp;utm_source=txtshare" TargetMode="External"/><Relationship Id="rId254" Type="http://schemas.openxmlformats.org/officeDocument/2006/relationships/hyperlink" Target="https://www.zillow.com/homedetails/700-N-Irena-Ave-Redondo-Beach-CA-90277/21317441_zpid/" TargetMode="External"/><Relationship Id="rId49" Type="http://schemas.openxmlformats.org/officeDocument/2006/relationships/hyperlink" Target="https://www.zillow.com/homedetails/1851-Tamerlane-Dr-Glendale-CA-91208/20839703_zpid/?utm_campaign=iosappmessage&amp;utm_medium=referral&amp;utm_source=txtshare" TargetMode="External"/><Relationship Id="rId114" Type="http://schemas.openxmlformats.org/officeDocument/2006/relationships/hyperlink" Target="https://www.zillow.com/homedetails/220-Avenue-A-Redondo-Beach-CA-90277/21322400_zpid/" TargetMode="External"/><Relationship Id="rId296" Type="http://schemas.openxmlformats.org/officeDocument/2006/relationships/hyperlink" Target="https://www.zillow.com/homedetails/7599-W-Coastal-View-Dr-Los-Angeles-CA-90045/443793824_zpid/?utm_campaign=iosappmessage&amp;utm_medium=referral&amp;utm_source=txtshare" TargetMode="External"/><Relationship Id="rId461" Type="http://schemas.openxmlformats.org/officeDocument/2006/relationships/hyperlink" Target="https://www.zillow.com/homedetails/23608-Pineforest-Ln-Harbor-City-CA-90710/21289318_zpid/" TargetMode="External"/><Relationship Id="rId517" Type="http://schemas.openxmlformats.org/officeDocument/2006/relationships/hyperlink" Target="https://www.redfin.com/CA/Harbor-City/1661-259th-St-90710/unit-235/home/193276678" TargetMode="External"/><Relationship Id="rId559" Type="http://schemas.openxmlformats.org/officeDocument/2006/relationships/hyperlink" Target="https://www.zillow.com/homedetails/Woodland-Hills-CA-91367/19878327_zpid/" TargetMode="External"/><Relationship Id="rId60" Type="http://schemas.openxmlformats.org/officeDocument/2006/relationships/hyperlink" Target="https://www.zillow.com/homedetails/1026-E-Verdugo-Ave-Burbank-CA-91501/20054588_zpid/" TargetMode="External"/><Relationship Id="rId156" Type="http://schemas.openxmlformats.org/officeDocument/2006/relationships/hyperlink" Target="https://drive.google.com/open?id=1uqt7MscCxpqVSfbamcjP127Jt5AqNNHG" TargetMode="External"/><Relationship Id="rId198" Type="http://schemas.openxmlformats.org/officeDocument/2006/relationships/hyperlink" Target="https://drive.google.com/open?id=1XP6fivbXUPcz0msibc26R74FE1q5PfEQ" TargetMode="External"/><Relationship Id="rId321" Type="http://schemas.openxmlformats.org/officeDocument/2006/relationships/hyperlink" Target="https://www.zillow.com/homedetails/2442-Beverwil-Dr-Los-Angeles-CA-90034/20494462_zpid/" TargetMode="External"/><Relationship Id="rId363" Type="http://schemas.openxmlformats.org/officeDocument/2006/relationships/hyperlink" Target="https://www.zillow.com/homedetails/1416-Pandora-Ave-Los-Angeles-CA-90024/20507742_zpid/" TargetMode="External"/><Relationship Id="rId419" Type="http://schemas.openxmlformats.org/officeDocument/2006/relationships/hyperlink" Target="https://www.zillow.com/homedetails/2948-Eckleson-St-Lakewood-CA-90712/21168830_zpid/?utm_campaign=iosappmessage&amp;utm_medium=referral&amp;utm_source=txtshare" TargetMode="External"/><Relationship Id="rId570" Type="http://schemas.openxmlformats.org/officeDocument/2006/relationships/hyperlink" Target="https://www.zillow.com/homedetails/20300-Oxnard-St-Woodland-Hills-CA-91367/19931424_zpid/?utm_campaign=iosappmessage&amp;utm_medium=referral&amp;utm_source=txtshare" TargetMode="External"/><Relationship Id="rId626" Type="http://schemas.openxmlformats.org/officeDocument/2006/relationships/hyperlink" Target="https://www.zillow.com/homedetails/1141-Summit-Dr-Beverly-Hills-CA-90210/135433958_zpid/" TargetMode="External"/><Relationship Id="rId223" Type="http://schemas.openxmlformats.org/officeDocument/2006/relationships/hyperlink" Target="https://drive.google.com/open?id=1YIXIrkHjZvuWe_ZTcjPCP7msmaNxwdW4" TargetMode="External"/><Relationship Id="rId430" Type="http://schemas.openxmlformats.org/officeDocument/2006/relationships/hyperlink" Target="https://www.zillow.com/homedetails/7540-Quimby-Ave-West-Hills-CA-91307/19865941_zpid/" TargetMode="External"/><Relationship Id="rId18" Type="http://schemas.openxmlformats.org/officeDocument/2006/relationships/hyperlink" Target="https://www.zillow.com/homedetails/3715-Kelton-Ave-APT-3-Los-Angeles-CA-90034/2080996983_zpid/" TargetMode="External"/><Relationship Id="rId265" Type="http://schemas.openxmlformats.org/officeDocument/2006/relationships/hyperlink" Target="https://drive.google.com/open?id=1Q9vPuxCvxfsl41GSeNPWht_Bo1qii-Qs" TargetMode="External"/><Relationship Id="rId472" Type="http://schemas.openxmlformats.org/officeDocument/2006/relationships/hyperlink" Target="https://www.zillow.com/homedetails/900-S-Orange-Grove-Blvd-APT-C-Pasadena-CA-91105/20860599_zpid/?utm_campaign=iosappmessage&amp;utm_medium=referral&amp;utm_source=txtshare" TargetMode="External"/><Relationship Id="rId528" Type="http://schemas.openxmlformats.org/officeDocument/2006/relationships/hyperlink" Target="https://www.zillow.com/homedetails/3418-Glendale-Blvd-1-2-Los-Angeles-CA-90039/441657486_zpid/" TargetMode="External"/><Relationship Id="rId125" Type="http://schemas.openxmlformats.org/officeDocument/2006/relationships/hyperlink" Target="https://www.zillow.com/homedetails/912-N-Vendome-St-Los-Angeles-CA-90026/2083961992_zpid/" TargetMode="External"/><Relationship Id="rId167" Type="http://schemas.openxmlformats.org/officeDocument/2006/relationships/hyperlink" Target="https://www.zillow.com/homedetails/5948-Abernathy-Dr-Los-Angeles-CA-90045/20378962_zpid/" TargetMode="External"/><Relationship Id="rId332" Type="http://schemas.openxmlformats.org/officeDocument/2006/relationships/hyperlink" Target="https://www.zillow.com/homedetails/20-28th-Ave-APT-C-Venice-CA-90291/2092186923_zpid/" TargetMode="External"/><Relationship Id="rId374" Type="http://schemas.openxmlformats.org/officeDocument/2006/relationships/hyperlink" Target="https://www.zillow.com/homedetails/8401-Remmet-Ave-Canoga-Park-CA-91304/20179428_zpid/" TargetMode="External"/><Relationship Id="rId581" Type="http://schemas.openxmlformats.org/officeDocument/2006/relationships/hyperlink" Target="https://www.zillow.com/homedetails/7320-Balboa-Blvd-Van-Nuys-CA-91406/2076966998_zpid/" TargetMode="External"/><Relationship Id="rId71" Type="http://schemas.openxmlformats.org/officeDocument/2006/relationships/hyperlink" Target="https://drive.google.com/open?id=1V18ERb5uGG3twa-Qp410Y2d9PmUGuzm2" TargetMode="External"/><Relationship Id="rId234" Type="http://schemas.openxmlformats.org/officeDocument/2006/relationships/hyperlink" Target="https://drive.google.com/open?id=13XxrWddwBbsSyjIJlvNNxD8Hu9RndxAt" TargetMode="External"/><Relationship Id="rId637" Type="http://schemas.openxmlformats.org/officeDocument/2006/relationships/hyperlink" Target="https://www.zillow.com/homedetails/10923-Ayres-Ave-1-Los-Angeles-CA-90064/440958563_zpid/" TargetMode="External"/><Relationship Id="rId2" Type="http://schemas.openxmlformats.org/officeDocument/2006/relationships/hyperlink" Target="https://drive.google.com/open?id=1TNZjEhc8FT1ZB4hscYcjp8j9RfhQ6pua" TargetMode="External"/><Relationship Id="rId29" Type="http://schemas.openxmlformats.org/officeDocument/2006/relationships/hyperlink" Target="https://www.zillow.com/homedetails/2229-Willetta-St-Los-Angeles-CA-90068/20804418_zpid/" TargetMode="External"/><Relationship Id="rId276" Type="http://schemas.openxmlformats.org/officeDocument/2006/relationships/hyperlink" Target="https://drive.google.com/open?id=1F4K1W5k5QTO2OM0ImMyiCWvH2yAo6MTM" TargetMode="External"/><Relationship Id="rId441" Type="http://schemas.openxmlformats.org/officeDocument/2006/relationships/hyperlink" Target="https://www.zillow.com/homedetails/1622-Viewmont-Dr-Los-Angeles-CA-90069/95641245_zpid/" TargetMode="External"/><Relationship Id="rId483" Type="http://schemas.openxmlformats.org/officeDocument/2006/relationships/hyperlink" Target="https://www.zillow.com/homedetails/909-El-Centro-St-FLOOR-2-ID1158-South-Pasadena-CA-91030/2053698939_zpid/" TargetMode="External"/><Relationship Id="rId539" Type="http://schemas.openxmlformats.org/officeDocument/2006/relationships/hyperlink" Target="https://drive.google.com/open?id=1y4x3osig7e8Kz9E4C5uTOH9M055vlU-9" TargetMode="External"/><Relationship Id="rId40" Type="http://schemas.openxmlformats.org/officeDocument/2006/relationships/hyperlink" Target="https://www.zillow.com/homedetails/8400-Grand-View-Dr-Los-Angeles-CA-90046/20797928_zpid/" TargetMode="External"/><Relationship Id="rId136" Type="http://schemas.openxmlformats.org/officeDocument/2006/relationships/hyperlink" Target="https://www.zillow.com/homedetails/11826-Dorothy-St-APT-202-Los-Angeles-CA-90049/63090973_zpid/" TargetMode="External"/><Relationship Id="rId178" Type="http://schemas.openxmlformats.org/officeDocument/2006/relationships/hyperlink" Target="https://drive.google.com/open?id=1WwE00MiyjxRRmfvXtzlihPpwolGb1Suq" TargetMode="External"/><Relationship Id="rId301" Type="http://schemas.openxmlformats.org/officeDocument/2006/relationships/hyperlink" Target="https://www.zillow.com/homedetails/11455-Segrell-Way-Culver-City-CA-90230/20438430_zpid/" TargetMode="External"/><Relationship Id="rId343" Type="http://schemas.openxmlformats.org/officeDocument/2006/relationships/hyperlink" Target="https://www.zillow.com/homedetails/Culver-City-CA-90232/20432486_zpid/" TargetMode="External"/><Relationship Id="rId550" Type="http://schemas.openxmlformats.org/officeDocument/2006/relationships/hyperlink" Target="https://www.themls.com/Share/YWFmaWFkZmZp" TargetMode="External"/><Relationship Id="rId82" Type="http://schemas.openxmlformats.org/officeDocument/2006/relationships/hyperlink" Target="https://www.zillow.com/homedetails/28-26th-Ave-A-Venice-CA-90291/2098877025_zpid/" TargetMode="External"/><Relationship Id="rId203" Type="http://schemas.openxmlformats.org/officeDocument/2006/relationships/hyperlink" Target="https://www.zillow.com/homedetails/8147-Mulholland-Ter-Los-Angeles-CA-90046/20031972_zpid/?utm_campaign=iosappmessage&amp;utm_medium=referral&amp;utm_source=txtshare" TargetMode="External"/><Relationship Id="rId385" Type="http://schemas.openxmlformats.org/officeDocument/2006/relationships/hyperlink" Target="https://drive.google.com/open?id=14AtT3dYEljLZnnqfk0yA4esm5lOAmmvj" TargetMode="External"/><Relationship Id="rId592" Type="http://schemas.openxmlformats.org/officeDocument/2006/relationships/hyperlink" Target="https://www.zillow.com/homedetails/700-Main-St-UNIT-25-Venice-CA-90291/82877585_zpid/?utm_campaign=iosappmessage&amp;utm_medium=referral&amp;utm_source=txtshare" TargetMode="External"/><Relationship Id="rId606" Type="http://schemas.openxmlformats.org/officeDocument/2006/relationships/hyperlink" Target="https://www.compass.com/listing/14729-otsego-street-sherman-oaks-ca-91403/1751946698597328937/" TargetMode="External"/><Relationship Id="rId245" Type="http://schemas.openxmlformats.org/officeDocument/2006/relationships/hyperlink" Target="https://www.zillow.com/homedetails/2229-Willetta-St-Los-Angeles-CA-90068/20804418_zpid/?utm_campaign=iosappmessage&amp;utm_medium=referral&amp;utm_source=txtshare" TargetMode="External"/><Relationship Id="rId287" Type="http://schemas.openxmlformats.org/officeDocument/2006/relationships/hyperlink" Target="https://www.zillow.com/homedetails/446-S-Almont-Dr-Beverly-Hills-CA-90211/20513005_zpid/?utm_campaign=iosappmessage&amp;utm_medium=referral&amp;utm_source=txtshare" TargetMode="External"/><Relationship Id="rId410" Type="http://schemas.openxmlformats.org/officeDocument/2006/relationships/hyperlink" Target="https://www.zillow.com/homedetails/748-N-Detroit-St-Los-Angeles-CA-90046/20784322_zpid/?utm_campaign=iosappmessage&amp;utm_medium=referral&amp;utm_source=txtshare" TargetMode="External"/><Relationship Id="rId452" Type="http://schemas.openxmlformats.org/officeDocument/2006/relationships/hyperlink" Target="https://www.zillow.com/homedetails/8434-Shirley-Ave-Northridge-CA-91324/20182539_zpid/" TargetMode="External"/><Relationship Id="rId494" Type="http://schemas.openxmlformats.org/officeDocument/2006/relationships/hyperlink" Target="https://www.zillow.com/homedetails/17808-Sherman-Way-APT-127-Reseda-CA-91335/2061798789_zpid/?utm_campaign=iosappmessage&amp;utm_medium=referral&amp;utm_source=txtshare" TargetMode="External"/><Relationship Id="rId508" Type="http://schemas.openxmlformats.org/officeDocument/2006/relationships/hyperlink" Target="https://www.zillow.com/homedetails/8568-Burton-Way-APT-301-Los-Angeles-CA-90048/20514791_zpid/" TargetMode="External"/><Relationship Id="rId105" Type="http://schemas.openxmlformats.org/officeDocument/2006/relationships/hyperlink" Target="https://www.zillow.com/homedetails/1817-W-Silver-Lake-Dr-Los-Angeles-CA-90026/2096500924_zpid/" TargetMode="External"/><Relationship Id="rId147" Type="http://schemas.openxmlformats.org/officeDocument/2006/relationships/hyperlink" Target="https://www.zillow.com/homedetails/1055-S-Hayworth-Ave-Los-Angeles-CA-90035/2055493930_zpid/" TargetMode="External"/><Relationship Id="rId312" Type="http://schemas.openxmlformats.org/officeDocument/2006/relationships/hyperlink" Target="https://drive.google.com/open?id=1bA6okqOMHzTBpunt8fkIpws42Pf7AX45" TargetMode="External"/><Relationship Id="rId354" Type="http://schemas.openxmlformats.org/officeDocument/2006/relationships/hyperlink" Target="https://drive.google.com/open?id=1iC3YDc9sAw5kQF7xd8RQmqgwgK-Kxydf" TargetMode="External"/><Relationship Id="rId51" Type="http://schemas.openxmlformats.org/officeDocument/2006/relationships/hyperlink" Target="https://www.zillow.com/homedetails/8-Rancho-Laguna-Dr-Pomona-CA-91766/21662573_zpid/?utm_campaign=iosappmessage&amp;utm_medium=referral&amp;utm_source=txtshare" TargetMode="External"/><Relationship Id="rId93" Type="http://schemas.openxmlformats.org/officeDocument/2006/relationships/hyperlink" Target="https://www.zillow.com/homedetails/5351-Packard-St-Los-Angeles-CA-90019/20608115_zpid/" TargetMode="External"/><Relationship Id="rId189" Type="http://schemas.openxmlformats.org/officeDocument/2006/relationships/hyperlink" Target="https://drive.google.com/open?id=1Zev9PIso1a8dzC7pNzOUawwCr8wW--kN" TargetMode="External"/><Relationship Id="rId396" Type="http://schemas.openxmlformats.org/officeDocument/2006/relationships/hyperlink" Target="https://www.zillow.com/homedetails/1104-Casiano-Rd-Los-Angeles-CA-90049/20528677_zpid/" TargetMode="External"/><Relationship Id="rId561" Type="http://schemas.openxmlformats.org/officeDocument/2006/relationships/hyperlink" Target="https://www.redfin.com/CA/Los-Angeles/1612-Courtney-Ave-90046/home/7115359" TargetMode="External"/><Relationship Id="rId617" Type="http://schemas.openxmlformats.org/officeDocument/2006/relationships/hyperlink" Target="https://drive.google.com/open?id=197ATC5H295tlnPyEPvRqeA0jF7QK3c2r" TargetMode="External"/><Relationship Id="rId214" Type="http://schemas.openxmlformats.org/officeDocument/2006/relationships/hyperlink" Target="https://www.zillow.com/homedetails/1172-Linda-Flora-Dr-Los-Angeles-CA-90049/20528914_zpid/" TargetMode="External"/><Relationship Id="rId256" Type="http://schemas.openxmlformats.org/officeDocument/2006/relationships/hyperlink" Target="https://www.zillow.com/homedetails/3408-Alma-Ave-Manhattan-Beach-CA-90266/20420312_zpid/" TargetMode="External"/><Relationship Id="rId298" Type="http://schemas.openxmlformats.org/officeDocument/2006/relationships/hyperlink" Target="https://www.zillow.com/los-angeles-ca/rentals/?searchQueryState=%7B%22pagination%22%3A%7B%7D%2C%22isMapVisible%22%3Atrue%2C%22mapBounds%22%3A%7B%22west%22%3A-118.52363831787109%2C%22east%22%3A-118.4144616821289%2C%22south%22%3A34.03261687026668%2C%22north%22%3A34.12929785798081%7D%2C%22regionSelection%22%3A%5B%7B%22regionId%22%3A12447%2C%22regionType%22%3A6%7D%5D%2C%22filterState%22%3A%7B%22fr%22%3A%7B%22value%22%3Atrue%7D%2C%22fsba%22%3A%7B%22value%22%3Afalse%7D%2C%22fsbo%22%3A%7B%22value%22%3Afalse%7D%2C%22nc%22%3A%7B%22value%22%3Afalse%7D%2C%22cmsn%22%3A%7B%22value%22%3Afalse%7D%2C%22auc%22%3A%7B%22value%22%3Afalse%7D%2C%22fore%22%3A%7B%22value%22%3Afalse%7D%7D%2C%22isListVisible%22%3Atrue%2C%22mapZoom%22%3A13%7D" TargetMode="External"/><Relationship Id="rId421" Type="http://schemas.openxmlformats.org/officeDocument/2006/relationships/hyperlink" Target="https://drive.google.com/open?id=1VQygLJ_YQEvevj_Nxrs7xC1omnFMhJJ9" TargetMode="External"/><Relationship Id="rId463" Type="http://schemas.openxmlformats.org/officeDocument/2006/relationships/hyperlink" Target="https://drive.google.com/open?id=1WcKkv6ewyYREaTHbRAhDPhH8ZEssCfhA" TargetMode="External"/><Relationship Id="rId519" Type="http://schemas.openxmlformats.org/officeDocument/2006/relationships/hyperlink" Target="https://www.zillow.com/homedetails/7665-Woodrow-Wilson-Dr-Los-Angeles-CA-90046/20802829_zpid/" TargetMode="External"/><Relationship Id="rId116" Type="http://schemas.openxmlformats.org/officeDocument/2006/relationships/hyperlink" Target="https://drive.google.com/open?id=1ik9yzxfD6mAEk0w99kLSh1ekHxfR0Bbc" TargetMode="External"/><Relationship Id="rId158" Type="http://schemas.openxmlformats.org/officeDocument/2006/relationships/hyperlink" Target="https://drive.google.com/open?id=1MF6FDE8kEkFLdtGrQG8TrqIpxLmlJyCZ" TargetMode="External"/><Relationship Id="rId323" Type="http://schemas.openxmlformats.org/officeDocument/2006/relationships/hyperlink" Target="https://www.zillow.com/homedetails/700-Main-St-UNIT-25-Venice-CA-90291/82877585_zpid/" TargetMode="External"/><Relationship Id="rId530" Type="http://schemas.openxmlformats.org/officeDocument/2006/relationships/hyperlink" Target="https://www.zillow.com/homedetails/812-N-Croft-Ave-APT-201-Los-Angeles-CA-90069/2098592518_zpid/" TargetMode="External"/><Relationship Id="rId20" Type="http://schemas.openxmlformats.org/officeDocument/2006/relationships/hyperlink" Target="https://www.zillow.com/homedetails/1427-Columbia-Dr-Glendale-CA-91205/20847539_zpid/" TargetMode="External"/><Relationship Id="rId62" Type="http://schemas.openxmlformats.org/officeDocument/2006/relationships/hyperlink" Target="https://www.zillow.com/homedetails/Venice-CA-90291/2059889727_zpid/" TargetMode="External"/><Relationship Id="rId365" Type="http://schemas.openxmlformats.org/officeDocument/2006/relationships/hyperlink" Target="https://www.zillow.com/homedetails/354-S-Spring-St-FLOOR-10-ID1208-Los-Angeles-CA-90013/442289384_zpid/" TargetMode="External"/><Relationship Id="rId572" Type="http://schemas.openxmlformats.org/officeDocument/2006/relationships/hyperlink" Target="https://www.zillow.com/homedetails/1524-N-Sierra-Bonita-Ave-Los-Angeles-CA-90046/20794339_zpid/" TargetMode="External"/><Relationship Id="rId628" Type="http://schemas.openxmlformats.org/officeDocument/2006/relationships/hyperlink" Target="https://www.zillow.com/homedetails/12267-San-Vicente-Blvd-Los-Angeles-CA-90049/20538212_zpid/" TargetMode="External"/><Relationship Id="rId225" Type="http://schemas.openxmlformats.org/officeDocument/2006/relationships/hyperlink" Target="https://drive.google.com/open?id=1-Eb5AEYrX4Hfke_KyB58ZP98YUwDTlwr" TargetMode="External"/><Relationship Id="rId267" Type="http://schemas.openxmlformats.org/officeDocument/2006/relationships/hyperlink" Target="https://drive.google.com/open?id=1Bv7Wip_9bKpqyRr_LYUzVBvFKol7-uuQ" TargetMode="External"/><Relationship Id="rId432" Type="http://schemas.openxmlformats.org/officeDocument/2006/relationships/hyperlink" Target="https://www.zillow.com/homedetails/9530-Cedarbrook-Dr-Beverly-Hills-CA-90210/20533876_zpid/" TargetMode="External"/><Relationship Id="rId474" Type="http://schemas.openxmlformats.org/officeDocument/2006/relationships/hyperlink" Target="https://www.zillow.com/homedetails/Pacific-Palisades-CA-90272/20542872_zpid/" TargetMode="External"/><Relationship Id="rId127" Type="http://schemas.openxmlformats.org/officeDocument/2006/relationships/hyperlink" Target="https://www.zillow.com/homedetails/9105-Cordell-Dr-Los-Angeles-CA-90069/20799267_zpid/" TargetMode="External"/><Relationship Id="rId31" Type="http://schemas.openxmlformats.org/officeDocument/2006/relationships/hyperlink" Target="https://www.zillow.com/homedetails/2309-Hollyridge-Dr-Los-Angeles-CA-90068/20807768_zpid/" TargetMode="External"/><Relationship Id="rId73" Type="http://schemas.openxmlformats.org/officeDocument/2006/relationships/hyperlink" Target="https://drive.google.com/open?id=1fhSobXuxZhGPcfrN-Jlxfuhn11GnH5jQ" TargetMode="External"/><Relationship Id="rId169" Type="http://schemas.openxmlformats.org/officeDocument/2006/relationships/hyperlink" Target="https://www.zillow.com/homedetails/649-N-Edinburgh-Ave-Los-Angeles-CA-90048/20786041_zpid/" TargetMode="External"/><Relationship Id="rId334" Type="http://schemas.openxmlformats.org/officeDocument/2006/relationships/hyperlink" Target="https://www.zillow.com/homedetails/13318-Mulholland-Dr-Beverly-Hills-CA-90210/20533184_zpid/" TargetMode="External"/><Relationship Id="rId376" Type="http://schemas.openxmlformats.org/officeDocument/2006/relationships/hyperlink" Target="https://www.zillow.com/homedetails/17808-Sherman-Way-APT-127-Reseda-CA-91335/2061798789_zpid/" TargetMode="External"/><Relationship Id="rId541" Type="http://schemas.openxmlformats.org/officeDocument/2006/relationships/hyperlink" Target="https://www.zillow.com/homedetails/3701-Royal-Meadow-Rd-Sherman-Oaks-CA-91403/19990560_zpid/" TargetMode="External"/><Relationship Id="rId583" Type="http://schemas.openxmlformats.org/officeDocument/2006/relationships/hyperlink" Target="https://www.zillow.com/homedetails/1318-S-Roxbury-Dr-111-Los-Angeles-CA-90035/95527136_zpid/" TargetMode="External"/><Relationship Id="rId639" Type="http://schemas.openxmlformats.org/officeDocument/2006/relationships/hyperlink" Target="https://drive.google.com/open?id=1zQy_r3JN941ZOrOhvPzV9Tm7nRPlY_GG" TargetMode="External"/><Relationship Id="rId4" Type="http://schemas.openxmlformats.org/officeDocument/2006/relationships/hyperlink" Target="https://drive.google.com/open?id=1sm1ldDEdkeEeS5nfhyOXxZo1hYp050CE" TargetMode="External"/><Relationship Id="rId180" Type="http://schemas.openxmlformats.org/officeDocument/2006/relationships/hyperlink" Target="https://www.zillow.com/homedetails/13252-Magnolia-Blvd-Sherman-Oaks-CA-91423/20021216_zpid/" TargetMode="External"/><Relationship Id="rId236" Type="http://schemas.openxmlformats.org/officeDocument/2006/relationships/hyperlink" Target="https://drive.google.com/open?id=1QdCaG10dp_0I5G20noHWOZH14EruF-_M" TargetMode="External"/><Relationship Id="rId278" Type="http://schemas.openxmlformats.org/officeDocument/2006/relationships/hyperlink" Target="https://drive.google.com/open?id=1qjQGpYS4NVE8KEG0qchARlBWc0TQcv9A" TargetMode="External"/><Relationship Id="rId401" Type="http://schemas.openxmlformats.org/officeDocument/2006/relationships/hyperlink" Target="https://www.trulia.com/home/592-30th-st-manhattan-beach-ca-90266-20420685?cid=shr%7Capp_ios_rental_phone%7Crent%7Cpdp_share" TargetMode="External"/><Relationship Id="rId443" Type="http://schemas.openxmlformats.org/officeDocument/2006/relationships/hyperlink" Target="https://www.zillow.com/homedetails/2730-Earle-Ave-Rosemead-CA-91770/2097129855_zpid/" TargetMode="External"/><Relationship Id="rId303" Type="http://schemas.openxmlformats.org/officeDocument/2006/relationships/hyperlink" Target="https://drive.google.com/open?id=1bmzYjkvGlufXrTKBcwKKAUgYUxt1EJ2J" TargetMode="External"/><Relationship Id="rId485" Type="http://schemas.openxmlformats.org/officeDocument/2006/relationships/hyperlink" Target="https://www.zillow.com/homedetails/314-Upper-Lake-Rd-Westlake-Village-CA-91361/2062639240_zpid/" TargetMode="External"/><Relationship Id="rId42" Type="http://schemas.openxmlformats.org/officeDocument/2006/relationships/hyperlink" Target="https://www.zillow.com/homedetails/7612-Willow-Glen-Rd-Los-Angeles-CA-90046/20801864_zpid/" TargetMode="External"/><Relationship Id="rId84" Type="http://schemas.openxmlformats.org/officeDocument/2006/relationships/hyperlink" Target="https://www.zillow.com/homedetails/4865-Eldred-St-Los-Angeles-CA-90042/20763415_zpid/" TargetMode="External"/><Relationship Id="rId138" Type="http://schemas.openxmlformats.org/officeDocument/2006/relationships/hyperlink" Target="https://www.zillow.com/homedetails/3672-Jasmine-Ave-UNIT-102-Los-Angeles-CA-90034/2061496314_zpid/" TargetMode="External"/><Relationship Id="rId345" Type="http://schemas.openxmlformats.org/officeDocument/2006/relationships/hyperlink" Target="https://drive.google.com/open?id=1PWp7PllOi1Rub3Tl7Z2EZWi8m_J1F7K8" TargetMode="External"/><Relationship Id="rId387" Type="http://schemas.openxmlformats.org/officeDocument/2006/relationships/hyperlink" Target="https://drive.google.com/open?id=1Sl4o0K4RXjkhXy0afE1ZW0eZGQea16Qz" TargetMode="External"/><Relationship Id="rId510" Type="http://schemas.openxmlformats.org/officeDocument/2006/relationships/hyperlink" Target="https://www.zillow.com/homedetails/4643-1-2-Pickford-St-Los-Angeles-CA-90019/2096718267_zpid/" TargetMode="External"/><Relationship Id="rId552" Type="http://schemas.openxmlformats.org/officeDocument/2006/relationships/hyperlink" Target="https://www.zillow.com/homedetails/7171-La-Presa-Dr-Los-Angeles-CA-90068/20793583_zpid/" TargetMode="External"/><Relationship Id="rId594" Type="http://schemas.openxmlformats.org/officeDocument/2006/relationships/hyperlink" Target="https://www.zillow.com/homedetails/19500-Oxnard-St-Tarzana-CA-91356/401888932_zpid/" TargetMode="External"/><Relationship Id="rId608" Type="http://schemas.openxmlformats.org/officeDocument/2006/relationships/hyperlink" Target="https://www.zillow.com/homedetails/Los-Angeles-CA-90065/443611488_zpid/?" TargetMode="External"/><Relationship Id="rId191" Type="http://schemas.openxmlformats.org/officeDocument/2006/relationships/hyperlink" Target="https://drive.google.com/open?id=1vT4ETMcdP3zM7xr4-3EVAS7BALMSPBSj" TargetMode="External"/><Relationship Id="rId205" Type="http://schemas.openxmlformats.org/officeDocument/2006/relationships/hyperlink" Target="https://www.zillow.com/homedetails/1846-N-Alvarado-St-Los-Angeles-CA-90026/20742169_zpid/" TargetMode="External"/><Relationship Id="rId247" Type="http://schemas.openxmlformats.org/officeDocument/2006/relationships/hyperlink" Target="https://www.zillow.com/homedetails/10919-Ayres-Ave-Los-Angeles-CA-90064/2098430421_zpid/" TargetMode="External"/><Relationship Id="rId412" Type="http://schemas.openxmlformats.org/officeDocument/2006/relationships/hyperlink" Target="https://www.zillow.com/homedetails/845-N-Formosa-Ave-Los-Angeles-CA-90046/2088165910_zpid/" TargetMode="External"/><Relationship Id="rId107" Type="http://schemas.openxmlformats.org/officeDocument/2006/relationships/hyperlink" Target="https://www.zillow.com/homedetails/77-E-Altadena-Dr-Altadena-CA-91001/20911914_zpid/" TargetMode="External"/><Relationship Id="rId289" Type="http://schemas.openxmlformats.org/officeDocument/2006/relationships/hyperlink" Target="https://www.zillow.com/homedetails/1106-Maybrook-Dr-Beverly-Hills-CA-90210/20524112_zpid/" TargetMode="External"/><Relationship Id="rId454" Type="http://schemas.openxmlformats.org/officeDocument/2006/relationships/hyperlink" Target="https://drive.google.com/open?id=1YfA8WvE-02u1yo5LCj4wODpXVDyYdbDm" TargetMode="External"/><Relationship Id="rId496" Type="http://schemas.openxmlformats.org/officeDocument/2006/relationships/hyperlink" Target="https://www.zillow.com/homedetails/Hermosa-Beach-CA-90254/20425174_zpid/" TargetMode="External"/><Relationship Id="rId11" Type="http://schemas.openxmlformats.org/officeDocument/2006/relationships/hyperlink" Target="https://www.zillow.com/homedetails/1915-S-Crescent-Heights-Blvd-Los-Angeles-CA-90034/20598384_zpid/" TargetMode="External"/><Relationship Id="rId53" Type="http://schemas.openxmlformats.org/officeDocument/2006/relationships/hyperlink" Target="https://www.zillow.com/homedetails/6505-Pacific-Ave-1-Playa-Del-Rey-CA-90293/2089340224_zpid/" TargetMode="External"/><Relationship Id="rId149" Type="http://schemas.openxmlformats.org/officeDocument/2006/relationships/hyperlink" Target="https://drive.google.com/open?id=1mcnGkktBbTOcOJJhgQVUf14I_ezBxFaV" TargetMode="External"/><Relationship Id="rId314" Type="http://schemas.openxmlformats.org/officeDocument/2006/relationships/hyperlink" Target="https://drive.google.com/open?id=15qA2u2OeySJVBuMkdGhfdBG1Z2G-1g2o" TargetMode="External"/><Relationship Id="rId356" Type="http://schemas.openxmlformats.org/officeDocument/2006/relationships/hyperlink" Target="https://www.zillow.com/homedetails/1106-Oakwood-Ave-Venice-CA-90291/20450981_zpid/" TargetMode="External"/><Relationship Id="rId398" Type="http://schemas.openxmlformats.org/officeDocument/2006/relationships/hyperlink" Target="https://www.zillow.com/homedetails/1815-Oak-View-Ln-Arcadia-CA-91006/20883953_zpid/" TargetMode="External"/><Relationship Id="rId521" Type="http://schemas.openxmlformats.org/officeDocument/2006/relationships/hyperlink" Target="https://www.zillow.com/homedetails/5109-Longridge-Ave-Sherman-Oaks-CA-91423/20021223_zpid/" TargetMode="External"/><Relationship Id="rId563" Type="http://schemas.openxmlformats.org/officeDocument/2006/relationships/hyperlink" Target="https://www.zillow.com/homedetails/2227-Pearl-St-Santa-Monica-CA-90405/20472937_zpid/" TargetMode="External"/><Relationship Id="rId619" Type="http://schemas.openxmlformats.org/officeDocument/2006/relationships/hyperlink" Target="https://www.zillow.com/homedetails/166-S-McCadden-Pl-Los-Angeles-CA-90004/20778258_zpid/" TargetMode="External"/><Relationship Id="rId95" Type="http://schemas.openxmlformats.org/officeDocument/2006/relationships/hyperlink" Target="https://www.zillow.com/homedetails/2205-Ocean-Front-Walk-Venice-CA-90291/59276620_zpid/" TargetMode="External"/><Relationship Id="rId160" Type="http://schemas.openxmlformats.org/officeDocument/2006/relationships/hyperlink" Target="https://www.zillow.com/homedetails/4707-Libbit-Ave-Encino-CA-91436/19991540_zpid/" TargetMode="External"/><Relationship Id="rId216" Type="http://schemas.openxmlformats.org/officeDocument/2006/relationships/hyperlink" Target="https://www.zillow.com/homedetails/1966-Rangeview-Dr-Glendale-CA-91201/20821772_zpid/" TargetMode="External"/><Relationship Id="rId423" Type="http://schemas.openxmlformats.org/officeDocument/2006/relationships/hyperlink" Target="https://drive.google.com/open?id=1rT-8MNa_fhtodlQg8X4PmmER-0tT5Nq4" TargetMode="External"/><Relationship Id="rId258" Type="http://schemas.openxmlformats.org/officeDocument/2006/relationships/hyperlink" Target="https://www.zillow.com/homedetails/1222-Hilldale-Ave-Los-Angeles-CA-90069/20799396_zpid/" TargetMode="External"/><Relationship Id="rId465" Type="http://schemas.openxmlformats.org/officeDocument/2006/relationships/hyperlink" Target="https://drive.google.com/open?id=1ce3wJ_J3K76gz9ExRsaG-QJ2ugCYnyxV" TargetMode="External"/><Relationship Id="rId630" Type="http://schemas.openxmlformats.org/officeDocument/2006/relationships/hyperlink" Target="https://www.zillow.com/homedetails/380-Trousdale-Pl-Beverly-Hills-CA-90210/20534471_zpid/" TargetMode="External"/><Relationship Id="rId22" Type="http://schemas.openxmlformats.org/officeDocument/2006/relationships/hyperlink" Target="https://drive.google.com/open?id=1N-jwy0O5CQlECavSOx0ioz1XnjQZUOe8" TargetMode="External"/><Relationship Id="rId64" Type="http://schemas.openxmlformats.org/officeDocument/2006/relationships/hyperlink" Target="https://www.zillow.com/homedetails/2390-Nalin-Dr-Los-Angeles-CA-90077/20531088_zpid/" TargetMode="External"/><Relationship Id="rId118" Type="http://schemas.openxmlformats.org/officeDocument/2006/relationships/hyperlink" Target="https://drive.google.com/open?id=1Fh3sj9aWBnq7GSLxHwrY3Uz047N6JO6f" TargetMode="External"/><Relationship Id="rId325" Type="http://schemas.openxmlformats.org/officeDocument/2006/relationships/hyperlink" Target="https://www.zillow.com/homedetails/823-S-Sierra-Bonita-Ave-Los-Angeles-CA-90036/20610339_zpid/" TargetMode="External"/><Relationship Id="rId367" Type="http://schemas.openxmlformats.org/officeDocument/2006/relationships/hyperlink" Target="https://www.zillow.com/homedetails/1723-S-Durango-Ave-Los-Angeles-CA-90035/20492797_zpid/" TargetMode="External"/><Relationship Id="rId532" Type="http://schemas.openxmlformats.org/officeDocument/2006/relationships/hyperlink" Target="https://www.zillow.com/homedetails/3771-Keystone-Ave-14106-Los-Angeles-CA-90034/442573913_zpid/" TargetMode="External"/><Relationship Id="rId574" Type="http://schemas.openxmlformats.org/officeDocument/2006/relationships/hyperlink" Target="https://www.zillow.com/homedetails/6248-Teesdale-Ave-North-Hollywood-CA-91606/20009083_zpid/" TargetMode="External"/><Relationship Id="rId171" Type="http://schemas.openxmlformats.org/officeDocument/2006/relationships/hyperlink" Target="https://drive.google.com/open?id=1aGY98jQbt2iSCHhzQDlio7tvHTzVs_jB" TargetMode="External"/><Relationship Id="rId227" Type="http://schemas.openxmlformats.org/officeDocument/2006/relationships/hyperlink" Target="https://drive.google.com/open?id=1YoVaUBPOqLwNTz4M-C_iei4pwUkgbAEp" TargetMode="External"/><Relationship Id="rId269" Type="http://schemas.openxmlformats.org/officeDocument/2006/relationships/hyperlink" Target="https://drive.google.com/open?id=1c3pVWwcTW_y8cQ8vXVpZdgeXeWyfHncC" TargetMode="External"/><Relationship Id="rId434" Type="http://schemas.openxmlformats.org/officeDocument/2006/relationships/hyperlink" Target="https://www.zillow.com/homedetails/2021-Vineburn-Ave-Los-Angeles-CA-90032/20640409_zpid/" TargetMode="External"/><Relationship Id="rId476" Type="http://schemas.openxmlformats.org/officeDocument/2006/relationships/hyperlink" Target="https://drive.google.com/open?id=1MqemVQD-QAhxCaBLJdkfGLHpADnaYHQt" TargetMode="External"/><Relationship Id="rId641" Type="http://schemas.openxmlformats.org/officeDocument/2006/relationships/hyperlink" Target="https://drive.google.com/open?id=1mtOIovnQcc2__4BoJWkF76gXQY7idyIT" TargetMode="External"/><Relationship Id="rId33" Type="http://schemas.openxmlformats.org/officeDocument/2006/relationships/hyperlink" Target="https://www.zillow.com/homedetails/1456-Sunset-Plaza-Dr-Los-Angeles-CA-90069/20799013_zpid/" TargetMode="External"/><Relationship Id="rId129" Type="http://schemas.openxmlformats.org/officeDocument/2006/relationships/hyperlink" Target="https://www.zillow.com/homedetails/2847-Deep-Canyon-Dr-Beverly-Hills-CA-90210/20531974_zpid/" TargetMode="External"/><Relationship Id="rId280" Type="http://schemas.openxmlformats.org/officeDocument/2006/relationships/hyperlink" Target="https://www.zillow.com/homedetails/274-S-La-Fayette-Park-Pl-2B-2BA-Los-Angeles-CA-90057/441951840_zpid/" TargetMode="External"/><Relationship Id="rId336" Type="http://schemas.openxmlformats.org/officeDocument/2006/relationships/hyperlink" Target="https://www.zillow.com/homedetails/11361-Ovada-Pl-APT-2-Los-Angeles-CA-90049/2111162635_zpid/" TargetMode="External"/><Relationship Id="rId501" Type="http://schemas.openxmlformats.org/officeDocument/2006/relationships/hyperlink" Target="https://www.redfin.com/CA/Los-Angeles/6358-La-Rocha-Dr-90068/home/7127670" TargetMode="External"/><Relationship Id="rId543" Type="http://schemas.openxmlformats.org/officeDocument/2006/relationships/hyperlink" Target="https://www.zillow.com/homedetails/306-N-Venice-Blvd-Venice-CA-90291/20450581_zpid/" TargetMode="External"/><Relationship Id="rId75" Type="http://schemas.openxmlformats.org/officeDocument/2006/relationships/hyperlink" Target="https://drive.google.com/open?id=1dJQe56fwRBMNI5SOGMC31gPXmo_2Do6N" TargetMode="External"/><Relationship Id="rId140" Type="http://schemas.openxmlformats.org/officeDocument/2006/relationships/hyperlink" Target="https://drive.google.com/open?id=1MkAvT_zQaASLkizdwS2vgranx-tbHu-l" TargetMode="External"/><Relationship Id="rId182" Type="http://schemas.openxmlformats.org/officeDocument/2006/relationships/hyperlink" Target="https://drive.google.com/open?id=19BT85d6UwVi4gdzVdHL2EPPh1ua-ZVR6" TargetMode="External"/><Relationship Id="rId378" Type="http://schemas.openxmlformats.org/officeDocument/2006/relationships/hyperlink" Target="https://www.zillow.com/homedetails/1636-N-Occidental-Blvd-Los-Angeles-CA-90026/20743781_zpid/" TargetMode="External"/><Relationship Id="rId403" Type="http://schemas.openxmlformats.org/officeDocument/2006/relationships/hyperlink" Target="https://www.zillow.com/homedetails/241-Rees-St-Playa-Del-Rey-CA-90293/20386149_zpid/?utm_campaign=iosappmessage&amp;utm_medium=referral&amp;utm_source=txtshare" TargetMode="External"/><Relationship Id="rId585" Type="http://schemas.openxmlformats.org/officeDocument/2006/relationships/hyperlink" Target="https://www.zillow.com/homedetails/15705-Gun-Tree-Dr-Hacienda-Heights-CA-91745/21492050_zpid/" TargetMode="External"/><Relationship Id="rId6" Type="http://schemas.openxmlformats.org/officeDocument/2006/relationships/hyperlink" Target="https://drive.google.com/open?id=1csTqJmRE_F3wALrmm-rYWP3W2ef8M5Ts" TargetMode="External"/><Relationship Id="rId238" Type="http://schemas.openxmlformats.org/officeDocument/2006/relationships/hyperlink" Target="https://www.zillow.com/homedetails/12243-Gorham-Ave-A-Los-Angeles-CA-90049/2079729137_zpid/" TargetMode="External"/><Relationship Id="rId445" Type="http://schemas.openxmlformats.org/officeDocument/2006/relationships/hyperlink" Target="https://www.zillow.com/homedetails/1235-Highland-Oaks-Dr-Arcadia-CA-91006/20887520_zpid/" TargetMode="External"/><Relationship Id="rId487" Type="http://schemas.openxmlformats.org/officeDocument/2006/relationships/hyperlink" Target="https://www.zillow.com/homedetails/20202-Clark-St-Woodland-Hills-CA-91367/2054703692_zpid/" TargetMode="External"/><Relationship Id="rId610" Type="http://schemas.openxmlformats.org/officeDocument/2006/relationships/hyperlink" Target="https://drive.google.com/open?id=14z21zG9jQy0iQg-dRfcjVS0O7vPSChrS" TargetMode="External"/><Relationship Id="rId291" Type="http://schemas.openxmlformats.org/officeDocument/2006/relationships/hyperlink" Target="https://www.zillow.com/homedetails/10734-Bloomfield-St-North-Hollywood-CA-91602/157718290_zpid/" TargetMode="External"/><Relationship Id="rId305" Type="http://schemas.openxmlformats.org/officeDocument/2006/relationships/hyperlink" Target="https://www.redfin.com/CA/Los-Angeles/3452-Maplewood-Ave-90066/home/6745385" TargetMode="External"/><Relationship Id="rId347" Type="http://schemas.openxmlformats.org/officeDocument/2006/relationships/hyperlink" Target="https://drive.google.com/open?id=1zRZufXef6ZvR_o2IbNZa3dn-f3AxFKEj" TargetMode="External"/><Relationship Id="rId512" Type="http://schemas.openxmlformats.org/officeDocument/2006/relationships/hyperlink" Target="https://drive.google.com/open?id=1zJaI5ibBy5sVUbwhw45IMiLcO5E2HRQA" TargetMode="External"/><Relationship Id="rId44" Type="http://schemas.openxmlformats.org/officeDocument/2006/relationships/hyperlink" Target="https://www.zillow.com/homedetails/2030-S-Chapel-Ave-Alhambra-CA-91801/442707493_zpid/?utm_campaign=iosappmessage&amp;utm_medium=referral&amp;utm_source=txtshare" TargetMode="External"/><Relationship Id="rId86" Type="http://schemas.openxmlformats.org/officeDocument/2006/relationships/hyperlink" Target="https://www.zillow.com/homedetails/2451-Century-Hl-Los-Angeles-CA-90067/20510302_zpid/" TargetMode="External"/><Relationship Id="rId151" Type="http://schemas.openxmlformats.org/officeDocument/2006/relationships/hyperlink" Target="https://drive.google.com/open?id=12wPpjmxrVNyhOTnGcW0VC74BN_ivdmkq" TargetMode="External"/><Relationship Id="rId389" Type="http://schemas.openxmlformats.org/officeDocument/2006/relationships/hyperlink" Target="https://drive.google.com/open?id=1ALdQjDNHz4eViUl7THeU1QVPs68PNJyO" TargetMode="External"/><Relationship Id="rId554" Type="http://schemas.openxmlformats.org/officeDocument/2006/relationships/hyperlink" Target="https://www.zillow.com/homedetails/Los-Angeles-CA-90026/20739765_zpid/?" TargetMode="External"/><Relationship Id="rId596" Type="http://schemas.openxmlformats.org/officeDocument/2006/relationships/hyperlink" Target="https://www.zillow.com/homedetails/18821-Kirkcolm-Ln-Porter-Ranch-CA-91326/20199559_zpid/" TargetMode="External"/><Relationship Id="rId193" Type="http://schemas.openxmlformats.org/officeDocument/2006/relationships/hyperlink" Target="https://www.zillow.com/homedetails/8680-Franklin-Ave-Los-Angeles-CA-90069/20798318_zpid/" TargetMode="External"/><Relationship Id="rId207" Type="http://schemas.openxmlformats.org/officeDocument/2006/relationships/hyperlink" Target="https://zillow.com/homedetails/9987-Reevesbury-Dr-Beverly-Hills-CA-90210/20532823_zpid/" TargetMode="External"/><Relationship Id="rId249" Type="http://schemas.openxmlformats.org/officeDocument/2006/relationships/hyperlink" Target="https://www.zillow.com/homedetails/208-Marine-Ave-Manhattan-Beach-CA-90266/20421873_zpid/" TargetMode="External"/><Relationship Id="rId414" Type="http://schemas.openxmlformats.org/officeDocument/2006/relationships/hyperlink" Target="https://www.zillow.com/homedetails/1533-Marlay-Dr-West-Hollywood-CA-90069/20798034_zpid/?utm_campaign=iosappmessage&amp;utm_medium=referral&amp;utm_source=txtshare" TargetMode="External"/><Relationship Id="rId456" Type="http://schemas.openxmlformats.org/officeDocument/2006/relationships/hyperlink" Target="https://drive.google.com/open?id=1fcxn9QdsuzZyW4LXSyu80Yazu6jdzHBs" TargetMode="External"/><Relationship Id="rId498" Type="http://schemas.openxmlformats.org/officeDocument/2006/relationships/hyperlink" Target="https://www.zillow.com/homedetails/6229-Fallbrook-Ave-Woodland-Hills-CA-91367/19877436_zpid/" TargetMode="External"/><Relationship Id="rId621" Type="http://schemas.openxmlformats.org/officeDocument/2006/relationships/hyperlink" Target="https://www.zillow.com/homedetails/1516-N-Beverly-Glen-Blvd-Los-Angeles-CA-90077/250219152_zpid/?utm_campaign=iosappmessage&amp;utm_medium=referral&amp;utm_source=txtshare" TargetMode="External"/><Relationship Id="rId13" Type="http://schemas.openxmlformats.org/officeDocument/2006/relationships/hyperlink" Target="https://www.zillow.com/homedetails/23716-Archwood-St-West-Hills-CA-91307/340040879_zpid/" TargetMode="External"/><Relationship Id="rId109" Type="http://schemas.openxmlformats.org/officeDocument/2006/relationships/hyperlink" Target="https://www.zillow.com/homedetails/9982-Beverly-Grv-Beverly-Hills-CA-90210/443685654_zpid/" TargetMode="External"/><Relationship Id="rId260" Type="http://schemas.openxmlformats.org/officeDocument/2006/relationships/hyperlink" Target="https://www.zillow.com/homedetails/11570-W-Sunset-Blvd-Los-Angeles-CA-90049/20527245_zpid/" TargetMode="External"/><Relationship Id="rId316" Type="http://schemas.openxmlformats.org/officeDocument/2006/relationships/hyperlink" Target="https://drive.google.com/open?id=1GJ_HPbHk0cqknP6y4Ce4xHkp_no6Y9UQ" TargetMode="External"/><Relationship Id="rId523" Type="http://schemas.openxmlformats.org/officeDocument/2006/relationships/hyperlink" Target="https://www.zillow.com/homedetails/5344-Leghorn-Ave-Van-Nuys-CA-91401/20015679_zpid/" TargetMode="External"/><Relationship Id="rId55" Type="http://schemas.openxmlformats.org/officeDocument/2006/relationships/hyperlink" Target="https://www.zillow.com/homedetails/17845-Calle-Barcelona-Rowland-Heights-CA-91748/21479818_zpid/?utm_campaign=iosappmessage&amp;utm_medium=referral&amp;utm_source=txtshare" TargetMode="External"/><Relationship Id="rId97" Type="http://schemas.openxmlformats.org/officeDocument/2006/relationships/hyperlink" Target="https://www.zillow.com/homedetails/705-Chaucer-Rd-San-Marino-CA-91108/20701815_zpid/" TargetMode="External"/><Relationship Id="rId120" Type="http://schemas.openxmlformats.org/officeDocument/2006/relationships/hyperlink" Target="https://drive.google.com/open?id=11cAHRfoxpgfHkcPpYA0d5if66ceWIRnH" TargetMode="External"/><Relationship Id="rId358" Type="http://schemas.openxmlformats.org/officeDocument/2006/relationships/hyperlink" Target="https://www.zillow.com/homedetails/774-N-Kenter-Ave-Los-Angeles-CA-90049/20560441_zpid/" TargetMode="External"/><Relationship Id="rId565" Type="http://schemas.openxmlformats.org/officeDocument/2006/relationships/hyperlink" Target="https://www.redfin.com/CA/Los-Angeles/2390-Nalin-Dr-90077/home/6831567" TargetMode="External"/><Relationship Id="rId162" Type="http://schemas.openxmlformats.org/officeDocument/2006/relationships/hyperlink" Target="https://www.zillow.com/homedetails/2430-7th-St-Santa-Monica-CA-90405/20482351_zpid/?utm_campaign=iosappmessage&amp;utm_medium=referral&amp;utm_source=txtshare" TargetMode="External"/><Relationship Id="rId218" Type="http://schemas.openxmlformats.org/officeDocument/2006/relationships/hyperlink" Target="https://www.zillow.com/homedetails/1801-Roscomare-Rd-Los-Angeles-CA-90077/20530151_zpid/" TargetMode="External"/><Relationship Id="rId425" Type="http://schemas.openxmlformats.org/officeDocument/2006/relationships/hyperlink" Target="http://zillow.com/homedetails/233-17th-St-Manhattan-Beach-CA-90266/20421726_zpid/" TargetMode="External"/><Relationship Id="rId467" Type="http://schemas.openxmlformats.org/officeDocument/2006/relationships/hyperlink" Target="https://drive.google.com/open?id=1ZCW5cdQm3CKc901iI_RBl5tvzsaOfnmj" TargetMode="External"/><Relationship Id="rId632" Type="http://schemas.openxmlformats.org/officeDocument/2006/relationships/hyperlink" Target="https://drive.google.com/open?id=1V0FyQafcLdLlmVZb6RtYQo4PbXgUSdqg" TargetMode="External"/><Relationship Id="rId271" Type="http://schemas.openxmlformats.org/officeDocument/2006/relationships/hyperlink" Target="https://drive.google.com/open?id=1EUrRth6TK1anfnH0gJ0jzf1bR0RtGlZG" TargetMode="External"/><Relationship Id="rId24" Type="http://schemas.openxmlformats.org/officeDocument/2006/relationships/hyperlink" Target="https://www.zillow.com/homedetails/256-S-Van-Ness-Ave-Los-Angeles-CA-90004/20779975_zpid/?utm_campaign=iosappmessage&amp;utm_medium=referral&amp;utm_source=txtshare" TargetMode="External"/><Relationship Id="rId66" Type="http://schemas.openxmlformats.org/officeDocument/2006/relationships/hyperlink" Target="https://drive.google.com/open?id=1wxNjKYoel_QAQMNm9a86uwQOoKNzPqvq" TargetMode="External"/><Relationship Id="rId131" Type="http://schemas.openxmlformats.org/officeDocument/2006/relationships/hyperlink" Target="https://www.redfin.com/CA/Venice/543-Rialto-Ave-90291/home/23075948" TargetMode="External"/><Relationship Id="rId327" Type="http://schemas.openxmlformats.org/officeDocument/2006/relationships/hyperlink" Target="https://drive.google.com/open?id=1UynTGmtnnXwQOVC5fMieZUL_cLYCtQnG" TargetMode="External"/><Relationship Id="rId369" Type="http://schemas.openxmlformats.org/officeDocument/2006/relationships/hyperlink" Target="https://www.zillow.com/homedetails/1445-S-Ogden-Dr-Los-Angeles-CA-90019/20599990_zpid/" TargetMode="External"/><Relationship Id="rId534" Type="http://schemas.openxmlformats.org/officeDocument/2006/relationships/hyperlink" Target="https://drive.google.com/open?id=1ji22KuOkeVGFM8kyjMB6lu9wOL74EkKd" TargetMode="External"/><Relationship Id="rId576" Type="http://schemas.openxmlformats.org/officeDocument/2006/relationships/hyperlink" Target="https://www.zillow.com/homedetails/1250-S-Beverly-Glen-Blvd-APT-107-Los-Angeles-CA-90024/20508096_zpid/" TargetMode="External"/><Relationship Id="rId173" Type="http://schemas.openxmlformats.org/officeDocument/2006/relationships/hyperlink" Target="https://drive.google.com/open?id=1L8SAiBnhn-CN7UModhGaXSSvOvYQexJM" TargetMode="External"/><Relationship Id="rId229" Type="http://schemas.openxmlformats.org/officeDocument/2006/relationships/hyperlink" Target="https://www.redfin.com/CA/Los-Angeles/12318-W-Sunset-Blvd-90049/home/6838818" TargetMode="External"/><Relationship Id="rId380" Type="http://schemas.openxmlformats.org/officeDocument/2006/relationships/hyperlink" Target="https://drive.google.com/open?id=1UEvkwHSoV1xWMhiBpvmzjjni_wtQz5Dk" TargetMode="External"/><Relationship Id="rId436" Type="http://schemas.openxmlformats.org/officeDocument/2006/relationships/hyperlink" Target="https://www.zillow.com/homedetails/16-Park-Ave-Venice-CA-90291/20482259_zpid/" TargetMode="External"/><Relationship Id="rId601" Type="http://schemas.openxmlformats.org/officeDocument/2006/relationships/hyperlink" Target="https://www.zillow.com/homedetails/729-Raymond-Ave-Santa-Monica-CA-90405/20482750_zpid/?utm_campaign=iosappmessage&amp;utm_medium=referral&amp;utm_source=txtshare" TargetMode="External"/><Relationship Id="rId643" Type="http://schemas.openxmlformats.org/officeDocument/2006/relationships/hyperlink" Target="https://drive.google.com/open?id=1n_zEv5aXfX1mS5kdOU2sU1dmIqKoaHv9" TargetMode="External"/><Relationship Id="rId240" Type="http://schemas.openxmlformats.org/officeDocument/2006/relationships/hyperlink" Target="https://www.zillow.com/homedetails/640-Harbor-St-APT-1-Venice-CA-90291/20444876_zpid/" TargetMode="External"/><Relationship Id="rId478" Type="http://schemas.openxmlformats.org/officeDocument/2006/relationships/hyperlink" Target="https://drive.google.com/open?id=1LgXeZNdkFk38s7IUai7euxsDWk7jWYPM" TargetMode="External"/><Relationship Id="rId35" Type="http://schemas.openxmlformats.org/officeDocument/2006/relationships/hyperlink" Target="https://www.zillow.com/homedetails/9289-Swallow-Dr-Los-Angeles-CA-90069/20799708_zpid/" TargetMode="External"/><Relationship Id="rId77" Type="http://schemas.openxmlformats.org/officeDocument/2006/relationships/hyperlink" Target="https://drive.google.com/open?id=15mqxuwsMa7JJ_yiSeiBzSZBXdars85Gd" TargetMode="External"/><Relationship Id="rId100" Type="http://schemas.openxmlformats.org/officeDocument/2006/relationships/hyperlink" Target="https://drive.google.com/open?id=1CJRwRPkO_XfArK0QZEXey35Yc40CFe70" TargetMode="External"/><Relationship Id="rId282" Type="http://schemas.openxmlformats.org/officeDocument/2006/relationships/hyperlink" Target="https://www.zillow.com/homedetails/2070-Layton-St-Pasadena-CA-91104/20921040_zpid/" TargetMode="External"/><Relationship Id="rId338" Type="http://schemas.openxmlformats.org/officeDocument/2006/relationships/hyperlink" Target="https://www.zillow.com/homedetails/22731-Burbank-Blvd-Woodland-Hills-CA-91367/19878010_zpid/" TargetMode="External"/><Relationship Id="rId503" Type="http://schemas.openxmlformats.org/officeDocument/2006/relationships/hyperlink" Target="https://www.zillow.com/homedetails/3055-Landa-St-Los-Angeles-CA-90039/20747666_zpid/?rtoken=b1891952-e094-45d9-ae50-3cab14af4087~X1-ZU14jqana78s9vt_5gnlt&amp;utm_campaign=emo-instantsavedsearch-rental&amp;utm_source=email&amp;utm_term=urn:msg:20250113143102be2199294cc2065f&amp;utm_medium=email&amp;utm_content=forrentimage&amp;sse=X1-SSx1jqpcj6xc560000000000_3wguh&amp;srp=H4sIAAAAAAAAAI2UTXObMBCGfw3HxNKCBD50Ok3aQ4+NL51ePAsWAUcfWB+O8+/LWJjiNG7FSVqed3f1smjVGSXcqjV2a4X2q89OoG26H0HYt41HLz5l5UMGoHB4MEHv3LjO8i8x+Cqcj/s7Sqt7WFNO1hR4UTDKMngc3wm8RoAD4bSgFXBCI+JM8F1k8uKeMM5yXpSMVIyWkdDGLghK2FiA83WRl0B5Vn6NVNtLL+y56WWTbhQv90eU4QIADLY3tvdvrjH2HJ2z2Rsib8fVTLkab3AtSncFmiRQN0lYo5xOAjGkJWyn8/8XVMMSU/3UBgAhE4CnGKLAxthFV4vr4ZmV+TuZDlL+UaHvPpbBv2SqTXPRpJkoUe/S3O5SpgaHtKHBoUkbGndo/YcmUfbXV7nySWJIaXhA+3Kr5Qs4W4/DL2PUVL+YjA7OG/Uknnujv1+sBKgYr2vOWdX8pHePT8djccA87F9qW29p7qw814hHxKPYbc6X0zdtjZRqvK4WqcYEm82J7g9Ds+enhnEyP9v89Tl08ef+Dfk5Hs/wBAAA" TargetMode="External"/><Relationship Id="rId545" Type="http://schemas.openxmlformats.org/officeDocument/2006/relationships/hyperlink" Target="https://www.redfin.com/CA/Los-Angeles/11633-Chenault-St-90049/unit-202/home/51587417" TargetMode="External"/><Relationship Id="rId587" Type="http://schemas.openxmlformats.org/officeDocument/2006/relationships/hyperlink" Target="https://www.zillow.com/homedetails/(undisclosed-Address)-Venice-CA-90291/20450249_zpid/?utm_campaign=iosappmessage&amp;utm_medium=referral&amp;utm_source=txtshare" TargetMode="External"/><Relationship Id="rId8" Type="http://schemas.openxmlformats.org/officeDocument/2006/relationships/hyperlink" Target="https://drive.google.com/open?id=1VZKz8NhCgbqmURwk6w9lnrv9BO0R5Eaw" TargetMode="External"/><Relationship Id="rId142" Type="http://schemas.openxmlformats.org/officeDocument/2006/relationships/hyperlink" Target="https://www.zillow.com/homedetails/110-N-Barrington-Ave-Los-Angeles-CA-90049/20547175_zpid/" TargetMode="External"/><Relationship Id="rId184" Type="http://schemas.openxmlformats.org/officeDocument/2006/relationships/hyperlink" Target="https://drive.google.com/open?id=17n9BhuDDd9AGDbjYzMlnJfMZOES_GgM_" TargetMode="External"/><Relationship Id="rId391" Type="http://schemas.openxmlformats.org/officeDocument/2006/relationships/hyperlink" Target="https://www.zillow.com/homedetails/745-Oxford-Ave-Marina-Del-Rey-CA-90292/20445282_zpid/" TargetMode="External"/><Relationship Id="rId405" Type="http://schemas.openxmlformats.org/officeDocument/2006/relationships/hyperlink" Target="https://drive.google.com/open?id=1mXNDyBNvv-dMObjSsNqe7KkOouFF6hKG" TargetMode="External"/><Relationship Id="rId447" Type="http://schemas.openxmlformats.org/officeDocument/2006/relationships/hyperlink" Target="https://www.zillow.com/homedetails/17063-San-Fernando-Mission-Blvd-Granada-Hills-CA-91344/20154671_zpid/" TargetMode="External"/><Relationship Id="rId612" Type="http://schemas.openxmlformats.org/officeDocument/2006/relationships/hyperlink" Target="https://www.compass.com/listing/5222-ventura-canyon-avenue-sherman-oaks-ca-91401/1749053077309590265/" TargetMode="External"/><Relationship Id="rId251" Type="http://schemas.openxmlformats.org/officeDocument/2006/relationships/hyperlink" Target="https://drive.google.com/open?id=1y-OPc2OM-z1FaGOQ2zwtAxETwo4buQtc" TargetMode="External"/><Relationship Id="rId489" Type="http://schemas.openxmlformats.org/officeDocument/2006/relationships/hyperlink" Target="https://www.zillow.com/homedetails/3977-Dalton-Ave-1-Los-Angeles-CA-90062/347232716_zpid/" TargetMode="External"/><Relationship Id="rId46" Type="http://schemas.openxmlformats.org/officeDocument/2006/relationships/hyperlink" Target="https://www.zillow.com/homedetails/3711-Flora-Ave-Los-Angeles-CA-90031/20637876_zpid/?utm_campaign=iosappmessage&amp;utm_medium=referral&amp;utm_source=txtshare" TargetMode="External"/><Relationship Id="rId293" Type="http://schemas.openxmlformats.org/officeDocument/2006/relationships/hyperlink" Target="https://drive.google.com/open?id=16BcWxiHgDEVc2qXkR3c2Do5-EiPYJXr5" TargetMode="External"/><Relationship Id="rId307" Type="http://schemas.openxmlformats.org/officeDocument/2006/relationships/hyperlink" Target="https://www.zillow.com/homedetails/2010-Vineburn-Ave-Los-Angeles-CA-90032/20640422_zpid/" TargetMode="External"/><Relationship Id="rId349" Type="http://schemas.openxmlformats.org/officeDocument/2006/relationships/hyperlink" Target="https://www.zillow.com/homedetails/1807-San-Ysidro-Dr-Beverly-Hills-CA-90210/20523504_zpid/" TargetMode="External"/><Relationship Id="rId514" Type="http://schemas.openxmlformats.org/officeDocument/2006/relationships/hyperlink" Target="https://drive.google.com/open?id=1UF7R4-oLHrMp5_RpODpqboRzkrU4lmqT" TargetMode="External"/><Relationship Id="rId556" Type="http://schemas.openxmlformats.org/officeDocument/2006/relationships/hyperlink" Target="https://drive.google.com/open?id=1UTLbM8N6A4irbIHWeR3y03YCRdvzED8c" TargetMode="External"/><Relationship Id="rId88" Type="http://schemas.openxmlformats.org/officeDocument/2006/relationships/hyperlink" Target="https://www.zillow.com/homedetails/225-Sherman-Canal-Ct-Venice-CA-90291/443839188_zpid/" TargetMode="External"/><Relationship Id="rId111" Type="http://schemas.openxmlformats.org/officeDocument/2006/relationships/hyperlink" Target="https://www.zillow.com/homedetails/3572-E-Green-St-Pasadena-CA-91107/20878608_zpid/" TargetMode="External"/><Relationship Id="rId153" Type="http://schemas.openxmlformats.org/officeDocument/2006/relationships/hyperlink" Target="https://drive.google.com/open?id=1utj10Kj4F1iFPGaGA8_tvbUctcVtUaMK" TargetMode="External"/><Relationship Id="rId195" Type="http://schemas.openxmlformats.org/officeDocument/2006/relationships/hyperlink" Target="https://www.zillow.com/homedetails/1106-Oakwood-Ave-Venice-CA-90291/20450981_zpid/?utm_campaign=iosappmessage&amp;utm_medium=referral&amp;utm_source=txtshare" TargetMode="External"/><Relationship Id="rId209" Type="http://schemas.openxmlformats.org/officeDocument/2006/relationships/hyperlink" Target="https://www.zillow.com/homedetails/8429-Wiley-Post-Ave-Los-Angeles-CA-90045/20380558_zpid/" TargetMode="External"/><Relationship Id="rId360" Type="http://schemas.openxmlformats.org/officeDocument/2006/relationships/hyperlink" Target="https://www.zillow.com/homedetails/2369-Jupiter-Dr-Los-Angeles-CA-90046/20801934_zpid/" TargetMode="External"/><Relationship Id="rId416" Type="http://schemas.openxmlformats.org/officeDocument/2006/relationships/hyperlink" Target="https://www.zillow.com/homedetails/(undisclosed-Address)-Pacific-Palisades-CA-90272/20542872_zpid/?utm_campaign=iosappmessage&amp;utm_medium=referral&amp;utm_source=txtshare" TargetMode="External"/><Relationship Id="rId598" Type="http://schemas.openxmlformats.org/officeDocument/2006/relationships/hyperlink" Target="https://www.zillow.com/homedetails/256-N-Rafael-Walk-Long-Beach-CA-90803/21216243_zpid/?utm_campaign=iosappmessage&amp;utm_medium=referral&amp;utm_source=txtshare" TargetMode="External"/><Relationship Id="rId220" Type="http://schemas.openxmlformats.org/officeDocument/2006/relationships/hyperlink" Target="https://www.zillow.com/homedetails/Los-Angeles-CA-90291/95551094_zpid/" TargetMode="External"/><Relationship Id="rId458" Type="http://schemas.openxmlformats.org/officeDocument/2006/relationships/hyperlink" Target="https://drive.google.com/open?id=1GfpfsW2MYAa8RmTy-4XUPixjbLNhnkwf" TargetMode="External"/><Relationship Id="rId623" Type="http://schemas.openxmlformats.org/officeDocument/2006/relationships/hyperlink" Target="https://drive.google.com/open?id=1AVTg7Hjv1_eq1FnZ-hO4O3Ckrhvxxwel" TargetMode="External"/><Relationship Id="rId15" Type="http://schemas.openxmlformats.org/officeDocument/2006/relationships/hyperlink" Target="https://www.zillow.com/homedetails/6255-W-Olympic-Blvd-2-Los-Angeles-CA-90048/443225953_zpid/" TargetMode="External"/><Relationship Id="rId57" Type="http://schemas.openxmlformats.org/officeDocument/2006/relationships/hyperlink" Target="https://www.zillow.com/homedetails/2943-Virginia-Ave-Santa-Monica-CA-90404/20471162_zpid/" TargetMode="External"/><Relationship Id="rId262" Type="http://schemas.openxmlformats.org/officeDocument/2006/relationships/hyperlink" Target="https://www.zillow.com/homedetails/233-17th-St-Manhattan-Beach-CA-90266/20421726_zpid/" TargetMode="External"/><Relationship Id="rId318" Type="http://schemas.openxmlformats.org/officeDocument/2006/relationships/hyperlink" Target="https://www.zillow.com/homedetails/4188-Marcasel-Ave-Los-Angeles-CA-90066/20447597_zpid/" TargetMode="External"/><Relationship Id="rId525" Type="http://schemas.openxmlformats.org/officeDocument/2006/relationships/hyperlink" Target="https://www.zillow.com/homedetails/745-Patterson-Ave-Glendale-CA-91202/20830106_zpid/" TargetMode="External"/><Relationship Id="rId567" Type="http://schemas.openxmlformats.org/officeDocument/2006/relationships/hyperlink" Target="https://www.zillow.com/homedetails/10290-Seabury-Ln-Los-Angeles-CA-90077/20531944_zpid/" TargetMode="External"/><Relationship Id="rId99" Type="http://schemas.openxmlformats.org/officeDocument/2006/relationships/hyperlink" Target="https://www.zillow.com/homedetails/121-N-Croft-Ave-APT-205-Los-Angeles-CA-90048/20776940_zpid/" TargetMode="External"/><Relationship Id="rId122" Type="http://schemas.openxmlformats.org/officeDocument/2006/relationships/hyperlink" Target="https://drive.google.com/open?id=18l8WtGIsbuabku1OoOzJ6n6kTylNtWKn" TargetMode="External"/><Relationship Id="rId164" Type="http://schemas.openxmlformats.org/officeDocument/2006/relationships/hyperlink" Target="https://www.zillow.com/homedetails/2119-S-West-View-St-Los-Angeles-CA-90016/20596651_zpid/" TargetMode="External"/><Relationship Id="rId371" Type="http://schemas.openxmlformats.org/officeDocument/2006/relationships/hyperlink" Target="https://www.zillow.com/homedetails/1637-S-Sherbourne-Dr-Los-Angeles-CA-90035/20491861_zpid/" TargetMode="External"/><Relationship Id="rId427" Type="http://schemas.openxmlformats.org/officeDocument/2006/relationships/hyperlink" Target="https://www.zillow.com/homedetails/22147-Gresham-St-West-Hills-CA-91304/51576724_zpid/" TargetMode="External"/><Relationship Id="rId469" Type="http://schemas.openxmlformats.org/officeDocument/2006/relationships/hyperlink" Target="https://drive.google.com/open?id=1YoZzS-Zpo6z0Iuk307iFqld83xIY7I3M" TargetMode="External"/><Relationship Id="rId634" Type="http://schemas.openxmlformats.org/officeDocument/2006/relationships/hyperlink" Target="https://www.zillow.com/homedetails/3215-Ocean-Front-Walk-101-Marina-Del-Rey-CA-90292/51582315_zpid/" TargetMode="External"/><Relationship Id="rId26" Type="http://schemas.openxmlformats.org/officeDocument/2006/relationships/hyperlink" Target="https://www.zillow.com/homedetails/6105-Del-Valle-Dr-Los-Angeles-CA-90048/20609699_zpid/" TargetMode="External"/><Relationship Id="rId231" Type="http://schemas.openxmlformats.org/officeDocument/2006/relationships/hyperlink" Target="https://www.zillow.com/homedetails/2950-Tyburn-St-Los-Angeles-CA-90039/20751814_zpid/?utm_campaign=iosappmessage&amp;utm_medium=referral&amp;utm_source=txtshare" TargetMode="External"/><Relationship Id="rId273" Type="http://schemas.openxmlformats.org/officeDocument/2006/relationships/hyperlink" Target="https://www.zillow.com/homedetails/1321-Londonderry-Pl-Los-Angeles-CA-90069/20798979_zpid/" TargetMode="External"/><Relationship Id="rId329" Type="http://schemas.openxmlformats.org/officeDocument/2006/relationships/hyperlink" Target="https://www.zillow.com/homedetails/5516-Willowcrest-Ave-North-Hollywood-CA-91601/20040950_zpid/" TargetMode="External"/><Relationship Id="rId480" Type="http://schemas.openxmlformats.org/officeDocument/2006/relationships/hyperlink" Target="https://drive.google.com/open?id=1Cp-hsZPhx9i3lznyjfgiJoUcvvQq9aeZ" TargetMode="External"/><Relationship Id="rId536" Type="http://schemas.openxmlformats.org/officeDocument/2006/relationships/hyperlink" Target="https://www.redfin.com/CA/Los-Angeles/1941-Glencoe-Way-90068/home/7114955" TargetMode="External"/><Relationship Id="rId68" Type="http://schemas.openxmlformats.org/officeDocument/2006/relationships/hyperlink" Target="https://drive.google.com/open?id=1qpacoSkvsBYeqUK6C-z3dB2yY0lScYrd" TargetMode="External"/><Relationship Id="rId133" Type="http://schemas.openxmlformats.org/officeDocument/2006/relationships/hyperlink" Target="https://www.zillow.com/homedetails/3365-Tyburn-St-Los-Angeles-CA-90039/20750852_zpid/" TargetMode="External"/><Relationship Id="rId175" Type="http://schemas.openxmlformats.org/officeDocument/2006/relationships/hyperlink" Target="https://www.zillow.com/homedetails/5442-W-76th-St-Los-Angeles-CA-90045/20391003_zpid/?utm_campaign=iosappmessage&amp;utm_medium=referral&amp;utm_source=txtshare" TargetMode="External"/><Relationship Id="rId340" Type="http://schemas.openxmlformats.org/officeDocument/2006/relationships/hyperlink" Target="https://www.zillow.com/homedetails/3731-W-59th-Pl-Los-Angeles-CA-90043/20325270_zpid/" TargetMode="External"/><Relationship Id="rId578" Type="http://schemas.openxmlformats.org/officeDocument/2006/relationships/hyperlink" Target="https://www.zillow.com/homedetails/2414-N-Millstream-Ln-Orange-CA-92865/25424064_zpid/" TargetMode="External"/><Relationship Id="rId200" Type="http://schemas.openxmlformats.org/officeDocument/2006/relationships/hyperlink" Target="https://www.zillow.com/homedetails/1612-Courtney-Ave-Los-Angeles-CA-90046/20794166_zpid/" TargetMode="External"/><Relationship Id="rId382" Type="http://schemas.openxmlformats.org/officeDocument/2006/relationships/hyperlink" Target="https://www.zillow.com/homedetails/747-Monterey-Blvd-Hermosa-Beach-CA-90254/20427731_zpid/" TargetMode="External"/><Relationship Id="rId438" Type="http://schemas.openxmlformats.org/officeDocument/2006/relationships/hyperlink" Target="https://www.zillow.com/homedetails/317-N-Flores-St-Los-Angeles-CA-90048/20779077_zpid/" TargetMode="External"/><Relationship Id="rId603" Type="http://schemas.openxmlformats.org/officeDocument/2006/relationships/hyperlink" Target="https://www.zillow.com/homedetails/822-S-Plymouth-Blvd-2-Los-Angeles-CA-90005/339398724_zpid/" TargetMode="External"/><Relationship Id="rId645" Type="http://schemas.openxmlformats.org/officeDocument/2006/relationships/hyperlink" Target="https://drive.google.com/open?id=18ANVW2RhU7_XDtzSOZkq307Gca7zU3h0" TargetMode="External"/><Relationship Id="rId242" Type="http://schemas.openxmlformats.org/officeDocument/2006/relationships/hyperlink" Target="https://www.zillow.com/homedetails/2311-Malcolm-Ave-Los-Angeles-CA-90064/20500588_zpid/" TargetMode="External"/><Relationship Id="rId284" Type="http://schemas.openxmlformats.org/officeDocument/2006/relationships/hyperlink" Target="https://drive.google.com/open?id=1nUhxHUlZWRBrwRSE0-2jBaWPreBIuOlG" TargetMode="External"/><Relationship Id="rId491" Type="http://schemas.openxmlformats.org/officeDocument/2006/relationships/hyperlink" Target="https://drive.google.com/open?id=1tvCi2Jo1cWdqa7iH9I3Xd9cvwFuzk8_-" TargetMode="External"/><Relationship Id="rId505" Type="http://schemas.openxmlformats.org/officeDocument/2006/relationships/hyperlink" Target="https://drive.google.com/open?id=1f8I2DxZfiad6SVYQyQ8sMmIFEbqHKyuc" TargetMode="External"/><Relationship Id="rId37" Type="http://schemas.openxmlformats.org/officeDocument/2006/relationships/hyperlink" Target="https://www.zillow.com/homedetails/2260-Maravilla-Dr-Los-Angeles-CA-90068/20793606_zpid/" TargetMode="External"/><Relationship Id="rId79" Type="http://schemas.openxmlformats.org/officeDocument/2006/relationships/hyperlink" Target="https://drive.google.com/open?id=1-cvodFRKoFesDkWtRQeY95iFgkwQpx-W" TargetMode="External"/><Relationship Id="rId102" Type="http://schemas.openxmlformats.org/officeDocument/2006/relationships/hyperlink" Target="https://drive.google.com/open?id=1k2Y_W1L2mMy_ehol2mP-szsgFOg-lSei" TargetMode="External"/><Relationship Id="rId144" Type="http://schemas.openxmlformats.org/officeDocument/2006/relationships/hyperlink" Target="https://www.zillow.com/homedetails/543-Perugia-Way-Los-Angeles-CA-90077/20526792_zpid/" TargetMode="External"/><Relationship Id="rId547" Type="http://schemas.openxmlformats.org/officeDocument/2006/relationships/hyperlink" Target="https://www.zillow.com/homedetails/6617-S-Sherbourne-Dr-Los-Angeles-CA-90056/20377951_zpid/" TargetMode="External"/><Relationship Id="rId589" Type="http://schemas.openxmlformats.org/officeDocument/2006/relationships/hyperlink" Target="https://www.zillow.com/homedetails/709-E-Manchester-Blvd-Inglewood-CA-90301/20336485_zpid/" TargetMode="External"/><Relationship Id="rId90" Type="http://schemas.openxmlformats.org/officeDocument/2006/relationships/hyperlink" Target="https://drive.google.com/open?id=14JXnSxRudGw06uRPpcV8TH_FxkUCgQ7n" TargetMode="External"/><Relationship Id="rId186" Type="http://schemas.openxmlformats.org/officeDocument/2006/relationships/hyperlink" Target="https://drive.google.com/open?id=19nzhkkUaiBGrXT8i5FxFEZt3g9CjPXbL" TargetMode="External"/><Relationship Id="rId351" Type="http://schemas.openxmlformats.org/officeDocument/2006/relationships/hyperlink" Target="https://www.zillow.com/homedetails/15541-Aqua-Verde-Dr-Los-Angeles-CA-90077/20531173_zpid/" TargetMode="External"/><Relationship Id="rId393" Type="http://schemas.openxmlformats.org/officeDocument/2006/relationships/hyperlink" Target="https://www.zillow.com/homedetails/1185-Corsica-Dr-Pacific-Palisades-CA-90272/20538915_zpid/" TargetMode="External"/><Relationship Id="rId407" Type="http://schemas.openxmlformats.org/officeDocument/2006/relationships/hyperlink" Target="https://drive.google.com/open?id=1zLWR6UB-X-Lkisyzd6O0WBVgTrXvSd3N" TargetMode="External"/><Relationship Id="rId449" Type="http://schemas.openxmlformats.org/officeDocument/2006/relationships/hyperlink" Target="https://drive.google.com/open?id=1dqL42dYKMuGzsS3Jp8y923MXmRqoxvc6" TargetMode="External"/><Relationship Id="rId614" Type="http://schemas.openxmlformats.org/officeDocument/2006/relationships/hyperlink" Target="https://www.redfin.com/CA/Malibu/6130-Galahad-Rd-90265/home/22137187" TargetMode="External"/><Relationship Id="rId211" Type="http://schemas.openxmlformats.org/officeDocument/2006/relationships/hyperlink" Target="https://drive.google.com/open?id=1W-ioNzPqFRqCqmztCBTDGiBYb4kwXgV2" TargetMode="External"/><Relationship Id="rId253" Type="http://schemas.openxmlformats.org/officeDocument/2006/relationships/hyperlink" Target="https://www.zillow.com/homedetails/(undisclosed-Address)-Burbank-CA-91504/20060493_zpid/?utm_campaign=iosappmessage&amp;utm_medium=referral&amp;utm_source=txtshare" TargetMode="External"/><Relationship Id="rId295" Type="http://schemas.openxmlformats.org/officeDocument/2006/relationships/hyperlink" Target="https://drive.google.com/open?id=1z9NXhbEDm_M5w6CnT0khDRyOldxpX6wP" TargetMode="External"/><Relationship Id="rId309" Type="http://schemas.openxmlformats.org/officeDocument/2006/relationships/hyperlink" Target="https://www.zillow.com/homedetails/9314-Sierra-Mar-Dr-Los-Angeles-CA-90069/20535099_zpid/" TargetMode="External"/><Relationship Id="rId460" Type="http://schemas.openxmlformats.org/officeDocument/2006/relationships/hyperlink" Target="https://drive.google.com/open?id=1wvgWF7Mv4FVNQcDegmeayWrXk8kUlbTz" TargetMode="External"/><Relationship Id="rId516" Type="http://schemas.openxmlformats.org/officeDocument/2006/relationships/hyperlink" Target="https://drive.google.com/open?id=17Va2mZb9Arl9DZ2N5Rul2Qqno0Kcrbs2" TargetMode="External"/><Relationship Id="rId48" Type="http://schemas.openxmlformats.org/officeDocument/2006/relationships/hyperlink" Target="https://www.zillow.com/homedetails/2527-E-Cameron-Ave-West-Covina-CA-91791/21571053_zpid/?utm_campaign=iosappmessage&amp;utm_medium=referral&amp;utm_source=txtshare" TargetMode="External"/><Relationship Id="rId113" Type="http://schemas.openxmlformats.org/officeDocument/2006/relationships/hyperlink" Target="https://drive.google.com/open?id=1vbZw11CQHxLXuQxQMposEkZ9BeGKzX_q" TargetMode="External"/><Relationship Id="rId320" Type="http://schemas.openxmlformats.org/officeDocument/2006/relationships/hyperlink" Target="https://www.zillow.com/homedetails/4531-Van-Nuys-Blvd-Sherman-Oaks-CA-91403/134800501_zpid/" TargetMode="External"/><Relationship Id="rId558" Type="http://schemas.openxmlformats.org/officeDocument/2006/relationships/hyperlink" Target="https://www.zillow.com/homedetails/6111-San-Vicente-Blvd-Los-Angeles-CA-90048/20609731_zpid/" TargetMode="External"/><Relationship Id="rId155" Type="http://schemas.openxmlformats.org/officeDocument/2006/relationships/hyperlink" Target="https://www.zillow.com/homedetails/17821-San-Jose-St-Granada-Hills-CA-91344/20168586_zpid/" TargetMode="External"/><Relationship Id="rId197" Type="http://schemas.openxmlformats.org/officeDocument/2006/relationships/hyperlink" Target="https://www.zillow.com/homedetails/1533-Marlay-Dr-West-Hollywood-CA-90069/20798034_zpid/" TargetMode="External"/><Relationship Id="rId362" Type="http://schemas.openxmlformats.org/officeDocument/2006/relationships/hyperlink" Target="https://www.zillow.com/homedetails/634-W-California-Ave-Glendale-CA-91203/20832386_zpid/" TargetMode="External"/><Relationship Id="rId418" Type="http://schemas.openxmlformats.org/officeDocument/2006/relationships/hyperlink" Target="https://www.zillow.com/homedetails/22720-Oxnard-St-2-Woodland-Hills-CA-91367/441854582_zpid/" TargetMode="External"/><Relationship Id="rId625" Type="http://schemas.openxmlformats.org/officeDocument/2006/relationships/hyperlink" Target="https://drive.google.com/open?id=1ojAz8CInNNo_u3TSdbHu5vFrbWfE02U0" TargetMode="External"/><Relationship Id="rId222" Type="http://schemas.openxmlformats.org/officeDocument/2006/relationships/hyperlink" Target="https://www.zillow.com/homedetails/9509-Cresta-Dr-Los-Angeles-CA-90035/20493657_zpid/" TargetMode="External"/><Relationship Id="rId264" Type="http://schemas.openxmlformats.org/officeDocument/2006/relationships/hyperlink" Target="https://www.zillow.com/homedetails/11246-Segrell-Way-Culver-City-CA-90230/20438478_zpid/" TargetMode="External"/><Relationship Id="rId471" Type="http://schemas.openxmlformats.org/officeDocument/2006/relationships/hyperlink" Target="https://drive.google.com/open?id=1m8Hdtg0vvAKyY00tkJWEr0-lXlznCGfh" TargetMode="External"/><Relationship Id="rId17" Type="http://schemas.openxmlformats.org/officeDocument/2006/relationships/hyperlink" Target="https://www.zillow.com/homedetails/2700-Cahuenga-Blvd-E-APT-4111-Los-Angeles-CA-90068/20804778_zpid/" TargetMode="External"/><Relationship Id="rId59" Type="http://schemas.openxmlformats.org/officeDocument/2006/relationships/hyperlink" Target="https://www.zillow.com/homedetails/710-Westbourne-Dr-West-Hollywood-CA-90069/2098186436_zpid/" TargetMode="External"/><Relationship Id="rId124" Type="http://schemas.openxmlformats.org/officeDocument/2006/relationships/hyperlink" Target="https://drive.google.com/open?id=1RISaoYGwBSnljgYnj6eGQ8rUx_PgaUpV" TargetMode="External"/><Relationship Id="rId527" Type="http://schemas.openxmlformats.org/officeDocument/2006/relationships/hyperlink" Target="https://drive.google.com/open?id=1KY7dvVWL0xZEzMZdH2lUAtbJWlLMXVt-" TargetMode="External"/><Relationship Id="rId569" Type="http://schemas.openxmlformats.org/officeDocument/2006/relationships/hyperlink" Target="https://www.zillow.com/homedetails/10824-Chalon-Rd-Los-Angeles-CA-90077/20529073_zpid/" TargetMode="External"/><Relationship Id="rId70" Type="http://schemas.openxmlformats.org/officeDocument/2006/relationships/hyperlink" Target="https://www.zillow.com/homedetails/1240-Morningside-Way-Venice-CA-90291/20454370_zpid/" TargetMode="External"/><Relationship Id="rId166" Type="http://schemas.openxmlformats.org/officeDocument/2006/relationships/hyperlink" Target="https://drive.google.com/open?id=1J-PBKqq30VAZsOE1R0HYvvQ0zzc0lJVF" TargetMode="External"/><Relationship Id="rId331" Type="http://schemas.openxmlformats.org/officeDocument/2006/relationships/hyperlink" Target="https://www.zillow.com/homedetails/17841-Tarzana-St-Encino-CA-91316/19950053_zpid/" TargetMode="External"/><Relationship Id="rId373" Type="http://schemas.openxmlformats.org/officeDocument/2006/relationships/hyperlink" Target="https://www.zillow.com/los-angeles-ca/rentals/?searchQueryState=%7B%22pagination%22%3A%7B%7D%2C%22isMapVisible%22%3Atrue%2C%22mapBounds%22%3A%7B%22west%22%3A-118.49452988525391%2C%22east%22%3A-118.0543901147461%2C%22south%22%3A33.954100149236645%2C%22north%22%3A34.23045662689283%7D%2C%22regionSelection%22%3A%5B%7B%22regionId%22%3A12447%2C%22regionType%22%3A6%7D%5D%2C%22filterState%22%3A%7B%22fr%22%3A%7B%22value%22%3Atrue%7D%2C%22fsba%22%3A%7B%22value%22%3Afalse%7D%2C%22fsbo%22%3A%7B%22value%22%3Afalse%7D%2C%22nc%22%3A%7B%22value%22%3Afalse%7D%2C%22cmsn%22%3A%7B%22value%22%3Afalse%7D%2C%22auc%22%3A%7B%22value%22%3Afalse%7D%2C%22fore%22%3A%7B%22value%22%3Afalse%7D%2C%22tow%22%3A%7B%22value%22%3Afalse%7D%2C%22con%22%3A%7B%22value%22%3Afalse%7D%2C%22apa%22%3A%7B%22value%22%3Afalse%7D%2C%22apco%22%3A%7B%22value%22%3Afalse%7D%7D%2C%22isListVisible%22%3Atrue%2C%22mapZoom%22%3A11%7D" TargetMode="External"/><Relationship Id="rId429" Type="http://schemas.openxmlformats.org/officeDocument/2006/relationships/hyperlink" Target="https://drive.google.com/open?id=19eGBV5q3FGpuvAbDFYez3kukHfw7H3py" TargetMode="External"/><Relationship Id="rId580" Type="http://schemas.openxmlformats.org/officeDocument/2006/relationships/hyperlink" Target="https://drive.google.com/open?id=1zJVbMvCnCjeFQWMzDS-qSUUZHv6l4A6s" TargetMode="External"/><Relationship Id="rId636" Type="http://schemas.openxmlformats.org/officeDocument/2006/relationships/hyperlink" Target="https://drive.google.com/open?id=1y4x3osig7e8Kz9E4C5uTOH9M055vlU-9" TargetMode="External"/><Relationship Id="rId1" Type="http://schemas.openxmlformats.org/officeDocument/2006/relationships/hyperlink" Target="https://www.zillow.com/homedetails/716-Rochedale-Way-Los-Angeles-CA-90049/20560159_zpid/" TargetMode="External"/><Relationship Id="rId233" Type="http://schemas.openxmlformats.org/officeDocument/2006/relationships/hyperlink" Target="https://www.zillow.com/homedetails/848-15th-St-APT-2-Santa-Monica-CA-90403/20478339_zpid/" TargetMode="External"/><Relationship Id="rId440" Type="http://schemas.openxmlformats.org/officeDocument/2006/relationships/hyperlink" Target="https://www.zillow.com/homedetails/22660-Baltar-St-West-Hills-CA-91304/51578714_zpid/" TargetMode="External"/><Relationship Id="rId28" Type="http://schemas.openxmlformats.org/officeDocument/2006/relationships/hyperlink" Target="https://www.zillow.com/homedetails/8405-Edwin-Dr-Los-Angeles-CA-90046/20801360_zpid/" TargetMode="External"/><Relationship Id="rId275" Type="http://schemas.openxmlformats.org/officeDocument/2006/relationships/hyperlink" Target="https://www.zillow.com/homedetails/1920-Sunset-Plaza-Dr-Los-Angeles-CA-90069/20798268_zpid/" TargetMode="External"/><Relationship Id="rId300" Type="http://schemas.openxmlformats.org/officeDocument/2006/relationships/hyperlink" Target="https://drive.google.com/open?id=1wM0IFIAro2SiNr32j0Uu4L5rl__obEfv" TargetMode="External"/><Relationship Id="rId482" Type="http://schemas.openxmlformats.org/officeDocument/2006/relationships/hyperlink" Target="https://drive.google.com/open?id=1L-Esep3aicoPnNwkBZF-7pR8dpku-Jug" TargetMode="External"/><Relationship Id="rId538" Type="http://schemas.openxmlformats.org/officeDocument/2006/relationships/hyperlink" Target="https://www.zillow.com/homedetails/14133-Tiara-St-Sherman-Oaks-CA-91401/19972784_zpid/" TargetMode="External"/><Relationship Id="rId81" Type="http://schemas.openxmlformats.org/officeDocument/2006/relationships/hyperlink" Target="https://drive.google.com/open?id=1CIKkpaEIAOHnw38kVHxej3ixDpajsgzN" TargetMode="External"/><Relationship Id="rId135" Type="http://schemas.openxmlformats.org/officeDocument/2006/relationships/hyperlink" Target="https://drive.google.com/open?id=1Q9ycrMCVyVemQcJOvJ0VqcMW9YT0vFf6" TargetMode="External"/><Relationship Id="rId177" Type="http://schemas.openxmlformats.org/officeDocument/2006/relationships/hyperlink" Target="https://www.zillow.com/homedetails/446-S-Almont-Dr-Beverly-Hills-CA-90211/20513005_zpid/" TargetMode="External"/><Relationship Id="rId342" Type="http://schemas.openxmlformats.org/officeDocument/2006/relationships/hyperlink" Target="https://www.zillow.com/homedetails/5709-Calvin-Ave-Tarzana-CA-91356/19932890_zpid/" TargetMode="External"/><Relationship Id="rId384" Type="http://schemas.openxmlformats.org/officeDocument/2006/relationships/hyperlink" Target="https://www.zillow.com/homedetails/817-Manhattan-Ave-Hermosa-Beach-CA-90254/2127122732_zpid/?utm_campaign=iosappmessage&amp;utm_medium=referral&amp;utm_source=txtshare" TargetMode="External"/><Relationship Id="rId591" Type="http://schemas.openxmlformats.org/officeDocument/2006/relationships/hyperlink" Target="https://www.zillow.com/homedetails/Tarzana-CA-91356/19948070_zpid/" TargetMode="External"/><Relationship Id="rId605" Type="http://schemas.openxmlformats.org/officeDocument/2006/relationships/hyperlink" Target="https://drive.google.com/open?id=1S4sFn4ROyHa1rDJbRDirdIvc2bLwlljk" TargetMode="External"/><Relationship Id="rId202" Type="http://schemas.openxmlformats.org/officeDocument/2006/relationships/hyperlink" Target="https://www.zillow.com/homedetails/1941-Glencoe-Way-Los-Angeles-CA-90068/20793801_zpid/" TargetMode="External"/><Relationship Id="rId244" Type="http://schemas.openxmlformats.org/officeDocument/2006/relationships/hyperlink" Target="https://www.zillow.com/homedetails/2219-Estribo-Dr-Rolling-Hills-CA-90274/21348855_zpid/" TargetMode="External"/><Relationship Id="rId39" Type="http://schemas.openxmlformats.org/officeDocument/2006/relationships/hyperlink" Target="https://www.zillow.com/homedetails/8401-Wyndham-Rd-Los-Angeles-CA-90046/20801560_zpid/" TargetMode="External"/><Relationship Id="rId286" Type="http://schemas.openxmlformats.org/officeDocument/2006/relationships/hyperlink" Target="https://drive.google.com/open?id=1IvEc_KP1v7xZsNs2ZrFsM3mbKVtRdQoV" TargetMode="External"/><Relationship Id="rId451" Type="http://schemas.openxmlformats.org/officeDocument/2006/relationships/hyperlink" Target="https://drive.google.com/open?id=1R9Fp71i1VfdcbEEhPt0xZ9_fV2_81r2a" TargetMode="External"/><Relationship Id="rId493" Type="http://schemas.openxmlformats.org/officeDocument/2006/relationships/hyperlink" Target="https://www.zillow.com/homedetails/359-E-Broadway-Long-Beach-CA-90802/2083979360_zpid/" TargetMode="External"/><Relationship Id="rId507" Type="http://schemas.openxmlformats.org/officeDocument/2006/relationships/hyperlink" Target="https://www.zillow.com/homedetails/5571-Camp-St-Cypress-CA-90630/25330127_zpid/" TargetMode="External"/><Relationship Id="rId549" Type="http://schemas.openxmlformats.org/officeDocument/2006/relationships/hyperlink" Target="https://www.zillow.com/homedetails/5117-Bakman-Ave-North-Hollywood-CA-91601/2131031938_zpid/" TargetMode="External"/><Relationship Id="rId50" Type="http://schemas.openxmlformats.org/officeDocument/2006/relationships/hyperlink" Target="https://www.zillow.com/homedetails/3113-Prospect-Ave-La-Crescenta-CA-91214/20898422_zpid/?utm_campaign=iosappmessage&amp;utm_medium=referral&amp;utm_source=txtshare" TargetMode="External"/><Relationship Id="rId104" Type="http://schemas.openxmlformats.org/officeDocument/2006/relationships/hyperlink" Target="https://drive.google.com/open?id=1CaDTWltwVv4hlQ8iFI8RzC8WUzm9-Rpq" TargetMode="External"/><Relationship Id="rId146" Type="http://schemas.openxmlformats.org/officeDocument/2006/relationships/hyperlink" Target="https://www.zillow.com/homedetails/1308-N-Orange-Grove-Ave-Los-Angeles-CA-90046/20795564_zpid/" TargetMode="External"/><Relationship Id="rId188" Type="http://schemas.openxmlformats.org/officeDocument/2006/relationships/hyperlink" Target="https://www.zillow.com/homedetails/114-Pacific-Ave-Venice-CA-90291/20482017_zpid/?utm_campaign=iosappmessage&amp;utm_medium=referral&amp;utm_source=txtshare" TargetMode="External"/><Relationship Id="rId311" Type="http://schemas.openxmlformats.org/officeDocument/2006/relationships/hyperlink" Target="https://www.zillow.com/homedetails/1659-Waynecrest-Dr-Beverly-Hills-CA-90210/20522844_zpid/" TargetMode="External"/><Relationship Id="rId353" Type="http://schemas.openxmlformats.org/officeDocument/2006/relationships/hyperlink" Target="https://www.zillow.com/homedetails/11964-Brentwood-Grove-Dr-Los-Angeles-CA-90049/20547052_zpid/" TargetMode="External"/><Relationship Id="rId395" Type="http://schemas.openxmlformats.org/officeDocument/2006/relationships/hyperlink" Target="https://www.zillow.com/homedetails/190-Arroyo-Ter-APT-202-Pasadena-CA-91103/20857668_zpid/" TargetMode="External"/><Relationship Id="rId409" Type="http://schemas.openxmlformats.org/officeDocument/2006/relationships/hyperlink" Target="https://drive.google.com/open?id=1jjrFVIhD3jOep7bXXqMTcWy1OZtIyEKl" TargetMode="External"/><Relationship Id="rId560" Type="http://schemas.openxmlformats.org/officeDocument/2006/relationships/hyperlink" Target="https://www.zillow.com/homedetails/16412-Ardsley-Cir-Huntington-Beach-CA-92649/25298727_zpid/" TargetMode="External"/><Relationship Id="rId92" Type="http://schemas.openxmlformats.org/officeDocument/2006/relationships/hyperlink" Target="https://drive.google.com/open?id=1cdakQbu1clG1T5hojPoqQd22z_EhSDB2" TargetMode="External"/><Relationship Id="rId213" Type="http://schemas.openxmlformats.org/officeDocument/2006/relationships/hyperlink" Target="https://www.zillow.com/homedetails/3600-Valley-Meadow-Rd-Sherman-Oaks-CA-91403/19990550_zpid/" TargetMode="External"/><Relationship Id="rId420" Type="http://schemas.openxmlformats.org/officeDocument/2006/relationships/hyperlink" Target="https://www.zillow.com/homedetails/10123-Angelo-View-Dr-Beverly-Hills-CA-90210/20523808_zpid/?msockid=0b6a884f9a7b68f23d399d259b1a69d4" TargetMode="External"/><Relationship Id="rId616" Type="http://schemas.openxmlformats.org/officeDocument/2006/relationships/hyperlink" Target="https://www.redfin.com/CA/Los-Angeles/3351-N-Knoll-Dr-90068/home/8181304" TargetMode="External"/><Relationship Id="rId255" Type="http://schemas.openxmlformats.org/officeDocument/2006/relationships/hyperlink" Target="https://www.zillow.com/homedetails/2727-El-Oeste-Dr-Hermosa-Beach-CA-90254/20416648_zpid/" TargetMode="External"/><Relationship Id="rId297" Type="http://schemas.openxmlformats.org/officeDocument/2006/relationships/hyperlink" Target="https://drive.google.com/open?id=1pmlGPUW-dbDyMNDuu5UMKihfmhSUF8si" TargetMode="External"/><Relationship Id="rId462" Type="http://schemas.openxmlformats.org/officeDocument/2006/relationships/hyperlink" Target="https://www.zillow.com/homedetails/26865-Via-Linda-St-Malibu-CA-90265/20554740_zpid/" TargetMode="External"/><Relationship Id="rId518" Type="http://schemas.openxmlformats.org/officeDocument/2006/relationships/hyperlink" Target="https://drive.google.com/open?id=1XUITWWIP2ZwGy8xwaUOjvKHvjWYhy0lY" TargetMode="External"/><Relationship Id="rId115" Type="http://schemas.openxmlformats.org/officeDocument/2006/relationships/hyperlink" Target="https://www.zillow.com/homedetails/1719-Wellesley-Ave-Los-Angeles-CA-90025/20464247_zpid/" TargetMode="External"/><Relationship Id="rId157" Type="http://schemas.openxmlformats.org/officeDocument/2006/relationships/hyperlink" Target="https://www.zillow.com/homedetails/2203-N-Bowmont-Dr-Beverly-Hills-CA-90210/20534087_zpid/" TargetMode="External"/><Relationship Id="rId322" Type="http://schemas.openxmlformats.org/officeDocument/2006/relationships/hyperlink" Target="https://drive.google.com/open?id=1IO27b-BWYpVKLvNWqghtVTf7-zjxcxxl" TargetMode="External"/><Relationship Id="rId364" Type="http://schemas.openxmlformats.org/officeDocument/2006/relationships/hyperlink" Target="https://drive.google.com/open?id=1A8nEpPZ8CUjNFA4JjlXkOZUWTjWsBXyN" TargetMode="External"/><Relationship Id="rId61" Type="http://schemas.openxmlformats.org/officeDocument/2006/relationships/hyperlink" Target="https://drive.google.com/open?id=19LOxbfLT395OOpkSgqGooyVIaWmio7sh" TargetMode="External"/><Relationship Id="rId199" Type="http://schemas.openxmlformats.org/officeDocument/2006/relationships/hyperlink" Target="https://www.zillow.com/homedetails/637-Oxford-Ave-Venice-CA-90291/20445192_zpid/" TargetMode="External"/><Relationship Id="rId571" Type="http://schemas.openxmlformats.org/officeDocument/2006/relationships/hyperlink" Target="https://www.zillow.com/homedetails/6557-Laramie-Ave-Winnetka-CA-91306/2057632822_zpid/" TargetMode="External"/><Relationship Id="rId627" Type="http://schemas.openxmlformats.org/officeDocument/2006/relationships/hyperlink" Target="https://www.redfin.com/CA/Redondo-Beach/220-Avenue-A-90277/home/7705462" TargetMode="External"/><Relationship Id="rId19" Type="http://schemas.openxmlformats.org/officeDocument/2006/relationships/hyperlink" Target="https://www.zillow.com/homedetails/5059-Hermosa-Ave-Los-Angeles-CA-90041/2090546544_zpid/" TargetMode="External"/><Relationship Id="rId224" Type="http://schemas.openxmlformats.org/officeDocument/2006/relationships/hyperlink" Target="https://www.zillow.com/homedetails/Burbank-CA-91505/20062811_zpid/" TargetMode="External"/><Relationship Id="rId266" Type="http://schemas.openxmlformats.org/officeDocument/2006/relationships/hyperlink" Target="https://www.zillow.com/homedetails/918-N-Screenland-Dr-Burbank-CA-91505/20064092_zpid/" TargetMode="External"/><Relationship Id="rId431" Type="http://schemas.openxmlformats.org/officeDocument/2006/relationships/hyperlink" Target="https://www.zillow.com/homedetails/22958-Cantlay-St-West-Hills-CA-91307/19866343_zpid/" TargetMode="External"/><Relationship Id="rId473" Type="http://schemas.openxmlformats.org/officeDocument/2006/relationships/hyperlink" Target="https://drive.google.com/open?id=1V5W4yGBti5Ip_wwrzcfHg-Ef6zqNclv1" TargetMode="External"/><Relationship Id="rId529" Type="http://schemas.openxmlformats.org/officeDocument/2006/relationships/hyperlink" Target="https://drive.google.com/open?id=1OspzwTiV4amwFN8EcwcC6-xSJ7fok_tT" TargetMode="External"/><Relationship Id="rId30" Type="http://schemas.openxmlformats.org/officeDocument/2006/relationships/hyperlink" Target="https://www.zillow.com/homedetails/7177-Pacific-View-Dr-Los-Angeles-CA-90068/20045420_zpid/" TargetMode="External"/><Relationship Id="rId126" Type="http://schemas.openxmlformats.org/officeDocument/2006/relationships/hyperlink" Target="https://www.zillow.com/homedetails/1901-N-Catalina-St-Los-Angeles-CA-90027/20809909_zpid/" TargetMode="External"/><Relationship Id="rId168" Type="http://schemas.openxmlformats.org/officeDocument/2006/relationships/hyperlink" Target="https://drive.google.com/open?id=1BAJxou-I0vqezS1E3AQwDhD9IO1Fn5Z0" TargetMode="External"/><Relationship Id="rId333" Type="http://schemas.openxmlformats.org/officeDocument/2006/relationships/hyperlink" Target="https://www.zillow.com/homedetails/22527-Cass-Ave-1-Woodland-Hills-CA-91364/443629345_zpid/" TargetMode="External"/><Relationship Id="rId540" Type="http://schemas.openxmlformats.org/officeDocument/2006/relationships/hyperlink" Target="https://www.zillow.com/homedetails/10923-Ayres-Ave-1-Los-Angeles-CA-90064/440958563_zpid/" TargetMode="External"/><Relationship Id="rId72" Type="http://schemas.openxmlformats.org/officeDocument/2006/relationships/hyperlink" Target="https://www.zillow.com/homedetails/4800-Zelzah-Ave-Encino-CA-91316/19950258_zpid/" TargetMode="External"/><Relationship Id="rId375" Type="http://schemas.openxmlformats.org/officeDocument/2006/relationships/hyperlink" Target="https://www.zillow.com/homedetails/7901-Limerick-Ave-1-Winnetka-CA-91306/2054214691_zpid/" TargetMode="External"/><Relationship Id="rId582" Type="http://schemas.openxmlformats.org/officeDocument/2006/relationships/hyperlink" Target="https://www.zillow.com/homedetails/2470-Venus-Dr-Los-Angeles-CA-90046/20802366_zpid/?utm_campaign=iosappmessage&amp;utm_medium=referral&amp;utm_source=txtshare" TargetMode="External"/><Relationship Id="rId638" Type="http://schemas.openxmlformats.org/officeDocument/2006/relationships/hyperlink" Target="https://www.zillow.com/homedetails/3701-Royal-Meadow-Rd-Sherman-Oaks-CA-91403/19990560_zpid/" TargetMode="External"/><Relationship Id="rId3" Type="http://schemas.openxmlformats.org/officeDocument/2006/relationships/hyperlink" Target="https://www.zillow.com/homedetails/3512-Crestmont-Ave-Los-Angeles-CA-90026/20746365_zpid/" TargetMode="External"/><Relationship Id="rId235" Type="http://schemas.openxmlformats.org/officeDocument/2006/relationships/hyperlink" Target="https://www.zillow.com/homedetails/425-29th-St-Manhattan-Beach-CA-90266/20420888_zpid/" TargetMode="External"/><Relationship Id="rId277" Type="http://schemas.openxmlformats.org/officeDocument/2006/relationships/hyperlink" Target="https://www.zillow.com/homedetails/815-N-Whittier-Dr-Beverly-Hills-CA-90210/20521924_zpid/" TargetMode="External"/><Relationship Id="rId400" Type="http://schemas.openxmlformats.org/officeDocument/2006/relationships/hyperlink" Target="https://drive.google.com/open?id=1XaJT_1-1vdKGWwStln1D3hty2nIlsuFg" TargetMode="External"/><Relationship Id="rId442" Type="http://schemas.openxmlformats.org/officeDocument/2006/relationships/hyperlink" Target="https://drive.google.com/open?id=1Q-aiJcKg6trx3JfFcsyKHAlRKVvYqSTU" TargetMode="External"/><Relationship Id="rId484" Type="http://schemas.openxmlformats.org/officeDocument/2006/relationships/hyperlink" Target="https://drive.google.com/open?id=1LpQWHFBVxG1wIoWUQ8p3xqIb5criphEn" TargetMode="External"/><Relationship Id="rId137" Type="http://schemas.openxmlformats.org/officeDocument/2006/relationships/hyperlink" Target="https://drive.google.com/open?id=1kgpnFYZgOrMkdb1olE1zxVjCvuTjlBOO" TargetMode="External"/><Relationship Id="rId302" Type="http://schemas.openxmlformats.org/officeDocument/2006/relationships/hyperlink" Target="https://www.zillow.com/homedetails/11310-Valley-Spring-Ln-North-Hollywood-CA-91602/80620474_zpid/" TargetMode="External"/><Relationship Id="rId344" Type="http://schemas.openxmlformats.org/officeDocument/2006/relationships/hyperlink" Target="https://www.zillow.com/homedetails/2461-Jupiter-Dr-Los-Angeles-CA-90046/20802089_zpid/" TargetMode="External"/><Relationship Id="rId41" Type="http://schemas.openxmlformats.org/officeDocument/2006/relationships/hyperlink" Target="https://www.zillow.com/homedetails/1780-S-Garth-Ave-Los-Angeles-CA-90035/20492198_zpid/" TargetMode="External"/><Relationship Id="rId83" Type="http://schemas.openxmlformats.org/officeDocument/2006/relationships/hyperlink" Target="https://drive.google.com/open?id=1rwUqrqmKFo81tbR3TrKZLuxhmu6Ra8lf" TargetMode="External"/><Relationship Id="rId179" Type="http://schemas.openxmlformats.org/officeDocument/2006/relationships/hyperlink" Target="https://www.zillow.com/homedetails/4243-Mary-Ellen-Ave-497B9FBCD-Studio-City-CA-91604/353484968_zpid/?utm_campaign=iosappmessage&amp;utm_medium=referral&amp;utm_source=txtshare" TargetMode="External"/><Relationship Id="rId386" Type="http://schemas.openxmlformats.org/officeDocument/2006/relationships/hyperlink" Target="https://www.zillow.com/homedetails/2666-Hutton-Dr-Beverly-Hills-CA-90210/20532893_zpid/" TargetMode="External"/><Relationship Id="rId551" Type="http://schemas.openxmlformats.org/officeDocument/2006/relationships/hyperlink" Target="https://drive.google.com/open?id=1n_zEv5aXfX1mS5kdOU2sU1dmIqKoaHv9" TargetMode="External"/><Relationship Id="rId593" Type="http://schemas.openxmlformats.org/officeDocument/2006/relationships/hyperlink" Target="https://www.zillow.com/homedetails/15236-Hesby-St-Sherman-Oaks-CA-91403/19982151_zpid/" TargetMode="External"/><Relationship Id="rId607" Type="http://schemas.openxmlformats.org/officeDocument/2006/relationships/hyperlink" Target="https://drive.google.com/open?id=1vXjfny69IBRHtjQTu2feytrPcfxAzACP" TargetMode="External"/><Relationship Id="rId190" Type="http://schemas.openxmlformats.org/officeDocument/2006/relationships/hyperlink" Target="https://www.zillow.com/homedetails/811-23rd-St-Santa-Monica-CA-90403/20474791_zpid/?utm_campaign=iosappmessage&amp;utm_medium=referral&amp;utm_source=txtshare" TargetMode="External"/><Relationship Id="rId204" Type="http://schemas.openxmlformats.org/officeDocument/2006/relationships/hyperlink" Target="https://www.zillow.com/homedetails/4227-McLaughlin-Ave-FLOOR-3-ID136-Los-Angeles-CA-90066/439767586_zpid/" TargetMode="External"/><Relationship Id="rId246" Type="http://schemas.openxmlformats.org/officeDocument/2006/relationships/hyperlink" Target="https://www.zillow.com/homedetails/427-Manhattan-Ave-Hermosa-Beach-CA-90254/2078086078_zpid/" TargetMode="External"/><Relationship Id="rId288" Type="http://schemas.openxmlformats.org/officeDocument/2006/relationships/hyperlink" Target="https://docs.google.com/spreadsheets/d/1RXWxLqTyWvAuq8A0PgaBuWeEn_G6qTLyTZ8lzfNEaNw/htmlview" TargetMode="External"/><Relationship Id="rId411" Type="http://schemas.openxmlformats.org/officeDocument/2006/relationships/hyperlink" Target="https://drive.google.com/open?id=1KgiVmkJ1rj-ZQAfU8IXkDWqdwNDwRu1C" TargetMode="External"/><Relationship Id="rId453" Type="http://schemas.openxmlformats.org/officeDocument/2006/relationships/hyperlink" Target="https://www.zillow.com/homedetails/512-Griswold-St-APT-6-Glendale-CA-91205/2089256757_zpid/" TargetMode="External"/><Relationship Id="rId509" Type="http://schemas.openxmlformats.org/officeDocument/2006/relationships/hyperlink" Target="https://www.zillow.com/homedetails/14649-Addison-St-Sherman-Oaks-CA-91403/19982606_zpid/" TargetMode="External"/><Relationship Id="rId106" Type="http://schemas.openxmlformats.org/officeDocument/2006/relationships/hyperlink" Target="https://www.zillow.com/homedetails/1390-Rose-Ave-Venice-CA-90291/20453901_zpid/" TargetMode="External"/><Relationship Id="rId313" Type="http://schemas.openxmlformats.org/officeDocument/2006/relationships/hyperlink" Target="https://www.zillow.com/homedetails/11842-Culver-Blvd-Los-Angeles-CA-90066/2123490972_zpid/" TargetMode="External"/><Relationship Id="rId495" Type="http://schemas.openxmlformats.org/officeDocument/2006/relationships/hyperlink" Target="https://drive.google.com/open?id=1ttVIvi-CSobryGROKiA-7DH0m6DksybI" TargetMode="External"/><Relationship Id="rId10" Type="http://schemas.openxmlformats.org/officeDocument/2006/relationships/hyperlink" Target="https://drive.google.com/open?id=1zziP6iwuq3qVslEmht_f7YUJnREGjhjx" TargetMode="External"/><Relationship Id="rId52" Type="http://schemas.openxmlformats.org/officeDocument/2006/relationships/hyperlink" Target="https://www.zillow.com/homedetails/1218-E-Tujunga-Ave-Burbank-CA-91501/20816771_zpid/?utm_campaign=iosappmessage&amp;utm_medium=referral&amp;utm_source=txtshare" TargetMode="External"/><Relationship Id="rId94" Type="http://schemas.openxmlformats.org/officeDocument/2006/relationships/hyperlink" Target="https://drive.google.com/open?id=14h7zHNkHwVPNkcG8WLH4OawYYrAXlRNB" TargetMode="External"/><Relationship Id="rId148" Type="http://schemas.openxmlformats.org/officeDocument/2006/relationships/hyperlink" Target="https://www.zillow.com/homedetails/1658-Lindacrest-Dr-Beverly-Hills-CA-90210/95556943_zpid/" TargetMode="External"/><Relationship Id="rId355" Type="http://schemas.openxmlformats.org/officeDocument/2006/relationships/hyperlink" Target="https://www.zillow.com/homedetails/802-N-Edinburgh-Ave-Los-Angeles-CA-90046/441737128_zpid/" TargetMode="External"/><Relationship Id="rId397" Type="http://schemas.openxmlformats.org/officeDocument/2006/relationships/hyperlink" Target="https://drive.google.com/open?id=1-OSQ9jAhp-dgupf07uzTjXEra3e9OeJ9" TargetMode="External"/><Relationship Id="rId520" Type="http://schemas.openxmlformats.org/officeDocument/2006/relationships/hyperlink" Target="https://drive.google.com/open?id=1l6P2y4cxchVE90aPqvCEm4NywLnp46kx" TargetMode="External"/><Relationship Id="rId562" Type="http://schemas.openxmlformats.org/officeDocument/2006/relationships/hyperlink" Target="https://drive.google.com/open?id=1W9LOShcgzXNoMBqWjzRNkciX-Fda4QQk" TargetMode="External"/><Relationship Id="rId618" Type="http://schemas.openxmlformats.org/officeDocument/2006/relationships/hyperlink" Target="https://www.zillow.com/homedetails/626-University-Ave-Burbank-CA-91504/2062931190_zpid/" TargetMode="External"/><Relationship Id="rId215" Type="http://schemas.openxmlformats.org/officeDocument/2006/relationships/hyperlink" Target="https://drive.google.com/open?id=1y0ZpIYBBjLSmm7OJESP7aZoQiIpj6_9Q" TargetMode="External"/><Relationship Id="rId257" Type="http://schemas.openxmlformats.org/officeDocument/2006/relationships/hyperlink" Target="https://drive.google.com/open?id=1_wwFu5NROqgMuL41drhiEyyKx5irwwhi" TargetMode="External"/><Relationship Id="rId422" Type="http://schemas.openxmlformats.org/officeDocument/2006/relationships/hyperlink" Target="https://www.redfin.com/CA/Los-Angeles/15541-Aqua-Verde-Dr-90077/home/6831653" TargetMode="External"/><Relationship Id="rId464" Type="http://schemas.openxmlformats.org/officeDocument/2006/relationships/hyperlink" Target="https://www.zillow.com/homedetails/119-W-Live-Oak-St-APT-J-San-Gabriel-CA-91776/2101023272_zpid/" TargetMode="External"/><Relationship Id="rId299" Type="http://schemas.openxmlformats.org/officeDocument/2006/relationships/hyperlink" Target="https://www.zillow.com/homedetails/3552-Federal-Ave-Los-Angeles-CA-90066/20458262_zpid/" TargetMode="External"/><Relationship Id="rId63" Type="http://schemas.openxmlformats.org/officeDocument/2006/relationships/hyperlink" Target="https://drive.google.com/open?id=1lurDtvavOtJQHEH-jszWykgd0ctuSATo" TargetMode="External"/><Relationship Id="rId159" Type="http://schemas.openxmlformats.org/officeDocument/2006/relationships/hyperlink" Target="https://www.zillow.com/homedetails/8185-Mannix-Dr-Los-Angeles-CA-90046/82881919_zpid/" TargetMode="External"/><Relationship Id="rId366" Type="http://schemas.openxmlformats.org/officeDocument/2006/relationships/hyperlink" Target="https://www.zillow.com/homedetails/929-Marco-Pl-Venice-CA-90291/2071334027_zpid/" TargetMode="External"/><Relationship Id="rId573" Type="http://schemas.openxmlformats.org/officeDocument/2006/relationships/hyperlink" Target="https://drive.google.com/open?id=1LHBerSq90b20eNK7dRyZZujekGW9DcHu" TargetMode="External"/><Relationship Id="rId226" Type="http://schemas.openxmlformats.org/officeDocument/2006/relationships/hyperlink" Target="https://www.zillow.com/homedetails/20-28th-Ave-PENTHOUSE-Venice-CA-90291/442583506_zpid/" TargetMode="External"/><Relationship Id="rId433" Type="http://schemas.openxmlformats.org/officeDocument/2006/relationships/hyperlink" Target="https://drive.google.com/open?id=1UkFkxy45gqyre1X_mRJVqj5Hb-t8iH9U" TargetMode="External"/><Relationship Id="rId640" Type="http://schemas.openxmlformats.org/officeDocument/2006/relationships/hyperlink" Target="https://www.redfin.com/CA/Los-Angeles/15541-Aqua-Verde-Dr-90077/home/6831653" TargetMode="External"/><Relationship Id="rId74" Type="http://schemas.openxmlformats.org/officeDocument/2006/relationships/hyperlink" Target="https://www.zillow.com/homedetails/1129-La-Puerta-St-Los-Angeles-CA-90023/20635360_zpid/" TargetMode="External"/><Relationship Id="rId377" Type="http://schemas.openxmlformats.org/officeDocument/2006/relationships/hyperlink" Target="https://drive.google.com/open?id=1y1wVtoLvl0ufZ__cKjeBwrPafVlwTKp8" TargetMode="External"/><Relationship Id="rId500" Type="http://schemas.openxmlformats.org/officeDocument/2006/relationships/hyperlink" Target="https://drive.google.com/open?id=1a-WYDLcGBl4IZmWF8DzX3AXxoGl9Zrk4" TargetMode="External"/><Relationship Id="rId584" Type="http://schemas.openxmlformats.org/officeDocument/2006/relationships/hyperlink" Target="https://drive.google.com/open?id=1qQzgWuWAIsmaRGaH_1Qh1MqRkXZ9k70X" TargetMode="External"/><Relationship Id="rId5" Type="http://schemas.openxmlformats.org/officeDocument/2006/relationships/hyperlink" Target="https://www.zillow.com/homedetails/8966-Shoreham-Dr-Los-Angeles-CA-90069/20799415_zpid/" TargetMode="External"/><Relationship Id="rId237" Type="http://schemas.openxmlformats.org/officeDocument/2006/relationships/hyperlink" Target="https://www.zillow.com/homedetails/1026-E-Verdugo-Ave-Burbank-CA-91501/20054588_zpid/?utm_campaign=androidappmessage&amp;utm_medium=referral&amp;utm_source=txtshare" TargetMode="External"/><Relationship Id="rId444" Type="http://schemas.openxmlformats.org/officeDocument/2006/relationships/hyperlink" Target="https://drive.google.com/open?id=1GCQHND3CStqFIbIbmlL_WU-U3RHF9B6i" TargetMode="External"/><Relationship Id="rId290" Type="http://schemas.openxmlformats.org/officeDocument/2006/relationships/hyperlink" Target="https://drive.google.com/open?id=1FCc3hVLZluutG08uUEkV69VHkWoF-4ll" TargetMode="External"/><Relationship Id="rId304" Type="http://schemas.openxmlformats.org/officeDocument/2006/relationships/hyperlink" Target="https://www.zillow.com/homedetails/10919-Ayres-Ave-Los-Angeles-CA-90064/2098430421_zpid/?utm_campaign=iosappmessage&amp;utm_medium=referral&amp;utm_source=txtshare" TargetMode="External"/><Relationship Id="rId388" Type="http://schemas.openxmlformats.org/officeDocument/2006/relationships/hyperlink" Target="https://www.zillow.com/homedetails/2328-San-Ysidro-Dr-Beverly-Hills-CA-90210/20533103_zpid/" TargetMode="External"/><Relationship Id="rId511" Type="http://schemas.openxmlformats.org/officeDocument/2006/relationships/hyperlink" Target="https://www.zillow.com/homedetails/672-Walther-Way-Los-Angeles-CA-90049/2059425368_zpid/" TargetMode="External"/><Relationship Id="rId609" Type="http://schemas.openxmlformats.org/officeDocument/2006/relationships/hyperlink" Target="https://www.zillow.com/homedetails/6617-S-Sherbourne-Dr-Los-Angeles-CA-90056/20377951_zpid/?utm_campaign=iosappmessage&amp;utm_medium=referral&amp;utm_source=txtshare" TargetMode="External"/><Relationship Id="rId85" Type="http://schemas.openxmlformats.org/officeDocument/2006/relationships/hyperlink" Target="https://drive.google.com/open?id=1YKY0jAgqx2PN8xqnatLY6-sNOytbD4OL" TargetMode="External"/><Relationship Id="rId150" Type="http://schemas.openxmlformats.org/officeDocument/2006/relationships/hyperlink" Target="https://www.zillow.com/homedetails/12829-Jolette-Ave-Granada-Hills-CA-91344/20108763_zpid/" TargetMode="External"/><Relationship Id="rId595" Type="http://schemas.openxmlformats.org/officeDocument/2006/relationships/hyperlink" Target="https://www.zillow.com/homedetails/23863-Friar-St-Woodland-Hills-CA-91367/19873812_zpid/" TargetMode="External"/><Relationship Id="rId248" Type="http://schemas.openxmlformats.org/officeDocument/2006/relationships/hyperlink" Target="https://drive.google.com/open?id=18VwtNi21SWtzIJgo4yu0DiKSB15fH3jl" TargetMode="External"/><Relationship Id="rId455" Type="http://schemas.openxmlformats.org/officeDocument/2006/relationships/hyperlink" Target="https://www.zillow.com/homedetails/11633-Chenault-St-UNIT-202-Los-Angeles-CA-90049/119677949_zpid/" TargetMode="External"/><Relationship Id="rId12" Type="http://schemas.openxmlformats.org/officeDocument/2006/relationships/hyperlink" Target="https://drive.google.com/open?id=1Zew-llRUzDNfN8RUPCh1xX5c3y-3Waca" TargetMode="External"/><Relationship Id="rId108" Type="http://schemas.openxmlformats.org/officeDocument/2006/relationships/hyperlink" Target="https://drive.google.com/open?id=12pR2hLzYw3_oSW8qObS5bgVrR5wOpo_Z" TargetMode="External"/><Relationship Id="rId315" Type="http://schemas.openxmlformats.org/officeDocument/2006/relationships/hyperlink" Target="https://www.zillow.com/homedetails/2260-Maravilla-Dr-Los-Angeles-CA-90068/20793606_zpid/?utm_campaign=iosappmessage&amp;utm_medium=referral&amp;utm_source=txtshare" TargetMode="External"/><Relationship Id="rId522" Type="http://schemas.openxmlformats.org/officeDocument/2006/relationships/hyperlink" Target="https://drive.google.com/open?id=1X0uyH3OOXTuItMa4tMDIfrxXC_LTex9J" TargetMode="External"/><Relationship Id="rId96" Type="http://schemas.openxmlformats.org/officeDocument/2006/relationships/hyperlink" Target="https://drive.google.com/open?id=1h2IElqvSaXKs80UlnsYqt1dd7ikWs18s" TargetMode="External"/><Relationship Id="rId161" Type="http://schemas.openxmlformats.org/officeDocument/2006/relationships/hyperlink" Target="https://drive.google.com/open?id=1-rNasGbTjI-w93MTPDozdiHKGN4qFyFr" TargetMode="External"/><Relationship Id="rId399" Type="http://schemas.openxmlformats.org/officeDocument/2006/relationships/hyperlink" Target="https://www.trulia.com/home/1931-nelson-ave-redondo-beach-ca-90278-2061986612?cid=shr%7Capp_ios_rental_phone%7Crent%7Cpdp_share" TargetMode="External"/><Relationship Id="rId259" Type="http://schemas.openxmlformats.org/officeDocument/2006/relationships/hyperlink" Target="https://www.zillow.com/homedetails/3100-The-Strand-Hermosa-Beach-CA-90254/20424059_zpid/" TargetMode="External"/><Relationship Id="rId466" Type="http://schemas.openxmlformats.org/officeDocument/2006/relationships/hyperlink" Target="https://www.zillow.com/homedetails/Los-Angeles-CA-90028/2063392866_zpid/" TargetMode="External"/><Relationship Id="rId23" Type="http://schemas.openxmlformats.org/officeDocument/2006/relationships/hyperlink" Target="https://www.zillow.com/homedetails/1941-Glencoe-Way-Los-Angeles-CA-90068/20793801_zpid/?utm_campaign=iosappmessage&amp;utm_medium=referral&amp;utm_source=txtshare" TargetMode="External"/><Relationship Id="rId119" Type="http://schemas.openxmlformats.org/officeDocument/2006/relationships/hyperlink" Target="https://www.zillow.com/homedetails/11571-Nebraska-Ave-2-Los-Angeles-CA-90025/442366314_zpid/" TargetMode="External"/><Relationship Id="rId326" Type="http://schemas.openxmlformats.org/officeDocument/2006/relationships/hyperlink" Target="https://www.zillow.com/homedetails/241-Rees-St-Playa-Del-Rey-CA-90293/20386149_zpid/" TargetMode="External"/><Relationship Id="rId533" Type="http://schemas.openxmlformats.org/officeDocument/2006/relationships/hyperlink" Target="https://www.zillow.com/homedetails/13918-Chandler-Blvd-Van-Nuys-CA-91401/19974663_zpid/" TargetMode="External"/><Relationship Id="rId172" Type="http://schemas.openxmlformats.org/officeDocument/2006/relationships/hyperlink" Target="https://www.zillow.com/homedetails/610-N-Stanley-Ave-Los-Angeles-CA-90036/20785234_zpid/" TargetMode="External"/><Relationship Id="rId477" Type="http://schemas.openxmlformats.org/officeDocument/2006/relationships/hyperlink" Target="https://www.zillow.com/homedetails/30830-Broad-Beach-Rd-Malibu-CA-90265/20557654_zpid/" TargetMode="External"/><Relationship Id="rId600" Type="http://schemas.openxmlformats.org/officeDocument/2006/relationships/hyperlink" Target="https://www.zillow.com/homedetails/1330-N-Harper-Ave-100-Los-Angeles-CA-90046/2068797074_zpid/" TargetMode="External"/><Relationship Id="rId337" Type="http://schemas.openxmlformats.org/officeDocument/2006/relationships/hyperlink" Target="https://www.zillow.com/homedetails/4521-Alla-Rd-Marina-Del-Rey-CA-90292/441836699_zpid/" TargetMode="External"/><Relationship Id="rId34" Type="http://schemas.openxmlformats.org/officeDocument/2006/relationships/hyperlink" Target="https://www.zillow.com/homedetails/1470-Blue-Jay-Way-Los-Angeles-CA-90069/20799733_zpid/" TargetMode="External"/><Relationship Id="rId544" Type="http://schemas.openxmlformats.org/officeDocument/2006/relationships/hyperlink" Target="https://www.zillow.com/homedetails/10802-Wilkins-Ave-Los-Angeles-CA-90024/2053179796_zpid/" TargetMode="External"/><Relationship Id="rId183" Type="http://schemas.openxmlformats.org/officeDocument/2006/relationships/hyperlink" Target="https://www.zillow.com/homedetails/138-N-Hamel-Dr-Beverly-Hills-CA-90211/20514615_zpid/" TargetMode="External"/><Relationship Id="rId390" Type="http://schemas.openxmlformats.org/officeDocument/2006/relationships/hyperlink" Target="https://www.zillow.com/homedetails/2639-S-Genesee-Ave-Los-Angeles-CA-90016/20588130_zpid/" TargetMode="External"/><Relationship Id="rId404" Type="http://schemas.openxmlformats.org/officeDocument/2006/relationships/hyperlink" Target="https://www.zillow.com/homedetails/917-S-Berendo-St-401-Los-Angeles-CA-90006/2056259359_zpid/?utm_campaign=iosappmessage&amp;utm_medium=referral&amp;utm_source=txtshare" TargetMode="External"/><Relationship Id="rId611" Type="http://schemas.openxmlformats.org/officeDocument/2006/relationships/hyperlink" Target="https://www.zillow.com/homedetails/10097-Tujunga-Canyon-Blvd-Tujunga-CA-91042/2080530432_zpid/" TargetMode="External"/><Relationship Id="rId250" Type="http://schemas.openxmlformats.org/officeDocument/2006/relationships/hyperlink" Target="https://zillow.com/homedetails/10-20th-Ave-Venice-CA-90291/60295991_zpid/" TargetMode="External"/><Relationship Id="rId488" Type="http://schemas.openxmlformats.org/officeDocument/2006/relationships/hyperlink" Target="https://www.zillow.com/homedetails/Van-Nuys-CA-91406/19964598_zpid/" TargetMode="External"/><Relationship Id="rId45" Type="http://schemas.openxmlformats.org/officeDocument/2006/relationships/hyperlink" Target="https://www.zillow.com/homedetails/907-Pine-Grove-Ave-Los-Angeles-CA-90042/20769156_zpid/?utm_campaign=iosappmessage&amp;utm_medium=referral&amp;utm_source=txtshare" TargetMode="External"/><Relationship Id="rId110" Type="http://schemas.openxmlformats.org/officeDocument/2006/relationships/hyperlink" Target="https://drive.google.com/open?id=1ou9y_SxG7r66aEb26MltadhISkU0pfpz" TargetMode="External"/><Relationship Id="rId348" Type="http://schemas.openxmlformats.org/officeDocument/2006/relationships/hyperlink" Target="https://www.zillow.com/homedetails/2242-Jeffersonia-Way-Los-Angeles-CA-90049/89149575_zpid/" TargetMode="External"/><Relationship Id="rId555" Type="http://schemas.openxmlformats.org/officeDocument/2006/relationships/hyperlink" Target="https://www.zillow.com/homedetails/3108-Yale-Ave-Marina-Del-Rey-CA-90292/20445056_zpid/" TargetMode="External"/><Relationship Id="rId194" Type="http://schemas.openxmlformats.org/officeDocument/2006/relationships/hyperlink" Target="https://drive.google.com/open?id=1A-soIUjd5PAmtxUsxqHcRj8j0ub7wEGb" TargetMode="External"/><Relationship Id="rId208" Type="http://schemas.openxmlformats.org/officeDocument/2006/relationships/hyperlink" Target="https://drive.google.com/open?id=1vf8hpHBjuhq8v2Ecqd2dojvA1zHbRFnN" TargetMode="External"/><Relationship Id="rId415" Type="http://schemas.openxmlformats.org/officeDocument/2006/relationships/hyperlink" Target="https://drive.google.com/open?id=1q_YnNlYOV4Nkktfv6-hZUzWBaEzxgOuA" TargetMode="External"/><Relationship Id="rId622" Type="http://schemas.openxmlformats.org/officeDocument/2006/relationships/hyperlink" Target="https://www.zillow.com/homedetails/27553-Country-Glen-Rd-Agoura-Hills-CA-91301/19894551_zpid/" TargetMode="External"/><Relationship Id="rId261" Type="http://schemas.openxmlformats.org/officeDocument/2006/relationships/hyperlink" Target="https://drive.google.com/open?id=1uPsZMr9JXmrdVRIOC1OSEDPL9WcA2L33" TargetMode="External"/><Relationship Id="rId499" Type="http://schemas.openxmlformats.org/officeDocument/2006/relationships/hyperlink" Target="https://www.zillow.com/homedetails/1070-S-Bedford-St-405A-Los-Angeles-CA-90035/443493164_zpid/" TargetMode="External"/><Relationship Id="rId56" Type="http://schemas.openxmlformats.org/officeDocument/2006/relationships/hyperlink" Target="https://www.zillow.com/homedetails/2950-Warwick-Ave-Los-Angeles-CA-90032/20643542_zpid/?utm_campaign=iosappmessage&amp;utm_medium=referral&amp;utm_source=txtshare" TargetMode="External"/><Relationship Id="rId359" Type="http://schemas.openxmlformats.org/officeDocument/2006/relationships/hyperlink" Target="https://drive.google.com/open?id=1eQpDcw_omE99_VuokbxMSps7-SH1bogE" TargetMode="External"/><Relationship Id="rId566" Type="http://schemas.openxmlformats.org/officeDocument/2006/relationships/hyperlink" Target="https://drive.google.com/open?id=1gfYUzh7ZpO48bEZy7LB5YEUsQucAcZSg" TargetMode="External"/><Relationship Id="rId121" Type="http://schemas.openxmlformats.org/officeDocument/2006/relationships/hyperlink" Target="https://www.zillow.com/homedetails/13018-Chandler-Blvd-Van-Nuys-CA-91401/440548973_zpid/" TargetMode="External"/><Relationship Id="rId219" Type="http://schemas.openxmlformats.org/officeDocument/2006/relationships/hyperlink" Target="https://www.zillow.com/homedetails/4641-Crown-Ave-La-Canada-Flintridge-CA-91011/20906018_zpid/?utm_campaign=iosappmessage&amp;utm_medium=referral&amp;utm_source=txtshare" TargetMode="External"/><Relationship Id="rId426" Type="http://schemas.openxmlformats.org/officeDocument/2006/relationships/hyperlink" Target="https://www.zillow.com/homedetails/20850-Kingsbury-St-Chatsworth-CA-91311/134988770_zpid/" TargetMode="External"/><Relationship Id="rId633" Type="http://schemas.openxmlformats.org/officeDocument/2006/relationships/hyperlink" Target="https://www.redfin.com/CA/Los-Angeles/1941-Glencoe-Way-90068/home/7114955" TargetMode="External"/><Relationship Id="rId67" Type="http://schemas.openxmlformats.org/officeDocument/2006/relationships/hyperlink" Target="https://www.zillow.com/homedetails/636-Acanto-St-APT-104-Los-Angeles-CA-90049/2123187503_zpid/" TargetMode="External"/><Relationship Id="rId272" Type="http://schemas.openxmlformats.org/officeDocument/2006/relationships/hyperlink" Target="https://www.zillow.com/homedetails/825-N-Pasadena-Ave-Pasadena-CA-91103/20857788_zpid/" TargetMode="External"/><Relationship Id="rId577" Type="http://schemas.openxmlformats.org/officeDocument/2006/relationships/hyperlink" Target="https://drive.google.com/open?id=1rYM8FTeXTzErDh2ArKQiZ-rH_puvT29W" TargetMode="External"/><Relationship Id="rId132" Type="http://schemas.openxmlformats.org/officeDocument/2006/relationships/hyperlink" Target="https://drive.google.com/open?id=1Szy-ApdPKNC1NOZSjAfb6-wj3YiRuWue" TargetMode="External"/><Relationship Id="rId437" Type="http://schemas.openxmlformats.org/officeDocument/2006/relationships/hyperlink" Target="https://drive.google.com/open?id=13yAlsTN0FCKkQaq3CzYSccKv5NwYx2NY" TargetMode="External"/><Relationship Id="rId644" Type="http://schemas.openxmlformats.org/officeDocument/2006/relationships/hyperlink" Target="https://www.zillow.com/homedetails/7171-La-Presa-Dr-Los-Angeles-CA-90068/20793583_zpid/" TargetMode="External"/><Relationship Id="rId283" Type="http://schemas.openxmlformats.org/officeDocument/2006/relationships/hyperlink" Target="https://www.zillow.com/homedetails/5514-Sylvia-Ave-Tarzana-CA-91356/19940536_zpid/" TargetMode="External"/><Relationship Id="rId490" Type="http://schemas.openxmlformats.org/officeDocument/2006/relationships/hyperlink" Target="https://www.zillow.com/homedetails/592-30th-St-Manhattan-Beach-CA-90266/20420685_zpid/" TargetMode="External"/><Relationship Id="rId504" Type="http://schemas.openxmlformats.org/officeDocument/2006/relationships/hyperlink" Target="https://www.zillow.com/homedetails/414-Monterey-Blvd-Hermosa-Beach-CA-90254/20428484_zpid/" TargetMode="External"/><Relationship Id="rId78" Type="http://schemas.openxmlformats.org/officeDocument/2006/relationships/hyperlink" Target="https://www.zillow.com/homedetails/2950-Warwick-Ave-Los-Angeles-CA-90032/20643542_zpid/" TargetMode="External"/><Relationship Id="rId143" Type="http://schemas.openxmlformats.org/officeDocument/2006/relationships/hyperlink" Target="https://drive.google.com/open?id=1PjPQuQ4SxY6Gy9B5K_xiqa11pCy1-2va" TargetMode="External"/><Relationship Id="rId350" Type="http://schemas.openxmlformats.org/officeDocument/2006/relationships/hyperlink" Target="https://drive.google.com/open?id=1cDi20Egfm1CzPUZHE-YX4Ih3Y-92PCL2" TargetMode="External"/><Relationship Id="rId588" Type="http://schemas.openxmlformats.org/officeDocument/2006/relationships/hyperlink" Target="https://www.zillow.com/homedetails/9907-National-Blvd-Los-Angeles-CA-90034/402290876_zpid/" TargetMode="External"/><Relationship Id="rId9" Type="http://schemas.openxmlformats.org/officeDocument/2006/relationships/hyperlink" Target="https://www.zillow.com/homedetails/Los-Angeles-CA-90046/20803208_zpid/" TargetMode="External"/><Relationship Id="rId210" Type="http://schemas.openxmlformats.org/officeDocument/2006/relationships/hyperlink" Target="https://www.zillow.com/homedetails/3205-Waverly-Dr-Los-Angeles-CA-90027/20749233_zpid/" TargetMode="External"/><Relationship Id="rId448" Type="http://schemas.openxmlformats.org/officeDocument/2006/relationships/hyperlink" Target="https://www.zillow.com/homedetails/3816-San-Augustine-Dr-Glendale-CA-91206/20842133_zpid/" TargetMode="External"/><Relationship Id="rId294" Type="http://schemas.openxmlformats.org/officeDocument/2006/relationships/hyperlink" Target="https://www.zillow.com/homedetails/10714-Franklin-Ave-Culver-City-CA-90230/20434510_zpid/" TargetMode="External"/><Relationship Id="rId308" Type="http://schemas.openxmlformats.org/officeDocument/2006/relationships/hyperlink" Target="https://www.zillow.com/homedetails/1405-Elkgrove-Cir-FLOOR-2-ID71-Venice-CA-90291/439767588_zpid/" TargetMode="External"/><Relationship Id="rId515" Type="http://schemas.openxmlformats.org/officeDocument/2006/relationships/hyperlink" Target="https://www.zillow.com/homedetails/1646-Blue-Jay-Way-Los-Angeles-CA-90069/20799931_zpid/" TargetMode="External"/><Relationship Id="rId89" Type="http://schemas.openxmlformats.org/officeDocument/2006/relationships/hyperlink" Target="https://www.zillow.com/homedetails/503-N-Santa-Anita-Ave-A-Arcadia-CA-91006/2077677076_zpid/" TargetMode="External"/><Relationship Id="rId154" Type="http://schemas.openxmlformats.org/officeDocument/2006/relationships/hyperlink" Target="https://www.zillow.com/homedetails/13001-13019-Montana-Ave-13011-Los-Angeles-CA-90049/443790422_zpid/" TargetMode="External"/><Relationship Id="rId361" Type="http://schemas.openxmlformats.org/officeDocument/2006/relationships/hyperlink" Target="https://drive.google.com/open?id=1dB8163Gv8GJ2_JkaamKPYUJRnwaQoNqj" TargetMode="External"/><Relationship Id="rId599" Type="http://schemas.openxmlformats.org/officeDocument/2006/relationships/hyperlink" Target="https://drive.google.com/open?id=1ruluOV0XIGaul23eknjFVTxQTxZ08LOA" TargetMode="External"/></Relationships>
</file>

<file path=xl/worksheets/_rels/sheet2.xml.rels><?xml version="1.0" encoding="UTF-8" standalone="yes"?>
<Relationships xmlns="http://schemas.openxmlformats.org/package/2006/relationships"><Relationship Id="rId1827" Type="http://schemas.openxmlformats.org/officeDocument/2006/relationships/hyperlink" Target="https://www.zillow.com/homedetails/137-S-Wilson-Ave-UNIT-301-Pasadena-CA-91106/325797670_zpid/" TargetMode="External"/><Relationship Id="rId170" Type="http://schemas.openxmlformats.org/officeDocument/2006/relationships/hyperlink" Target="https://www.zillow.com/homedetails/3365-Tyburn-St-Los-Angeles-CA-90039/20750852_zpid/" TargetMode="External"/><Relationship Id="rId987" Type="http://schemas.openxmlformats.org/officeDocument/2006/relationships/hyperlink" Target="https://www.zillow.com/homedetails/11788-Bellagio-Rd-Los-Angeles-CA-90049/20528726_zpid/" TargetMode="External"/><Relationship Id="rId847" Type="http://schemas.openxmlformats.org/officeDocument/2006/relationships/hyperlink" Target="https://www.zillow.com/homedetails/14320-Hortense-St-Sherman-Oaks-CA-91423/19984223_zpid/" TargetMode="External"/><Relationship Id="rId1477" Type="http://schemas.openxmlformats.org/officeDocument/2006/relationships/hyperlink" Target="https://www.zillow.com/homedetails/278-E-Washington-Blvd-APT-7-Pasadena-CA-91104/2087473975_zpid/" TargetMode="External"/><Relationship Id="rId1684" Type="http://schemas.openxmlformats.org/officeDocument/2006/relationships/hyperlink" Target="https://drive.google.com/open?id=1yoBxo5Qbg7-HbTB3jeG_VcjIiMGtvew0" TargetMode="External"/><Relationship Id="rId1891" Type="http://schemas.openxmlformats.org/officeDocument/2006/relationships/hyperlink" Target="https://www.zillow.com/homedetails/2006-N-Commonwealth-Ave-Los-Angeles-CA-90027/20811028_zpid/" TargetMode="External"/><Relationship Id="rId707" Type="http://schemas.openxmlformats.org/officeDocument/2006/relationships/hyperlink" Target="https://drive.google.com/open?id=1wvgWF7Mv4FVNQcDegmeayWrXk8kUlbTz" TargetMode="External"/><Relationship Id="rId914" Type="http://schemas.openxmlformats.org/officeDocument/2006/relationships/hyperlink" Target="https://www.zillow.com/homedetails/15705-Gun-Tree-Dr-Hacienda-Heights-CA-91745/21492050_zpid/" TargetMode="External"/><Relationship Id="rId1337" Type="http://schemas.openxmlformats.org/officeDocument/2006/relationships/hyperlink" Target="https://www.zillow.com/homedetails/1653-Micheltorena-St-APT-3-Los-Angeles-CA-90026/20746457_zpid/" TargetMode="External"/><Relationship Id="rId1544" Type="http://schemas.openxmlformats.org/officeDocument/2006/relationships/hyperlink" Target="https://drive.google.com/open?id=1yx8Qaf2cGDDW6D1NwkYo91rIuPtULFLc" TargetMode="External"/><Relationship Id="rId1751" Type="http://schemas.openxmlformats.org/officeDocument/2006/relationships/hyperlink" Target="https://drive.google.com/open?id=1lSAFc3BOTomX_DVn27wrX7H9AnOsrHw1" TargetMode="External"/><Relationship Id="rId43" Type="http://schemas.openxmlformats.org/officeDocument/2006/relationships/hyperlink" Target="https://www.zillow.com/homedetails/8401-Wyndham-Rd-Los-Angeles-CA-90046/20801560_zpid/" TargetMode="External"/><Relationship Id="rId1404" Type="http://schemas.openxmlformats.org/officeDocument/2006/relationships/hyperlink" Target="https://drive.google.com/open?id=1-CMbX1zUMRhKUT2TaJZzPtM7mFqWOkDw" TargetMode="External"/><Relationship Id="rId1611" Type="http://schemas.openxmlformats.org/officeDocument/2006/relationships/hyperlink" Target="https://www.zillow.com/homedetails/3298-Sunset-Hills-Blvd-Thousand-Oaks-CA-91362/52466191_zpid/" TargetMode="External"/><Relationship Id="rId497" Type="http://schemas.openxmlformats.org/officeDocument/2006/relationships/hyperlink" Target="https://www.zillow.com/homedetails/Culver-City-CA-90232/20432486_zpid/" TargetMode="External"/><Relationship Id="rId2178" Type="http://schemas.openxmlformats.org/officeDocument/2006/relationships/hyperlink" Target="https://www.zillow.com/homedetails/4321-Glenalbyn-Dr-Los-Angeles-CA-90065/20760611_zpid/" TargetMode="External"/><Relationship Id="rId2385" Type="http://schemas.openxmlformats.org/officeDocument/2006/relationships/hyperlink" Target="https://www.zillow.com/homedetails/1740-Casa-Grande-St-Pasadena-CA-91104/20872281_zpid/?view=public" TargetMode="External"/><Relationship Id="rId357" Type="http://schemas.openxmlformats.org/officeDocument/2006/relationships/hyperlink" Target="https://www.zillow.com/homedetails/918-N-Screenland-Dr-Burbank-CA-91505/20064092_zpid/" TargetMode="External"/><Relationship Id="rId1194" Type="http://schemas.openxmlformats.org/officeDocument/2006/relationships/hyperlink" Target="https://drive.google.com/open?id=1yPfL4pehU-7IgPffGmDae-F2NUr_enB0" TargetMode="External"/><Relationship Id="rId2038" Type="http://schemas.openxmlformats.org/officeDocument/2006/relationships/hyperlink" Target="https://www.zillow.com/homedetails/1223-Federal-Ave-212-Los-Angeles-CA-90025/2077049077_zpid/" TargetMode="External"/><Relationship Id="rId217" Type="http://schemas.openxmlformats.org/officeDocument/2006/relationships/hyperlink" Target="https://drive.google.com/open?id=1L8SAiBnhn-CN7UModhGaXSSvOvYQexJM" TargetMode="External"/><Relationship Id="rId564" Type="http://schemas.openxmlformats.org/officeDocument/2006/relationships/hyperlink" Target="https://www.zillow.com/homedetails/8401-Remmet-Ave-Canoga-Park-CA-91304/20179428_zpid/" TargetMode="External"/><Relationship Id="rId771" Type="http://schemas.openxmlformats.org/officeDocument/2006/relationships/hyperlink" Target="https://www.zillow.com/homedetails/414-Monterey-Blvd-Hermosa-Beach-CA-90254/20428484_zpid/" TargetMode="External"/><Relationship Id="rId2245" Type="http://schemas.openxmlformats.org/officeDocument/2006/relationships/hyperlink" Target="https://www.zillow.com/homedetails/1500-Fairfield-St-Glendale-CA-91201/20825768_zpid/" TargetMode="External"/><Relationship Id="rId424" Type="http://schemas.openxmlformats.org/officeDocument/2006/relationships/hyperlink" Target="https://www.zillow.com/homedetails/1941-Glencoe-Way-Los-Angeles-CA-90068/20793801_zpid/?utm_campaign=iosappmessage&amp;utm_medium=referral&amp;utm_source=txtshare" TargetMode="External"/><Relationship Id="rId631" Type="http://schemas.openxmlformats.org/officeDocument/2006/relationships/hyperlink" Target="https://drive.google.com/open?id=1iFuLYuRsor84s82Xao-mwX5GGkQSu5CA" TargetMode="External"/><Relationship Id="rId1054" Type="http://schemas.openxmlformats.org/officeDocument/2006/relationships/hyperlink" Target="https://www.zillow.com/homedetails/15236-Hesby-St-Sherman-Oaks-CA-91403/19982151_zpid/" TargetMode="External"/><Relationship Id="rId1261" Type="http://schemas.openxmlformats.org/officeDocument/2006/relationships/hyperlink" Target="https://drive.google.com/open?id=1oD5--hgFNhNIJPm2_zNyxO_auD4MHAtL" TargetMode="External"/><Relationship Id="rId2105" Type="http://schemas.openxmlformats.org/officeDocument/2006/relationships/hyperlink" Target="https://www.zillow.com/homedetails/627-Deep-Valley-Dr-P617-Rolling-Hills-Estates-CA-90274/325800245_zpid/" TargetMode="External"/><Relationship Id="rId2312" Type="http://schemas.openxmlformats.org/officeDocument/2006/relationships/hyperlink" Target="https://www.zillow.com/homedetails/6149-S-Harvard-Blvd-Los-Angeles-CA-90047/20927563_zpid/" TargetMode="External"/><Relationship Id="rId1121" Type="http://schemas.openxmlformats.org/officeDocument/2006/relationships/hyperlink" Target="https://www.zillow.com/homedetails/240-El-Camino-Dr-Beverly-Hills-CA-90212/20509301_zpid/" TargetMode="External"/><Relationship Id="rId1938" Type="http://schemas.openxmlformats.org/officeDocument/2006/relationships/hyperlink" Target="https://drive.google.com/open?id=1h96UzWVH25Q_gMCfT36ouX3gxRQ519Xv" TargetMode="External"/><Relationship Id="rId281" Type="http://schemas.openxmlformats.org/officeDocument/2006/relationships/hyperlink" Target="https://drive.google.com/open?id=1YoVaUBPOqLwNTz4M-C_iei4pwUkgbAEp" TargetMode="External"/><Relationship Id="rId141" Type="http://schemas.openxmlformats.org/officeDocument/2006/relationships/hyperlink" Target="https://www.zillow.com/homedetails/3572-E-Green-St-Pasadena-CA-91107/20878608_zpid/" TargetMode="External"/><Relationship Id="rId7" Type="http://schemas.openxmlformats.org/officeDocument/2006/relationships/hyperlink" Target="https://drive.google.com/open?id=1sm1ldDEdkeEeS5nfhyOXxZo1hYp050CE" TargetMode="External"/><Relationship Id="rId958" Type="http://schemas.openxmlformats.org/officeDocument/2006/relationships/hyperlink" Target="https://www.redfin.com/CA/Los-Angeles/3351-N-Knoll-Dr-90068/home/8181304" TargetMode="External"/><Relationship Id="rId1588" Type="http://schemas.openxmlformats.org/officeDocument/2006/relationships/hyperlink" Target="https://www.trulia.com/home/190-s-marengo-ave-12-pasadena-ca-91101-2055455907" TargetMode="External"/><Relationship Id="rId1795" Type="http://schemas.openxmlformats.org/officeDocument/2006/relationships/hyperlink" Target="https://www.zillow.com/homedetails/6268-N-San-Gabriel-Blvd-APT-3-San-Gabriel-CA-91775/2086807997_zpid/" TargetMode="External"/><Relationship Id="rId87" Type="http://schemas.openxmlformats.org/officeDocument/2006/relationships/hyperlink" Target="https://www.zillow.com/homedetails/2559-Hutton-Dr-Beverly-Hills-CA-90210/20532078_zpid/" TargetMode="External"/><Relationship Id="rId818" Type="http://schemas.openxmlformats.org/officeDocument/2006/relationships/hyperlink" Target="https://www.zillow.com/homedetails/7177-Pacific-View-Dr-Los-Angeles-CA-90068/20045420_zpid/" TargetMode="External"/><Relationship Id="rId1448" Type="http://schemas.openxmlformats.org/officeDocument/2006/relationships/hyperlink" Target="https://drive.google.com/open?id=1JYXj0d_1KSnTZk_vJlRZNOBn1lysvQAl" TargetMode="External"/><Relationship Id="rId1655" Type="http://schemas.openxmlformats.org/officeDocument/2006/relationships/hyperlink" Target="https://drive.google.com/open?id=1Ri-6Ng7o5CFSYNdqxj9_CaAh8p5chmA5" TargetMode="External"/><Relationship Id="rId1308" Type="http://schemas.openxmlformats.org/officeDocument/2006/relationships/hyperlink" Target="https://www.zillow.com/homedetails/173-S-Alta-Vista-Blvd-Los-Angeles-CA-90036/20777839_zpid/" TargetMode="External"/><Relationship Id="rId1862" Type="http://schemas.openxmlformats.org/officeDocument/2006/relationships/hyperlink" Target="https://drive.google.com/open?id=1h4M8X_6o5IQbQzdj15uH-hyvzTTn3ZMG" TargetMode="External"/><Relationship Id="rId1515" Type="http://schemas.openxmlformats.org/officeDocument/2006/relationships/hyperlink" Target="https://www.zillow.com/homedetails/627-N-Kilkea-Dr-Los-Angeles-CA-90048/20786878_zpid/" TargetMode="External"/><Relationship Id="rId1722" Type="http://schemas.openxmlformats.org/officeDocument/2006/relationships/hyperlink" Target="https://www.zillow.com/homedetails/4657-Tujunga-Ave-APT-101-North-Hollywood-CA-91602/2101682959_zpid/" TargetMode="External"/><Relationship Id="rId14" Type="http://schemas.openxmlformats.org/officeDocument/2006/relationships/hyperlink" Target="https://www.zillow.com/homedetails/1915-S-Crescent-Heights-Blvd-Los-Angeles-CA-90034/20598384_zpid/" TargetMode="External"/><Relationship Id="rId2289" Type="http://schemas.openxmlformats.org/officeDocument/2006/relationships/hyperlink" Target="https://drive.google.com/open?id=1hidgUQZ5zlV1aWTpM1btFVJI9T7Tz7p4" TargetMode="External"/><Relationship Id="rId468" Type="http://schemas.openxmlformats.org/officeDocument/2006/relationships/hyperlink" Target="https://drive.google.com/open?id=12U1-IB7p_nUs12B7f6r2ZhUxgPoZ6Y1U" TargetMode="External"/><Relationship Id="rId675" Type="http://schemas.openxmlformats.org/officeDocument/2006/relationships/hyperlink" Target="https://drive.google.com/open?id=1dptJdziJJOk5SERVhBEgLXtfm_DvUh7w" TargetMode="External"/><Relationship Id="rId882" Type="http://schemas.openxmlformats.org/officeDocument/2006/relationships/hyperlink" Target="https://drive.google.com/open?id=10Wuv7N-4OEbjXsc4I3rQ5EIc1ncVnYOt" TargetMode="External"/><Relationship Id="rId1098" Type="http://schemas.openxmlformats.org/officeDocument/2006/relationships/hyperlink" Target="https://drive.google.com/open?id=1SIRHBTrQYVyrJFL4i3WTAEYGEWDbPccX" TargetMode="External"/><Relationship Id="rId2149" Type="http://schemas.openxmlformats.org/officeDocument/2006/relationships/hyperlink" Target="https://www.zillow.com/homedetails/1511-Reeves-St-Los-Angeles-CA-90035/20493174_zpid/" TargetMode="External"/><Relationship Id="rId2356" Type="http://schemas.openxmlformats.org/officeDocument/2006/relationships/hyperlink" Target="https://drive.google.com/open?id=1KxwYOclVvRNWKZNiYnuZkjQI4craV5UY" TargetMode="External"/><Relationship Id="rId328" Type="http://schemas.openxmlformats.org/officeDocument/2006/relationships/hyperlink" Target="https://www.zillow.com/homedetails/907-Pine-Grove-Ave-Los-Angeles-CA-90042/20769156_zpid/" TargetMode="External"/><Relationship Id="rId535" Type="http://schemas.openxmlformats.org/officeDocument/2006/relationships/hyperlink" Target="https://www.zillow.com/homedetails/16754-Armstead-St-Granada-Hills-CA-91344/20110441_zpid/" TargetMode="External"/><Relationship Id="rId742" Type="http://schemas.openxmlformats.org/officeDocument/2006/relationships/hyperlink" Target="https://www.redfin.com/CA/Los-Angeles/8417-Harold-Way-90069/home/110141347" TargetMode="External"/><Relationship Id="rId1165" Type="http://schemas.openxmlformats.org/officeDocument/2006/relationships/hyperlink" Target="https://www.zillow.com/homedetails/3055-Landa-St-Los-Angeles-CA-90039/20747666_zpid/" TargetMode="External"/><Relationship Id="rId1372" Type="http://schemas.openxmlformats.org/officeDocument/2006/relationships/hyperlink" Target="https://www.zillow.com/homedetails/321-Beloit-Ave-Los-Angeles-CA-90049/20527260_zpid/" TargetMode="External"/><Relationship Id="rId2009" Type="http://schemas.openxmlformats.org/officeDocument/2006/relationships/hyperlink" Target="https://www.zillow.com/homedetails/19226-Northfleet-Way-Tarzana-CA-91356/19948310_zpid/" TargetMode="External"/><Relationship Id="rId2216" Type="http://schemas.openxmlformats.org/officeDocument/2006/relationships/hyperlink" Target="https://www.zillow.com/homedetails/740-N-Kings-Rd-APT-103-Los-Angeles-CA-90069/20786497_zpid/" TargetMode="External"/><Relationship Id="rId602" Type="http://schemas.openxmlformats.org/officeDocument/2006/relationships/hyperlink" Target="https://drive.google.com/open?id=1SEaIrNQHq4Qp3gOLE_-aVWDEDICAciIm" TargetMode="External"/><Relationship Id="rId1025" Type="http://schemas.openxmlformats.org/officeDocument/2006/relationships/hyperlink" Target="https://drive.google.com/open?id=16uloGGtvtH0H6GxvXRwLoOqVnBpkTlLQ" TargetMode="External"/><Relationship Id="rId1232" Type="http://schemas.openxmlformats.org/officeDocument/2006/relationships/hyperlink" Target="https://www.zillow.com/homedetails/380-Trousdale-Pl-Beverly-Hills-CA-90210/20534471_zpid/" TargetMode="External"/><Relationship Id="rId185" Type="http://schemas.openxmlformats.org/officeDocument/2006/relationships/hyperlink" Target="https://www.zillow.com/homedetails/907-Pine-Grove-Ave-Los-Angeles-CA-90042/20769156_zpid/?utm_campaign=iosappmessage&amp;utm_medium=referral&amp;utm_source=txtshare" TargetMode="External"/><Relationship Id="rId1909" Type="http://schemas.openxmlformats.org/officeDocument/2006/relationships/hyperlink" Target="https://www.zillow.com/homedetails/8660-Edwin-Dr-Los-Angeles-CA-90046/20800482_zpid/" TargetMode="External"/><Relationship Id="rId392" Type="http://schemas.openxmlformats.org/officeDocument/2006/relationships/hyperlink" Target="https://drive.google.com/open?id=16BcWxiHgDEVc2qXkR3c2Do5-EiPYJXr5" TargetMode="External"/><Relationship Id="rId2073" Type="http://schemas.openxmlformats.org/officeDocument/2006/relationships/hyperlink" Target="https://www.zillow.com/homedetails/Los-Angeles-CA-90068/20806187_zpid/?rtoken=82d1b3e6-a093-4731-a0df-a10e27720a8a~X1-ZU14fpvedl0k0sp_3z9zv&amp;utm_campaign=emo-instantsavedsearch-rental&amp;utm_source=email&amp;utm_term=urn:msg:20250119074254b5833f5c85f56087&amp;utm_medium=email&amp;utm_content=forrentimage&amp;sse=X1-SSdufno93ti9j31000000000_3qukl&amp;srp=H4sIAAAAAAAAAI2TTVPDIBCGf02O2iyQkBwcR6sHj9qL46VDCTTRAJGPqv9eLFrTGTvCCXYf3nd3dnbRGyXcQhq7tkL7xaUTzPL+Pgj7sfLMi4uCXhcIKTZdm6A7F+8FvkpBbazvUwCTc8AVYFrHgyqE6gItY0ow5xNxBtCcIwIloaRt6wYoSYgzYaZS0gqqigJtGtRAlZA3caSC8ZdJ09Q1ITUu6E2iYo1PxqgEAk5BOYxe2H0r89InO/CjgGLv6YkoRjXAQXUjjptWg/4GfxHm+/8YbvSc2LExfPtLNjpx4OIkRBbIJpbFqenPNgGVZfkr1p/Q8jbMLAPPstR5mLQ5pt685am5jckCuXJ5o2ATz1OM1nmzcHFhToBfszHOW8HjGvKe6e0+EX8e6g7OG/UgtoPRd93hF5Ud4TXhWD7C2fIBNh92J6S1789tvwb+KpNl8mc70a32G36rrRlHFc1mWlFhteqC1KbFfmifMZQ/Z41fw8uYSvoEyARaCzUEAAA=" TargetMode="External"/><Relationship Id="rId2280" Type="http://schemas.openxmlformats.org/officeDocument/2006/relationships/hyperlink" Target="https://www.zillow.com/homedetails/2739-Midvale-Ave-Los-Angeles-CA-90064/20462578_zpid/" TargetMode="External"/><Relationship Id="rId252" Type="http://schemas.openxmlformats.org/officeDocument/2006/relationships/hyperlink" Target="https://www.zillow.com/homedetails/1941-Glencoe-Way-Los-Angeles-CA-90068/20793801_zpid/" TargetMode="External"/><Relationship Id="rId2140" Type="http://schemas.openxmlformats.org/officeDocument/2006/relationships/hyperlink" Target="http://google.com/" TargetMode="External"/><Relationship Id="rId112" Type="http://schemas.openxmlformats.org/officeDocument/2006/relationships/hyperlink" Target="https://drive.google.com/open?id=1eK4g73pSgopIZGRSRDoSubYa0_t8NyfD" TargetMode="External"/><Relationship Id="rId1699" Type="http://schemas.openxmlformats.org/officeDocument/2006/relationships/hyperlink" Target="https://drive.google.com/open?id=1usebWRpxxzFkvDgwJ89kv-UGsO39zNNH" TargetMode="External"/><Relationship Id="rId2000" Type="http://schemas.openxmlformats.org/officeDocument/2006/relationships/hyperlink" Target="https://drive.google.com/open?id=1BlMAlx97NxPHEUw75RN3NNIamIYXdIKB" TargetMode="External"/><Relationship Id="rId929" Type="http://schemas.openxmlformats.org/officeDocument/2006/relationships/hyperlink" Target="https://www.zillow.com/homedetails/4952-N-Figueroa-St-APT-F-Los-Angeles-CA-90042/2075141514_zpid/" TargetMode="External"/><Relationship Id="rId1559" Type="http://schemas.openxmlformats.org/officeDocument/2006/relationships/hyperlink" Target="https://www.zillow.com/homedetails/2243-Century-Hl-Los-Angeles-CA-90067/20510481_zpid/" TargetMode="External"/><Relationship Id="rId1766" Type="http://schemas.openxmlformats.org/officeDocument/2006/relationships/hyperlink" Target="https://www.zillow.com/homedetails/8634-Hillside-Ave-Los-Angeles-CA-90069/20798460_zpid/" TargetMode="External"/><Relationship Id="rId1973" Type="http://schemas.openxmlformats.org/officeDocument/2006/relationships/hyperlink" Target="https://drive.google.com/open?id=1GINjviS5hs3GFfapNZWpJ8HCHaLbX8wl" TargetMode="External"/><Relationship Id="rId58" Type="http://schemas.openxmlformats.org/officeDocument/2006/relationships/hyperlink" Target="https://drive.google.com/open?id=1KA7SEr3u08PLtg69OQnxNBQ5kLiPLxeu" TargetMode="External"/><Relationship Id="rId1419" Type="http://schemas.openxmlformats.org/officeDocument/2006/relationships/hyperlink" Target="https://www.zillow.com/homedetails/71-Linda-Isle-Newport-Beach-CA-92660/25139026_zpid/" TargetMode="External"/><Relationship Id="rId1626" Type="http://schemas.openxmlformats.org/officeDocument/2006/relationships/hyperlink" Target="https://drive.google.com/open?id=10nFyLxmdy9Fqt-dkV5R_3VvWlMjM21h4" TargetMode="External"/><Relationship Id="rId1833" Type="http://schemas.openxmlformats.org/officeDocument/2006/relationships/hyperlink" Target="https://www.zillow.com/homedetails/10780-Andora-Ave-Chatsworth-CA-91311/2068802822_zpid/" TargetMode="External"/><Relationship Id="rId1900" Type="http://schemas.openxmlformats.org/officeDocument/2006/relationships/hyperlink" Target="https://www.redfin.com/CA/Los-Angeles/8107-Loyola-Blvd-90045/home/6620001" TargetMode="External"/><Relationship Id="rId579" Type="http://schemas.openxmlformats.org/officeDocument/2006/relationships/hyperlink" Target="https://www.zillow.com/homedetails/3663-Edenhurst-Ave-Los-Angeles-CA-90039/20749912_zpid/" TargetMode="External"/><Relationship Id="rId786" Type="http://schemas.openxmlformats.org/officeDocument/2006/relationships/hyperlink" Target="https://www.zillow.com/homedetails/1646-Blue-Jay-Way-Los-Angeles-CA-90069/20799931_zpid/" TargetMode="External"/><Relationship Id="rId993" Type="http://schemas.openxmlformats.org/officeDocument/2006/relationships/hyperlink" Target="https://www.zillow.com/homedetails/6686-Drexel-Ave-2-Los-Angeles-CA-90048/401816476_zpid/" TargetMode="External"/><Relationship Id="rId439" Type="http://schemas.openxmlformats.org/officeDocument/2006/relationships/hyperlink" Target="https://www.zillow.com/homedetails/715-N-Rexford-Dr-Beverly-Hills-CA-90210/20520993_zpid/" TargetMode="External"/><Relationship Id="rId646" Type="http://schemas.openxmlformats.org/officeDocument/2006/relationships/hyperlink" Target="https://www.zillow.com/homedetails/10123-Angelo-View-Dr-Beverly-Hills-CA-90210/20523808_zpid/?msockid=0b6a884f9a7b68f23d399d259b1a69d4" TargetMode="External"/><Relationship Id="rId1069" Type="http://schemas.openxmlformats.org/officeDocument/2006/relationships/hyperlink" Target="https://www.zillow.com/homedetails/1235-Highland-Oaks-Dr-Arcadia-CA-91006/20887520_zpid/" TargetMode="External"/><Relationship Id="rId1276" Type="http://schemas.openxmlformats.org/officeDocument/2006/relationships/hyperlink" Target="https://www.zillow.com/homedetails/1536-Blue-Jay-Way-Los-Angeles-CA-90069/20799751_zpid/" TargetMode="External"/><Relationship Id="rId1483" Type="http://schemas.openxmlformats.org/officeDocument/2006/relationships/hyperlink" Target="https://www.zillow.com/homedetails/501-E-Del-Mar-Blvd-APT-110-Pasadena-CA-91101/20867692_zpid/" TargetMode="External"/><Relationship Id="rId2327" Type="http://schemas.openxmlformats.org/officeDocument/2006/relationships/hyperlink" Target="https://www.zillow.com/homedetails/1917-Clinton-St-APT-2-Los-Angeles-CA-90026/440020112_zpid/" TargetMode="External"/><Relationship Id="rId506" Type="http://schemas.openxmlformats.org/officeDocument/2006/relationships/hyperlink" Target="https://www.zillow.com/homedetails/2461-Jupiter-Dr-Los-Angeles-CA-90046/20802089_zpid/" TargetMode="External"/><Relationship Id="rId853" Type="http://schemas.openxmlformats.org/officeDocument/2006/relationships/hyperlink" Target="https://www.zillow.com/homedetails/6617-S-Sherbourne-Dr-Los-Angeles-CA-90056/20377951_zpid/" TargetMode="External"/><Relationship Id="rId1136" Type="http://schemas.openxmlformats.org/officeDocument/2006/relationships/hyperlink" Target="https://www.zillow.com/homedetails/815-N-Whittier-Dr-Beverly-Hills-CA-90210/20521924_zpid/" TargetMode="External"/><Relationship Id="rId1690" Type="http://schemas.openxmlformats.org/officeDocument/2006/relationships/hyperlink" Target="https://drive.google.com/open?id=10c5S9-ToVfB5JY57Ey5SRAn8i6QBFgzK" TargetMode="External"/><Relationship Id="rId713" Type="http://schemas.openxmlformats.org/officeDocument/2006/relationships/hyperlink" Target="https://drive.google.com/open?id=1ce3wJ_J3K76gz9ExRsaG-QJ2ugCYnyxV" TargetMode="External"/><Relationship Id="rId920" Type="http://schemas.openxmlformats.org/officeDocument/2006/relationships/hyperlink" Target="https://www.zillow.com/homedetails/709-E-Manchester-Blvd-Inglewood-CA-90301/20336485_zpid/" TargetMode="External"/><Relationship Id="rId1343" Type="http://schemas.openxmlformats.org/officeDocument/2006/relationships/hyperlink" Target="https://centralinvestmentcorp.appfolio.com/listings/detail/704fb4c3-b73c-440b-8616-1a9195832f12" TargetMode="External"/><Relationship Id="rId1550" Type="http://schemas.openxmlformats.org/officeDocument/2006/relationships/hyperlink" Target="https://drive.google.com/open?id=15ot-CeGjI8bSR-3LdO1f5BvLbiQGh92w" TargetMode="External"/><Relationship Id="rId1203" Type="http://schemas.openxmlformats.org/officeDocument/2006/relationships/hyperlink" Target="https://www.zillow.com/homedetails/12426-Idaho-Ave-Los-Angeles-CA-90025/20464168_zpid/" TargetMode="External"/><Relationship Id="rId1410" Type="http://schemas.openxmlformats.org/officeDocument/2006/relationships/hyperlink" Target="https://drive.google.com/open?id=1Vnx6izXIA3kCOhXvyhgMZGJ2j0MLeHeQ" TargetMode="External"/><Relationship Id="rId296" Type="http://schemas.openxmlformats.org/officeDocument/2006/relationships/hyperlink" Target="https://www.zillow.com/homedetails/1302-N-Gardner-St-Los-Angeles-CA-90046/2060162532_zpid/" TargetMode="External"/><Relationship Id="rId2184" Type="http://schemas.openxmlformats.org/officeDocument/2006/relationships/hyperlink" Target="https://www.redfin.com/CA/Los-Angeles/5153-W-Maplewood-Ave-90004/unit-101/home/194166375" TargetMode="External"/><Relationship Id="rId156" Type="http://schemas.openxmlformats.org/officeDocument/2006/relationships/hyperlink" Target="https://drive.google.com/open?id=1RISaoYGwBSnljgYnj6eGQ8rUx_PgaUpV" TargetMode="External"/><Relationship Id="rId363" Type="http://schemas.openxmlformats.org/officeDocument/2006/relationships/hyperlink" Target="https://www.zillow.com/homedetails/825-N-Pasadena-Ave-Pasadena-CA-91103/20857788_zpid/" TargetMode="External"/><Relationship Id="rId570" Type="http://schemas.openxmlformats.org/officeDocument/2006/relationships/hyperlink" Target="https://drive.google.com/open?id=1nxQ4tEQquVBiu4LCBFN7l-lH-Vo85qlZ" TargetMode="External"/><Relationship Id="rId2044" Type="http://schemas.openxmlformats.org/officeDocument/2006/relationships/hyperlink" Target="http://apartments.com/" TargetMode="External"/><Relationship Id="rId2251" Type="http://schemas.openxmlformats.org/officeDocument/2006/relationships/hyperlink" Target="https://www.zillow.com/homedetails/2521-Alma-Ave-Manhattan-Beach-CA-90266/20421440_zpid/" TargetMode="External"/><Relationship Id="rId223" Type="http://schemas.openxmlformats.org/officeDocument/2006/relationships/hyperlink" Target="https://www.zillow.com/homedetails/4243-Mary-Ellen-Ave-497B9FBCD-Studio-City-CA-91604/353484968_zpid/?utm_campaign=iosappmessage&amp;utm_medium=referral&amp;utm_source=txtshare" TargetMode="External"/><Relationship Id="rId430" Type="http://schemas.openxmlformats.org/officeDocument/2006/relationships/hyperlink" Target="https://www.zillow.com/homedetails/11730-Stonehenge-Ln-Los-Angeles-CA-90077/20530651_zpid/" TargetMode="External"/><Relationship Id="rId1060" Type="http://schemas.openxmlformats.org/officeDocument/2006/relationships/hyperlink" Target="https://www.zillow.com/homedetails/705-Chaucer-Rd-San-Marino-CA-91108/20701815_zpid/" TargetMode="External"/><Relationship Id="rId2111" Type="http://schemas.openxmlformats.org/officeDocument/2006/relationships/hyperlink" Target="https://www.zillow.com/homedetails/15376-Valley-Vista-Blvd-Sherman-Oaks-CA-91403/95634250_zpid/" TargetMode="External"/><Relationship Id="rId1877" Type="http://schemas.openxmlformats.org/officeDocument/2006/relationships/hyperlink" Target="https://www.zillow.com/homedetails/1288-Angelo-Dr-Beverly-Hills-CA-90210/20523794_zpid/" TargetMode="External"/><Relationship Id="rId1737" Type="http://schemas.openxmlformats.org/officeDocument/2006/relationships/hyperlink" Target="https://www.zillow.com/homedetails/10910-Hesby-St-B-North-Hollywood-CA-91601/2072759498_zpid/" TargetMode="External"/><Relationship Id="rId1944" Type="http://schemas.openxmlformats.org/officeDocument/2006/relationships/hyperlink" Target="https://drive.google.com/open?id=1HosYjaAGCv8DAcYBHdPlQgGPxcuFuoaD" TargetMode="External"/><Relationship Id="rId29" Type="http://schemas.openxmlformats.org/officeDocument/2006/relationships/hyperlink" Target="https://www.zillow.com/homedetails/6105-Del-Valle-Dr-Los-Angeles-CA-90048/20609699_zpid/" TargetMode="External"/><Relationship Id="rId1804" Type="http://schemas.openxmlformats.org/officeDocument/2006/relationships/hyperlink" Target="https://www.zillow.com/homedetails/220-E-Live-Oak-St-APT-15-San-Gabriel-CA-91776/2093359195_zpid/" TargetMode="External"/><Relationship Id="rId897" Type="http://schemas.openxmlformats.org/officeDocument/2006/relationships/hyperlink" Target="https://www.zillow.com/homedetails/6248-Teesdale-Ave-North-Hollywood-CA-91606/20009083_zpid/" TargetMode="External"/><Relationship Id="rId757" Type="http://schemas.openxmlformats.org/officeDocument/2006/relationships/hyperlink" Target="https://drive.google.com/open?id=1hluoxtfRpoy4csmSbGjtYFAfRxp4Iemp" TargetMode="External"/><Relationship Id="rId964" Type="http://schemas.openxmlformats.org/officeDocument/2006/relationships/hyperlink" Target="https://www.zillow.com/homedetails/1516-N-Beverly-Glen-Blvd-Los-Angeles-CA-90077/250219152_zpid/?utm_campaign=iosappmessage&amp;utm_medium=referral&amp;utm_source=txtshare" TargetMode="External"/><Relationship Id="rId1387" Type="http://schemas.openxmlformats.org/officeDocument/2006/relationships/hyperlink" Target="https://www.zillow.com/homedetails/8262-Woodshill-Trl-Los-Angeles-CA-90069/20797509_zpid/?utm_campaign=iosappmessage&amp;utm_medium=referral&amp;utm_source=txtshare" TargetMode="External"/><Relationship Id="rId1594" Type="http://schemas.openxmlformats.org/officeDocument/2006/relationships/hyperlink" Target="https://www.trulia.com/home/3321-e-colorado-blvd-25-pasadena-ca-91107-353727409" TargetMode="External"/><Relationship Id="rId93" Type="http://schemas.openxmlformats.org/officeDocument/2006/relationships/hyperlink" Target="https://drive.google.com/open?id=1dJQe56fwRBMNI5SOGMC31gPXmo_2Do6N" TargetMode="External"/><Relationship Id="rId617" Type="http://schemas.openxmlformats.org/officeDocument/2006/relationships/hyperlink" Target="https://www.zillow.com/homedetails/241-Rees-St-Playa-Del-Rey-CA-90293/20386149_zpid/?utm_campaign=iosappmessage&amp;utm_medium=referral&amp;utm_source=txtshare" TargetMode="External"/><Relationship Id="rId824" Type="http://schemas.openxmlformats.org/officeDocument/2006/relationships/hyperlink" Target="https://www.zillow.com/homedetails/7801-White-Oak-Ave-Reseda-CA-91335/19903033_zpid/" TargetMode="External"/><Relationship Id="rId1247" Type="http://schemas.openxmlformats.org/officeDocument/2006/relationships/hyperlink" Target="https://drive.google.com/open?id=1q-P0wYnFKhbwwFFlH3hWjYlpq0OH2zuG" TargetMode="External"/><Relationship Id="rId1454" Type="http://schemas.openxmlformats.org/officeDocument/2006/relationships/hyperlink" Target="https://www.zillow.com/homedetails/3872-N-Delta-Ave-Rosemead-CA-91770/2063289465_zpid/" TargetMode="External"/><Relationship Id="rId1661" Type="http://schemas.openxmlformats.org/officeDocument/2006/relationships/hyperlink" Target="https://www.zillow.com/homedetails/1849-N-Coldwater-Canyon-Dr-Beverly-Hills-CA-90210/125270046_zpid/" TargetMode="External"/><Relationship Id="rId1107" Type="http://schemas.openxmlformats.org/officeDocument/2006/relationships/hyperlink" Target="https://www.zillow.com/homedetails/2069-Paramount-Dr-Los-Angeles-CA-90068/20793804_zpid/" TargetMode="External"/><Relationship Id="rId1314" Type="http://schemas.openxmlformats.org/officeDocument/2006/relationships/hyperlink" Target="https://www.zillow.com/homedetails/2606-James-M-Wood-Blvd-Los-Angeles-CA-90006/302797427_zpid/" TargetMode="External"/><Relationship Id="rId1521" Type="http://schemas.openxmlformats.org/officeDocument/2006/relationships/hyperlink" Target="https://www.zillow.com/homedetails/3759-S-Canfield-Ave-204A-Los-Angeles-CA-90034/443801052_zpid/" TargetMode="External"/><Relationship Id="rId20" Type="http://schemas.openxmlformats.org/officeDocument/2006/relationships/hyperlink" Target="https://www.zillow.com/homedetails/2700-Cahuenga-Blvd-E-APT-4111-Los-Angeles-CA-90068/20804778_zpid/" TargetMode="External"/><Relationship Id="rId2088" Type="http://schemas.openxmlformats.org/officeDocument/2006/relationships/hyperlink" Target="https://www.zillow.com/homedetails/1711-Granville-Ave-APT-9-Los-Angeles-CA-90025/2105670558_zpid/" TargetMode="External"/><Relationship Id="rId2295" Type="http://schemas.openxmlformats.org/officeDocument/2006/relationships/hyperlink" Target="https://drive.google.com/open?id=1e45oeWjzU4SosRtvYeAOOp1YtTkiUGMZ" TargetMode="External"/><Relationship Id="rId267" Type="http://schemas.openxmlformats.org/officeDocument/2006/relationships/hyperlink" Target="https://drive.google.com/open?id=1y0ZpIYBBjLSmm7OJESP7aZoQiIpj6_9Q" TargetMode="External"/><Relationship Id="rId474" Type="http://schemas.openxmlformats.org/officeDocument/2006/relationships/hyperlink" Target="https://www.zillow.com/homedetails/22809-Del-Valle-St-APT-10-Woodland-Hills-CA-91364/89145149_zpid/" TargetMode="External"/><Relationship Id="rId2155" Type="http://schemas.openxmlformats.org/officeDocument/2006/relationships/hyperlink" Target="https://www.zillow.com/homedetails/1541-Ellsmere-Ave-Los-Angeles-CA-90019/20600494_zpid/" TargetMode="External"/><Relationship Id="rId127" Type="http://schemas.openxmlformats.org/officeDocument/2006/relationships/hyperlink" Target="https://drive.google.com/open?id=1k2Y_W1L2mMy_ehol2mP-szsgFOg-lSei" TargetMode="External"/><Relationship Id="rId681" Type="http://schemas.openxmlformats.org/officeDocument/2006/relationships/hyperlink" Target="https://www.zillow.com/homedetails/2730-Earle-Ave-Rosemead-CA-91770/2097129855_zpid/" TargetMode="External"/><Relationship Id="rId2362" Type="http://schemas.openxmlformats.org/officeDocument/2006/relationships/hyperlink" Target="https://drive.google.com/open?id=1svWwdXQEvoW0bDTUU8l8Fq8Fp07d1Sy4" TargetMode="External"/><Relationship Id="rId334" Type="http://schemas.openxmlformats.org/officeDocument/2006/relationships/hyperlink" Target="https://www.zillow.com/homedetails/705-Chaucer-Rd-San-Marino-CA-91108/20701815_zpid/" TargetMode="External"/><Relationship Id="rId541" Type="http://schemas.openxmlformats.org/officeDocument/2006/relationships/hyperlink" Target="https://www.zillow.com/homedetails/4906-Rubio-Ave-Encino-CA-91436/19980319_zpid/" TargetMode="External"/><Relationship Id="rId1171" Type="http://schemas.openxmlformats.org/officeDocument/2006/relationships/hyperlink" Target="https://www.zillow.com/homedetails/Los-Angeles-CA-90004/2092617999_zpid/" TargetMode="External"/><Relationship Id="rId2015" Type="http://schemas.openxmlformats.org/officeDocument/2006/relationships/hyperlink" Target="https://www.zillow.com/homedetails/902-Manzanita-St-Los-Angeles-CA-90029/2066630147_zpid/" TargetMode="External"/><Relationship Id="rId2222" Type="http://schemas.openxmlformats.org/officeDocument/2006/relationships/hyperlink" Target="https://drive.google.com/open?id=1kRPNk5QCHZzqhVoRBFGiVOT8Sb20tf5O" TargetMode="External"/><Relationship Id="rId401" Type="http://schemas.openxmlformats.org/officeDocument/2006/relationships/hyperlink" Target="https://www.zillow.com/homedetails/2903-Lincoln-Blvd-221-Santa-Monica-CA-90405/2055723866_zpid/" TargetMode="External"/><Relationship Id="rId1031" Type="http://schemas.openxmlformats.org/officeDocument/2006/relationships/hyperlink" Target="https://drive.google.com/open?id=1oa8KLL5GFEFS7OTDoJxzubpZNRcv7mKZ" TargetMode="External"/><Relationship Id="rId1988" Type="http://schemas.openxmlformats.org/officeDocument/2006/relationships/hyperlink" Target="https://www.redfin.com/CA/Los-Angeles/2549-N-Beachwood-Dr-90068/home/7130462" TargetMode="External"/><Relationship Id="rId1848" Type="http://schemas.openxmlformats.org/officeDocument/2006/relationships/hyperlink" Target="https://www.zillow.com/homedetails/9243-Cordell-Dr-Los-Angeles-CA-90069/20534852_zpid/" TargetMode="External"/><Relationship Id="rId191" Type="http://schemas.openxmlformats.org/officeDocument/2006/relationships/hyperlink" Target="https://www.zillow.com/homedetails/5900-Hellman-Ave-Los-Angeles-CA-90042/20692747_zpid/?utm_campaign=iosappmessage&amp;utm_medium=referral&amp;utm_source=txtshare" TargetMode="External"/><Relationship Id="rId1708" Type="http://schemas.openxmlformats.org/officeDocument/2006/relationships/hyperlink" Target="https://www.zillow.com/homedetails/141-Hollister-Ave-Santa-Monica-CA-90405/2075120739_zpid/" TargetMode="External"/><Relationship Id="rId1915" Type="http://schemas.openxmlformats.org/officeDocument/2006/relationships/hyperlink" Target="https://drive.google.com/open?id=1lYjc3Uo1xzRPiF45aC9YHNclpvTiVGrQ" TargetMode="External"/><Relationship Id="rId868" Type="http://schemas.openxmlformats.org/officeDocument/2006/relationships/hyperlink" Target="https://www.zillow.com/homedetails/3108-Yale-Ave-Marina-Del-Rey-CA-90292/20445056_zpid/" TargetMode="External"/><Relationship Id="rId1498" Type="http://schemas.openxmlformats.org/officeDocument/2006/relationships/hyperlink" Target="https://drive.google.com/open?id=1Bmdh1y15oqA302M4eyQq62PopwgN4J0z" TargetMode="External"/><Relationship Id="rId728" Type="http://schemas.openxmlformats.org/officeDocument/2006/relationships/hyperlink" Target="https://www.zillow.com/homedetails/30830-Broad-Beach-Rd-Malibu-CA-90265/20557654_zpid/" TargetMode="External"/><Relationship Id="rId935" Type="http://schemas.openxmlformats.org/officeDocument/2006/relationships/hyperlink" Target="https://drive.google.com/open?id=1XHLGfqomqYwm4x9NZm3vCQxRLOY5d0DQ" TargetMode="External"/><Relationship Id="rId1358" Type="http://schemas.openxmlformats.org/officeDocument/2006/relationships/hyperlink" Target="https://www.zillow.com/homedetails/3856-Vista-Linda-Dr-Encino-CA-91316/19951052_zpid/" TargetMode="External"/><Relationship Id="rId1565" Type="http://schemas.openxmlformats.org/officeDocument/2006/relationships/hyperlink" Target="https://www.zillow.com/homedetails/405-E-Claremont-St-Pasadena-CA-91104/20865548_zpid/" TargetMode="External"/><Relationship Id="rId1772" Type="http://schemas.openxmlformats.org/officeDocument/2006/relationships/hyperlink" Target="https://www.zillow.com/homedetails/7015-Wrightcrest-Dr-Culver-City-CA-90232/20430909_zpid/" TargetMode="External"/><Relationship Id="rId64" Type="http://schemas.openxmlformats.org/officeDocument/2006/relationships/hyperlink" Target="https://www.zillow.com/homedetails/1670-Arboles-Dr-Glendale-CA-91207/20838671_zpid/?utm_campaign=iosappmessage&amp;utm_medium=referral&amp;utm_source=txtshare" TargetMode="External"/><Relationship Id="rId1218" Type="http://schemas.openxmlformats.org/officeDocument/2006/relationships/hyperlink" Target="https://drive.google.com/open?id=13-KsPoZSJqofzyk-0u_3oxoBZaFmdcrA" TargetMode="External"/><Relationship Id="rId1425" Type="http://schemas.openxmlformats.org/officeDocument/2006/relationships/hyperlink" Target="https://drive.google.com/open?id=1WUHVj4onr_wBmUis7ge5Kefw93mxX_0b" TargetMode="External"/><Relationship Id="rId1632" Type="http://schemas.openxmlformats.org/officeDocument/2006/relationships/hyperlink" Target="https://drive.google.com/open?id=1KTuvRd2ZsRMa7FNvmfbjXEUcCj0S1rB_" TargetMode="External"/><Relationship Id="rId2199" Type="http://schemas.openxmlformats.org/officeDocument/2006/relationships/hyperlink" Target="https://www.zillow.com/homedetails/315-S-Highland-Ave-Los-Angeles-CA-90036/20775403_zpid/" TargetMode="External"/><Relationship Id="rId378" Type="http://schemas.openxmlformats.org/officeDocument/2006/relationships/hyperlink" Target="https://drive.google.com/open?id=1I2N6IXCNajYrAsvTl1Wd3pJpQXmGpgaS" TargetMode="External"/><Relationship Id="rId585" Type="http://schemas.openxmlformats.org/officeDocument/2006/relationships/hyperlink" Target="https://www.zillow.com/homedetails/747-Monterey-Blvd-Hermosa-Beach-CA-90254/20427731_zpid/" TargetMode="External"/><Relationship Id="rId792" Type="http://schemas.openxmlformats.org/officeDocument/2006/relationships/hyperlink" Target="https://www.zillow.com/homedetails/715-N-Rexford-Dr-Beverly-Hills-CA-90210/20520993_zpid/" TargetMode="External"/><Relationship Id="rId2059" Type="http://schemas.openxmlformats.org/officeDocument/2006/relationships/hyperlink" Target="https://drive.google.com/open?id=1mAHaKxEJKeRJiskvMKTVZb26racobUde" TargetMode="External"/><Relationship Id="rId2266" Type="http://schemas.openxmlformats.org/officeDocument/2006/relationships/hyperlink" Target="https://drive.google.com/open?id=1utN8_9HkVtTb6U9qtJpoV6RVyqHIqO8i" TargetMode="External"/><Relationship Id="rId238" Type="http://schemas.openxmlformats.org/officeDocument/2006/relationships/hyperlink" Target="https://drive.google.com/open?id=1vT4ETMcdP3zM7xr4-3EVAS7BALMSPBSj" TargetMode="External"/><Relationship Id="rId445" Type="http://schemas.openxmlformats.org/officeDocument/2006/relationships/hyperlink" Target="https://www.zillow.com/homedetails/2929-S-Beverly-Dr-Los-Angeles-CA-90034/20495197_zpid/" TargetMode="External"/><Relationship Id="rId652" Type="http://schemas.openxmlformats.org/officeDocument/2006/relationships/hyperlink" Target="http://zillow.com/homedetails/233-17th-St-Manhattan-Beach-CA-90266/20421726_zpid/" TargetMode="External"/><Relationship Id="rId1075" Type="http://schemas.openxmlformats.org/officeDocument/2006/relationships/hyperlink" Target="https://drive.google.com/open?id=1pTdXjVUN4bITSyjCSQ4Ow5pwWoOE8mdo" TargetMode="External"/><Relationship Id="rId1282" Type="http://schemas.openxmlformats.org/officeDocument/2006/relationships/hyperlink" Target="https://www.trulia.com/home/458-s-ramona-ave-b-monterey-park-ca-91754-2088826105" TargetMode="External"/><Relationship Id="rId2126" Type="http://schemas.openxmlformats.org/officeDocument/2006/relationships/hyperlink" Target="https://www.zillow.com/homedetails/5959-Franklin-Ave-APT-409-Los-Angeles-CA-90028/2089645452_zpid/" TargetMode="External"/><Relationship Id="rId2333" Type="http://schemas.openxmlformats.org/officeDocument/2006/relationships/hyperlink" Target="https://www.zillow.com/homedetails/4243-Rhodes-Ave-Studio-City-CA-91604/20026363_zpid/" TargetMode="External"/><Relationship Id="rId305" Type="http://schemas.openxmlformats.org/officeDocument/2006/relationships/hyperlink" Target="https://www.zillow.com/homedetails/12243-Gorham-Ave-A-Los-Angeles-CA-90049/2079729137_zpid/" TargetMode="External"/><Relationship Id="rId512" Type="http://schemas.openxmlformats.org/officeDocument/2006/relationships/hyperlink" Target="https://www.zillow.com/homedetails/2242-Jeffersonia-Way-Los-Angeles-CA-90049/89149575_zpid/" TargetMode="External"/><Relationship Id="rId1142" Type="http://schemas.openxmlformats.org/officeDocument/2006/relationships/hyperlink" Target="https://drive.google.com/open?id=1vfQUQF1zH9vYJCcmFigdvDL1g_Lfyjkk" TargetMode="External"/><Relationship Id="rId1002" Type="http://schemas.openxmlformats.org/officeDocument/2006/relationships/hyperlink" Target="https://www.zillow.com/homedetails/2604-Perkins-Cir-Glendale-CA-91206/20844617_zpid/" TargetMode="External"/><Relationship Id="rId1959" Type="http://schemas.openxmlformats.org/officeDocument/2006/relationships/hyperlink" Target="https://www.zillow.com/homedetails/14614-Deervale-Pl-Sherman-Oaks-CA-91403/19987926_zpid/" TargetMode="External"/><Relationship Id="rId1819" Type="http://schemas.openxmlformats.org/officeDocument/2006/relationships/hyperlink" Target="https://primewestmanagement.appfolio.com/listings/detail/0bec5fc5-cb0e-46d4-aa75-d2179b307429" TargetMode="External"/><Relationship Id="rId2190" Type="http://schemas.openxmlformats.org/officeDocument/2006/relationships/hyperlink" Target="https://www.zillow.com/homedetails/3249-Beaudry-Ter-Glendale-CA-91208/20820486_zpid/" TargetMode="External"/><Relationship Id="rId162" Type="http://schemas.openxmlformats.org/officeDocument/2006/relationships/hyperlink" Target="https://www.zillow.com/homedetails/9105-Cordell-Dr-Los-Angeles-CA-90069/20799267_zpid/" TargetMode="External"/><Relationship Id="rId2050" Type="http://schemas.openxmlformats.org/officeDocument/2006/relationships/hyperlink" Target="https://www.zillow.com/homedetails/351-Mount-Washington-Dr-Los-Angeles-CA-90065/20760776_zpid/" TargetMode="External"/><Relationship Id="rId979" Type="http://schemas.openxmlformats.org/officeDocument/2006/relationships/hyperlink" Target="https://www.zillow.com/homedetails/1165-Coldwater-Canyon-Dr-Beverly-Hills-CA-90210/20522705_zpid/" TargetMode="External"/><Relationship Id="rId839" Type="http://schemas.openxmlformats.org/officeDocument/2006/relationships/hyperlink" Target="https://www.zillow.com/homedetails/2084-N-Vine-St-Los-Angeles-CA-90068/2080260263_zpid/" TargetMode="External"/><Relationship Id="rId1469" Type="http://schemas.openxmlformats.org/officeDocument/2006/relationships/hyperlink" Target="https://www.zillow.com/homedetails/19844-Schoolcraft-St-Winnetka-CA-91306/19926144_zpid/?utm_campaign=iosappmessage&amp;utm_medium=referral&amp;utm_source=txtshare" TargetMode="External"/><Relationship Id="rId601" Type="http://schemas.openxmlformats.org/officeDocument/2006/relationships/hyperlink" Target="https://www.zillow.com/homedetails/1185-Corsica-Dr-Pacific-Palisades-CA-90272/20538915_zpid/" TargetMode="External"/><Relationship Id="rId1024" Type="http://schemas.openxmlformats.org/officeDocument/2006/relationships/hyperlink" Target="https://www.zillow.com/homedetails/715-N-Rexford-Dr-Beverly-Hills-CA-90210/20520993_zpid/?utm_campaign=iosappmessage&amp;utm_medium=referral&amp;utm_source=txtshare" TargetMode="External"/><Relationship Id="rId1231" Type="http://schemas.openxmlformats.org/officeDocument/2006/relationships/hyperlink" Target="https://drive.google.com/open?id=1ijJ7LFCkSFiZeCZ1n3uGjQhWT98nfP52" TargetMode="External"/><Relationship Id="rId1676" Type="http://schemas.openxmlformats.org/officeDocument/2006/relationships/hyperlink" Target="https://www.zillow.com/apartments/los-angeles-ca/916-georgia-st/5Xm6Mh/?utm_campaign=iosappmessage&amp;utm_medium=referral&amp;utm_source=txtshare" TargetMode="External"/><Relationship Id="rId1883" Type="http://schemas.openxmlformats.org/officeDocument/2006/relationships/hyperlink" Target="https://drive.google.com/open?id=1u1xZXmFDraMzHslTPiYMW7YViWa5Zwzt" TargetMode="External"/><Relationship Id="rId906" Type="http://schemas.openxmlformats.org/officeDocument/2006/relationships/hyperlink" Target="https://www.zillow.com/homedetails/550-San-Juan-Ave-Venice-CA-90291/95663701_zpid/" TargetMode="External"/><Relationship Id="rId1329" Type="http://schemas.openxmlformats.org/officeDocument/2006/relationships/hyperlink" Target="https://vcmlawgroup.com/" TargetMode="External"/><Relationship Id="rId1536" Type="http://schemas.openxmlformats.org/officeDocument/2006/relationships/hyperlink" Target="https://drive.google.com/open?id=12bUy7kXhMtl1s5G-iGGcSB5i3My0QIHK" TargetMode="External"/><Relationship Id="rId1743" Type="http://schemas.openxmlformats.org/officeDocument/2006/relationships/hyperlink" Target="https://www.rent.com/california/los-angeles-condos/1128-s-shenandoah-st-4-lv1887069272" TargetMode="External"/><Relationship Id="rId1950" Type="http://schemas.openxmlformats.org/officeDocument/2006/relationships/hyperlink" Target="https://drive.google.com/open?id=1QZFaF5bhgnFjiLPXAHz2p9xk_xWI9IyP" TargetMode="External"/><Relationship Id="rId35" Type="http://schemas.openxmlformats.org/officeDocument/2006/relationships/hyperlink" Target="https://www.zillow.com/homedetails/2309-Hollyridge-Dr-Los-Angeles-CA-90068/20807768_zpid/" TargetMode="External"/><Relationship Id="rId1603" Type="http://schemas.openxmlformats.org/officeDocument/2006/relationships/hyperlink" Target="https://www.zillow.com/homedetails/716-Rochedale-Way-Los-Angeles-CA-90049/20560159_zpid/" TargetMode="External"/><Relationship Id="rId1810" Type="http://schemas.openxmlformats.org/officeDocument/2006/relationships/hyperlink" Target="https://www.zillow.com/homedetails/2712-Cameron-Walk-Ventura-CA-93001/250068193_zpid/" TargetMode="External"/><Relationship Id="rId184" Type="http://schemas.openxmlformats.org/officeDocument/2006/relationships/hyperlink" Target="https://www.zillow.com/homedetails/1055-S-Hayworth-Ave-Los-Angeles-CA-90035/2055493930_zpid/" TargetMode="External"/><Relationship Id="rId391" Type="http://schemas.openxmlformats.org/officeDocument/2006/relationships/hyperlink" Target="https://www.zillow.com/homedetails/15105-Mulholland-Dr-Los-Angeles-CA-90077/19990206_zpid/" TargetMode="External"/><Relationship Id="rId1908" Type="http://schemas.openxmlformats.org/officeDocument/2006/relationships/hyperlink" Target="https://www.zillow.com/homedetails/109-N-Lima-St-Sierra-Madre-CA-91024/20885611_zpid/" TargetMode="External"/><Relationship Id="rId2072" Type="http://schemas.openxmlformats.org/officeDocument/2006/relationships/hyperlink" Target="https://drive.google.com/open?id=1r9zzhvLWuxZ0-igJyVEQ6tSQAvSczC0M" TargetMode="External"/><Relationship Id="rId251" Type="http://schemas.openxmlformats.org/officeDocument/2006/relationships/hyperlink" Target="https://www.zillow.com/homedetails/2203-N-Bowmont-Dr-Beverly-Hills-CA-90210/20534087_zpid/" TargetMode="External"/><Relationship Id="rId489" Type="http://schemas.openxmlformats.org/officeDocument/2006/relationships/hyperlink" Target="https://www.zillow.com/homedetails/9031-Alto-Cedro-Dr-Beverly-Hills-CA-90210/20534161_zpid/" TargetMode="External"/><Relationship Id="rId696" Type="http://schemas.openxmlformats.org/officeDocument/2006/relationships/hyperlink" Target="https://www.zillow.com/homedetails/325-E-Stocker-St-APT-5-Glendale-CA-91207/442359457_zpid/" TargetMode="External"/><Relationship Id="rId2377" Type="http://schemas.openxmlformats.org/officeDocument/2006/relationships/hyperlink" Target="https://www.nbclosangeles.com/news/local/paramount-mobile-home-park/3170642/" TargetMode="External"/><Relationship Id="rId349" Type="http://schemas.openxmlformats.org/officeDocument/2006/relationships/hyperlink" Target="https://www.zillow.com/homedetails/233-17th-St-Manhattan-Beach-CA-90266/20421726_zpid/" TargetMode="External"/><Relationship Id="rId556" Type="http://schemas.openxmlformats.org/officeDocument/2006/relationships/hyperlink" Target="https://www.zillow.com/los-angeles-ca/rentals/?searchQueryState=%7B%22pagination%22%3A%7B%7D%2C%22isMapVisible%22%3Atrue%2C%22mapBounds%22%3A%7B%22west%22%3A-118.49452988525391%2C%22east%22%3A-118.0543901147461%2C%22south%22%3A33.954100149236645%2C%22north%22%3A34.23045662689283%7D%2C%22regionSelection%22%3A%5B%7B%22regionId%22%3A12447%2C%22regionType%22%3A6%7D%5D%2C%22filterState%22%3A%7B%22fr%22%3A%7B%22value%22%3Atrue%7D%2C%22fsba%22%3A%7B%22value%22%3Afalse%7D%2C%22fsbo%22%3A%7B%22value%22%3Afalse%7D%2C%22nc%22%3A%7B%22value%22%3Afalse%7D%2C%22cmsn%22%3A%7B%22value%22%3Afalse%7D%2C%22auc%22%3A%7B%22value%22%3Afalse%7D%2C%22fore%22%3A%7B%22value%22%3Afalse%7D%2C%22tow%22%3A%7B%22value%22%3Afalse%7D%2C%22con%22%3A%7B%22value%22%3Afalse%7D%2C%22apa%22%3A%7B%22value%22%3Afalse%7D%2C%22apco%22%3A%7B%22value%22%3Afalse%7D%7D%2C%22isListVisible%22%3Atrue%2C%22mapZoom%22%3A11%7D" TargetMode="External"/><Relationship Id="rId763" Type="http://schemas.openxmlformats.org/officeDocument/2006/relationships/hyperlink" Target="https://www.zillow.com/homedetails/Hermosa-Beach-CA-90254/20425174_zpid/" TargetMode="External"/><Relationship Id="rId1186" Type="http://schemas.openxmlformats.org/officeDocument/2006/relationships/hyperlink" Target="https://drive.google.com/open?id=16ZGKbIbfKpY42OCFWwVI33gJXMR3cWCn" TargetMode="External"/><Relationship Id="rId1393" Type="http://schemas.openxmlformats.org/officeDocument/2006/relationships/hyperlink" Target="https://www.zillow.com/homedetails/715-N-Rexford-Dr-Beverly-Hills-CA-90210/20520993_zpid/" TargetMode="External"/><Relationship Id="rId2237" Type="http://schemas.openxmlformats.org/officeDocument/2006/relationships/hyperlink" Target="https://www.zillow.com/homedetails/31-Breeze-Ave-A-Venice-CA-90291/446741294_zpid/" TargetMode="External"/><Relationship Id="rId111" Type="http://schemas.openxmlformats.org/officeDocument/2006/relationships/hyperlink" Target="https://www.zillow.com/homedetails/2451-Century-Hl-Los-Angeles-CA-90067/20510302_zpid/" TargetMode="External"/><Relationship Id="rId209" Type="http://schemas.openxmlformats.org/officeDocument/2006/relationships/hyperlink" Target="https://www.zillow.com/homedetails/9621-Royalton-Dr-Beverly-Hills-CA-90210/20533828_zpid/" TargetMode="External"/><Relationship Id="rId416" Type="http://schemas.openxmlformats.org/officeDocument/2006/relationships/hyperlink" Target="https://www.redfin.com/CA/Los-Angeles/3452-Maplewood-Ave-90066/home/6745385" TargetMode="External"/><Relationship Id="rId970" Type="http://schemas.openxmlformats.org/officeDocument/2006/relationships/hyperlink" Target="https://www.zillow.com/homedetails/1141-Summit-Dr-Beverly-Hills-CA-90210/135433958_zpid/" TargetMode="External"/><Relationship Id="rId1046" Type="http://schemas.openxmlformats.org/officeDocument/2006/relationships/hyperlink" Target="https://www.compass.com/listing/4536-maycrest-avenue-los-angeles-ca-90032/1751469909730991929/" TargetMode="External"/><Relationship Id="rId1253" Type="http://schemas.openxmlformats.org/officeDocument/2006/relationships/hyperlink" Target="https://drive.google.com/open?id=17PAFCAavJRmU-e73z1DMx5OSsIObfRrD" TargetMode="External"/><Relationship Id="rId1698" Type="http://schemas.openxmlformats.org/officeDocument/2006/relationships/hyperlink" Target="https://www.zillow.com/homedetails/5450-Oakdale-Ave-Woodland-Hills-CA-91364/2058831328_zpid/" TargetMode="External"/><Relationship Id="rId623" Type="http://schemas.openxmlformats.org/officeDocument/2006/relationships/hyperlink" Target="https://drive.google.com/open?id=1jjrFVIhD3jOep7bXXqMTcWy1OZtIyEKl" TargetMode="External"/><Relationship Id="rId830" Type="http://schemas.openxmlformats.org/officeDocument/2006/relationships/hyperlink" Target="https://www.redfin.com/CA/Los-Angeles/1941-Glencoe-Way-90068/home/7114955" TargetMode="External"/><Relationship Id="rId928" Type="http://schemas.openxmlformats.org/officeDocument/2006/relationships/hyperlink" Target="https://www.airbnb.com/l/1d4IivEK" TargetMode="External"/><Relationship Id="rId1460" Type="http://schemas.openxmlformats.org/officeDocument/2006/relationships/hyperlink" Target="https://www.zillow.com/homedetails/1234-W-1st-St-Monterey-Park-CA-91754/20658363_zpid/" TargetMode="External"/><Relationship Id="rId1558" Type="http://schemas.openxmlformats.org/officeDocument/2006/relationships/hyperlink" Target="https://drive.google.com/open?id=1SOH5KkyJH_bkEiLn_q45T1HDjBsAzA9I" TargetMode="External"/><Relationship Id="rId1765" Type="http://schemas.openxmlformats.org/officeDocument/2006/relationships/hyperlink" Target="https://drive.google.com/open?id=1FJfy-qQEhk8z7_Rl5uCtitYalY0DDkr6" TargetMode="External"/><Relationship Id="rId2304" Type="http://schemas.openxmlformats.org/officeDocument/2006/relationships/hyperlink" Target="https://www.zillow.com/homedetails/1973-Carmen-Ave-Los-Angeles-CA-90068/336331480_zpid/" TargetMode="External"/><Relationship Id="rId57" Type="http://schemas.openxmlformats.org/officeDocument/2006/relationships/hyperlink" Target="https://www.zillow.com/homedetails/4115-Camero-Ave-Los-Angeles-CA-90027/20746609_zpid/" TargetMode="External"/><Relationship Id="rId1113" Type="http://schemas.openxmlformats.org/officeDocument/2006/relationships/hyperlink" Target="https://www.zillow.com/homedetails/4OO-Huntley-Dr-Los-Angeles-CA-90048/420744684_zpid/" TargetMode="External"/><Relationship Id="rId1320" Type="http://schemas.openxmlformats.org/officeDocument/2006/relationships/hyperlink" Target="https://www.zillow.com/homedetails/20955-Marmora-St-Woodland-Hills-CA-91364/19945090_zpid/" TargetMode="External"/><Relationship Id="rId1418" Type="http://schemas.openxmlformats.org/officeDocument/2006/relationships/hyperlink" Target="https://drive.google.com/open?id=1KAslVx50Pdex-peJVV_J5UNuJmkY-Vki" TargetMode="External"/><Relationship Id="rId1972" Type="http://schemas.openxmlformats.org/officeDocument/2006/relationships/hyperlink" Target="https://www.zillow.com/homedetails/7250-Franklin-Ave-UNIT-116-Los-Angeles-CA-90046/20793103_zpid/" TargetMode="External"/><Relationship Id="rId1625" Type="http://schemas.openxmlformats.org/officeDocument/2006/relationships/hyperlink" Target="https://www.zillow.com/homedetails/2243-Century-Hl-Los-Angeles-CA-90067/20510481_zpid/" TargetMode="External"/><Relationship Id="rId1832" Type="http://schemas.openxmlformats.org/officeDocument/2006/relationships/hyperlink" Target="https://drive.google.com/open?id=1IC6udXZ-Ieynnht1WcMLPyrpj4MsL8E8" TargetMode="External"/><Relationship Id="rId2094" Type="http://schemas.openxmlformats.org/officeDocument/2006/relationships/hyperlink" Target="https://drive.google.com/open?id=1yNtw4ccKsDj35Kxo0o9qV-u_E2Zz7aSg" TargetMode="External"/><Relationship Id="rId273" Type="http://schemas.openxmlformats.org/officeDocument/2006/relationships/hyperlink" Target="https://drive.google.com/open?id=1XG9iqbkqIViCq-rsdT7-IEHlyCmMj5En" TargetMode="External"/><Relationship Id="rId480" Type="http://schemas.openxmlformats.org/officeDocument/2006/relationships/hyperlink" Target="https://www.zillow.com/homedetails/22527-Cass-Ave-1-Woodland-Hills-CA-91364/443629345_zpid/" TargetMode="External"/><Relationship Id="rId2161" Type="http://schemas.openxmlformats.org/officeDocument/2006/relationships/hyperlink" Target="https://www.zillow.com/homedetails/6137-Thicket-Way-San-Jose-CA-95119/19841831_zpid/" TargetMode="External"/><Relationship Id="rId133" Type="http://schemas.openxmlformats.org/officeDocument/2006/relationships/hyperlink" Target="https://www.zillow.com/homedetails/150-Fern-Dr-Pasadena-CA-91105/20856621_zpid/" TargetMode="External"/><Relationship Id="rId340" Type="http://schemas.openxmlformats.org/officeDocument/2006/relationships/hyperlink" Target="https://www.zillow.com/homedetails/3408-Alma-Ave-Manhattan-Beach-CA-90266/20420312_zpid/" TargetMode="External"/><Relationship Id="rId578" Type="http://schemas.openxmlformats.org/officeDocument/2006/relationships/hyperlink" Target="https://www.zillow.com/homedetails/2390-Nalin-Dr-Los-Angeles-CA-90077/20531088_zpid/" TargetMode="External"/><Relationship Id="rId785" Type="http://schemas.openxmlformats.org/officeDocument/2006/relationships/hyperlink" Target="https://drive.google.com/open?id=1UF7R4-oLHrMp5_RpODpqboRzkrU4lmqT" TargetMode="External"/><Relationship Id="rId992" Type="http://schemas.openxmlformats.org/officeDocument/2006/relationships/hyperlink" Target="https://drive.google.com/open?id=1SNvkaaVpgXjKJGkFhE5pc5yr-lW__iuN" TargetMode="External"/><Relationship Id="rId2021" Type="http://schemas.openxmlformats.org/officeDocument/2006/relationships/hyperlink" Target="https://drive.google.com/open?id=1J3YzOiaeV9EzOuKY03gJWnBhV2MMFYx3" TargetMode="External"/><Relationship Id="rId2259" Type="http://schemas.openxmlformats.org/officeDocument/2006/relationships/hyperlink" Target="https://www.zillow.com/homedetails/1714-Kanola-Rd-La-Habra-Heights-CA-90631/21480664_zpid/" TargetMode="External"/><Relationship Id="rId200" Type="http://schemas.openxmlformats.org/officeDocument/2006/relationships/hyperlink" Target="https://www.zillow.com/homedetails/710-Westbourne-Dr-West-Hollywood-CA-90069/2098186436_zpid/" TargetMode="External"/><Relationship Id="rId438" Type="http://schemas.openxmlformats.org/officeDocument/2006/relationships/hyperlink" Target="https://drive.google.com/open?id=15qA2u2OeySJVBuMkdGhfdBG1Z2G-1g2o" TargetMode="External"/><Relationship Id="rId645" Type="http://schemas.openxmlformats.org/officeDocument/2006/relationships/hyperlink" Target="https://www.redfin.com/CA/Canoga-Park/22349-Vanowen-St-91303/home/3105525" TargetMode="External"/><Relationship Id="rId852" Type="http://schemas.openxmlformats.org/officeDocument/2006/relationships/hyperlink" Target="https://drive.google.com/open?id=14zkeT4FH4-C5xn2FnnO2dILmRpAyGPkM" TargetMode="External"/><Relationship Id="rId1068" Type="http://schemas.openxmlformats.org/officeDocument/2006/relationships/hyperlink" Target="https://drive.google.com/open?id=1XrETyAOwvqr4xtbn7Y_83MPLBIOiI4mi" TargetMode="External"/><Relationship Id="rId1275" Type="http://schemas.openxmlformats.org/officeDocument/2006/relationships/hyperlink" Target="https://www.zillow.com/homedetails/1745-S-Barrington-Ave-Los-Angeles-CA-90025/120789557_zpid/" TargetMode="External"/><Relationship Id="rId1482" Type="http://schemas.openxmlformats.org/officeDocument/2006/relationships/hyperlink" Target="https://www.zillow.com/homedetails/2801-Winter-St-Los-Angeles-CA-90033/20630676_zpid/" TargetMode="External"/><Relationship Id="rId2119" Type="http://schemas.openxmlformats.org/officeDocument/2006/relationships/hyperlink" Target="https://drive.google.com/open?id=1kwTx9wwd9hd_5iqXRle6dBfcI-MeRc2k" TargetMode="External"/><Relationship Id="rId2326" Type="http://schemas.openxmlformats.org/officeDocument/2006/relationships/hyperlink" Target="https://drive.google.com/open?id=1dHWMfJ12D3RwzZNukVlJMh-2YQQv4GPJ" TargetMode="External"/><Relationship Id="rId505" Type="http://schemas.openxmlformats.org/officeDocument/2006/relationships/hyperlink" Target="https://drive.google.com/open?id=15JYbs31tkYPJNxdgwMoqa9a1HtCmDbkO" TargetMode="External"/><Relationship Id="rId712" Type="http://schemas.openxmlformats.org/officeDocument/2006/relationships/hyperlink" Target="https://www.zillow.com/homedetails/119-W-Live-Oak-St-APT-J-San-Gabriel-CA-91776/2101023272_zpid/" TargetMode="External"/><Relationship Id="rId1135" Type="http://schemas.openxmlformats.org/officeDocument/2006/relationships/hyperlink" Target="https://drive.google.com/open?id=1g2UMXY2otHkN_Np1HCRHFspECLE8Cw40" TargetMode="External"/><Relationship Id="rId1342" Type="http://schemas.openxmlformats.org/officeDocument/2006/relationships/hyperlink" Target="https://drive.google.com/open?id=1acxO7p-Wwf1O2RO4AEJ5g-a4IGEHnebh" TargetMode="External"/><Relationship Id="rId1787" Type="http://schemas.openxmlformats.org/officeDocument/2006/relationships/hyperlink" Target="https://www.zillow.com/homedetails/691-S-Marengo-Ave-APT-4-Pasadena-CA-91106/20860879_zpid/" TargetMode="External"/><Relationship Id="rId1994" Type="http://schemas.openxmlformats.org/officeDocument/2006/relationships/hyperlink" Target="https://www.apartments.com/leimert-park-village-los-angeles-ca/spy8607?utm_source=shared_listing&amp;utm_medium=direct" TargetMode="External"/><Relationship Id="rId79" Type="http://schemas.openxmlformats.org/officeDocument/2006/relationships/hyperlink" Target="https://www.zillow.com/homedetails/636-Acanto-St-APT-104-Los-Angeles-CA-90049/2123187503_zpid/" TargetMode="External"/><Relationship Id="rId1202" Type="http://schemas.openxmlformats.org/officeDocument/2006/relationships/hyperlink" Target="https://www.casademarinaapartments.com/interactivepropertymap" TargetMode="External"/><Relationship Id="rId1647" Type="http://schemas.openxmlformats.org/officeDocument/2006/relationships/hyperlink" Target="https://www.trulia.com/home/1104-casiano-rd-los-angeles-ca-90049-20528677" TargetMode="External"/><Relationship Id="rId1854" Type="http://schemas.openxmlformats.org/officeDocument/2006/relationships/hyperlink" Target="https://www.zillow.com/homedetails/636-N-Juanita-Ave-403-Los-Angeles-CA-90004/2057680065_zpid/?rtoken=4410dfb7-5713-4eac-b85f-6427b5ecb6ea~X1-ZU14plpe7gk4kjt_uwi3&amp;utm_campaign=emo-propertyalertnew&amp;utm_source=email&amp;utm_term=urn:msg:20250116011407f52da3683e0bc485&amp;utm_medium=email&amp;utm_content=forrentaddress" TargetMode="External"/><Relationship Id="rId1507" Type="http://schemas.openxmlformats.org/officeDocument/2006/relationships/hyperlink" Target="https://www.zillow.com/homedetails/3019-Linda-Ln-Santa-Monica-CA-90405/20481699_zpid/?utm_campaign=iosappmessage&amp;utm_medium=referral&amp;utm_source=txtshare" TargetMode="External"/><Relationship Id="rId1714" Type="http://schemas.openxmlformats.org/officeDocument/2006/relationships/hyperlink" Target="https://www.zillow.com/homedetails/200-N-San-Fernando-Rd-APT-514-Los-Angeles-CA-90031/333364812_zpid/" TargetMode="External"/><Relationship Id="rId295" Type="http://schemas.openxmlformats.org/officeDocument/2006/relationships/hyperlink" Target="https://drive.google.com/open?id=1LhoDVGbw_O7q2wjd28AKFsUrgKKepUXK" TargetMode="External"/><Relationship Id="rId1921" Type="http://schemas.openxmlformats.org/officeDocument/2006/relationships/hyperlink" Target="https://drive.google.com/open?id=1heGGIUFBw0w8Va2u1_AmqF1zXZLC3kgu" TargetMode="External"/><Relationship Id="rId2183" Type="http://schemas.openxmlformats.org/officeDocument/2006/relationships/hyperlink" Target="https://www.zillow.com/homedetails/5153-W-Maplewood-Ave-101-Los-Angeles-CA-90004/443923576_zpid/" TargetMode="External"/><Relationship Id="rId155" Type="http://schemas.openxmlformats.org/officeDocument/2006/relationships/hyperlink" Target="https://www.zillow.com/homedetails/3400-Greenfield-Ave-APT-1-Los-Angeles-CA-90034/2061747538_zpid/" TargetMode="External"/><Relationship Id="rId362" Type="http://schemas.openxmlformats.org/officeDocument/2006/relationships/hyperlink" Target="https://drive.google.com/open?id=1EUrRth6TK1anfnH0gJ0jzf1bR0RtGlZG" TargetMode="External"/><Relationship Id="rId1297" Type="http://schemas.openxmlformats.org/officeDocument/2006/relationships/hyperlink" Target="https://drive.google.com/open?id=15JB6BYIA_Bhw2HKtBSJpvFnWZxrGR4xr" TargetMode="External"/><Relationship Id="rId2043" Type="http://schemas.openxmlformats.org/officeDocument/2006/relationships/hyperlink" Target="https://www.zillow.com/homedetails/1044-Manzanita-St-Los-Angeles-CA-90029/20745537_zpid/" TargetMode="External"/><Relationship Id="rId2250" Type="http://schemas.openxmlformats.org/officeDocument/2006/relationships/hyperlink" Target="https://drive.google.com/open?id=1UsxWfi1AZJfrV2Q59IjPTTRd7I1Aioab" TargetMode="External"/><Relationship Id="rId222" Type="http://schemas.openxmlformats.org/officeDocument/2006/relationships/hyperlink" Target="https://drive.google.com/open?id=1WwE00MiyjxRRmfvXtzlihPpwolGb1Suq" TargetMode="External"/><Relationship Id="rId667" Type="http://schemas.openxmlformats.org/officeDocument/2006/relationships/hyperlink" Target="https://www.zillow.com/homedetails/2021-Vineburn-Ave-Los-Angeles-CA-90032/20640409_zpid/" TargetMode="External"/><Relationship Id="rId874" Type="http://schemas.openxmlformats.org/officeDocument/2006/relationships/hyperlink" Target="https://www.zillow.com/homedetails/14550-Round-Valley-Dr-Sherman-Oaks-CA-91403/19987851_zpid/" TargetMode="External"/><Relationship Id="rId2110" Type="http://schemas.openxmlformats.org/officeDocument/2006/relationships/hyperlink" Target="https://www.zillow.com/homedetails/1915-Lemoyne-St-Los-Angeles-CA-90026/20742370_zpid/" TargetMode="External"/><Relationship Id="rId2348" Type="http://schemas.openxmlformats.org/officeDocument/2006/relationships/hyperlink" Target="https://www.zillow.com/homedetails/12537-Admiral-Ave-Los-Angeles-CA-90066/20442011_zpid/" TargetMode="External"/><Relationship Id="rId527" Type="http://schemas.openxmlformats.org/officeDocument/2006/relationships/hyperlink" Target="https://www.zillow.com/homedetails/4260-Revere-Pl-Culver-City-CA-90232/20432601_zpid/" TargetMode="External"/><Relationship Id="rId734" Type="http://schemas.openxmlformats.org/officeDocument/2006/relationships/hyperlink" Target="https://www.zillow.com/homedetails/909-El-Centro-St-FLOOR-2-ID1158-South-Pasadena-CA-91030/2053698939_zpid/" TargetMode="External"/><Relationship Id="rId941" Type="http://schemas.openxmlformats.org/officeDocument/2006/relationships/hyperlink" Target="https://www.zillow.com/homedetails/5358-Baza-Ave-Woodland-Hills-CA-91364/19942951_zpid/" TargetMode="External"/><Relationship Id="rId1157" Type="http://schemas.openxmlformats.org/officeDocument/2006/relationships/hyperlink" Target="https://www.zillow.com/homedetails/3055-Landa-St-Los-Angeles-CA-90039/20747666_zpid/?utm_campaign=iosappmessage&amp;utm_medium=referral&amp;utm_source=txtshare" TargetMode="External"/><Relationship Id="rId1364" Type="http://schemas.openxmlformats.org/officeDocument/2006/relationships/hyperlink" Target="https://www.zillow.com/homedetails/3019-Linda-Ln-Santa-Monica-CA-90405/20481699_zpid/" TargetMode="External"/><Relationship Id="rId1571" Type="http://schemas.openxmlformats.org/officeDocument/2006/relationships/hyperlink" Target="https://www.zillow.com/homedetails/4800-Zelzah-Ave-Encino-CA-91316/19950258_zpid/" TargetMode="External"/><Relationship Id="rId2208" Type="http://schemas.openxmlformats.org/officeDocument/2006/relationships/hyperlink" Target="https://www.zillow.com/homedetails/822-S-Plymouth-Blvd-2-Los-Angeles-CA-90005/339398724_zpid/" TargetMode="External"/><Relationship Id="rId70" Type="http://schemas.openxmlformats.org/officeDocument/2006/relationships/hyperlink" Target="https://www.zillow.com/homedetails/9297-Burton-Way-B-Beverly-Hills-CA-90210/2070939537_zpid/" TargetMode="External"/><Relationship Id="rId801" Type="http://schemas.openxmlformats.org/officeDocument/2006/relationships/hyperlink" Target="https://drive.google.com/open?id=1NJlmV23hAbn0g8tBoJm8ac7jxtWxtUR-" TargetMode="External"/><Relationship Id="rId1017" Type="http://schemas.openxmlformats.org/officeDocument/2006/relationships/hyperlink" Target="https://drive.google.com/open?id=183WBQLsJ6a4rbmydxdRrIRVIYzF-5K7k" TargetMode="External"/><Relationship Id="rId1224" Type="http://schemas.openxmlformats.org/officeDocument/2006/relationships/hyperlink" Target="https://www.zillow.com/homedetails/11822-Marshall-St-Los-Angeles-CA-90230/20439428_zpid/?utm_campaign=iosappmessage&amp;utm_medium=referral&amp;utm_source=txtshare" TargetMode="External"/><Relationship Id="rId1431" Type="http://schemas.openxmlformats.org/officeDocument/2006/relationships/hyperlink" Target="https://www.zillow.com/homedetails/18007-Elgar-Ave-Torrance-CA-90504/20373248_zpid/" TargetMode="External"/><Relationship Id="rId1669" Type="http://schemas.openxmlformats.org/officeDocument/2006/relationships/hyperlink" Target="https://www.zillow.com/homedetails/5735-Melvin-Ave-Tarzana-CA-91356/19932747_zpid/" TargetMode="External"/><Relationship Id="rId1876" Type="http://schemas.openxmlformats.org/officeDocument/2006/relationships/hyperlink" Target="https://drive.google.com/open?id=1FDZP_WQ00pWgpndyZjrIFKIG1862CBu2" TargetMode="External"/><Relationship Id="rId1529" Type="http://schemas.openxmlformats.org/officeDocument/2006/relationships/hyperlink" Target="https://www.zillow.com/homedetails/2025-S-Sherbourne-Dr-Los-Angeles-CA-90034/2128304469_zpid/" TargetMode="External"/><Relationship Id="rId1736" Type="http://schemas.openxmlformats.org/officeDocument/2006/relationships/hyperlink" Target="https://drive.google.com/open?id=1AlXYijPRuPrW-q0dyfCS5mrQx06P4aH9" TargetMode="External"/><Relationship Id="rId1943" Type="http://schemas.openxmlformats.org/officeDocument/2006/relationships/hyperlink" Target="https://www.zillow.com/homedetails/1127-Angelo-Dr-Beverly-Hills-CA-90210/20524011_zpid/" TargetMode="External"/><Relationship Id="rId28" Type="http://schemas.openxmlformats.org/officeDocument/2006/relationships/hyperlink" Target="https://www.zillow.com/homedetails/649-N-Edinburgh-Ave-Los-Angeles-CA-90048/20786041_zpid/?utm_campaign=iosappmessage&amp;utm_medium=referral&amp;utm_source=txtshare" TargetMode="External"/><Relationship Id="rId1803" Type="http://schemas.openxmlformats.org/officeDocument/2006/relationships/hyperlink" Target="https://www.redfin.com/CA/Beverly-Hills/9722-Royce-Ct-90210/home/6833711" TargetMode="External"/><Relationship Id="rId177" Type="http://schemas.openxmlformats.org/officeDocument/2006/relationships/hyperlink" Target="https://drive.google.com/open?id=1MkAvT_zQaASLkizdwS2vgranx-tbHu-l" TargetMode="External"/><Relationship Id="rId384" Type="http://schemas.openxmlformats.org/officeDocument/2006/relationships/hyperlink" Target="https://www.zillow.com/homedetails/2950-Tyburn-St-Los-Angeles-CA-90039/20751814_zpid/" TargetMode="External"/><Relationship Id="rId591" Type="http://schemas.openxmlformats.org/officeDocument/2006/relationships/hyperlink" Target="https://drive.google.com/open?id=14AtT3dYEljLZnnqfk0yA4esm5lOAmmvj" TargetMode="External"/><Relationship Id="rId2065" Type="http://schemas.openxmlformats.org/officeDocument/2006/relationships/hyperlink" Target="https://drive.google.com/open?id=1M5LpjsMAueozU-N5iFsN8d2T06NPynea" TargetMode="External"/><Relationship Id="rId2272" Type="http://schemas.openxmlformats.org/officeDocument/2006/relationships/hyperlink" Target="https://www.zillow.com/homedetails/1280-S-Barrington-Ave-APT-18-Los-Angeles-CA-90025/2081689347_zpid/" TargetMode="External"/><Relationship Id="rId244" Type="http://schemas.openxmlformats.org/officeDocument/2006/relationships/hyperlink" Target="https://www.zillow.com/homedetails/13018-Chandler-Blvd-Van-Nuys-CA-91401/440548973_zpid/" TargetMode="External"/><Relationship Id="rId689" Type="http://schemas.openxmlformats.org/officeDocument/2006/relationships/hyperlink" Target="https://www.redfin.com/CA/West-Hollywood/828-Westmount-Dr-90069/home/6816738" TargetMode="External"/><Relationship Id="rId896" Type="http://schemas.openxmlformats.org/officeDocument/2006/relationships/hyperlink" Target="https://drive.google.com/open?id=1LHBerSq90b20eNK7dRyZZujekGW9DcHu" TargetMode="External"/><Relationship Id="rId1081" Type="http://schemas.openxmlformats.org/officeDocument/2006/relationships/hyperlink" Target="https://www.zillow.com/homedetails/Los-Angeles-CA-90068/95700897_zpid/" TargetMode="External"/><Relationship Id="rId451" Type="http://schemas.openxmlformats.org/officeDocument/2006/relationships/hyperlink" Target="https://www.zillow.com/homedetails/12354-Tiara-St-Valley-Village-CA-91607/20013214_zpid/" TargetMode="External"/><Relationship Id="rId549" Type="http://schemas.openxmlformats.org/officeDocument/2006/relationships/hyperlink" Target="https://www.zillow.com/homedetails/1916-W-Court-St-Los-Angeles-CA-90026/20627817_zpid/" TargetMode="External"/><Relationship Id="rId756" Type="http://schemas.openxmlformats.org/officeDocument/2006/relationships/hyperlink" Target="https://www.zillow.com/homedetails/15736-Vanowen-St-APT-205-Lake-Balboa-CA-91406/2099122356_zpid/?utm_campaign=iosappmessage&amp;utm_medium=referral&amp;utm_source=txtshare" TargetMode="External"/><Relationship Id="rId1179" Type="http://schemas.openxmlformats.org/officeDocument/2006/relationships/hyperlink" Target="https://www.zillow.com/homedetails/233-3-4-S-Gale-Dr-Beverly-Hills-CA-90211/2083952220_zpid/" TargetMode="External"/><Relationship Id="rId1386" Type="http://schemas.openxmlformats.org/officeDocument/2006/relationships/hyperlink" Target="https://drive.google.com/open?id=1ZNsh9GUlGNSMC-slYorgWwVhq9DUhb7L" TargetMode="External"/><Relationship Id="rId1593" Type="http://schemas.openxmlformats.org/officeDocument/2006/relationships/hyperlink" Target="https://drive.google.com/open?id=1qy3SkBcpCVnTBztnhR4kfxf7CNJsl7Yw" TargetMode="External"/><Relationship Id="rId2132" Type="http://schemas.openxmlformats.org/officeDocument/2006/relationships/hyperlink" Target="https://drive.google.com/open?id=1I3TiqkOsbNN6P1xDqgA8rh11Tp41tmAF" TargetMode="External"/><Relationship Id="rId104" Type="http://schemas.openxmlformats.org/officeDocument/2006/relationships/hyperlink" Target="https://www.zillow.com/homedetails/2950-Warwick-Ave-Los-Angeles-CA-90032/20643542_zpid/" TargetMode="External"/><Relationship Id="rId311" Type="http://schemas.openxmlformats.org/officeDocument/2006/relationships/hyperlink" Target="https://www.zillow.com/homedetails/2311-Malcolm-Ave-Los-Angeles-CA-90064/20500588_zpid/" TargetMode="External"/><Relationship Id="rId409" Type="http://schemas.openxmlformats.org/officeDocument/2006/relationships/hyperlink" Target="https://drive.google.com/open?id=1p2XOVhogUXb7dN4gfi2IxKOc086UDmVB" TargetMode="External"/><Relationship Id="rId963" Type="http://schemas.openxmlformats.org/officeDocument/2006/relationships/hyperlink" Target="https://www.zillow.com/homedetails/710-Longfellow-Ave-Hermosa-Beach-CA-90254/20416512_zpid/" TargetMode="External"/><Relationship Id="rId1039" Type="http://schemas.openxmlformats.org/officeDocument/2006/relationships/hyperlink" Target="http://zillow.com/" TargetMode="External"/><Relationship Id="rId1246" Type="http://schemas.openxmlformats.org/officeDocument/2006/relationships/hyperlink" Target="https://www.redfin.com/CA/Los-Angeles/800-W-1st-St-90012/unit-3106/home/6933851" TargetMode="External"/><Relationship Id="rId1898" Type="http://schemas.openxmlformats.org/officeDocument/2006/relationships/hyperlink" Target="https://www.zillow.com/homedetails/2324-N-Vermont-Ave-Los-Angeles-CA-90027/20809114_zpid/" TargetMode="External"/><Relationship Id="rId92" Type="http://schemas.openxmlformats.org/officeDocument/2006/relationships/hyperlink" Target="https://www.zillow.com/homedetails/1129-La-Puerta-St-Los-Angeles-CA-90023/20635360_zpid/" TargetMode="External"/><Relationship Id="rId616" Type="http://schemas.openxmlformats.org/officeDocument/2006/relationships/hyperlink" Target="https://www.zillow.com/homedetails/1302-N-Gardner-St-Los-Angeles-CA-90046/2060162532_zpid/" TargetMode="External"/><Relationship Id="rId823" Type="http://schemas.openxmlformats.org/officeDocument/2006/relationships/hyperlink" Target="https://drive.google.com/open?id=1TrmT2e6BIaJ4i40N-RuhRGFv7z3ggVpi" TargetMode="External"/><Relationship Id="rId1453" Type="http://schemas.openxmlformats.org/officeDocument/2006/relationships/hyperlink" Target="https://www.zillow.com/homedetails/536-Quail-Dr-Los-Angeles-CA-90065/20761121_zpid/" TargetMode="External"/><Relationship Id="rId1660" Type="http://schemas.openxmlformats.org/officeDocument/2006/relationships/hyperlink" Target="https://www.zillow.com/homedetails/22008-Gresham-St-Canoga-Park-CA-91304/51576782_zpid/" TargetMode="External"/><Relationship Id="rId1758" Type="http://schemas.openxmlformats.org/officeDocument/2006/relationships/hyperlink" Target="https://drive.google.com/open?id=1u1nWxHQispHxe5TGSV5CJ2EpCRabqF45" TargetMode="External"/><Relationship Id="rId1106" Type="http://schemas.openxmlformats.org/officeDocument/2006/relationships/hyperlink" Target="https://drive.google.com/open?id=1iVda1a0KRFdBz4poFePdEWTu7_921A-8" TargetMode="External"/><Relationship Id="rId1313" Type="http://schemas.openxmlformats.org/officeDocument/2006/relationships/hyperlink" Target="https://www.zillow.com/homedetails/5247-Calatrana-Dr-Woodland-Hills-CA-91364/19942811_zpid/" TargetMode="External"/><Relationship Id="rId1520" Type="http://schemas.openxmlformats.org/officeDocument/2006/relationships/hyperlink" Target="https://drive.google.com/open?id=1pCpmFXrpAHCmAX3rnKApi4H20L65gVnq" TargetMode="External"/><Relationship Id="rId1965" Type="http://schemas.openxmlformats.org/officeDocument/2006/relationships/hyperlink" Target="https://www.zillow.com/homedetails/5623-Denny-Ave-North-Hollywood-CA-91601/20040601_zpid/" TargetMode="External"/><Relationship Id="rId1618" Type="http://schemas.openxmlformats.org/officeDocument/2006/relationships/hyperlink" Target="https://www.zillow.com/homedetails/222-Evening-Star-Ln-Newport-Beach-CA-92660/25214115_zpid/" TargetMode="External"/><Relationship Id="rId1825" Type="http://schemas.openxmlformats.org/officeDocument/2006/relationships/hyperlink" Target="https://www.compass.com/listing/137-south-wilson-avenue-unit-209-pasadena-ca-91106/1221120925965769353/" TargetMode="External"/><Relationship Id="rId199" Type="http://schemas.openxmlformats.org/officeDocument/2006/relationships/hyperlink" Target="https://drive.google.com/open?id=1MF6FDE8kEkFLdtGrQG8TrqIpxLmlJyCZ" TargetMode="External"/><Relationship Id="rId2087" Type="http://schemas.openxmlformats.org/officeDocument/2006/relationships/hyperlink" Target="https://www.zillow.com/homedetails/11677-Montana-Ave-APT-14-Los-Angeles-CA-90049/2110470339_zpid/" TargetMode="External"/><Relationship Id="rId2294" Type="http://schemas.openxmlformats.org/officeDocument/2006/relationships/hyperlink" Target="https://www.zillow.com/homedetails/2228-Holly-Dr-Los-Angeles-CA-90068/20804384_zpid/" TargetMode="External"/><Relationship Id="rId266" Type="http://schemas.openxmlformats.org/officeDocument/2006/relationships/hyperlink" Target="https://www.zillow.com/homedetails/1172-Linda-Flora-Dr-Los-Angeles-CA-90049/20528914_zpid/" TargetMode="External"/><Relationship Id="rId473" Type="http://schemas.openxmlformats.org/officeDocument/2006/relationships/hyperlink" Target="https://drive.google.com/open?id=1ax9-PyAODayii8KqROn3Wp5GcrdUIawN" TargetMode="External"/><Relationship Id="rId680" Type="http://schemas.openxmlformats.org/officeDocument/2006/relationships/hyperlink" Target="https://drive.google.com/open?id=1Q-aiJcKg6trx3JfFcsyKHAlRKVvYqSTU" TargetMode="External"/><Relationship Id="rId2154" Type="http://schemas.openxmlformats.org/officeDocument/2006/relationships/hyperlink" Target="https://www.zillow.com/homedetails/7826-W-80th-St-Playa-Del-Rey-CA-90293/20385173_zpid/" TargetMode="External"/><Relationship Id="rId2361" Type="http://schemas.openxmlformats.org/officeDocument/2006/relationships/hyperlink" Target="https://www.zillow.com/homedetails/11810-Ohio-Ave-C-Los-Angeles-CA-90025/2053384132_zpid/" TargetMode="External"/><Relationship Id="rId126" Type="http://schemas.openxmlformats.org/officeDocument/2006/relationships/hyperlink" Target="https://www.zillow.com/homedetails/9297-Burton-Way-B-Beverly-Hills-CA-90210/2070939537_zpid/" TargetMode="External"/><Relationship Id="rId333" Type="http://schemas.openxmlformats.org/officeDocument/2006/relationships/hyperlink" Target="https://drive.google.com/open?id=1vXxaAHSCKnl6XLgb2FG0m9vgNu_ic3cJ" TargetMode="External"/><Relationship Id="rId540" Type="http://schemas.openxmlformats.org/officeDocument/2006/relationships/hyperlink" Target="https://www.zillow.com/homedetails/17841-Tarzana-St-Encino-CA-91316/19950053_zpid/" TargetMode="External"/><Relationship Id="rId778" Type="http://schemas.openxmlformats.org/officeDocument/2006/relationships/hyperlink" Target="https://www.zillow.com/homedetails/14649-Addison-St-Sherman-Oaks-CA-91403/19982606_zpid/" TargetMode="External"/><Relationship Id="rId985" Type="http://schemas.openxmlformats.org/officeDocument/2006/relationships/hyperlink" Target="https://drive.google.com/open?id=1VT8sqZQLpQt71MiOm4jqzC6E-iMVYOQ0" TargetMode="External"/><Relationship Id="rId1170" Type="http://schemas.openxmlformats.org/officeDocument/2006/relationships/hyperlink" Target="https://drive.google.com/open?id=1XRvOVWHeuFpeMZSu646O2Nu9LyUbHfMv" TargetMode="External"/><Relationship Id="rId2014" Type="http://schemas.openxmlformats.org/officeDocument/2006/relationships/hyperlink" Target="https://drive.google.com/open?id=1fj76vUPI-MxDinL_0L_3EOhezslsYCi8" TargetMode="External"/><Relationship Id="rId2221" Type="http://schemas.openxmlformats.org/officeDocument/2006/relationships/hyperlink" Target="https://www.zillow.com/homedetails/12337-Gorham-Ave-Los-Angeles-CA-90049/20467762_zpid/" TargetMode="External"/><Relationship Id="rId638" Type="http://schemas.openxmlformats.org/officeDocument/2006/relationships/hyperlink" Target="https://www.zillow.com/homedetails/(undisclosed-Address)-Pacific-Palisades-CA-90272/20542872_zpid/?utm_campaign=iosappmessage&amp;utm_medium=referral&amp;utm_source=txtshare" TargetMode="External"/><Relationship Id="rId845" Type="http://schemas.openxmlformats.org/officeDocument/2006/relationships/hyperlink" Target="https://www.redfin.com/CA/Los-Angeles/15541-Aqua-Verde-Dr-90077/home/6831653" TargetMode="External"/><Relationship Id="rId1030" Type="http://schemas.openxmlformats.org/officeDocument/2006/relationships/hyperlink" Target="https://www.compass.com/listing/616-north-fuller-avenue-los-angeles-ca-90036/1753286517554879385/" TargetMode="External"/><Relationship Id="rId1268" Type="http://schemas.openxmlformats.org/officeDocument/2006/relationships/hyperlink" Target="https://drive.google.com/open?id=1P_PEr90J8-g9epjKpT-IcLgPHhDRPtvB" TargetMode="External"/><Relationship Id="rId1475" Type="http://schemas.openxmlformats.org/officeDocument/2006/relationships/hyperlink" Target="https://www.zillow.com/homedetails/420-S-San-Pedro-St-APT-612-Los-Angeles-CA-90013/72107701_zpid/" TargetMode="External"/><Relationship Id="rId1682" Type="http://schemas.openxmlformats.org/officeDocument/2006/relationships/hyperlink" Target="https://www.zillow.com/homedetails/17025-Labrador-St-Northridge-CA-91325/20152369_zpid/" TargetMode="External"/><Relationship Id="rId2319" Type="http://schemas.openxmlformats.org/officeDocument/2006/relationships/hyperlink" Target="https://www.zillow.com/apartments/alhambra-ca/south-olive-apartments/5Xt8ZM/?utm_campaign=iosappmessage&amp;utm_medium=referral&amp;utm_source=txtshare" TargetMode="External"/><Relationship Id="rId400" Type="http://schemas.openxmlformats.org/officeDocument/2006/relationships/hyperlink" Target="https://drive.google.com/open?id=1z9NXhbEDm_M5w6CnT0khDRyOldxpX6wP" TargetMode="External"/><Relationship Id="rId705" Type="http://schemas.openxmlformats.org/officeDocument/2006/relationships/hyperlink" Target="https://drive.google.com/open?id=1446QFyTEM6Fo-HGZCU9WP6HIAcnBQs4T" TargetMode="External"/><Relationship Id="rId1128" Type="http://schemas.openxmlformats.org/officeDocument/2006/relationships/hyperlink" Target="https://drive.google.com/open?id=196FAEx96NieELOhTuJ4I2Q8suaztVYVS" TargetMode="External"/><Relationship Id="rId1335" Type="http://schemas.openxmlformats.org/officeDocument/2006/relationships/hyperlink" Target="http://zillow.com/" TargetMode="External"/><Relationship Id="rId1542" Type="http://schemas.openxmlformats.org/officeDocument/2006/relationships/hyperlink" Target="https://drive.google.com/open?id=1rdpk5RDSYqz0IIFE2DYYpDwVCAnVT9Af" TargetMode="External"/><Relationship Id="rId1987" Type="http://schemas.openxmlformats.org/officeDocument/2006/relationships/hyperlink" Target="https://drive.google.com/open?id=1ZUwbx7u5CtQ5S3puLycQdc3AOeurcOUo" TargetMode="External"/><Relationship Id="rId912" Type="http://schemas.openxmlformats.org/officeDocument/2006/relationships/hyperlink" Target="https://www.zillow.com/homedetails/1318-S-Roxbury-Dr-111-Los-Angeles-CA-90035/95527136_zpid/" TargetMode="External"/><Relationship Id="rId1847" Type="http://schemas.openxmlformats.org/officeDocument/2006/relationships/hyperlink" Target="https://drive.google.com/open?id=1BkB_9yvdxXUW2E98oAs-1Jn2uGk3pjrq" TargetMode="External"/><Relationship Id="rId41" Type="http://schemas.openxmlformats.org/officeDocument/2006/relationships/hyperlink" Target="https://www.zillow.com/homedetails/2260-Maravilla-Dr-Los-Angeles-CA-90068/20793606_zpid/" TargetMode="External"/><Relationship Id="rId1402" Type="http://schemas.openxmlformats.org/officeDocument/2006/relationships/hyperlink" Target="https://www.zillow.com/homedetails/2-El-Concho-Ln-Rolling-Hills-CA-90274/21355619_zpid/" TargetMode="External"/><Relationship Id="rId1707" Type="http://schemas.openxmlformats.org/officeDocument/2006/relationships/hyperlink" Target="https://drive.google.com/open?id=1oBrNgJ0AMvdrxP43BI658nUZd8Zn_nVR" TargetMode="External"/><Relationship Id="rId190" Type="http://schemas.openxmlformats.org/officeDocument/2006/relationships/hyperlink" Target="https://drive.google.com/open?id=12wPpjmxrVNyhOTnGcW0VC74BN_ivdmkq" TargetMode="External"/><Relationship Id="rId288" Type="http://schemas.openxmlformats.org/officeDocument/2006/relationships/hyperlink" Target="https://drive.google.com/open?id=1_SAi9JLdagD4oQrTUMTUV5MK_wG2-7Ep" TargetMode="External"/><Relationship Id="rId1914" Type="http://schemas.openxmlformats.org/officeDocument/2006/relationships/hyperlink" Target="https://www.zillow.com/homedetails/5903-Tellefson-Rd-Culver-City-CA-90230/20430281_zpid/" TargetMode="External"/><Relationship Id="rId495" Type="http://schemas.openxmlformats.org/officeDocument/2006/relationships/hyperlink" Target="https://www.zillow.com/homedetails/5709-Calvin-Ave-Tarzana-CA-91356/19932890_zpid/" TargetMode="External"/><Relationship Id="rId2176" Type="http://schemas.openxmlformats.org/officeDocument/2006/relationships/hyperlink" Target="https://www.zillow.com/apartments/west-hollywood-ca/via-at-sunset-plaza/5hqz9Q/" TargetMode="External"/><Relationship Id="rId2383" Type="http://schemas.openxmlformats.org/officeDocument/2006/relationships/hyperlink" Target="https://drive.google.com/open?id=1-BPWK1NumwCOHx9EAme4lAswc5nxedSL" TargetMode="External"/><Relationship Id="rId148" Type="http://schemas.openxmlformats.org/officeDocument/2006/relationships/hyperlink" Target="https://www.zillow.com/homedetails/1001-Hanover-Dr-Beverly-Hills-CA-90210/20523966_zpid/" TargetMode="External"/><Relationship Id="rId355" Type="http://schemas.openxmlformats.org/officeDocument/2006/relationships/hyperlink" Target="https://drive.google.com/open?id=1Q9vPuxCvxfsl41GSeNPWht_Bo1qii-Qs" TargetMode="External"/><Relationship Id="rId562" Type="http://schemas.openxmlformats.org/officeDocument/2006/relationships/hyperlink" Target="https://www.zillow.com/homedetails/20-28th-Ave-APT-C-Venice-CA-90291/2092186923_zpid/" TargetMode="External"/><Relationship Id="rId1192" Type="http://schemas.openxmlformats.org/officeDocument/2006/relationships/hyperlink" Target="https://www.zillow.com/homedetails/6884-Warm-Springs-Ave-La-Verne-CA-91750/21656968_zpid/" TargetMode="External"/><Relationship Id="rId2036" Type="http://schemas.openxmlformats.org/officeDocument/2006/relationships/hyperlink" Target="https://www.zillow.com/homedetails/354-S-Spring-St-FLOOR-9-ID1206-Los-Angeles-CA-90013/442340821_zpid/" TargetMode="External"/><Relationship Id="rId2243" Type="http://schemas.openxmlformats.org/officeDocument/2006/relationships/hyperlink" Target="https://www.zillow.com/homedetails/967-Maltman-Ave-967-Los-Angeles-CA-90026/446740935_zpid/" TargetMode="External"/><Relationship Id="rId215" Type="http://schemas.openxmlformats.org/officeDocument/2006/relationships/hyperlink" Target="https://drive.google.com/open?id=1aGY98jQbt2iSCHhzQDlio7tvHTzVs_jB" TargetMode="External"/><Relationship Id="rId422" Type="http://schemas.openxmlformats.org/officeDocument/2006/relationships/hyperlink" Target="https://drive.google.com/open?id=1Vd-8HxJdOlYz7Yafu1oukpaRO2bZZtSX" TargetMode="External"/><Relationship Id="rId867" Type="http://schemas.openxmlformats.org/officeDocument/2006/relationships/hyperlink" Target="https://www.zillow.com/homedetails/Los-Angeles-CA-90026/20739765_zpid/?" TargetMode="External"/><Relationship Id="rId1052" Type="http://schemas.openxmlformats.org/officeDocument/2006/relationships/hyperlink" Target="https://www.compass.com/listing/724-north-ogden-drive-los-angeles-ca-90046/1751592460600119041/" TargetMode="External"/><Relationship Id="rId1497" Type="http://schemas.openxmlformats.org/officeDocument/2006/relationships/hyperlink" Target="https://www.zillow.com/homedetails/8262-Woodshill-Trl-Los-Angeles-CA-90069/20797509_zpid/?utm_campaign=iosappmessage&amp;utm_medium=referral&amp;utm_source=txtshare" TargetMode="External"/><Relationship Id="rId2103" Type="http://schemas.openxmlformats.org/officeDocument/2006/relationships/hyperlink" Target="https://www.zillow.com/homedetails/1125-N-Clark-St-D-West-Hollywood-CA-90069/2077783119_zpid/" TargetMode="External"/><Relationship Id="rId2310" Type="http://schemas.openxmlformats.org/officeDocument/2006/relationships/hyperlink" Target="https://www.zillow.com/homedetails/1240-N-Doheny-Dr-Los-Angeles-CA-90069/20799490_zpid/" TargetMode="External"/><Relationship Id="rId727" Type="http://schemas.openxmlformats.org/officeDocument/2006/relationships/hyperlink" Target="https://drive.google.com/open?id=1MqemVQD-QAhxCaBLJdkfGLHpADnaYHQt" TargetMode="External"/><Relationship Id="rId934" Type="http://schemas.openxmlformats.org/officeDocument/2006/relationships/hyperlink" Target="https://www.zillow.com/homedetails/5344-Leghorn-Ave-Van-Nuys-CA-91401/20015679_zpid/" TargetMode="External"/><Relationship Id="rId1357" Type="http://schemas.openxmlformats.org/officeDocument/2006/relationships/hyperlink" Target="https://drive.google.com/open?id=1qbzyHM6tkikEDoRZBX1gNlKjD-hN6PSo" TargetMode="External"/><Relationship Id="rId1564" Type="http://schemas.openxmlformats.org/officeDocument/2006/relationships/hyperlink" Target="https://drive.google.com/open?id=1ePbJiapPlUUCa0l7N4iCSkBombGnQE5T" TargetMode="External"/><Relationship Id="rId1771" Type="http://schemas.openxmlformats.org/officeDocument/2006/relationships/hyperlink" Target="https://drive.google.com/open?id=1UHemVUpdAbXWciTatA60Cigr_YyP4v0j" TargetMode="External"/><Relationship Id="rId63" Type="http://schemas.openxmlformats.org/officeDocument/2006/relationships/hyperlink" Target="https://www.zillow.com/homedetails/6505-Pacific-Ave-1-Playa-Del-Rey-CA-90293/2089340224_zpid/" TargetMode="External"/><Relationship Id="rId1217" Type="http://schemas.openxmlformats.org/officeDocument/2006/relationships/hyperlink" Target="https://www.compass.com/listing/11908-exposition-boulevard-unit-408-los-angeles-ca-90064/1710264785158877257/" TargetMode="External"/><Relationship Id="rId1424" Type="http://schemas.openxmlformats.org/officeDocument/2006/relationships/hyperlink" Target="https://www.zillow.com/homedetails/10769-10771-Ashton-Ave-Los-Angeles-CA-90024/20504690_zpid/" TargetMode="External"/><Relationship Id="rId1631" Type="http://schemas.openxmlformats.org/officeDocument/2006/relationships/hyperlink" Target="https://www.zillow.com/homedetails/5923-Carlton-Way-1B-1BA-Los-Angeles-CA-90028/402166193_zpid/" TargetMode="External"/><Relationship Id="rId1869" Type="http://schemas.openxmlformats.org/officeDocument/2006/relationships/hyperlink" Target="https://www.zillow.com/homedetails/1369-Londonderry-Pl-Los-Angeles-CA-90069/20798985_zpid/" TargetMode="External"/><Relationship Id="rId1729" Type="http://schemas.openxmlformats.org/officeDocument/2006/relationships/hyperlink" Target="https://www.zillow.com/homedetails/6817-E-Bacarro-St-Long-Beach-CA-90815/21211228_zpid/" TargetMode="External"/><Relationship Id="rId1936" Type="http://schemas.openxmlformats.org/officeDocument/2006/relationships/hyperlink" Target="https://drive.google.com/open?id=1F22R-XkiF258OmtkYEcm6ZSMG7LlGOOS" TargetMode="External"/><Relationship Id="rId2198" Type="http://schemas.openxmlformats.org/officeDocument/2006/relationships/hyperlink" Target="https://www.zillow.com/homedetails/1905-Paseo-Del-Sol-Palos-Verdes-Estates-CA-90274/21342846_zpid/" TargetMode="External"/><Relationship Id="rId377" Type="http://schemas.openxmlformats.org/officeDocument/2006/relationships/hyperlink" Target="https://www.zillow.com/homedetails/274-S-La-Fayette-Park-Pl-2B-2BA-Los-Angeles-CA-90057/441951840_zpid/" TargetMode="External"/><Relationship Id="rId584" Type="http://schemas.openxmlformats.org/officeDocument/2006/relationships/hyperlink" Target="https://www.zillow.com/homedetails/110-Bennett-Ave-Long-Beach-CA-90803/2054770491_zpid/" TargetMode="External"/><Relationship Id="rId2058" Type="http://schemas.openxmlformats.org/officeDocument/2006/relationships/hyperlink" Target="https://www.zillow.com/homedetails/4631-Westchester-Dr-Woodland-Hills-CA-91364/19945923_zpid/" TargetMode="External"/><Relationship Id="rId2265" Type="http://schemas.openxmlformats.org/officeDocument/2006/relationships/hyperlink" Target="https://www.zillow.com/homedetails/Monterey-Park-CA-91754/20659701_zpid/" TargetMode="External"/><Relationship Id="rId5" Type="http://schemas.openxmlformats.org/officeDocument/2006/relationships/hyperlink" Target="https://drive.google.com/open?id=1TNZjEhc8FT1ZB4hscYcjp8j9RfhQ6pua" TargetMode="External"/><Relationship Id="rId237" Type="http://schemas.openxmlformats.org/officeDocument/2006/relationships/hyperlink" Target="https://www.zillow.com/homedetails/811-23rd-St-Santa-Monica-CA-90403/20474791_zpid/?utm_campaign=iosappmessage&amp;utm_medium=referral&amp;utm_source=txtshare" TargetMode="External"/><Relationship Id="rId791" Type="http://schemas.openxmlformats.org/officeDocument/2006/relationships/hyperlink" Target="https://drive.google.com/open?id=1Vzvt3EqlPbdX4XPq8AuwS5hqCnQ0Vj1A" TargetMode="External"/><Relationship Id="rId889" Type="http://schemas.openxmlformats.org/officeDocument/2006/relationships/hyperlink" Target="https://drive.google.com/open?id=1Vq82Rao8nun98mKoX8rJCsJVvPd2KKyg" TargetMode="External"/><Relationship Id="rId1074" Type="http://schemas.openxmlformats.org/officeDocument/2006/relationships/hyperlink" Target="https://www.zillow.com/homedetails/420-S-Sunset-Canyon-Dr-Burbank-CA-91501/20816835_zpid/" TargetMode="External"/><Relationship Id="rId444" Type="http://schemas.openxmlformats.org/officeDocument/2006/relationships/hyperlink" Target="https://www.zillow.com/homedetails/3935-Inglewood-Blvd-3935-Los-Angeles-CA-90066/401885716_zpid/" TargetMode="External"/><Relationship Id="rId651" Type="http://schemas.openxmlformats.org/officeDocument/2006/relationships/hyperlink" Target="https://www.zillow.com/homedetails/9343-White-Oak-Ave-Northridge-CA-91325/20176737_zpid/" TargetMode="External"/><Relationship Id="rId749" Type="http://schemas.openxmlformats.org/officeDocument/2006/relationships/hyperlink" Target="https://www.zillow.com/homedetails/Van-Nuys-CA-91406/19964598_zpid/" TargetMode="External"/><Relationship Id="rId1281" Type="http://schemas.openxmlformats.org/officeDocument/2006/relationships/hyperlink" Target="https://www.zillow.com/homedetails/110-Box-Canyon-Rd-Canoga-Park-CA-91304/16463829_zpid/" TargetMode="External"/><Relationship Id="rId1379" Type="http://schemas.openxmlformats.org/officeDocument/2006/relationships/hyperlink" Target="https://www.zillow.com/homedetails/934-N-Orlando-Ave-Los-Angeles-CA-90069/20787434_zpid/?utm_campaign=iosappmessage&amp;utm_medium=referral&amp;utm_source=txtshare" TargetMode="External"/><Relationship Id="rId1586" Type="http://schemas.openxmlformats.org/officeDocument/2006/relationships/hyperlink" Target="https://www.zillow.com/homedetails/438-Somerset-Pl-La-Canada-Flintridge-CA-91011/20906715_zpid/" TargetMode="External"/><Relationship Id="rId2125" Type="http://schemas.openxmlformats.org/officeDocument/2006/relationships/hyperlink" Target="https://drive.google.com/open?id=1QXYKv7BCpuvizyCJeWdDhvY_ySHxdj8f" TargetMode="External"/><Relationship Id="rId2332" Type="http://schemas.openxmlformats.org/officeDocument/2006/relationships/hyperlink" Target="https://drive.google.com/open?id=1zf2dwYPa2vgmJ2R_eAHpY8IOIpHlAVuF" TargetMode="External"/><Relationship Id="rId304" Type="http://schemas.openxmlformats.org/officeDocument/2006/relationships/hyperlink" Target="https://drive.google.com/open?id=1N2Cem9H4VweRlYlkSlUDQA0GFYZxvyLn" TargetMode="External"/><Relationship Id="rId511" Type="http://schemas.openxmlformats.org/officeDocument/2006/relationships/hyperlink" Target="https://drive.google.com/open?id=1zRZufXef6ZvR_o2IbNZa3dn-f3AxFKEj" TargetMode="External"/><Relationship Id="rId609" Type="http://schemas.openxmlformats.org/officeDocument/2006/relationships/hyperlink" Target="https://www.zillow.com/homedetails/1815-Oak-View-Ln-Arcadia-CA-91006/20883953_zpid/" TargetMode="External"/><Relationship Id="rId956" Type="http://schemas.openxmlformats.org/officeDocument/2006/relationships/hyperlink" Target="https://www.redfin.com/CA/Malibu/6130-Galahad-Rd-90265/home/22137187" TargetMode="External"/><Relationship Id="rId1141" Type="http://schemas.openxmlformats.org/officeDocument/2006/relationships/hyperlink" Target="https://www.zillow.com/homedetails/1847-Stearns-Dr-Los-Angeles-CA-90035/20598518_zpid/" TargetMode="External"/><Relationship Id="rId1239" Type="http://schemas.openxmlformats.org/officeDocument/2006/relationships/hyperlink" Target="https://www.zillow.com/homedetails/1293-Monte-Cielo-Dr-Beverly-Hills-CA-90210/95618498_zpid/" TargetMode="External"/><Relationship Id="rId1793" Type="http://schemas.openxmlformats.org/officeDocument/2006/relationships/hyperlink" Target="https://www.zillow.com/homedetails/1156-N-Lake-Ave-Pasadena-CA-91104/2083166974_zpid/" TargetMode="External"/><Relationship Id="rId85" Type="http://schemas.openxmlformats.org/officeDocument/2006/relationships/hyperlink" Target="https://www.zillow.com/homedetails/14949-La-Cumbre-Dr-Pacific-Palisades-CA-90272/20540543_zpid/" TargetMode="External"/><Relationship Id="rId816" Type="http://schemas.openxmlformats.org/officeDocument/2006/relationships/hyperlink" Target="https://www.zillow.com/homedetails/13918-Chandler-Blvd-Van-Nuys-CA-91401/19974663_zpid/" TargetMode="External"/><Relationship Id="rId1001" Type="http://schemas.openxmlformats.org/officeDocument/2006/relationships/hyperlink" Target="https://drive.google.com/open?id=1VxUF7DyJfKuJCbpacr-TbgTs5NSOiz39" TargetMode="External"/><Relationship Id="rId1446" Type="http://schemas.openxmlformats.org/officeDocument/2006/relationships/hyperlink" Target="https://drive.google.com/open?id=1kGugXFrSy8Zf47cxt5fh6PH0gH9u1WJX" TargetMode="External"/><Relationship Id="rId1653" Type="http://schemas.openxmlformats.org/officeDocument/2006/relationships/hyperlink" Target="https://www.zillow.com/homedetails/16308-Mountain-Ln-Santa-Clarita-CA-91387/63088618_zpid/" TargetMode="External"/><Relationship Id="rId1860" Type="http://schemas.openxmlformats.org/officeDocument/2006/relationships/hyperlink" Target="https://drive.google.com/open?id=1Eabb__P4ztp-qWv06AT8ngLda3afOCtn" TargetMode="External"/><Relationship Id="rId1306" Type="http://schemas.openxmlformats.org/officeDocument/2006/relationships/hyperlink" Target="https://www.zillow.com/homedetails/8262-Woodshill-Trl-Los-Angeles-CA-90069/20797509_zpid/" TargetMode="External"/><Relationship Id="rId1513" Type="http://schemas.openxmlformats.org/officeDocument/2006/relationships/hyperlink" Target="https://www.zillow.com/homedetails/800-Canon-Dr-Pasadena-CA-91106/20700154_zpid/" TargetMode="External"/><Relationship Id="rId1720" Type="http://schemas.openxmlformats.org/officeDocument/2006/relationships/hyperlink" Target="https://www.zillow.com/homedetails/1526-E-1st-St-1-Los-Angeles-CA-90033/2054280766_zpid/" TargetMode="External"/><Relationship Id="rId1958" Type="http://schemas.openxmlformats.org/officeDocument/2006/relationships/hyperlink" Target="https://drive.google.com/open?id=13qXPLOZ4BLBAg5d61mMp1Bu_TxcV4ieV" TargetMode="External"/><Relationship Id="rId12" Type="http://schemas.openxmlformats.org/officeDocument/2006/relationships/hyperlink" Target="https://www.zillow.com/homedetails/Los-Angeles-CA-90046/20803208_zpid/" TargetMode="External"/><Relationship Id="rId1818" Type="http://schemas.openxmlformats.org/officeDocument/2006/relationships/hyperlink" Target="https://www.zillow.com/homedetails/213-17th-St-APT-A-Huntington-Beach-CA-92648/2062460252_zpid/" TargetMode="External"/><Relationship Id="rId161" Type="http://schemas.openxmlformats.org/officeDocument/2006/relationships/hyperlink" Target="https://www.zillow.com/homedetails/1901-N-Catalina-St-Los-Angeles-CA-90027/20809909_zpid/" TargetMode="External"/><Relationship Id="rId399" Type="http://schemas.openxmlformats.org/officeDocument/2006/relationships/hyperlink" Target="https://www.zillow.com/homedetails/10714-Franklin-Ave-Culver-City-CA-90230/20434510_zpid/" TargetMode="External"/><Relationship Id="rId2287" Type="http://schemas.openxmlformats.org/officeDocument/2006/relationships/hyperlink" Target="https://drive.google.com/open?id=17f-QYKh45D7eK6C3kQ4pOLTzi3NYOZQ8" TargetMode="External"/><Relationship Id="rId259" Type="http://schemas.openxmlformats.org/officeDocument/2006/relationships/hyperlink" Target="https://zillow.com/homedetails/9987-Reevesbury-Dr-Beverly-Hills-CA-90210/20532823_zpid/" TargetMode="External"/><Relationship Id="rId466" Type="http://schemas.openxmlformats.org/officeDocument/2006/relationships/hyperlink" Target="https://drive.google.com/open?id=13tcOPwOJWU9Bd9sjpJYD3GiFP0SB0cHA" TargetMode="External"/><Relationship Id="rId673" Type="http://schemas.openxmlformats.org/officeDocument/2006/relationships/hyperlink" Target="https://www.zillow.com/homedetails/9337-Shoshone-Ave-Northridge-CA-91325/20177092_zpid/" TargetMode="External"/><Relationship Id="rId880" Type="http://schemas.openxmlformats.org/officeDocument/2006/relationships/hyperlink" Target="https://drive.google.com/open?id=1W9LOShcgzXNoMBqWjzRNkciX-Fda4QQk" TargetMode="External"/><Relationship Id="rId1096" Type="http://schemas.openxmlformats.org/officeDocument/2006/relationships/hyperlink" Target="https://drive.google.com/open?id=19gXawZETlHaGsJmERt4RgMhg9cJ4Kucr" TargetMode="External"/><Relationship Id="rId2147" Type="http://schemas.openxmlformats.org/officeDocument/2006/relationships/hyperlink" Target="https://www.zillow.com/homedetails/1205-E-Oak-Ave-El-Segundo-CA-90245/20397741_zpid/" TargetMode="External"/><Relationship Id="rId2354" Type="http://schemas.openxmlformats.org/officeDocument/2006/relationships/hyperlink" Target="https://drive.google.com/open?id=1i5TFYm5no28TqyU9WwP889G9YZit7o2K" TargetMode="External"/><Relationship Id="rId119" Type="http://schemas.openxmlformats.org/officeDocument/2006/relationships/hyperlink" Target="https://drive.google.com/open?id=14h7zHNkHwVPNkcG8WLH4OawYYrAXlRNB" TargetMode="External"/><Relationship Id="rId326" Type="http://schemas.openxmlformats.org/officeDocument/2006/relationships/hyperlink" Target="https://zillow.com/homedetails/10-20th-Ave-Venice-CA-90291/60295991_zpid/" TargetMode="External"/><Relationship Id="rId533" Type="http://schemas.openxmlformats.org/officeDocument/2006/relationships/hyperlink" Target="https://www.zillow.com/homedetails/920-N-Beverly-Glen-Blvd-Los-Angeles-CA-90077/20529879_zpid/" TargetMode="External"/><Relationship Id="rId978" Type="http://schemas.openxmlformats.org/officeDocument/2006/relationships/hyperlink" Target="https://drive.google.com/open?id=1GyKRpvy_aPpMAU6qYFYqmNVRr43MmpYB" TargetMode="External"/><Relationship Id="rId1163" Type="http://schemas.openxmlformats.org/officeDocument/2006/relationships/hyperlink" Target="https://www.zillow.com/homedetails/1140-N-Clark-St-209A-West-Hollywood-CA-90069/443853695_zpid/" TargetMode="External"/><Relationship Id="rId1370" Type="http://schemas.openxmlformats.org/officeDocument/2006/relationships/hyperlink" Target="https://drive.google.com/open?id=1TRKZbnkvAfoGr_FgoLacYwXudXyw9u1k" TargetMode="External"/><Relationship Id="rId2007" Type="http://schemas.openxmlformats.org/officeDocument/2006/relationships/hyperlink" Target="https://www.zillow.com/homedetails/5506-W-Olympic-Blvd-Los-Angeles-CA-90036/336478518_zpid/" TargetMode="External"/><Relationship Id="rId2214" Type="http://schemas.openxmlformats.org/officeDocument/2006/relationships/hyperlink" Target="https://drive.google.com/open?id=1AlZDurmsEK-AqBNylmndyqOsmE1SeiGo" TargetMode="External"/><Relationship Id="rId740" Type="http://schemas.openxmlformats.org/officeDocument/2006/relationships/hyperlink" Target="https://www.zillow.com/homedetails/1205-Highview-Ave-Manhattan-Beach-CA-90266/20417018_zpid/" TargetMode="External"/><Relationship Id="rId838" Type="http://schemas.openxmlformats.org/officeDocument/2006/relationships/hyperlink" Target="https://drive.google.com/open?id=1eLKH_QuR-TneeFee01sC_eITXv__L3Ud" TargetMode="External"/><Relationship Id="rId1023" Type="http://schemas.openxmlformats.org/officeDocument/2006/relationships/hyperlink" Target="https://drive.google.com/open?id=1Wcsv4sYzpJpBZxWAKZipzICA0RZVw3Yg" TargetMode="External"/><Relationship Id="rId1468" Type="http://schemas.openxmlformats.org/officeDocument/2006/relationships/hyperlink" Target="https://drive.google.com/open?id=1DTeUk5r5Y-wfzP32xOy0fo_-3f4nEkdw" TargetMode="External"/><Relationship Id="rId1675" Type="http://schemas.openxmlformats.org/officeDocument/2006/relationships/hyperlink" Target="https://www.zillow.com/homedetails/20111-Glacier-Cir-Huntington-Beach-CA-92646/25274365_zpid/" TargetMode="External"/><Relationship Id="rId1882" Type="http://schemas.openxmlformats.org/officeDocument/2006/relationships/hyperlink" Target="https://www.zillow.com/homedetails/111-Waterview-St-Playa-Del-Rey-CA-90293/20386625_zpid/" TargetMode="External"/><Relationship Id="rId600" Type="http://schemas.openxmlformats.org/officeDocument/2006/relationships/hyperlink" Target="https://drive.google.com/open?id=1DRr90Iq2Hpi34Lg2JvgIxmZ5SARVlOp1" TargetMode="External"/><Relationship Id="rId1230" Type="http://schemas.openxmlformats.org/officeDocument/2006/relationships/hyperlink" Target="https://www.redfin.com/CA/Los-Angeles/3464-Greenwood-Ave-90066/home/6745328?utm_source=ios_share&amp;utm_medium=share&amp;utm_campaign=copy_link&amp;utm_nooverride=1&amp;utm_content=link" TargetMode="External"/><Relationship Id="rId1328" Type="http://schemas.openxmlformats.org/officeDocument/2006/relationships/hyperlink" Target="https://www.zillow.com/homedetails/22928-Roscoe-Blvd-Canoga-Park-CA-91304/51578863_zpid/" TargetMode="External"/><Relationship Id="rId1535" Type="http://schemas.openxmlformats.org/officeDocument/2006/relationships/hyperlink" Target="https://www.zillow.com/homedetails/6927-Lindley-Ave-Reseda-CA-91335/19919445_zpid/" TargetMode="External"/><Relationship Id="rId905" Type="http://schemas.openxmlformats.org/officeDocument/2006/relationships/hyperlink" Target="https://www.zillow.com/homedetails/2414-N-Millstream-Ln-Orange-CA-92865/25424064_zpid/" TargetMode="External"/><Relationship Id="rId1742" Type="http://schemas.openxmlformats.org/officeDocument/2006/relationships/hyperlink" Target="http://rent.com/" TargetMode="External"/><Relationship Id="rId34" Type="http://schemas.openxmlformats.org/officeDocument/2006/relationships/hyperlink" Target="https://www.zillow.com/homedetails/7177-Pacific-View-Dr-Los-Angeles-CA-90068/20045420_zpid/" TargetMode="External"/><Relationship Id="rId1602" Type="http://schemas.openxmlformats.org/officeDocument/2006/relationships/hyperlink" Target="https://www.zillow.com/homedetails/202-S-Sierra-Vista-St-Monterey-Park-CA-91755/20664584_zpid/" TargetMode="External"/><Relationship Id="rId183" Type="http://schemas.openxmlformats.org/officeDocument/2006/relationships/hyperlink" Target="https://www.zillow.com/homedetails/1308-N-Orange-Grove-Ave-Los-Angeles-CA-90046/20795564_zpid/" TargetMode="External"/><Relationship Id="rId390" Type="http://schemas.openxmlformats.org/officeDocument/2006/relationships/hyperlink" Target="https://www.zillow.com/homedetails/10734-Bloomfield-St-North-Hollywood-CA-91602/157718290_zpid/" TargetMode="External"/><Relationship Id="rId1907" Type="http://schemas.openxmlformats.org/officeDocument/2006/relationships/hyperlink" Target="https://drive.google.com/open?id=1QX2RVllJKIS0G3G-ScWXJK7oyN0ULOsO" TargetMode="External"/><Relationship Id="rId2071" Type="http://schemas.openxmlformats.org/officeDocument/2006/relationships/hyperlink" Target="https://www.zillow.com/homedetails/26088-Adamor-Rd-Calabasas-CA-91302/19885212_zpid/" TargetMode="External"/><Relationship Id="rId250" Type="http://schemas.openxmlformats.org/officeDocument/2006/relationships/hyperlink" Target="https://drive.google.com/open?id=1DKzGSKa1tenN-YHceTeH8MAIko197Sm-" TargetMode="External"/><Relationship Id="rId488" Type="http://schemas.openxmlformats.org/officeDocument/2006/relationships/hyperlink" Target="https://www.zillow.com/homedetails/22731-Burbank-Blvd-Woodland-Hills-CA-91367/19878010_zpid/" TargetMode="External"/><Relationship Id="rId695" Type="http://schemas.openxmlformats.org/officeDocument/2006/relationships/hyperlink" Target="https://drive.google.com/open?id=1fcxn9QdsuzZyW4LXSyu80Yazu6jdzHBs" TargetMode="External"/><Relationship Id="rId2169" Type="http://schemas.openxmlformats.org/officeDocument/2006/relationships/hyperlink" Target="https://www.zillow.com/homedetails/17288-Falcon-Pl-Granada-Hills-CA-91344/20109205_zpid/" TargetMode="External"/><Relationship Id="rId2376" Type="http://schemas.openxmlformats.org/officeDocument/2006/relationships/hyperlink" Target="https://drive.google.com/open?id=1E1XBQdMEqQY6ASPqZ_lC0oKLP7z6gaM6" TargetMode="External"/><Relationship Id="rId110" Type="http://schemas.openxmlformats.org/officeDocument/2006/relationships/hyperlink" Target="https://drive.google.com/open?id=1G5WVgii-7AsFgWqz56VyorvkwWBWQMhI" TargetMode="External"/><Relationship Id="rId348" Type="http://schemas.openxmlformats.org/officeDocument/2006/relationships/hyperlink" Target="https://www.zillow.com/homedetails/Los-Angeles-CA-90046/20803208_zpid/" TargetMode="External"/><Relationship Id="rId555" Type="http://schemas.openxmlformats.org/officeDocument/2006/relationships/hyperlink" Target="https://drive.google.com/open?id=16t9TH_P5VbagmL3RUUqwgWBvTrYOQ5Tp" TargetMode="External"/><Relationship Id="rId762" Type="http://schemas.openxmlformats.org/officeDocument/2006/relationships/hyperlink" Target="https://drive.google.com/open?id=1ttVIvi-CSobryGROKiA-7DH0m6DksybI" TargetMode="External"/><Relationship Id="rId1185" Type="http://schemas.openxmlformats.org/officeDocument/2006/relationships/hyperlink" Target="https://www.zillow.com/homedetails/10501-Wilshire-Blvd-UNIT-1501-Los-Angeles-CA-90024/82883623_zpid/" TargetMode="External"/><Relationship Id="rId1392" Type="http://schemas.openxmlformats.org/officeDocument/2006/relationships/hyperlink" Target="https://drive.google.com/open?id=1WJa7DRtnb7A0xXci5jLbefxnLRMu9IEZ" TargetMode="External"/><Relationship Id="rId2029" Type="http://schemas.openxmlformats.org/officeDocument/2006/relationships/hyperlink" Target="https://www.zillow.com/homedetails/814-S-Orange-Dr-Los-Angeles-CA-90036/2062165316_zpid/?rtoken=c6f30df5-de33-42d1-a998-4f9e6c4b74b0~X1-ZU171nahsec7qbt_1k6ql&amp;utm_campaign=emo-homerecs-email-rental&amp;utm_source=email&amp;utm_term=urn:msg:2025011807540571e55c045b80b55e&amp;utm_medium=email&amp;utm_content=forrentimage-_rid-A8hsKRRqfSGfmaqiYhqc3H_" TargetMode="External"/><Relationship Id="rId2236" Type="http://schemas.openxmlformats.org/officeDocument/2006/relationships/hyperlink" Target="https://drive.google.com/open?id=1EeBalKQkXL4HZxKuCeLjd9umy_HQtqW4" TargetMode="External"/><Relationship Id="rId208" Type="http://schemas.openxmlformats.org/officeDocument/2006/relationships/hyperlink" Target="https://www.zillow.com/homedetails/2119-S-West-View-St-Los-Angeles-CA-90016/20596651_zpid/" TargetMode="External"/><Relationship Id="rId415" Type="http://schemas.openxmlformats.org/officeDocument/2006/relationships/hyperlink" Target="https://www.zillow.com/homedetails/10919-Ayres-Ave-Los-Angeles-CA-90064/2098430421_zpid/?utm_campaign=iosappmessage&amp;utm_medium=referral&amp;utm_source=txtshare" TargetMode="External"/><Relationship Id="rId622" Type="http://schemas.openxmlformats.org/officeDocument/2006/relationships/hyperlink" Target="https://www.zillow.com/homedetails/8038-Blackburn-Ave-7-Los-Angeles-CA-90048/2067901955_zpid/" TargetMode="External"/><Relationship Id="rId1045" Type="http://schemas.openxmlformats.org/officeDocument/2006/relationships/hyperlink" Target="https://www.zillow.com/homedetails/13918-Chandler-Blvd-Van-Nuys-CA-91401/19974663_zpid/" TargetMode="External"/><Relationship Id="rId1252" Type="http://schemas.openxmlformats.org/officeDocument/2006/relationships/hyperlink" Target="https://www.redfin.com/CA/Los-Angeles/1331-N-Cahuenga-Blvd-90028/unit-4701/home/194171991" TargetMode="External"/><Relationship Id="rId1697" Type="http://schemas.openxmlformats.org/officeDocument/2006/relationships/hyperlink" Target="https://drive.google.com/open?id=1jzW9wZ3Aw33KJBd0FkSmUI2AAmXX9jI2" TargetMode="External"/><Relationship Id="rId2303" Type="http://schemas.openxmlformats.org/officeDocument/2006/relationships/hyperlink" Target="https://drive.google.com/open?id=1-tHemzLD5-EOWmT_ei2biwERhhYG0SNC" TargetMode="External"/><Relationship Id="rId927" Type="http://schemas.openxmlformats.org/officeDocument/2006/relationships/hyperlink" Target="https://www.zillow.com/homedetails/15236-Hesby-St-Sherman-Oaks-CA-91403/19982151_zpid/" TargetMode="External"/><Relationship Id="rId1112" Type="http://schemas.openxmlformats.org/officeDocument/2006/relationships/hyperlink" Target="https://drive.google.com/open?id=1VpLzxXxfIuxuJtqF_0CqAgsXgytiGXxn" TargetMode="External"/><Relationship Id="rId1557" Type="http://schemas.openxmlformats.org/officeDocument/2006/relationships/hyperlink" Target="https://www.zillow.com/homedetails/254-S-Detroit-St-Los-Angeles-CA-90036/2086454063_zpid/" TargetMode="External"/><Relationship Id="rId1764" Type="http://schemas.openxmlformats.org/officeDocument/2006/relationships/hyperlink" Target="https://www.zillow.com/homedetails/6858-Fountain-Ave-Los-Angeles-CA-90038/444002102_zpid/" TargetMode="External"/><Relationship Id="rId1971" Type="http://schemas.openxmlformats.org/officeDocument/2006/relationships/hyperlink" Target="https://drive.google.com/open?id=1ttc2VbP_MIbnh69Iq6u248kNXKmN1x56" TargetMode="External"/><Relationship Id="rId56" Type="http://schemas.openxmlformats.org/officeDocument/2006/relationships/hyperlink" Target="https://www.zillow.com/homedetails/1851-Tamerlane-Dr-Glendale-CA-91208/20839703_zpid/?utm_campaign=iosappmessage&amp;utm_medium=referral&amp;utm_source=txtshare" TargetMode="External"/><Relationship Id="rId1417" Type="http://schemas.openxmlformats.org/officeDocument/2006/relationships/hyperlink" Target="https://www.redfin.com/CA/Los-Angeles/610-N-Stanley-Ave-90036/home/7102743" TargetMode="External"/><Relationship Id="rId1624" Type="http://schemas.openxmlformats.org/officeDocument/2006/relationships/hyperlink" Target="https://www.zillow.com/homedetails/West-Hills-CA-91304/52467856_zpid/" TargetMode="External"/><Relationship Id="rId1831" Type="http://schemas.openxmlformats.org/officeDocument/2006/relationships/hyperlink" Target="https://www.realtor.com/realestateandhomes-detail/141-Hollister-Ave_Santa-Monica_CA_90405_M90293-37928" TargetMode="External"/><Relationship Id="rId1929" Type="http://schemas.openxmlformats.org/officeDocument/2006/relationships/hyperlink" Target="https://www.zillow.com/homedetails/2939-W-Leeward-Ave-UNIT-515-Los-Angeles-CA-90005/2061111287_zpid/" TargetMode="External"/><Relationship Id="rId2093" Type="http://schemas.openxmlformats.org/officeDocument/2006/relationships/hyperlink" Target="https://www.zillow.com/homedetails/2585-Windsor-Ave-Altadena-CA-91001/20907140_zpid/" TargetMode="External"/><Relationship Id="rId272" Type="http://schemas.openxmlformats.org/officeDocument/2006/relationships/hyperlink" Target="https://www.zillow.com/homedetails/Los-Angeles-CA-90291/95551094_zpid/" TargetMode="External"/><Relationship Id="rId577" Type="http://schemas.openxmlformats.org/officeDocument/2006/relationships/hyperlink" Target="https://drive.google.com/open?id=1sy5r2nrciBx9xxmiBDmhg3Zu4FZ8PHX6" TargetMode="External"/><Relationship Id="rId2160" Type="http://schemas.openxmlformats.org/officeDocument/2006/relationships/hyperlink" Target="https://www.trulia.com/home/6601-saloma-ave-van-nuys-ca-91405-19968847?cid=shr%7Capp_ios_main_phone%7Crent%7Csrp_table_card_share" TargetMode="External"/><Relationship Id="rId2258" Type="http://schemas.openxmlformats.org/officeDocument/2006/relationships/hyperlink" Target="https://drive.google.com/open?id=1ZYodMFoHDKAARoBVdxz_kO0vJX6joR1j" TargetMode="External"/><Relationship Id="rId132" Type="http://schemas.openxmlformats.org/officeDocument/2006/relationships/hyperlink" Target="https://www.zillow.com/homedetails/1817-W-Silver-Lake-Dr-Los-Angeles-CA-90026/2096500924_zpid/" TargetMode="External"/><Relationship Id="rId784" Type="http://schemas.openxmlformats.org/officeDocument/2006/relationships/hyperlink" Target="https://www.redfin.com/CA/Los-Angeles/108-W-2nd-St-90012/unit-206/home/21923543" TargetMode="External"/><Relationship Id="rId991" Type="http://schemas.openxmlformats.org/officeDocument/2006/relationships/hyperlink" Target="https://www.trulia.com/home/address-not-disclosed-venice-ca-90291-443897944?cid=shr%7Capp_ios_main_phone%7Crent%7Cpdp_share" TargetMode="External"/><Relationship Id="rId1067" Type="http://schemas.openxmlformats.org/officeDocument/2006/relationships/hyperlink" Target="https://www.compass.com/listing/1901-north-catalina-street-los-feliz-ca-90027/1750878495654124113/" TargetMode="External"/><Relationship Id="rId2020" Type="http://schemas.openxmlformats.org/officeDocument/2006/relationships/hyperlink" Target="https://www.zillow.com/homedetails/1632-Micheltorena-St-Los-Angeles-CA-90026/345388614_zpid/" TargetMode="External"/><Relationship Id="rId437" Type="http://schemas.openxmlformats.org/officeDocument/2006/relationships/hyperlink" Target="https://www.zillow.com/homedetails/11842-Culver-Blvd-Los-Angeles-CA-90066/2123490972_zpid/" TargetMode="External"/><Relationship Id="rId644" Type="http://schemas.openxmlformats.org/officeDocument/2006/relationships/hyperlink" Target="https://www.zillow.com/homedetails/2948-Eckleson-St-Lakewood-CA-90712/21168830_zpid/?utm_campaign=iosappmessage&amp;utm_medium=referral&amp;utm_source=txtshare" TargetMode="External"/><Relationship Id="rId851" Type="http://schemas.openxmlformats.org/officeDocument/2006/relationships/hyperlink" Target="https://www.redfin.com/CA/Los-Angeles/11633-Chenault-St-90049/unit-202/home/51587417" TargetMode="External"/><Relationship Id="rId1274" Type="http://schemas.openxmlformats.org/officeDocument/2006/relationships/hyperlink" Target="https://drive.google.com/open?id=1KKXXdfLldL9hs1oldvJpZ1cf1sMbo41Y" TargetMode="External"/><Relationship Id="rId1481" Type="http://schemas.openxmlformats.org/officeDocument/2006/relationships/hyperlink" Target="https://www.zillow.com/homedetails/4703-Columbus-Ave-Sherman-Oaks-CA-91403/19982935_zpid/" TargetMode="External"/><Relationship Id="rId1579" Type="http://schemas.openxmlformats.org/officeDocument/2006/relationships/hyperlink" Target="https://drive.google.com/open?id=1NHBaegOvnSuLpyRlzxgY_a2qz7NYnFFe" TargetMode="External"/><Relationship Id="rId2118" Type="http://schemas.openxmlformats.org/officeDocument/2006/relationships/hyperlink" Target="https://www.zillow.com/homedetails/444-N-Catalina-Ave-Pasadena-CA-91106/20867128_zpid/" TargetMode="External"/><Relationship Id="rId2325" Type="http://schemas.openxmlformats.org/officeDocument/2006/relationships/hyperlink" Target="https://www.zillow.com/homedetails/49-Sunset-Ave-B-Venice-CA-90291/2053165104_zpid/" TargetMode="External"/><Relationship Id="rId504" Type="http://schemas.openxmlformats.org/officeDocument/2006/relationships/hyperlink" Target="https://www.compass.com/listing/543-rialto-avenue-venice-ca-90291/1751008032018693513/" TargetMode="External"/><Relationship Id="rId711" Type="http://schemas.openxmlformats.org/officeDocument/2006/relationships/hyperlink" Target="https://drive.google.com/open?id=1WcKkv6ewyYREaTHbRAhDPhH8ZEssCfhA" TargetMode="External"/><Relationship Id="rId949" Type="http://schemas.openxmlformats.org/officeDocument/2006/relationships/hyperlink" Target="https://www.zillow.com/homedetails/6617-S-Sherbourne-Dr-Los-Angeles-CA-90056/20377951_zpid/?utm_campaign=iosappmessage&amp;utm_medium=referral&amp;utm_source=txtshare" TargetMode="External"/><Relationship Id="rId1134" Type="http://schemas.openxmlformats.org/officeDocument/2006/relationships/hyperlink" Target="https://www.zillow.com/homedetails/2935-Westwood-Blvd-Los-Angeles-CA-90064/20460870_zpid/" TargetMode="External"/><Relationship Id="rId1341" Type="http://schemas.openxmlformats.org/officeDocument/2006/relationships/hyperlink" Target="http://trulia.com/" TargetMode="External"/><Relationship Id="rId1786" Type="http://schemas.openxmlformats.org/officeDocument/2006/relationships/hyperlink" Target="https://www.zillow.com/homedetails/2766-Ellison-Dr-Beverly-Hills-CA-90210/20533335_zpid/" TargetMode="External"/><Relationship Id="rId1993" Type="http://schemas.openxmlformats.org/officeDocument/2006/relationships/hyperlink" Target="https://drive.google.com/open?id=1QPHx2vLdRAem-YuCJFFIAhBuwcpzkhzd" TargetMode="External"/><Relationship Id="rId78" Type="http://schemas.openxmlformats.org/officeDocument/2006/relationships/hyperlink" Target="https://drive.google.com/open?id=1wxNjKYoel_QAQMNm9a86uwQOoKNzPqvq" TargetMode="External"/><Relationship Id="rId809" Type="http://schemas.openxmlformats.org/officeDocument/2006/relationships/hyperlink" Target="https://www.redfin.com/CA/Los-Angeles/1237-S-Holt-Ave-90035/unit-206/home/191150566" TargetMode="External"/><Relationship Id="rId1201" Type="http://schemas.openxmlformats.org/officeDocument/2006/relationships/hyperlink" Target="https://www.casademarinaapartments.com/interactivepropertymap" TargetMode="External"/><Relationship Id="rId1439" Type="http://schemas.openxmlformats.org/officeDocument/2006/relationships/hyperlink" Target="https://www.zillow.com/homedetails/18027-Saint-Andrews-Pl-Torrance-CA-90504/20376462_zpid/" TargetMode="External"/><Relationship Id="rId1646" Type="http://schemas.openxmlformats.org/officeDocument/2006/relationships/hyperlink" Target="https://drive.google.com/open?id=1OqVE97wue_Ih3ahuTnzXapbTt1klDBvq" TargetMode="External"/><Relationship Id="rId1853" Type="http://schemas.openxmlformats.org/officeDocument/2006/relationships/hyperlink" Target="https://drive.google.com/open?id=1GeTxm_cLGD3yDaRjUm4Hicz8Hsot9cqo" TargetMode="External"/><Relationship Id="rId1506" Type="http://schemas.openxmlformats.org/officeDocument/2006/relationships/hyperlink" Target="https://drive.google.com/open?id=1bGk5j9EKDzwjsbopSC1EjdIlsGrFmM4k" TargetMode="External"/><Relationship Id="rId1713" Type="http://schemas.openxmlformats.org/officeDocument/2006/relationships/hyperlink" Target="https://www.zillow.com/homedetails/Reseda-CA-91335/19906218_zpid/" TargetMode="External"/><Relationship Id="rId1920" Type="http://schemas.openxmlformats.org/officeDocument/2006/relationships/hyperlink" Target="https://www.zillow.com/homedetails/2490-Cheremoya-Ave-Los-Angeles-CA-90068/20805787_zpid/" TargetMode="External"/><Relationship Id="rId294" Type="http://schemas.openxmlformats.org/officeDocument/2006/relationships/hyperlink" Target="https://www.zillow.com/homedetails/114-Pacific-Ave-Venice-CA-90291/20482017_zpid/" TargetMode="External"/><Relationship Id="rId2182" Type="http://schemas.openxmlformats.org/officeDocument/2006/relationships/hyperlink" Target="https://drive.google.com/open?id=1Ft_q84PkOlBaZUNDPck4VrJ4LG9FDdF5" TargetMode="External"/><Relationship Id="rId154" Type="http://schemas.openxmlformats.org/officeDocument/2006/relationships/hyperlink" Target="https://drive.google.com/open?id=18l8WtGIsbuabku1OoOzJ6n6kTylNtWKn" TargetMode="External"/><Relationship Id="rId361" Type="http://schemas.openxmlformats.org/officeDocument/2006/relationships/hyperlink" Target="https://www.zillow.com/homedetails/711-Huntley-Dr-West-Hollywood-CA-90069/20517081_zpid/" TargetMode="External"/><Relationship Id="rId599" Type="http://schemas.openxmlformats.org/officeDocument/2006/relationships/hyperlink" Target="https://www.zillow.com/homedetails/745-Oxford-Ave-Marina-Del-Rey-CA-90292/20445282_zpid/" TargetMode="External"/><Relationship Id="rId2042" Type="http://schemas.openxmlformats.org/officeDocument/2006/relationships/hyperlink" Target="https://www.zillow.com/homedetails/3731-Toland-Way-Los-Angeles-CA-90065/20758980_zpid/" TargetMode="External"/><Relationship Id="rId459" Type="http://schemas.openxmlformats.org/officeDocument/2006/relationships/hyperlink" Target="https://www.zillow.com/homedetails/241-Rees-St-Playa-Del-Rey-CA-90293/20386149_zpid/" TargetMode="External"/><Relationship Id="rId666" Type="http://schemas.openxmlformats.org/officeDocument/2006/relationships/hyperlink" Target="https://drive.google.com/open?id=1UkFkxy45gqyre1X_mRJVqj5Hb-t8iH9U" TargetMode="External"/><Relationship Id="rId873" Type="http://schemas.openxmlformats.org/officeDocument/2006/relationships/hyperlink" Target="https://drive.google.com/open?id=1veaTH5QtlflQ135A_CB4PzTcd0ay3zZN" TargetMode="External"/><Relationship Id="rId1089" Type="http://schemas.openxmlformats.org/officeDocument/2006/relationships/hyperlink" Target="https://drive.google.com/open?id=1JwNceo_EXEFwGx3aHgk3qh9yMPZRAZdu" TargetMode="External"/><Relationship Id="rId1296" Type="http://schemas.openxmlformats.org/officeDocument/2006/relationships/hyperlink" Target="https://www.trulia.com/home/2955-passmore-dr-los-angeles-ca-90068-20045194" TargetMode="External"/><Relationship Id="rId2347" Type="http://schemas.openxmlformats.org/officeDocument/2006/relationships/hyperlink" Target="https://drive.google.com/open?id=1vuYlezPLEWFzfgkqnzdmnCg6hZWNVbvZ" TargetMode="External"/><Relationship Id="rId221" Type="http://schemas.openxmlformats.org/officeDocument/2006/relationships/hyperlink" Target="https://www.zillow.com/homedetails/446-S-Almont-Dr-Beverly-Hills-CA-90211/20513005_zpid/" TargetMode="External"/><Relationship Id="rId319" Type="http://schemas.openxmlformats.org/officeDocument/2006/relationships/hyperlink" Target="https://www.zillow.com/homedetails/427-Manhattan-Ave-Hermosa-Beach-CA-90254/2078086078_zpid/" TargetMode="External"/><Relationship Id="rId526" Type="http://schemas.openxmlformats.org/officeDocument/2006/relationships/hyperlink" Target="https://drive.google.com/open?id=1eQpDcw_omE99_VuokbxMSps7-SH1bogE" TargetMode="External"/><Relationship Id="rId1156" Type="http://schemas.openxmlformats.org/officeDocument/2006/relationships/hyperlink" Target="https://drive.google.com/open?id=1oxke1RljeG6U1SO2Fk90WdYKcFcoVW1e" TargetMode="External"/><Relationship Id="rId1363" Type="http://schemas.openxmlformats.org/officeDocument/2006/relationships/hyperlink" Target="https://drive.google.com/open?id=1xC1GNeBy3YGHPHHKoSDug94qx1Xx5c0p" TargetMode="External"/><Relationship Id="rId2207" Type="http://schemas.openxmlformats.org/officeDocument/2006/relationships/hyperlink" Target="https://drive.google.com/open?id=10VFoBYEy1DRBQZumpXkkekvnjevOcs-v" TargetMode="External"/><Relationship Id="rId733" Type="http://schemas.openxmlformats.org/officeDocument/2006/relationships/hyperlink" Target="https://drive.google.com/open?id=1L-Esep3aicoPnNwkBZF-7pR8dpku-Jug" TargetMode="External"/><Relationship Id="rId940" Type="http://schemas.openxmlformats.org/officeDocument/2006/relationships/hyperlink" Target="https://www.zillow.com/homedetails/5625-W-83rd-St-Los-Angeles-CA-90045/20379415_zpid/" TargetMode="External"/><Relationship Id="rId1016" Type="http://schemas.openxmlformats.org/officeDocument/2006/relationships/hyperlink" Target="https://www.zillow.com/homedetails/2111-Rio-Grande-Pomona-CA-91766/441784665_zpid/" TargetMode="External"/><Relationship Id="rId1570" Type="http://schemas.openxmlformats.org/officeDocument/2006/relationships/hyperlink" Target="https://drive.google.com/open?id=1kr9rZYXX5IWeNjXuoaGjHWBF8UbvreE1" TargetMode="External"/><Relationship Id="rId1668" Type="http://schemas.openxmlformats.org/officeDocument/2006/relationships/hyperlink" Target="https://www.zillow.com/homedetails/5450-Oakdale-Ave-Woodland-Hills-CA-91364/2058831328_zpid/" TargetMode="External"/><Relationship Id="rId1875" Type="http://schemas.openxmlformats.org/officeDocument/2006/relationships/hyperlink" Target="https://www.zillow.com/homedetails/30556-Rainbow-View-Dr-Agoura-Hills-CA-91301/19889303_zpid/" TargetMode="External"/><Relationship Id="rId800" Type="http://schemas.openxmlformats.org/officeDocument/2006/relationships/hyperlink" Target="https://www.zillow.com/homedetails/508-N-Canon-Dr-Beverly-Hills-CA-90210/20521062_zpid/" TargetMode="External"/><Relationship Id="rId1223" Type="http://schemas.openxmlformats.org/officeDocument/2006/relationships/hyperlink" Target="https://drive.google.com/open?id=1nlm_7TkcinguWMjaHK6idZnlaiI0ZPu2" TargetMode="External"/><Relationship Id="rId1430" Type="http://schemas.openxmlformats.org/officeDocument/2006/relationships/hyperlink" Target="https://www.zillow.com/homedetails/321-Beloit-Ave-Los-Angeles-CA-90049/20527260_zpid/?utm_campaign=iosappmessage&amp;utm_medium=referral&amp;utm_source=txtshare" TargetMode="External"/><Relationship Id="rId1528" Type="http://schemas.openxmlformats.org/officeDocument/2006/relationships/hyperlink" Target="https://drive.google.com/open?id=1bxkCEmXGy_TDWorR6qSsk-rM4tCxatTK" TargetMode="External"/><Relationship Id="rId1735" Type="http://schemas.openxmlformats.org/officeDocument/2006/relationships/hyperlink" Target="https://www.zillow.com/homedetails/613-Westmount-Dr-West-Hollywood-CA-90069/20516808_zpid/" TargetMode="External"/><Relationship Id="rId1942" Type="http://schemas.openxmlformats.org/officeDocument/2006/relationships/hyperlink" Target="https://drive.google.com/open?id=14OhzGbxEvBFN3nJb0kX87jzHPC6lLcdZ" TargetMode="External"/><Relationship Id="rId27" Type="http://schemas.openxmlformats.org/officeDocument/2006/relationships/hyperlink" Target="https://www.zillow.com/homedetails/256-S-Van-Ness-Ave-Los-Angeles-CA-90004/20779975_zpid/?utm_campaign=iosappmessage&amp;utm_medium=referral&amp;utm_source=txtshare" TargetMode="External"/><Relationship Id="rId1802" Type="http://schemas.openxmlformats.org/officeDocument/2006/relationships/hyperlink" Target="https://drive.google.com/open?id=1FT8pI2dp5EKVBzy6lw5S2btsiOqSHzBn" TargetMode="External"/><Relationship Id="rId176" Type="http://schemas.openxmlformats.org/officeDocument/2006/relationships/hyperlink" Target="https://www.zillow.com/homedetails/1849-N-Coldwater-Canyon-Dr-Beverly-Hills-CA-90210/125270046_zpid/" TargetMode="External"/><Relationship Id="rId383" Type="http://schemas.openxmlformats.org/officeDocument/2006/relationships/hyperlink" Target="https://drive.google.com/open?id=1IvEc_KP1v7xZsNs2ZrFsM3mbKVtRdQoV" TargetMode="External"/><Relationship Id="rId590" Type="http://schemas.openxmlformats.org/officeDocument/2006/relationships/hyperlink" Target="https://www.zillow.com/homedetails/817-Manhattan-Ave-Hermosa-Beach-CA-90254/2127122732_zpid/?utm_campaign=iosappmessage&amp;utm_medium=referral&amp;utm_source=txtshare" TargetMode="External"/><Relationship Id="rId2064" Type="http://schemas.openxmlformats.org/officeDocument/2006/relationships/hyperlink" Target="https://www.zillow.com/homedetails/1029-N-Vista-St-APT-102-West-Hollywood-CA-90046/87792989_zpid/" TargetMode="External"/><Relationship Id="rId2271" Type="http://schemas.openxmlformats.org/officeDocument/2006/relationships/hyperlink" Target="https://www.zillow.com/homedetails/19246-Liam-Ln-Tarzana-CA-91356/119639050_zpid/" TargetMode="External"/><Relationship Id="rId243" Type="http://schemas.openxmlformats.org/officeDocument/2006/relationships/hyperlink" Target="https://drive.google.com/open?id=1UJACklG5nc83YYFqXuqqrCbbt1GVb80Y" TargetMode="External"/><Relationship Id="rId450" Type="http://schemas.openxmlformats.org/officeDocument/2006/relationships/hyperlink" Target="https://drive.google.com/open?id=1wa-t42EFdoS5dec9ok4eWhE29fdOtMDg" TargetMode="External"/><Relationship Id="rId688" Type="http://schemas.openxmlformats.org/officeDocument/2006/relationships/hyperlink" Target="https://drive.google.com/open?id=1dqL42dYKMuGzsS3Jp8y923MXmRqoxvc6" TargetMode="External"/><Relationship Id="rId895" Type="http://schemas.openxmlformats.org/officeDocument/2006/relationships/hyperlink" Target="https://www.zillow.com/homedetails/1524-N-Sierra-Bonita-Ave-Los-Angeles-CA-90046/20794339_zpid/" TargetMode="External"/><Relationship Id="rId1080" Type="http://schemas.openxmlformats.org/officeDocument/2006/relationships/hyperlink" Target="https://drive.google.com/open?id=1jlIVoKWblIZksBBQH0sSJQj-2J96e6ym" TargetMode="External"/><Relationship Id="rId2131" Type="http://schemas.openxmlformats.org/officeDocument/2006/relationships/hyperlink" Target="https://www.zillow.com/homedetails/3100-Thatcher-Ave-Marina-Del-Rey-CA-90292/20445098_zpid/?utm_campaign=iosappmessage&amp;utm_medium=referral&amp;utm_source=txtshare" TargetMode="External"/><Relationship Id="rId2369" Type="http://schemas.openxmlformats.org/officeDocument/2006/relationships/hyperlink" Target="https://www.zillow.com/homedetails/3268-Dos-Palos-Dr-Los-Angeles-CA-90068/20045750_zpid/" TargetMode="External"/><Relationship Id="rId103" Type="http://schemas.openxmlformats.org/officeDocument/2006/relationships/hyperlink" Target="https://drive.google.com/open?id=1rwUqrqmKFo81tbR3TrKZLuxhmu6Ra8lf" TargetMode="External"/><Relationship Id="rId310" Type="http://schemas.openxmlformats.org/officeDocument/2006/relationships/hyperlink" Target="https://drive.google.com/open?id=1JEPm2YA-BMbW22rN_NIhIqp6d_pd3oxh" TargetMode="External"/><Relationship Id="rId548" Type="http://schemas.openxmlformats.org/officeDocument/2006/relationships/hyperlink" Target="https://drive.google.com/open?id=1FgYG8OLfMOD62HvtBpRodseuS1AXp0HE" TargetMode="External"/><Relationship Id="rId755" Type="http://schemas.openxmlformats.org/officeDocument/2006/relationships/hyperlink" Target="https://www.zillow.com/homedetails/5358-Baza-Ave-Woodland-Hills-CA-91364/19942951_zpid/" TargetMode="External"/><Relationship Id="rId962" Type="http://schemas.openxmlformats.org/officeDocument/2006/relationships/hyperlink" Target="https://drive.google.com/open?id=1gUX306YX_uGOQEDkiuZvo-KeeNS6sd3P" TargetMode="External"/><Relationship Id="rId1178" Type="http://schemas.openxmlformats.org/officeDocument/2006/relationships/hyperlink" Target="https://drive.google.com/open?id=1OHVAjv3vXWHHYt7GY8yRgwb-gk2SXval" TargetMode="External"/><Relationship Id="rId1385" Type="http://schemas.openxmlformats.org/officeDocument/2006/relationships/hyperlink" Target="https://www.zillow.com/homedetails/3362-1-2-Descanso-Dr-Los-Angeles-CA-90026/2094914576_zpid/" TargetMode="External"/><Relationship Id="rId1592" Type="http://schemas.openxmlformats.org/officeDocument/2006/relationships/hyperlink" Target="https://www.zillow.com/homedetails/3319-Lowry-Rd-Los-Angeles-CA-90027/20812073_zpid/" TargetMode="External"/><Relationship Id="rId2229" Type="http://schemas.openxmlformats.org/officeDocument/2006/relationships/hyperlink" Target="https://www.zillow.com/homedetails/5353-Del-Moreno-Dr-Woodland-Hills-CA-91364/19941545_zpid/" TargetMode="External"/><Relationship Id="rId91" Type="http://schemas.openxmlformats.org/officeDocument/2006/relationships/hyperlink" Target="https://drive.google.com/open?id=1fhSobXuxZhGPcfrN-Jlxfuhn11GnH5jQ" TargetMode="External"/><Relationship Id="rId408" Type="http://schemas.openxmlformats.org/officeDocument/2006/relationships/hyperlink" Target="https://www.zillow.com/homedetails/1741-Stearns-Dr-Los-Angeles-CA-90035/20598494_zpid/" TargetMode="External"/><Relationship Id="rId615" Type="http://schemas.openxmlformats.org/officeDocument/2006/relationships/hyperlink" Target="https://drive.google.com/open?id=1WKmzFPUehSrJx6E4dQib0edWutRXTf1V" TargetMode="External"/><Relationship Id="rId822" Type="http://schemas.openxmlformats.org/officeDocument/2006/relationships/hyperlink" Target="https://www.zillow.com/homedetails/14143-Hatteras-St-Sherman-Oaks-CA-91401/71543451_zpid/" TargetMode="External"/><Relationship Id="rId1038" Type="http://schemas.openxmlformats.org/officeDocument/2006/relationships/hyperlink" Target="https://drive.google.com/open?id=1hPoQdV_bLdXEpbKBJdxxs5qYPOfn0HDV" TargetMode="External"/><Relationship Id="rId1245" Type="http://schemas.openxmlformats.org/officeDocument/2006/relationships/hyperlink" Target="https://drive.google.com/open?id=1vPXV6kXaePv3jNdI1GBtFga5rqXnPRG9" TargetMode="External"/><Relationship Id="rId1452" Type="http://schemas.openxmlformats.org/officeDocument/2006/relationships/hyperlink" Target="https://www.zillow.com/homedetails/3210-Merrill-Dr-APT-9-Torrance-CA-90503/2101357879_zpid/" TargetMode="External"/><Relationship Id="rId1897" Type="http://schemas.openxmlformats.org/officeDocument/2006/relationships/hyperlink" Target="https://drive.google.com/open?id=1pF3aKQru8lHcK-TEJ_soKD-_Yc7noi_g" TargetMode="External"/><Relationship Id="rId1105" Type="http://schemas.openxmlformats.org/officeDocument/2006/relationships/hyperlink" Target="https://www.zillow.com/homedetails/1410-Coronado-Ter-Los-Angeles-CA-90026/20744469_zpid/" TargetMode="External"/><Relationship Id="rId1312" Type="http://schemas.openxmlformats.org/officeDocument/2006/relationships/hyperlink" Target="https://www.zillow.com/homedetails/6132-Maryland-Dr-Los-Angeles-CA-90048/20776444_zpid/" TargetMode="External"/><Relationship Id="rId1757" Type="http://schemas.openxmlformats.org/officeDocument/2006/relationships/hyperlink" Target="https://www.zillow.com/homedetails/106-N-Citrus-Ave-Los-Angeles-CA-90036/20778143_zpid/" TargetMode="External"/><Relationship Id="rId1964" Type="http://schemas.openxmlformats.org/officeDocument/2006/relationships/hyperlink" Target="https://drive.google.com/open?id=10NUhcb1fxst7pv-NrH4E4VoleCxKJPap" TargetMode="External"/><Relationship Id="rId49" Type="http://schemas.openxmlformats.org/officeDocument/2006/relationships/hyperlink" Target="https://www.zillow.com/homedetails/361-Norumbega-Dr-Monrovia-CA-91016/21583767_zpid/?utm_campaign=iosappmessage&amp;utm_medium=referral&amp;utm_source=txtshare" TargetMode="External"/><Relationship Id="rId1617" Type="http://schemas.openxmlformats.org/officeDocument/2006/relationships/hyperlink" Target="https://www.zillow.com/homedetails/23625-Summit-Dr-Calabasas-CA-91302/19898520_zpid/" TargetMode="External"/><Relationship Id="rId1824" Type="http://schemas.openxmlformats.org/officeDocument/2006/relationships/hyperlink" Target="https://www.zillow.com/homedetails/4661-Bedel-St-Woodland-Hills-CA-91364/19944813_zpid/?utm_campaign=iosappmessage&amp;utm_medium=referral&amp;utm_source=txtshare" TargetMode="External"/><Relationship Id="rId198" Type="http://schemas.openxmlformats.org/officeDocument/2006/relationships/hyperlink" Target="https://www.zillow.com/homedetails/2203-N-Bowmont-Dr-Beverly-Hills-CA-90210/20534087_zpid/" TargetMode="External"/><Relationship Id="rId2086" Type="http://schemas.openxmlformats.org/officeDocument/2006/relationships/hyperlink" Target="https://www.zillow.com/homedetails/5907-Saturn-St-Los-Angeles-CA-90035/119680048_zpid/" TargetMode="External"/><Relationship Id="rId2293" Type="http://schemas.openxmlformats.org/officeDocument/2006/relationships/hyperlink" Target="https://drive.google.com/open?id=1cFEP2YtbxwlUmb0y1XY77lRRhpuPNad1" TargetMode="External"/><Relationship Id="rId265" Type="http://schemas.openxmlformats.org/officeDocument/2006/relationships/hyperlink" Target="https://www.zillow.com/homedetails/3600-Valley-Meadow-Rd-Sherman-Oaks-CA-91403/19990550_zpid/" TargetMode="External"/><Relationship Id="rId472" Type="http://schemas.openxmlformats.org/officeDocument/2006/relationships/hyperlink" Target="https://www.zillow.com/homedetails/5516-Willowcrest-Ave-North-Hollywood-CA-91601/20040950_zpid/" TargetMode="External"/><Relationship Id="rId2153" Type="http://schemas.openxmlformats.org/officeDocument/2006/relationships/hyperlink" Target="https://www.zillow.com/homedetails/1980-Hillcrest-Rd-Los-Angeles-CA-90068/20793792_zpid/" TargetMode="External"/><Relationship Id="rId2360" Type="http://schemas.openxmlformats.org/officeDocument/2006/relationships/hyperlink" Target="https://drive.google.com/open?id=1DjgrNag1A0fSiAlj9gyEPC5Z1LqhBeLT" TargetMode="External"/><Relationship Id="rId125" Type="http://schemas.openxmlformats.org/officeDocument/2006/relationships/hyperlink" Target="https://drive.google.com/open?id=1CJRwRPkO_XfArK0QZEXey35Yc40CFe70" TargetMode="External"/><Relationship Id="rId332" Type="http://schemas.openxmlformats.org/officeDocument/2006/relationships/hyperlink" Target="https://www.zillow.com/homedetails/1610-S-Hayworth-Ave-Los-Angeles-CA-90035/20599960_zpid/" TargetMode="External"/><Relationship Id="rId777" Type="http://schemas.openxmlformats.org/officeDocument/2006/relationships/hyperlink" Target="https://drive.google.com/open?id=12GAxhYfPXr1ifQ8hSBnYAbMvrSWQDQcp" TargetMode="External"/><Relationship Id="rId984" Type="http://schemas.openxmlformats.org/officeDocument/2006/relationships/hyperlink" Target="https://www.zillow.com/homedetails/110-N-Barrington-Ave-Los-Angeles-CA-90049/20547175_zpid/" TargetMode="External"/><Relationship Id="rId2013" Type="http://schemas.openxmlformats.org/officeDocument/2006/relationships/hyperlink" Target="https://www.zillow.com/homedetails/513-Archwood-Pl-1-Altadena-CA-91001/2057990907_zpid/" TargetMode="External"/><Relationship Id="rId2220" Type="http://schemas.openxmlformats.org/officeDocument/2006/relationships/hyperlink" Target="https://drive.google.com/open?id=18T0bW4gyqZKZAhzvq7nST_NTiYPw7N0E" TargetMode="External"/><Relationship Id="rId637" Type="http://schemas.openxmlformats.org/officeDocument/2006/relationships/hyperlink" Target="https://drive.google.com/open?id=1q_YnNlYOV4Nkktfv6-hZUzWBaEzxgOuA" TargetMode="External"/><Relationship Id="rId844" Type="http://schemas.openxmlformats.org/officeDocument/2006/relationships/hyperlink" Target="https://www.zillow.com/homedetails/10802-Wilkins-Ave-Los-Angeles-CA-90024/2053179796_zpid/" TargetMode="External"/><Relationship Id="rId1267" Type="http://schemas.openxmlformats.org/officeDocument/2006/relationships/hyperlink" Target="https://www.zillow.com/homedetails/323-N-Flores-St-Los-Angeles-CA-90048/20779076_zpid/" TargetMode="External"/><Relationship Id="rId1474" Type="http://schemas.openxmlformats.org/officeDocument/2006/relationships/hyperlink" Target="https://drive.google.com/open?id=16VVogyfzs9o9glS9SxDyHwgO-fPeSqOX" TargetMode="External"/><Relationship Id="rId1681" Type="http://schemas.openxmlformats.org/officeDocument/2006/relationships/hyperlink" Target="https://drive.google.com/open?id=1RZ605-tR4ge_XJAhdIRP4-17IR8_LIV9" TargetMode="External"/><Relationship Id="rId2318" Type="http://schemas.openxmlformats.org/officeDocument/2006/relationships/hyperlink" Target="https://www.zillow.com/homedetails/261-S-Reeves-Dr-UNIT-104-Beverly-Hills-CA-90212/82880170_zpid/" TargetMode="External"/><Relationship Id="rId704" Type="http://schemas.openxmlformats.org/officeDocument/2006/relationships/hyperlink" Target="https://www.zillow.com/homedetails/6354-N-Charlotte-Ave-San-Gabriel-CA-91775/20727399_zpid/?utm_campaign=iosappmessage&amp;utm_medium=referral&amp;utm_source=txtshare" TargetMode="External"/><Relationship Id="rId911" Type="http://schemas.openxmlformats.org/officeDocument/2006/relationships/hyperlink" Target="https://www.zillow.com/homedetails/10767-Oregon-Ave-Culver-City-CA-90232/20432740_zpid/?utm_campaign=androidappmessage&amp;utm_medium=referral&amp;utm_source=txtshare" TargetMode="External"/><Relationship Id="rId1127" Type="http://schemas.openxmlformats.org/officeDocument/2006/relationships/hyperlink" Target="https://www.zillow.com/homedetails/715-N-Rexford-Dr-Beverly-Hills-CA-90210/20520993_zpid/" TargetMode="External"/><Relationship Id="rId1334" Type="http://schemas.openxmlformats.org/officeDocument/2006/relationships/hyperlink" Target="https://drive.google.com/open?id=1fJmGAEl4dp744wzqqYATDobMtXx4doZ8" TargetMode="External"/><Relationship Id="rId1541" Type="http://schemas.openxmlformats.org/officeDocument/2006/relationships/hyperlink" Target="https://www.zillow.com/homedetails/5704-La-Mirada-Ave-6A-Los-Angeles-CA-90038/444191530_zpid/" TargetMode="External"/><Relationship Id="rId1779" Type="http://schemas.openxmlformats.org/officeDocument/2006/relationships/hyperlink" Target="https://www.zillow.com/homedetails/3180-Casitas-Ave-Los-Angeles-CA-90039/20750713_zpid/" TargetMode="External"/><Relationship Id="rId1986" Type="http://schemas.openxmlformats.org/officeDocument/2006/relationships/hyperlink" Target="https://www.zillow.com/homedetails/1020-Davis-Ave-APT-205-Glendale-CA-91201/20824592_zpid/" TargetMode="External"/><Relationship Id="rId40" Type="http://schemas.openxmlformats.org/officeDocument/2006/relationships/hyperlink" Target="https://www.zillow.com/homedetails/3663-Edenhurst-Ave-Los-Angeles-CA-90039/20749912_zpid/" TargetMode="External"/><Relationship Id="rId1401" Type="http://schemas.openxmlformats.org/officeDocument/2006/relationships/hyperlink" Target="https://drive.google.com/open?id=1M-zhTTNtqbdNloapQ4_FPgq21KyCUhwS" TargetMode="External"/><Relationship Id="rId1639" Type="http://schemas.openxmlformats.org/officeDocument/2006/relationships/hyperlink" Target="https://www.trulia.com/home/20305-chapter-dr-woodland-hills-ca-91364-19946171" TargetMode="External"/><Relationship Id="rId1846" Type="http://schemas.openxmlformats.org/officeDocument/2006/relationships/hyperlink" Target="https://www.zillow.com/homedetails/3298-Sunset-Hills-Blvd-Thousand-Oaks-CA-91362/52466191_zpid/" TargetMode="External"/><Relationship Id="rId1706" Type="http://schemas.openxmlformats.org/officeDocument/2006/relationships/hyperlink" Target="https://www.zillow.com/homedetails/3360-Tyburn-St-Los-Angeles-CA-90039/2087549915_zpid/" TargetMode="External"/><Relationship Id="rId1913" Type="http://schemas.openxmlformats.org/officeDocument/2006/relationships/hyperlink" Target="https://www.zillow.com/homedetails/7400-Hollywood-Blvd-APT-717-Los-Angeles-CA-90046/2082573438_zpid/" TargetMode="External"/><Relationship Id="rId287" Type="http://schemas.openxmlformats.org/officeDocument/2006/relationships/hyperlink" Target="https://www.redfin.com/CA/Los-Angeles/12318-W-Sunset-Blvd-90049/home/6838818" TargetMode="External"/><Relationship Id="rId494" Type="http://schemas.openxmlformats.org/officeDocument/2006/relationships/hyperlink" Target="https://www.zillow.com/homedetails/20500-Ventura-Blvd-FLOOR-3-ID681-Woodland-Hills-CA-91364/2065471166_zpid/" TargetMode="External"/><Relationship Id="rId2175" Type="http://schemas.openxmlformats.org/officeDocument/2006/relationships/hyperlink" Target="https://drive.google.com/open?id=1SwIqrUwrXeYpqCbbId71Xo36zFuNPBhF" TargetMode="External"/><Relationship Id="rId2382" Type="http://schemas.openxmlformats.org/officeDocument/2006/relationships/hyperlink" Target="https://www.zillow.com/homes/40492_rid/?category=RECENT_SEARCH" TargetMode="External"/><Relationship Id="rId147" Type="http://schemas.openxmlformats.org/officeDocument/2006/relationships/hyperlink" Target="https://drive.google.com/open?id=1ik9yzxfD6mAEk0w99kLSh1ekHxfR0Bbc" TargetMode="External"/><Relationship Id="rId354" Type="http://schemas.openxmlformats.org/officeDocument/2006/relationships/hyperlink" Target="https://www.zillow.com/homedetails/11246-Segrell-Way-Culver-City-CA-90230/20438478_zpid/" TargetMode="External"/><Relationship Id="rId799" Type="http://schemas.openxmlformats.org/officeDocument/2006/relationships/hyperlink" Target="https://drive.google.com/open?id=1X0uyH3OOXTuItMa4tMDIfrxXC_LTex9J" TargetMode="External"/><Relationship Id="rId1191" Type="http://schemas.openxmlformats.org/officeDocument/2006/relationships/hyperlink" Target="https://drive.google.com/open?id=1c0sGZ9bpa84_b2_fHzFVtd4xnklfjfFz" TargetMode="External"/><Relationship Id="rId2035" Type="http://schemas.openxmlformats.org/officeDocument/2006/relationships/hyperlink" Target="https://drive.google.com/open?id=1Bb1y8B5KW3I2mkc6GxoLdyWT7xO3OASM" TargetMode="External"/><Relationship Id="rId561" Type="http://schemas.openxmlformats.org/officeDocument/2006/relationships/hyperlink" Target="https://drive.google.com/open?id=1YbXlIdZhUx4xqD6o84CZBoCuF8D0ZUh_" TargetMode="External"/><Relationship Id="rId659" Type="http://schemas.openxmlformats.org/officeDocument/2006/relationships/hyperlink" Target="https://www.zillow.com/homedetails/1533-Twin-Tides-Pl-Oxnard-CA-93035/63031008_zpid/?utm_campaign=iosappmessage&amp;utm_medium=referral&amp;utm_source=txtshare" TargetMode="External"/><Relationship Id="rId866" Type="http://schemas.openxmlformats.org/officeDocument/2006/relationships/hyperlink" Target="https://drive.google.com/open?id=18ANVW2RhU7_XDtzSOZkq307Gca7zU3h0" TargetMode="External"/><Relationship Id="rId1289" Type="http://schemas.openxmlformats.org/officeDocument/2006/relationships/hyperlink" Target="https://drive.google.com/open?id=1WqTRBf6BtPVlIjeb1IYxiZsxRtOnCY2W" TargetMode="External"/><Relationship Id="rId1496" Type="http://schemas.openxmlformats.org/officeDocument/2006/relationships/hyperlink" Target="https://www.zillow.com/homedetails/351-S-Catalina-St-351-Los-Angeles-CA-90020/442833273_zpid/" TargetMode="External"/><Relationship Id="rId2242" Type="http://schemas.openxmlformats.org/officeDocument/2006/relationships/hyperlink" Target="https://drive.google.com/open?id=1abzIKvbzBMsqalGucuDjtuk34yv7JlcJ" TargetMode="External"/><Relationship Id="rId214" Type="http://schemas.openxmlformats.org/officeDocument/2006/relationships/hyperlink" Target="https://www.zillow.com/homedetails/8429-Wiley-Post-Ave-Los-Angeles-CA-90045/20380558_zpid/?utm_campaign=iosappmessage&amp;utm_medium=referral&amp;utm_source=txtshare" TargetMode="External"/><Relationship Id="rId421" Type="http://schemas.openxmlformats.org/officeDocument/2006/relationships/hyperlink" Target="https://www.zillow.com/homedetails/1302-N-Gardner-St-Los-Angeles-CA-90046/2060162532_zpid/?utm_campaign=iosappmessage&amp;utm_medium=referral&amp;utm_source=txtshare" TargetMode="External"/><Relationship Id="rId519" Type="http://schemas.openxmlformats.org/officeDocument/2006/relationships/hyperlink" Target="https://drive.google.com/open?id=1iC3YDc9sAw5kQF7xd8RQmqgwgK-Kxydf" TargetMode="External"/><Relationship Id="rId1051" Type="http://schemas.openxmlformats.org/officeDocument/2006/relationships/hyperlink" Target="https://www.zillow.com/homedetails/10824-Chalon-Rd-Los-Angeles-CA-90077/20529073_zpid/" TargetMode="External"/><Relationship Id="rId1149" Type="http://schemas.openxmlformats.org/officeDocument/2006/relationships/hyperlink" Target="https://www.zillow.com/homedetails/3055-Landa-St-Los-Angeles-CA-90039/20747666_zpid/" TargetMode="External"/><Relationship Id="rId1356" Type="http://schemas.openxmlformats.org/officeDocument/2006/relationships/hyperlink" Target="https://www.zillow.com/homedetails/5737-Cartwright-Ave-North-Hollywood-CA-91601/20040629_zpid/" TargetMode="External"/><Relationship Id="rId2102" Type="http://schemas.openxmlformats.org/officeDocument/2006/relationships/hyperlink" Target="https://www.zillow.com/homedetails/6429-Rhodes-Ave-North-Hollywood-CA-91606/20009479_zpid/" TargetMode="External"/><Relationship Id="rId726" Type="http://schemas.openxmlformats.org/officeDocument/2006/relationships/hyperlink" Target="https://www.zillow.com/homedetails/286-N-Madison-Ave-FLOOR-3-ID1153-Pasadena-CA-91101/348506118_zpid/" TargetMode="External"/><Relationship Id="rId933" Type="http://schemas.openxmlformats.org/officeDocument/2006/relationships/hyperlink" Target="https://www.zillow.com/homedetails/32802-Pacific-Coast-Hwy-Malibu-CA-90265/20558217_zpid/" TargetMode="External"/><Relationship Id="rId1009" Type="http://schemas.openxmlformats.org/officeDocument/2006/relationships/hyperlink" Target="https://drive.google.com/open?id=1VtrnkSb-BetzBFszaaaBbRh-31DWOCaz" TargetMode="External"/><Relationship Id="rId1563" Type="http://schemas.openxmlformats.org/officeDocument/2006/relationships/hyperlink" Target="https://www.compass.com/listing/1038-25th-street-santa-monica-ca-90403/1748792031428379673/" TargetMode="External"/><Relationship Id="rId1770" Type="http://schemas.openxmlformats.org/officeDocument/2006/relationships/hyperlink" Target="https://www.zillow.com/homedetails/1735-Taft-Ave-Los-Angeles-CA-90028/20807936_zpid/" TargetMode="External"/><Relationship Id="rId1868" Type="http://schemas.openxmlformats.org/officeDocument/2006/relationships/hyperlink" Target="https://www.zillow.com/homedetails/500-St-Cloud-Rd-Los-Angeles-CA-90077/2116907957_zpid/" TargetMode="External"/><Relationship Id="rId62" Type="http://schemas.openxmlformats.org/officeDocument/2006/relationships/hyperlink" Target="https://www.zillow.com/homedetails/1218-E-Tujunga-Ave-Burbank-CA-91501/20816771_zpid/?utm_campaign=iosappmessage&amp;utm_medium=referral&amp;utm_source=txtshare" TargetMode="External"/><Relationship Id="rId1216" Type="http://schemas.openxmlformats.org/officeDocument/2006/relationships/hyperlink" Target="https://drive.google.com/open?id=1YT2EwwV1cajOJwpH9zcue5ZtSTs2f2Ux" TargetMode="External"/><Relationship Id="rId1423" Type="http://schemas.openxmlformats.org/officeDocument/2006/relationships/hyperlink" Target="https://www.zillow.com/profile/lindsaysegal" TargetMode="External"/><Relationship Id="rId1630" Type="http://schemas.openxmlformats.org/officeDocument/2006/relationships/hyperlink" Target="https://www.zillow.com/homedetails/9372-Nantucket-Dr-Huntington-Beach-CA-92646/25277636_zpid/" TargetMode="External"/><Relationship Id="rId1728" Type="http://schemas.openxmlformats.org/officeDocument/2006/relationships/hyperlink" Target="https://drive.google.com/open?id=1q2xqNDGk1Hksem8BZDmL1rvA8iQyITwJ" TargetMode="External"/><Relationship Id="rId1935" Type="http://schemas.openxmlformats.org/officeDocument/2006/relationships/hyperlink" Target="https://www.zillow.com/homedetails/149-Buckskin-Rd-Bell-Canyon-CA-91307/16497518_zpid/" TargetMode="External"/><Relationship Id="rId2197" Type="http://schemas.openxmlformats.org/officeDocument/2006/relationships/hyperlink" Target="https://www.redfin.com/CA/Arcadia/1410-Rancho-Rd-91006/home/7229637" TargetMode="External"/><Relationship Id="rId169" Type="http://schemas.openxmlformats.org/officeDocument/2006/relationships/hyperlink" Target="https://drive.google.com/open?id=1Szy-ApdPKNC1NOZSjAfb6-wj3YiRuWue" TargetMode="External"/><Relationship Id="rId376" Type="http://schemas.openxmlformats.org/officeDocument/2006/relationships/hyperlink" Target="https://www.zillow.com/homedetails/8911-Cynthia-St-APT-9-West-Hollywood-CA-90069/2100113899_zpid/" TargetMode="External"/><Relationship Id="rId583" Type="http://schemas.openxmlformats.org/officeDocument/2006/relationships/hyperlink" Target="https://www.zillow.com/homedetails/2229-Willetta-St-Los-Angeles-CA-90068/20804418_zpid/" TargetMode="External"/><Relationship Id="rId790" Type="http://schemas.openxmlformats.org/officeDocument/2006/relationships/hyperlink" Target="https://www.zillow.com/homedetails/1702-Sunset-Plaza-Dr-Los-Angeles-CA-90069/20798287_zpid/" TargetMode="External"/><Relationship Id="rId2057" Type="http://schemas.openxmlformats.org/officeDocument/2006/relationships/hyperlink" Target="https://www.zillow.com/homedetails/818-7th-St-APT-1-Santa-Monica-CA-90403/2080795373_zpid/" TargetMode="External"/><Relationship Id="rId2264" Type="http://schemas.openxmlformats.org/officeDocument/2006/relationships/hyperlink" Target="https://drive.google.com/open?id=1bRCQFCAkf-HhBF99jAfm6n9G7TQgEuWu" TargetMode="External"/><Relationship Id="rId4" Type="http://schemas.openxmlformats.org/officeDocument/2006/relationships/hyperlink" Target="https://www.zillow.com/homedetails/716-Rochedale-Way-Los-Angeles-CA-90049/20560159_zpid/" TargetMode="External"/><Relationship Id="rId236" Type="http://schemas.openxmlformats.org/officeDocument/2006/relationships/hyperlink" Target="https://drive.google.com/open?id=1b6gTo11I1fjGfyj_rS57K4LhUfnXZtYh" TargetMode="External"/><Relationship Id="rId443" Type="http://schemas.openxmlformats.org/officeDocument/2006/relationships/hyperlink" Target="https://drive.google.com/open?id=1pYGS3ksDkiR6c0XudzDPTBxKQ7cPs0Rf" TargetMode="External"/><Relationship Id="rId650" Type="http://schemas.openxmlformats.org/officeDocument/2006/relationships/hyperlink" Target="https://www.zillow.com/homedetails/2442-W-Sunset-Blvd-Los-Angeles-CA-90026/443714015_zpid/" TargetMode="External"/><Relationship Id="rId888" Type="http://schemas.openxmlformats.org/officeDocument/2006/relationships/hyperlink" Target="https://www.zillow.com/homedetails/10290-Seabury-Ln-Los-Angeles-CA-90077/20531944_zpid/" TargetMode="External"/><Relationship Id="rId1073" Type="http://schemas.openxmlformats.org/officeDocument/2006/relationships/hyperlink" Target="https://www.zillow.com/homedetails/12354-Tiara-St-Valley-Village-CA-91607/20013214_zpid/" TargetMode="External"/><Relationship Id="rId1280" Type="http://schemas.openxmlformats.org/officeDocument/2006/relationships/hyperlink" Target="https://www.zillow.com/homedetails/Van-Nuys-CA-91406/19953018_zpid/" TargetMode="External"/><Relationship Id="rId2124" Type="http://schemas.openxmlformats.org/officeDocument/2006/relationships/hyperlink" Target="https://www.zillow.com/homedetails/5959-Franklin-Ave-408-Los-Angeles-CA-90028/2066621801_zpid/" TargetMode="External"/><Relationship Id="rId2331" Type="http://schemas.openxmlformats.org/officeDocument/2006/relationships/hyperlink" Target="https://www.zillow.com/homedetails/915-N-Wilton-Pl-Los-Angeles-CA-90038/2070476461_zpid/" TargetMode="External"/><Relationship Id="rId303" Type="http://schemas.openxmlformats.org/officeDocument/2006/relationships/hyperlink" Target="https://www.zillow.com/homedetails/240-Howland-Canal-Ct-Venice-CA-90291/443837979_zpid/" TargetMode="External"/><Relationship Id="rId748" Type="http://schemas.openxmlformats.org/officeDocument/2006/relationships/hyperlink" Target="https://www.zillow.com/homedetails/20202-Clark-St-Woodland-Hills-CA-91367/2054703692_zpid/" TargetMode="External"/><Relationship Id="rId955" Type="http://schemas.openxmlformats.org/officeDocument/2006/relationships/hyperlink" Target="https://drive.google.com/open?id=1CPsz1i4P39bm_gC1B3uui3oF4OQJs0c1" TargetMode="External"/><Relationship Id="rId1140" Type="http://schemas.openxmlformats.org/officeDocument/2006/relationships/hyperlink" Target="https://www.zillow.com/homedetails/1847-Stearns-Dr-Los-Angeles-CA-90035/20598518_zpid/" TargetMode="External"/><Relationship Id="rId1378" Type="http://schemas.openxmlformats.org/officeDocument/2006/relationships/hyperlink" Target="https://drive.google.com/open?id=1cLGR0wN2_pDUo5Nu432atS1vLEJW57ZE" TargetMode="External"/><Relationship Id="rId1585" Type="http://schemas.openxmlformats.org/officeDocument/2006/relationships/hyperlink" Target="https://drive.google.com/open?id=18NFBcs-YOkQm9tXNGwRnZ2T4idLVIE2F" TargetMode="External"/><Relationship Id="rId1792" Type="http://schemas.openxmlformats.org/officeDocument/2006/relationships/hyperlink" Target="https://drive.google.com/open?id=1NXPSaJ_G1cvhkdk7zjBc7IS6W763hUHl" TargetMode="External"/><Relationship Id="rId84" Type="http://schemas.openxmlformats.org/officeDocument/2006/relationships/hyperlink" Target="https://www.zillow.com/homedetails/16754-Armstead-St-Granada-Hills-CA-91344/20110441_zpid/" TargetMode="External"/><Relationship Id="rId510" Type="http://schemas.openxmlformats.org/officeDocument/2006/relationships/hyperlink" Target="https://www.zillow.com/homedetails/Sherman-Oaks-CA-91423/2061731923_zpid/" TargetMode="External"/><Relationship Id="rId608" Type="http://schemas.openxmlformats.org/officeDocument/2006/relationships/hyperlink" Target="https://drive.google.com/open?id=1-OSQ9jAhp-dgupf07uzTjXEra3e9OeJ9" TargetMode="External"/><Relationship Id="rId815" Type="http://schemas.openxmlformats.org/officeDocument/2006/relationships/hyperlink" Target="https://www.zillow.com/homedetails/3771-Keystone-Ave-14106-Los-Angeles-CA-90034/442573913_zpid/" TargetMode="External"/><Relationship Id="rId1238" Type="http://schemas.openxmlformats.org/officeDocument/2006/relationships/hyperlink" Target="https://www.zillow.com/homedetails/201-Ocean-Ave-UNIT-1702P-Santa-Monica-CA-90402/20487065_zpid/" TargetMode="External"/><Relationship Id="rId1445" Type="http://schemas.openxmlformats.org/officeDocument/2006/relationships/hyperlink" Target="https://www.zillow.com/homedetails/161-E-Las-Flores-Ave-Arcadia-CA-91006/20896641_zpid/" TargetMode="External"/><Relationship Id="rId1652" Type="http://schemas.openxmlformats.org/officeDocument/2006/relationships/hyperlink" Target="https://drive.google.com/open?id=13oGol5JAIYsprYrqsunEo5rg-_06HAM6" TargetMode="External"/><Relationship Id="rId1000" Type="http://schemas.openxmlformats.org/officeDocument/2006/relationships/hyperlink" Target="https://www.zillow.com/homedetails/1270-Boynton-St-APT-2-Glendale-CA-91205/20847324_zpid/?utm_campaign=iosappmessage&amp;utm_medium=referral&amp;utm_source=txtshare" TargetMode="External"/><Relationship Id="rId1305" Type="http://schemas.openxmlformats.org/officeDocument/2006/relationships/hyperlink" Target="https://www.zillow.com/homedetails/5041-Noeline-Ave-Encino-CA-91436/19980566_zpid/" TargetMode="External"/><Relationship Id="rId1957" Type="http://schemas.openxmlformats.org/officeDocument/2006/relationships/hyperlink" Target="https://www.zillow.com/homedetails/11906-Gorham-Ave-APT-8-Los-Angeles-CA-90049/79804545_zpid/" TargetMode="External"/><Relationship Id="rId1512" Type="http://schemas.openxmlformats.org/officeDocument/2006/relationships/hyperlink" Target="https://drive.google.com/open?id=1XRTz0UVzH1nRXHJLwltZ9lgqbhRwhwvD" TargetMode="External"/><Relationship Id="rId1817" Type="http://schemas.openxmlformats.org/officeDocument/2006/relationships/hyperlink" Target="https://drive.google.com/open?id=1cHAANbw2gcr6SH5qR2aTgl60D82FbJKX" TargetMode="External"/><Relationship Id="rId11" Type="http://schemas.openxmlformats.org/officeDocument/2006/relationships/hyperlink" Target="https://drive.google.com/open?id=1VZKz8NhCgbqmURwk6w9lnrv9BO0R5Eaw" TargetMode="External"/><Relationship Id="rId398" Type="http://schemas.openxmlformats.org/officeDocument/2006/relationships/hyperlink" Target="https://drive.google.com/open?id=1jKWUbrryJO2HGARe7FU8TJzWhmJEN4t0" TargetMode="External"/><Relationship Id="rId2079" Type="http://schemas.openxmlformats.org/officeDocument/2006/relationships/hyperlink" Target="https://www.zillow.com/homedetails/4355-Camero-Ave-Los-Angeles-CA-90027/2063186324_zpid/" TargetMode="External"/><Relationship Id="rId160" Type="http://schemas.openxmlformats.org/officeDocument/2006/relationships/hyperlink" Target="https://www.zillow.com/homedetails/15059-Oro-Grande-St-Sylmar-CA-91342/20106652_zpid/" TargetMode="External"/><Relationship Id="rId2286" Type="http://schemas.openxmlformats.org/officeDocument/2006/relationships/hyperlink" Target="https://www.zillow.com/homedetails/6316-Frondosa-Dr-Malibu-CA-90265/20557322_zpid/" TargetMode="External"/><Relationship Id="rId258" Type="http://schemas.openxmlformats.org/officeDocument/2006/relationships/hyperlink" Target="https://www.zillow.com/homedetails/4630-Vantage-Ave-Valley-Village-CA-91607/2073592574_zpid/" TargetMode="External"/><Relationship Id="rId465" Type="http://schemas.openxmlformats.org/officeDocument/2006/relationships/hyperlink" Target="https://www.zillow.com/homedetails/12318-W-Sunset-Blvd-Los-Angeles-CA-90049/20538275_zpid/" TargetMode="External"/><Relationship Id="rId672" Type="http://schemas.openxmlformats.org/officeDocument/2006/relationships/hyperlink" Target="https://drive.google.com/open?id=13yAlsTN0FCKkQaq3CzYSccKv5NwYx2NY" TargetMode="External"/><Relationship Id="rId1095" Type="http://schemas.openxmlformats.org/officeDocument/2006/relationships/hyperlink" Target="https://www.zillow.com/homedetails/6445-Deep-Dell-Pl-Los-Angeles-CA-90068/20804921_zpid/" TargetMode="External"/><Relationship Id="rId2146" Type="http://schemas.openxmlformats.org/officeDocument/2006/relationships/hyperlink" Target="https://drive.google.com/open?id=11i3sye6qTezDj4cms0xUyow4aLRHpad0" TargetMode="External"/><Relationship Id="rId2353" Type="http://schemas.openxmlformats.org/officeDocument/2006/relationships/hyperlink" Target="https://www.zillow.com/homedetails/11914-Ocean-Park-Blvd-1-2-Los-Angeles-CA-90064/349792620_zpid/" TargetMode="External"/><Relationship Id="rId118" Type="http://schemas.openxmlformats.org/officeDocument/2006/relationships/hyperlink" Target="https://www.zillow.com/homedetails/5351-Packard-St-Los-Angeles-CA-90019/20608115_zpid/" TargetMode="External"/><Relationship Id="rId325" Type="http://schemas.openxmlformats.org/officeDocument/2006/relationships/hyperlink" Target="https://www.zillow.com/homedetails/716-Rochedale-Way-Los-Angeles-CA-90049/20560159_zpid/" TargetMode="External"/><Relationship Id="rId532" Type="http://schemas.openxmlformats.org/officeDocument/2006/relationships/hyperlink" Target="https://www.zillow.com/homedetails/634-W-California-Ave-Glendale-CA-91203/20832386_zpid/" TargetMode="External"/><Relationship Id="rId977" Type="http://schemas.openxmlformats.org/officeDocument/2006/relationships/hyperlink" Target="https://www.zillow.com/homedetails/11633-Chenault-St-UNIT-202-Los-Angeles-CA-90049/119677949_zpid/" TargetMode="External"/><Relationship Id="rId1162" Type="http://schemas.openxmlformats.org/officeDocument/2006/relationships/hyperlink" Target="https://www.zillow.com/homedetails/6665-Franklin-Ave-APT-6-Los-Angeles-CA-90028/20803776_zpid/" TargetMode="External"/><Relationship Id="rId2006" Type="http://schemas.openxmlformats.org/officeDocument/2006/relationships/hyperlink" Target="https://drive.google.com/open?id=1uRHDlOWucO9DIBcSQzLwwfhGzn2xBu6G" TargetMode="External"/><Relationship Id="rId2213" Type="http://schemas.openxmlformats.org/officeDocument/2006/relationships/hyperlink" Target="https://www.zillow.com/homedetails/Los-Angeles-CA-90046/2088760040_zpid/" TargetMode="External"/><Relationship Id="rId837" Type="http://schemas.openxmlformats.org/officeDocument/2006/relationships/hyperlink" Target="https://www.zillow.com/homedetails/15701-Royal-Ridge-Rd-Sherman-Oaks-CA-91403/19990414_zpid/" TargetMode="External"/><Relationship Id="rId1022" Type="http://schemas.openxmlformats.org/officeDocument/2006/relationships/hyperlink" Target="https://www.zillow.com/homedetails/6467-Zuma-View-Pl-UNIT-160-Malibu-CA-90265/51583077_zpid/" TargetMode="External"/><Relationship Id="rId1467" Type="http://schemas.openxmlformats.org/officeDocument/2006/relationships/hyperlink" Target="https://www.zillow.com/homedetails/850-S-Rosemead-Blvd-APT-6-Pasadena-CA-91107/2087922098_zpid/" TargetMode="External"/><Relationship Id="rId1674" Type="http://schemas.openxmlformats.org/officeDocument/2006/relationships/hyperlink" Target="https://www.zillow.com/homedetails/5911-Saturn-St-Los-Angeles-CA-90035/119678788_zpid/" TargetMode="External"/><Relationship Id="rId1881" Type="http://schemas.openxmlformats.org/officeDocument/2006/relationships/hyperlink" Target="https://drive.google.com/open?id=1a5-qqq8477KGNtQL35U1oFPI8Q6-Zq09" TargetMode="External"/><Relationship Id="rId904" Type="http://schemas.openxmlformats.org/officeDocument/2006/relationships/hyperlink" Target="https://drive.google.com/open?id=1rYM8FTeXTzErDh2ArKQiZ-rH_puvT29W" TargetMode="External"/><Relationship Id="rId1327" Type="http://schemas.openxmlformats.org/officeDocument/2006/relationships/hyperlink" Target="https://drive.google.com/open?id=1QmoVyDiSY5cILJKJYNGmyGFbmKsqP1Rd" TargetMode="External"/><Relationship Id="rId1534" Type="http://schemas.openxmlformats.org/officeDocument/2006/relationships/hyperlink" Target="https://drive.google.com/open?id=1d0u-DIGnY6vu0mgt9TbtmkrTmI7kFC0U" TargetMode="External"/><Relationship Id="rId1741" Type="http://schemas.openxmlformats.org/officeDocument/2006/relationships/hyperlink" Target="https://www.zillow.com/homedetails/11259-Otsego-St-APT-1-North-Hollywood-CA-91601/2092207915_zpid/" TargetMode="External"/><Relationship Id="rId1979" Type="http://schemas.openxmlformats.org/officeDocument/2006/relationships/hyperlink" Target="https://drive.google.com/open?id=10WoRfFUbrThlnLnDVtMl_hODivS4zkDH" TargetMode="External"/><Relationship Id="rId33" Type="http://schemas.openxmlformats.org/officeDocument/2006/relationships/hyperlink" Target="https://www.zillow.com/homedetails/2229-Willetta-St-Los-Angeles-CA-90068/20804418_zpid/" TargetMode="External"/><Relationship Id="rId1601" Type="http://schemas.openxmlformats.org/officeDocument/2006/relationships/hyperlink" Target="https://drive.google.com/open?id=16EFgLyPhwTGdV9J585RCpFcb_aSlRGtP" TargetMode="External"/><Relationship Id="rId1839" Type="http://schemas.openxmlformats.org/officeDocument/2006/relationships/hyperlink" Target="https://www.zillow.com/homedetails/1210-N-Country-Hollow-Dr-Walnut-CA-91789/21672332_zpid/" TargetMode="External"/><Relationship Id="rId182" Type="http://schemas.openxmlformats.org/officeDocument/2006/relationships/hyperlink" Target="https://drive.google.com/open?id=1nPArvHoEpy9CRXY8uairvDo-GHl_Yvtf" TargetMode="External"/><Relationship Id="rId1906" Type="http://schemas.openxmlformats.org/officeDocument/2006/relationships/hyperlink" Target="https://www.zillow.com/homedetails/5467-Clermont-Ct-Westlake-Village-CA-91362/19888355_zpid/" TargetMode="External"/><Relationship Id="rId487" Type="http://schemas.openxmlformats.org/officeDocument/2006/relationships/hyperlink" Target="https://www.zillow.com/homedetails/4521-Alla-Rd-Marina-Del-Rey-CA-90292/441836699_zpid/" TargetMode="External"/><Relationship Id="rId694" Type="http://schemas.openxmlformats.org/officeDocument/2006/relationships/hyperlink" Target="https://www.zillow.com/homedetails/11633-Chenault-St-UNIT-202-Los-Angeles-CA-90049/119677949_zpid/" TargetMode="External"/><Relationship Id="rId2070" Type="http://schemas.openxmlformats.org/officeDocument/2006/relationships/hyperlink" Target="https://drive.google.com/open?id=1bXa94MDN2uGJr0O7eAMKwi6QDpW0qCgo" TargetMode="External"/><Relationship Id="rId2168" Type="http://schemas.openxmlformats.org/officeDocument/2006/relationships/hyperlink" Target="https://drive.google.com/open?id=1czfPG1w6me5kfAnBCgqsEa-vAEfu2kLv" TargetMode="External"/><Relationship Id="rId2375" Type="http://schemas.openxmlformats.org/officeDocument/2006/relationships/hyperlink" Target="https://www.zillow.com/homedetails/3351-N-Knoll-Dr-Los-Angeles-CA-90068/68994023_zpid/" TargetMode="External"/><Relationship Id="rId347" Type="http://schemas.openxmlformats.org/officeDocument/2006/relationships/hyperlink" Target="https://www.zillow.com/homedetails/1923-Sunset-Plaza-Dr-Los-Angeles-CA-90069/20798097_zpid/" TargetMode="External"/><Relationship Id="rId999" Type="http://schemas.openxmlformats.org/officeDocument/2006/relationships/hyperlink" Target="https://www.zillow.com/homedetails/536-Quail-Dr-Los-Angeles-CA-90065/20761121_zpid/" TargetMode="External"/><Relationship Id="rId1184" Type="http://schemas.openxmlformats.org/officeDocument/2006/relationships/hyperlink" Target="https://drive.google.com/open?id=1ONl2BSJQla3RjDJZ0avvMmpt3bqfBW_q" TargetMode="External"/><Relationship Id="rId2028" Type="http://schemas.openxmlformats.org/officeDocument/2006/relationships/hyperlink" Target="https://www.zillow.com/homedetails/1653-Micheltorena-St-APT-1-Los-Angeles-CA-90026/20746455_zpid/" TargetMode="External"/><Relationship Id="rId554" Type="http://schemas.openxmlformats.org/officeDocument/2006/relationships/hyperlink" Target="https://www.zillow.com/homedetails/1637-S-Sherbourne-Dr-Los-Angeles-CA-90035/20491861_zpid/" TargetMode="External"/><Relationship Id="rId761" Type="http://schemas.openxmlformats.org/officeDocument/2006/relationships/hyperlink" Target="https://www.zillow.com/homedetails/17808-Sherman-Way-APT-127-Reseda-CA-91335/2061798789_zpid/?utm_campaign=iosappmessage&amp;utm_medium=referral&amp;utm_source=txtshare" TargetMode="External"/><Relationship Id="rId859" Type="http://schemas.openxmlformats.org/officeDocument/2006/relationships/hyperlink" Target="https://www.zillow.com/homedetails/878-Hartglen-Ave-Westlake-Village-CA-91361/16492149_zpid/" TargetMode="External"/><Relationship Id="rId1391" Type="http://schemas.openxmlformats.org/officeDocument/2006/relationships/hyperlink" Target="https://www.zillow.com/homedetails/411-Grand-Blvd-Venice-CA-90291/20450390_zpid/" TargetMode="External"/><Relationship Id="rId1489" Type="http://schemas.openxmlformats.org/officeDocument/2006/relationships/hyperlink" Target="https://www.zillow.com/homedetails/3227-E-8th-St-1-Los-Angeles-CA-90023/443931453_zpid/" TargetMode="External"/><Relationship Id="rId1696" Type="http://schemas.openxmlformats.org/officeDocument/2006/relationships/hyperlink" Target="https://www.zillow.com/homedetails/1915-Minoru-Dr-APT-1C-Altadena-CA-91001/339995042_zpid/" TargetMode="External"/><Relationship Id="rId2235" Type="http://schemas.openxmlformats.org/officeDocument/2006/relationships/hyperlink" Target="https://www.zillow.com/homedetails/711-Pepper-Tree-Ln-Long-Beach-CA-90815/21212112_zpid/" TargetMode="External"/><Relationship Id="rId207" Type="http://schemas.openxmlformats.org/officeDocument/2006/relationships/hyperlink" Target="https://drive.google.com/open?id=1x5F7xUgAKOP6_GGvf5Dk47j2c4CrnlZU" TargetMode="External"/><Relationship Id="rId414" Type="http://schemas.openxmlformats.org/officeDocument/2006/relationships/hyperlink" Target="https://drive.google.com/open?id=1bmzYjkvGlufXrTKBcwKKAUgYUxt1EJ2J" TargetMode="External"/><Relationship Id="rId621" Type="http://schemas.openxmlformats.org/officeDocument/2006/relationships/hyperlink" Target="https://drive.google.com/open?id=1zLWR6UB-X-Lkisyzd6O0WBVgTrXvSd3N" TargetMode="External"/><Relationship Id="rId1044" Type="http://schemas.openxmlformats.org/officeDocument/2006/relationships/hyperlink" Target="https://www.zillow.com/homedetails/5344-Leghorn-Ave-Van-Nuys-CA-91401/20015679_zpid/" TargetMode="External"/><Relationship Id="rId1251" Type="http://schemas.openxmlformats.org/officeDocument/2006/relationships/hyperlink" Target="https://drive.google.com/open?id=1omINwyGjSqUyNILMF5B2O73JinUCgfe_" TargetMode="External"/><Relationship Id="rId1349" Type="http://schemas.openxmlformats.org/officeDocument/2006/relationships/hyperlink" Target="https://www.zillow.com/homedetails/2154-Miner-St-Costa-Mesa-CA-92627/25462788_zpid/" TargetMode="External"/><Relationship Id="rId2302" Type="http://schemas.openxmlformats.org/officeDocument/2006/relationships/hyperlink" Target="https://www.zillow.com/homedetails/1530-Camden-Ave-APT-304-Los-Angeles-CA-90025/79796845_zpid/" TargetMode="External"/><Relationship Id="rId719" Type="http://schemas.openxmlformats.org/officeDocument/2006/relationships/hyperlink" Target="https://drive.google.com/open?id=1m8Hdtg0vvAKyY00tkJWEr0-lXlznCGfh" TargetMode="External"/><Relationship Id="rId926" Type="http://schemas.openxmlformats.org/officeDocument/2006/relationships/hyperlink" Target="https://www.zillow.com/homedetails/700-Main-St-UNIT-25-Venice-CA-90291/82877585_zpid/?utm_campaign=iosappmessage&amp;utm_medium=referral&amp;utm_source=txtshare" TargetMode="External"/><Relationship Id="rId1111" Type="http://schemas.openxmlformats.org/officeDocument/2006/relationships/hyperlink" Target="https://www.zillow.com/homedetails/233-3-4-S-Gale-Dr-Beverly-Hills-CA-90211/2083952220_zpid/" TargetMode="External"/><Relationship Id="rId1556" Type="http://schemas.openxmlformats.org/officeDocument/2006/relationships/hyperlink" Target="https://drive.google.com/open?id=1okbG18zF-qhzQlfLlFIajvhbJbmn5rUN" TargetMode="External"/><Relationship Id="rId1763" Type="http://schemas.openxmlformats.org/officeDocument/2006/relationships/hyperlink" Target="https://www.zillow.com/homedetails/2928-Las-Alturas-St-Los-Angeles-CA-90068/20045443_zpid/" TargetMode="External"/><Relationship Id="rId1970" Type="http://schemas.openxmlformats.org/officeDocument/2006/relationships/hyperlink" Target="https://www.avaloncommunities.com/california/los-angeles-apartments/ava-toluca-hills/apartment/CA573-CA573-00B-110/?furnished=false&amp;moveInDate=01%2F18%2F2025&amp;leaseTerm=13" TargetMode="External"/><Relationship Id="rId55" Type="http://schemas.openxmlformats.org/officeDocument/2006/relationships/hyperlink" Target="https://www.zillow.com/homedetails/3512-Crestmont-Ave-Los-Angeles-CA-90026/20746365_zpid/" TargetMode="External"/><Relationship Id="rId1209" Type="http://schemas.openxmlformats.org/officeDocument/2006/relationships/hyperlink" Target="https://www.zillow.com/homedetails/10320-Newcomb-Ave-Whittier-CA-90603/21466492_zpid/" TargetMode="External"/><Relationship Id="rId1416" Type="http://schemas.openxmlformats.org/officeDocument/2006/relationships/hyperlink" Target="https://drive.google.com/open?id=1C-_4t0WLafFJQzezkbuMoamD8uDg3kEq" TargetMode="External"/><Relationship Id="rId1623" Type="http://schemas.openxmlformats.org/officeDocument/2006/relationships/hyperlink" Target="https://drive.google.com/open?id=1jK2d6Rcn1SVvpDDjv9nDZ1LVQxaA7Y9k" TargetMode="External"/><Relationship Id="rId1830" Type="http://schemas.openxmlformats.org/officeDocument/2006/relationships/hyperlink" Target="https://www.zillow.com/homedetails/3321-E-Colorado-Blvd-25-Pasadena-CA-91107/353727409_zpid/" TargetMode="External"/><Relationship Id="rId1928" Type="http://schemas.openxmlformats.org/officeDocument/2006/relationships/hyperlink" Target="https://www.zillow.com/homedetails/608-N-Alpine-Dr-Beverly-Hills-CA-90210/20519739_zpid/?utm_campaign=iosappmessage&amp;utm_medium=referral&amp;utm_source=txtshare" TargetMode="External"/><Relationship Id="rId2092" Type="http://schemas.openxmlformats.org/officeDocument/2006/relationships/hyperlink" Target="https://www.zillow.com/homedetails/5541-Bellaire-Ave-Valley-Village-CA-91607/20016625_zpid/" TargetMode="External"/><Relationship Id="rId271" Type="http://schemas.openxmlformats.org/officeDocument/2006/relationships/hyperlink" Target="https://www.zillow.com/homedetails/4641-Crown-Ave-La-Canada-Flintridge-CA-91011/20906018_zpid/?utm_campaign=iosappmessage&amp;utm_medium=referral&amp;utm_source=txtshare" TargetMode="External"/><Relationship Id="rId131" Type="http://schemas.openxmlformats.org/officeDocument/2006/relationships/hyperlink" Target="https://drive.google.com/open?id=14OIusrqDiHoOdDslvKMhhJTOLI4w1F0n" TargetMode="External"/><Relationship Id="rId369" Type="http://schemas.openxmlformats.org/officeDocument/2006/relationships/hyperlink" Target="https://drive.google.com/open?id=1F4K1W5k5QTO2OM0ImMyiCWvH2yAo6MTM" TargetMode="External"/><Relationship Id="rId576" Type="http://schemas.openxmlformats.org/officeDocument/2006/relationships/hyperlink" Target="https://www.zillow.com/homedetails/4418-S-Slauson-Ave-402-Culver-City-CA-90230/440875021_zpid/" TargetMode="External"/><Relationship Id="rId783" Type="http://schemas.openxmlformats.org/officeDocument/2006/relationships/hyperlink" Target="https://drive.google.com/open?id=1zJaI5ibBy5sVUbwhw45IMiLcO5E2HRQA" TargetMode="External"/><Relationship Id="rId990" Type="http://schemas.openxmlformats.org/officeDocument/2006/relationships/hyperlink" Target="https://drive.google.com/open?id=18olK4P8-OCvpqsJa52b-KtRG7mZ8-tiP" TargetMode="External"/><Relationship Id="rId2257" Type="http://schemas.openxmlformats.org/officeDocument/2006/relationships/hyperlink" Target="https://www.zillow.com/homedetails/8-Rancho-Laguna-Dr-Pomona-CA-91766/21662573_zpid/" TargetMode="External"/><Relationship Id="rId229" Type="http://schemas.openxmlformats.org/officeDocument/2006/relationships/hyperlink" Target="https://drive.google.com/open?id=17n9BhuDDd9AGDbjYzMlnJfMZOES_GgM_" TargetMode="External"/><Relationship Id="rId436" Type="http://schemas.openxmlformats.org/officeDocument/2006/relationships/hyperlink" Target="https://drive.google.com/open?id=1bA6okqOMHzTBpunt8fkIpws42Pf7AX45" TargetMode="External"/><Relationship Id="rId643" Type="http://schemas.openxmlformats.org/officeDocument/2006/relationships/hyperlink" Target="https://www.zillow.com/homedetails/22928-Roscoe-Blvd-Canoga-Park-CA-91304/51578863_zpid/?msockid=0b6a884f9a7b68f23d399d259b1a69d4" TargetMode="External"/><Relationship Id="rId1066" Type="http://schemas.openxmlformats.org/officeDocument/2006/relationships/hyperlink" Target="https://drive.google.com/open?id=1ejOH9Jvg8TyZBFvoY2La_aBa7rHZr2VM" TargetMode="External"/><Relationship Id="rId1273" Type="http://schemas.openxmlformats.org/officeDocument/2006/relationships/hyperlink" Target="https://www.zillow.com/homedetails/12426-Idaho-Ave-Los-Angeles-CA-90025/20464168_zpid/" TargetMode="External"/><Relationship Id="rId1480" Type="http://schemas.openxmlformats.org/officeDocument/2006/relationships/hyperlink" Target="https://drive.google.com/open?id=1cDso2WqU03ADGzluNncvUJTEm6g7hfFS" TargetMode="External"/><Relationship Id="rId2117" Type="http://schemas.openxmlformats.org/officeDocument/2006/relationships/hyperlink" Target="https://drive.google.com/open?id=1UUS1CCuv6yDuqkWjllfIzNDOaToUdsla" TargetMode="External"/><Relationship Id="rId2324" Type="http://schemas.openxmlformats.org/officeDocument/2006/relationships/hyperlink" Target="https://drive.google.com/open?id=1Qmcn1uiveYRdGB12BjHdDfQgYFPrHRCO" TargetMode="External"/><Relationship Id="rId850" Type="http://schemas.openxmlformats.org/officeDocument/2006/relationships/hyperlink" Target="https://www.compass.com/listing/714-south-street-glendale-ca-91202/1690164355320241993/?origin=listing_page&amp;origin_type=copy_url&amp;agent_id=625f3a90c7a8cf0001c3ab8d" TargetMode="External"/><Relationship Id="rId948" Type="http://schemas.openxmlformats.org/officeDocument/2006/relationships/hyperlink" Target="https://www.zillow.com/homedetails/Los-Angeles-CA-90065/443611488_zpid/?" TargetMode="External"/><Relationship Id="rId1133" Type="http://schemas.openxmlformats.org/officeDocument/2006/relationships/hyperlink" Target="https://drive.google.com/open?id=1z2tZVhrjBEU6gShZuGw3lc000pX2JNYE" TargetMode="External"/><Relationship Id="rId1578" Type="http://schemas.openxmlformats.org/officeDocument/2006/relationships/hyperlink" Target="https://www.facebook.com/marketplace/profile/743588758/" TargetMode="External"/><Relationship Id="rId1785" Type="http://schemas.openxmlformats.org/officeDocument/2006/relationships/hyperlink" Target="https://drive.google.com/open?id=1-9-xK1z0KdJXtah9XQcQW3ocGbRcURRf" TargetMode="External"/><Relationship Id="rId1992" Type="http://schemas.openxmlformats.org/officeDocument/2006/relationships/hyperlink" Target="https://www.zillow.com/homedetails/3124-Rowena-Ave-Los-Angeles-CA-90027/2083030097_zpid/" TargetMode="External"/><Relationship Id="rId77" Type="http://schemas.openxmlformats.org/officeDocument/2006/relationships/hyperlink" Target="https://www.zillow.com/homedetails/1439-Cabrillo-Ave-Venice-CA-90291/20450140_zpid/" TargetMode="External"/><Relationship Id="rId503" Type="http://schemas.openxmlformats.org/officeDocument/2006/relationships/hyperlink" Target="https://drive.google.com/open?id=1YymzgMHTKpPjauuzvDRJdqSQcVzNDSAX" TargetMode="External"/><Relationship Id="rId710" Type="http://schemas.openxmlformats.org/officeDocument/2006/relationships/hyperlink" Target="https://www.zillow.com/homedetails/26865-Via-Linda-St-Malibu-CA-90265/20554740_zpid/" TargetMode="External"/><Relationship Id="rId808" Type="http://schemas.openxmlformats.org/officeDocument/2006/relationships/hyperlink" Target="https://drive.google.com/open?id=1zw4fNusP9ncPwgr1jVf11kEuEcuRoocW" TargetMode="External"/><Relationship Id="rId1340" Type="http://schemas.openxmlformats.org/officeDocument/2006/relationships/hyperlink" Target="https://www.zillow.com/homedetails/748-S-Cloverdale-Ave-Los-Angeles-CA-90036/20610066_zpid/" TargetMode="External"/><Relationship Id="rId1438" Type="http://schemas.openxmlformats.org/officeDocument/2006/relationships/hyperlink" Target="https://drive.google.com/open?id=1dJiHmGashTUihDtL9uUkcvUtnfUlP0V4" TargetMode="External"/><Relationship Id="rId1645" Type="http://schemas.openxmlformats.org/officeDocument/2006/relationships/hyperlink" Target="https://www.zillow.com/homedetails/1124-Marilyn-Dr-Beverly-Hills-CA-90210/20522013_zpid/" TargetMode="External"/><Relationship Id="rId1200" Type="http://schemas.openxmlformats.org/officeDocument/2006/relationships/hyperlink" Target="https://www.zillow.com/homedetails/412-Westminster-Ave-1-Venice-CA-90291/2078913805_zpid/" TargetMode="External"/><Relationship Id="rId1852" Type="http://schemas.openxmlformats.org/officeDocument/2006/relationships/hyperlink" Target="https://www.zillow.com/homedetails/6447-Surfside-Way-Malibu-CA-90265/20557273_zpid/" TargetMode="External"/><Relationship Id="rId1505" Type="http://schemas.openxmlformats.org/officeDocument/2006/relationships/hyperlink" Target="https://www.zillow.com/homedetails/16-Park-Ave-Venice-CA-90291/20482259_zpid/?utm_campaign=iosappmessage&amp;utm_medium=referral&amp;utm_source=txtshare" TargetMode="External"/><Relationship Id="rId1712" Type="http://schemas.openxmlformats.org/officeDocument/2006/relationships/hyperlink" Target="https://www.zillow.com/homedetails/6015-Saturn-St-Los-Angeles-CA-90035/346267631_zpid/" TargetMode="External"/><Relationship Id="rId293" Type="http://schemas.openxmlformats.org/officeDocument/2006/relationships/hyperlink" Target="https://drive.google.com/open?id=1bUbifeDOjLEVXUbqLBca5g7EZ99G5BQX" TargetMode="External"/><Relationship Id="rId2181" Type="http://schemas.openxmlformats.org/officeDocument/2006/relationships/hyperlink" Target="https://www.redfin.com/CA/Los-Angeles/800-N-Hobart-Blvd-90029/home/7109110" TargetMode="External"/><Relationship Id="rId153" Type="http://schemas.openxmlformats.org/officeDocument/2006/relationships/hyperlink" Target="https://www.zillow.com/homedetails/13018-Chandler-Blvd-Van-Nuys-CA-91401/440548973_zpid/" TargetMode="External"/><Relationship Id="rId360" Type="http://schemas.openxmlformats.org/officeDocument/2006/relationships/hyperlink" Target="https://drive.google.com/open?id=1c3pVWwcTW_y8cQ8vXVpZdgeXeWyfHncC" TargetMode="External"/><Relationship Id="rId598" Type="http://schemas.openxmlformats.org/officeDocument/2006/relationships/hyperlink" Target="https://drive.google.com/open?id=1vc-y_bvgAnMuTqroMVl9era_QAA2L2Yb" TargetMode="External"/><Relationship Id="rId2041" Type="http://schemas.openxmlformats.org/officeDocument/2006/relationships/hyperlink" Target="https://www.zillow.com/homedetails/706-N-Hoover-St-708-Los-Angeles-CA-90029/442445475_zpid/?utm_campaign=iosappmessage&amp;utm_medium=referral&amp;utm_source=txtshare" TargetMode="External"/><Relationship Id="rId2279" Type="http://schemas.openxmlformats.org/officeDocument/2006/relationships/hyperlink" Target="https://drive.google.com/open?id=17A_cZsv5l7m76BH4ujD0Lqk_gLqszBc6" TargetMode="External"/><Relationship Id="rId220" Type="http://schemas.openxmlformats.org/officeDocument/2006/relationships/hyperlink" Target="https://drive.google.com/open?id=1iy3vQ_D_UmLpHzaIeslr0NdrwlFvxl3v" TargetMode="External"/><Relationship Id="rId458" Type="http://schemas.openxmlformats.org/officeDocument/2006/relationships/hyperlink" Target="https://www.zillow.com/homedetails/823-S-Sierra-Bonita-Ave-Los-Angeles-CA-90036/20610339_zpid/" TargetMode="External"/><Relationship Id="rId665" Type="http://schemas.openxmlformats.org/officeDocument/2006/relationships/hyperlink" Target="https://www.zillow.com/homedetails/9530-Cedarbrook-Dr-Beverly-Hills-CA-90210/20533876_zpid/" TargetMode="External"/><Relationship Id="rId872" Type="http://schemas.openxmlformats.org/officeDocument/2006/relationships/hyperlink" Target="https://www.zillow.com/homedetails/6119-Maryland-Dr-Los-Angeles-CA-90048/20776184_zpid/" TargetMode="External"/><Relationship Id="rId1088" Type="http://schemas.openxmlformats.org/officeDocument/2006/relationships/hyperlink" Target="https://www.zillow.com/homedetails/801-S-Grand-Ave-APT-2010-Los-Angeles-CA-90017/67420686_zpid/" TargetMode="External"/><Relationship Id="rId1295" Type="http://schemas.openxmlformats.org/officeDocument/2006/relationships/hyperlink" Target="https://drive.google.com/open?id=1trPzVy7V-6n7Kct6UV12cpjGVjgcaj18" TargetMode="External"/><Relationship Id="rId2139" Type="http://schemas.openxmlformats.org/officeDocument/2006/relationships/hyperlink" Target="https://www.zillow.com/homedetails/24508-Park-Granada-Calabasas-CA-91302/19896727_zpid/" TargetMode="External"/><Relationship Id="rId2346" Type="http://schemas.openxmlformats.org/officeDocument/2006/relationships/hyperlink" Target="https://www.zillow.com/homedetails/81-Plateau-Aliso-Viejo-CA-92656/25549782_zpid/?utm_campaign=iosappmessage&amp;utm_medium=referral&amp;utm_source=txtshare" TargetMode="External"/><Relationship Id="rId318" Type="http://schemas.openxmlformats.org/officeDocument/2006/relationships/hyperlink" Target="https://www.zillow.com/homedetails/5900-Hellman-Ave-Los-Angeles-CA-90042/20692747_zpid/" TargetMode="External"/><Relationship Id="rId525" Type="http://schemas.openxmlformats.org/officeDocument/2006/relationships/hyperlink" Target="https://www.zillow.com/homedetails/774-N-Kenter-Ave-Los-Angeles-CA-90049/20560441_zpid/" TargetMode="External"/><Relationship Id="rId732" Type="http://schemas.openxmlformats.org/officeDocument/2006/relationships/hyperlink" Target="https://www.zillow.com/homedetails/31777-Broad-Beach-Rd-Malibu-CA-90265/20557808_zpid/" TargetMode="External"/><Relationship Id="rId1155" Type="http://schemas.openxmlformats.org/officeDocument/2006/relationships/hyperlink" Target="https://www.zillow.com/homedetails/11410-Dona-Pegita-Dr-Studio-City-CA-91604/20031183_zpid/" TargetMode="External"/><Relationship Id="rId1362" Type="http://schemas.openxmlformats.org/officeDocument/2006/relationships/hyperlink" Target="https://www.zillow.com/homedetails/4832-Whitsett-Ave-Valley-Village-CA-91607/443924837_zpid/" TargetMode="External"/><Relationship Id="rId2206" Type="http://schemas.openxmlformats.org/officeDocument/2006/relationships/hyperlink" Target="https://www.redfin.com/CA/Los-Angeles/2335-1-2-Mayberry-St-90026/home/191197931" TargetMode="External"/><Relationship Id="rId99" Type="http://schemas.openxmlformats.org/officeDocument/2006/relationships/hyperlink" Target="https://drive.google.com/open?id=1Ei5-VXrLkQjHCznDByVsJ5fRZdgP66hS" TargetMode="External"/><Relationship Id="rId1015" Type="http://schemas.openxmlformats.org/officeDocument/2006/relationships/hyperlink" Target="https://drive.google.com/open?id=1oxvDs1zGH8f_GkEjNLh52yKx-kzj-lJ4" TargetMode="External"/><Relationship Id="rId1222" Type="http://schemas.openxmlformats.org/officeDocument/2006/relationships/hyperlink" Target="https://www.zillow.com/homedetails/11633-Chenault-St-UNIT-202-Los-Angeles-CA-90049/119677949_zpid/" TargetMode="External"/><Relationship Id="rId1667" Type="http://schemas.openxmlformats.org/officeDocument/2006/relationships/hyperlink" Target="https://drive.google.com/open?id=1yFxYui4zmb88uFSP3f6Pw7zhXb2cTFok" TargetMode="External"/><Relationship Id="rId1874" Type="http://schemas.openxmlformats.org/officeDocument/2006/relationships/hyperlink" Target="https://drive.google.com/open?id=1NjHwKyX1CIZvOIl4fg07vpSSiPVkl9RY" TargetMode="External"/><Relationship Id="rId1527" Type="http://schemas.openxmlformats.org/officeDocument/2006/relationships/hyperlink" Target="https://www.zillow.com/homedetails/8326-Blackburn-Ave-UNIT-404-Los-Angeles-CA-90048/440713381_zpid/" TargetMode="External"/><Relationship Id="rId1734" Type="http://schemas.openxmlformats.org/officeDocument/2006/relationships/hyperlink" Target="https://drive.google.com/open?id=1GU6y4vX5_jU9ZkVAKsLnKa3VCCfCts0D" TargetMode="External"/><Relationship Id="rId1941" Type="http://schemas.openxmlformats.org/officeDocument/2006/relationships/hyperlink" Target="https://www.zillow.com/homedetails/5206-Topeka-Dr-Tarzana-CA-91356/19937475_zpid/" TargetMode="External"/><Relationship Id="rId26" Type="http://schemas.openxmlformats.org/officeDocument/2006/relationships/hyperlink" Target="https://www.zillow.com/homedetails/1941-Glencoe-Way-Los-Angeles-CA-90068/20793801_zpid/?utm_campaign=iosappmessage&amp;utm_medium=referral&amp;utm_source=txtshare" TargetMode="External"/><Relationship Id="rId175" Type="http://schemas.openxmlformats.org/officeDocument/2006/relationships/hyperlink" Target="https://www.zillow.com/homedetails/3672-Jasmine-Ave-UNIT-102-Los-Angeles-CA-90034/2061496314_zpid/" TargetMode="External"/><Relationship Id="rId1801" Type="http://schemas.openxmlformats.org/officeDocument/2006/relationships/hyperlink" Target="https://www.zillow.com/homedetails/6830-Alta-Loma-Ter-Los-Angeles-CA-90068/20793971_zpid/" TargetMode="External"/><Relationship Id="rId382" Type="http://schemas.openxmlformats.org/officeDocument/2006/relationships/hyperlink" Target="https://www.zillow.com/homedetails/1221-Myra-Ave-PENTHOUSE-605-Los-Angeles-CA-90029/442628656_zpid/" TargetMode="External"/><Relationship Id="rId687" Type="http://schemas.openxmlformats.org/officeDocument/2006/relationships/hyperlink" Target="https://www.zillow.com/homedetails/3816-San-Augustine-Dr-Glendale-CA-91206/20842133_zpid/" TargetMode="External"/><Relationship Id="rId2063" Type="http://schemas.openxmlformats.org/officeDocument/2006/relationships/hyperlink" Target="https://drive.google.com/open?id=11kpx7kjglhipvGhzlsiTv20uAneyCeCF" TargetMode="External"/><Relationship Id="rId2270" Type="http://schemas.openxmlformats.org/officeDocument/2006/relationships/hyperlink" Target="https://www.zillow.com/b/moorpark-north-hollywood-ca-5XkmrC/" TargetMode="External"/><Relationship Id="rId2368" Type="http://schemas.openxmlformats.org/officeDocument/2006/relationships/hyperlink" Target="https://drive.google.com/open?id=12FM0zGn_9mWKUTaJmvWOzmV8_7XzOmn8" TargetMode="External"/><Relationship Id="rId242" Type="http://schemas.openxmlformats.org/officeDocument/2006/relationships/hyperlink" Target="https://www.zillow.com/homedetails/1106-Oakwood-Ave-Venice-CA-90291/20450981_zpid/?utm_campaign=iosappmessage&amp;utm_medium=referral&amp;utm_source=txtshare" TargetMode="External"/><Relationship Id="rId894" Type="http://schemas.openxmlformats.org/officeDocument/2006/relationships/hyperlink" Target="https://www.zillow.com/homedetails/6557-Laramie-Ave-Winnetka-CA-91306/2057632822_zpid/" TargetMode="External"/><Relationship Id="rId1177" Type="http://schemas.openxmlformats.org/officeDocument/2006/relationships/hyperlink" Target="https://www.zillow.com/homedetails/1525-Selby-Ave-APT-203-Los-Angeles-CA-90024/2094114909_zpid/" TargetMode="External"/><Relationship Id="rId2130" Type="http://schemas.openxmlformats.org/officeDocument/2006/relationships/hyperlink" Target="https://www.zillow.com/homedetails/7077-Willoughby-Ave-502-Los-Angeles-CA-90038/442766047_zpid/" TargetMode="External"/><Relationship Id="rId102" Type="http://schemas.openxmlformats.org/officeDocument/2006/relationships/hyperlink" Target="https://www.zillow.com/homedetails/28-26th-Ave-A-Venice-CA-90291/2098877025_zpid/" TargetMode="External"/><Relationship Id="rId547" Type="http://schemas.openxmlformats.org/officeDocument/2006/relationships/hyperlink" Target="https://www.zillow.com/homedetails/1723-S-Durango-Ave-Los-Angeles-CA-90035/20492797_zpid/" TargetMode="External"/><Relationship Id="rId754" Type="http://schemas.openxmlformats.org/officeDocument/2006/relationships/hyperlink" Target="https://drive.google.com/open?id=1tvCi2Jo1cWdqa7iH9I3Xd9cvwFuzk8_-" TargetMode="External"/><Relationship Id="rId961" Type="http://schemas.openxmlformats.org/officeDocument/2006/relationships/hyperlink" Target="https://www.zillow.com/homedetails/166-S-McCadden-Pl-Los-Angeles-CA-90004/20778258_zpid/" TargetMode="External"/><Relationship Id="rId1384" Type="http://schemas.openxmlformats.org/officeDocument/2006/relationships/hyperlink" Target="https://drive.google.com/open?id=1o5Qz_AuYKzMEli3xoRpl9vGp0IlysP4s" TargetMode="External"/><Relationship Id="rId1591" Type="http://schemas.openxmlformats.org/officeDocument/2006/relationships/hyperlink" Target="https://drive.google.com/open?id=1oxpAfoI2c-5aELhonShyv43CB7ZcrC7f" TargetMode="External"/><Relationship Id="rId1689" Type="http://schemas.openxmlformats.org/officeDocument/2006/relationships/hyperlink" Target="https://www.zillow.com/homedetails/2290-Gloaming-Way-Beverly-Hills-CA-90210/20533986_zpid/" TargetMode="External"/><Relationship Id="rId2228" Type="http://schemas.openxmlformats.org/officeDocument/2006/relationships/hyperlink" Target="https://drive.google.com/open?id=1Le_pBRL_Y5lGbHN75KgkkROJhnLOU8TD" TargetMode="External"/><Relationship Id="rId90" Type="http://schemas.openxmlformats.org/officeDocument/2006/relationships/hyperlink" Target="https://www.zillow.com/homedetails/4800-Zelzah-Ave-Encino-CA-91316/19950258_zpid/" TargetMode="External"/><Relationship Id="rId407" Type="http://schemas.openxmlformats.org/officeDocument/2006/relationships/hyperlink" Target="https://drive.google.com/open?id=1wM0IFIAro2SiNr32j0Uu4L5rl__obEfv" TargetMode="External"/><Relationship Id="rId614" Type="http://schemas.openxmlformats.org/officeDocument/2006/relationships/hyperlink" Target="https://www.trulia.com/home/592-30th-st-manhattan-beach-ca-90266-20420685?cid=shr%7Capp_ios_rental_phone%7Crent%7Cpdp_share" TargetMode="External"/><Relationship Id="rId821" Type="http://schemas.openxmlformats.org/officeDocument/2006/relationships/hyperlink" Target="https://drive.google.com/open?id=1zceQZxwSkxHpLeNWjm1IfmAPwGpIEqGM" TargetMode="External"/><Relationship Id="rId1037" Type="http://schemas.openxmlformats.org/officeDocument/2006/relationships/hyperlink" Target="https://www.compass.com/listing/7962-oceanus-drive-los-angeles-ca-90046/1753154497331380697/" TargetMode="External"/><Relationship Id="rId1244" Type="http://schemas.openxmlformats.org/officeDocument/2006/relationships/hyperlink" Target="https://www.zillow.com/homedetails/12036-Wood-Ranch-Rd-Granada-Hills-CA-91344/20104747_zpid/?utm_campaign=iosappmessage&amp;utm_medium=referral&amp;utm_source=txtshare" TargetMode="External"/><Relationship Id="rId1451" Type="http://schemas.openxmlformats.org/officeDocument/2006/relationships/hyperlink" Target="https://drive.google.com/open?id=1EA4UhOZeHm7mVJTAJdYuiE0sFkkzODhJ" TargetMode="External"/><Relationship Id="rId1896" Type="http://schemas.openxmlformats.org/officeDocument/2006/relationships/hyperlink" Target="https://www.redfin.com/CA/Tarzana/4001-Clarinda-Dr-91356/home/4261210" TargetMode="External"/><Relationship Id="rId919" Type="http://schemas.openxmlformats.org/officeDocument/2006/relationships/hyperlink" Target="https://www.zillow.com/homedetails/9907-National-Blvd-Los-Angeles-CA-90034/402290876_zpid/" TargetMode="External"/><Relationship Id="rId1104" Type="http://schemas.openxmlformats.org/officeDocument/2006/relationships/hyperlink" Target="https://drive.google.com/open?id=1oC0V3XPMNwdGMemIGmMZZm6LFiguR7k3" TargetMode="External"/><Relationship Id="rId1311" Type="http://schemas.openxmlformats.org/officeDocument/2006/relationships/hyperlink" Target="https://www.zillow.com/homedetails/4256-Rosario-Rd-Woodland-Hills-CA-91364/19945259_zpid/" TargetMode="External"/><Relationship Id="rId1549" Type="http://schemas.openxmlformats.org/officeDocument/2006/relationships/hyperlink" Target="https://www.zillow.com/homedetails/9243-Cordell-Dr-Los-Angeles-CA-90069/20534852_zpid/" TargetMode="External"/><Relationship Id="rId1756" Type="http://schemas.openxmlformats.org/officeDocument/2006/relationships/hyperlink" Target="https://drive.google.com/open?id=1TdtGnaXUSnCeWM_TA8CSMrBENy-Aa_nw" TargetMode="External"/><Relationship Id="rId1963" Type="http://schemas.openxmlformats.org/officeDocument/2006/relationships/hyperlink" Target="https://www.zillow.com/homedetails/5902-Fallbrook-Ave-Woodland-Hills-CA-91367/19877809_zpid/" TargetMode="External"/><Relationship Id="rId48" Type="http://schemas.openxmlformats.org/officeDocument/2006/relationships/hyperlink" Target="https://www.zillow.com/homedetails/1235-Highland-Oaks-Dr-Arcadia-CA-91006/20887520_zpid/?utm_campaign=iosappmessage&amp;utm_medium=referral&amp;utm_source=txtshare" TargetMode="External"/><Relationship Id="rId1409" Type="http://schemas.openxmlformats.org/officeDocument/2006/relationships/hyperlink" Target="https://www.zillow.com/homedetails/3761-Greenfield-Ave-Los-Angeles-CA-90034/20460245_zpid/" TargetMode="External"/><Relationship Id="rId1616" Type="http://schemas.openxmlformats.org/officeDocument/2006/relationships/hyperlink" Target="https://www.zillow.com/homedetails/22548-Pacific-Coast-Hwy-UNIT-408-Malibu-CA-90265/20552514_zpid/" TargetMode="External"/><Relationship Id="rId1823" Type="http://schemas.openxmlformats.org/officeDocument/2006/relationships/hyperlink" Target="https://drive.google.com/open?id=1QldayyfhKdFxGjFiwrbSxyRBSnLSSlJ9" TargetMode="External"/><Relationship Id="rId197" Type="http://schemas.openxmlformats.org/officeDocument/2006/relationships/hyperlink" Target="https://drive.google.com/open?id=1uqt7MscCxpqVSfbamcjP127Jt5AqNNHG" TargetMode="External"/><Relationship Id="rId2085" Type="http://schemas.openxmlformats.org/officeDocument/2006/relationships/hyperlink" Target="https://www.zillow.com/homedetails/11298-Tavener-Ave-Culver-City-CA-90230/20437725_zpid/" TargetMode="External"/><Relationship Id="rId2292" Type="http://schemas.openxmlformats.org/officeDocument/2006/relationships/hyperlink" Target="https://www.zillow.com/homedetails/1722-N-Vista-St-Los-Angeles-CA-90046/2054575992_zpid/" TargetMode="External"/><Relationship Id="rId264" Type="http://schemas.openxmlformats.org/officeDocument/2006/relationships/hyperlink" Target="https://www.zillow.com/homedetails/Burbank-CA-91504/20060493_zpid/?utm_campaign=androidappmessage&amp;utm_medium=referral&amp;utm_source=txtshare" TargetMode="External"/><Relationship Id="rId471" Type="http://schemas.openxmlformats.org/officeDocument/2006/relationships/hyperlink" Target="https://www.zillow.com/homedetails/8666-Hollywood-Blvd-Los-Angeles-CA-90069/20799046_zpid/" TargetMode="External"/><Relationship Id="rId2152" Type="http://schemas.openxmlformats.org/officeDocument/2006/relationships/hyperlink" Target="https://www.zillow.com/homedetails/18025-Welby-Way-Reseda-CA-91335/19917656_zpid/" TargetMode="External"/><Relationship Id="rId124" Type="http://schemas.openxmlformats.org/officeDocument/2006/relationships/hyperlink" Target="https://www.zillow.com/homedetails/121-N-Croft-Ave-APT-205-Los-Angeles-CA-90048/20776940_zpid/" TargetMode="External"/><Relationship Id="rId569" Type="http://schemas.openxmlformats.org/officeDocument/2006/relationships/hyperlink" Target="https://www.zillow.com/homedetails/22809-Del-Valle-St-APT-10-Woodland-Hills-CA-91364/89145149_zpid/" TargetMode="External"/><Relationship Id="rId776" Type="http://schemas.openxmlformats.org/officeDocument/2006/relationships/hyperlink" Target="https://www.redfin.com/CA/Los-Angeles/5669-Tuxedo-Ter-90068/home/7131755" TargetMode="External"/><Relationship Id="rId983" Type="http://schemas.openxmlformats.org/officeDocument/2006/relationships/hyperlink" Target="https://drive.google.com/open?id=1Bd4-4i90iQgmxewAba4Kn4cvVo8DWPdD" TargetMode="External"/><Relationship Id="rId1199" Type="http://schemas.openxmlformats.org/officeDocument/2006/relationships/hyperlink" Target="https://drive.google.com/open?id=1AIAGt4WxM5fFq0PFvBt1GDoFhA_8Kh09" TargetMode="External"/><Relationship Id="rId331" Type="http://schemas.openxmlformats.org/officeDocument/2006/relationships/hyperlink" Target="https://www.zillow.com/homedetails/700-N-Irena-Ave-Redondo-Beach-CA-90277/21317441_zpid/" TargetMode="External"/><Relationship Id="rId429" Type="http://schemas.openxmlformats.org/officeDocument/2006/relationships/hyperlink" Target="https://drive.google.com/open?id=1To-wMgLjwDdFW73Kj5AUtuKuoe2_8nts" TargetMode="External"/><Relationship Id="rId636" Type="http://schemas.openxmlformats.org/officeDocument/2006/relationships/hyperlink" Target="https://www.zillow.com/homedetails/1533-Marlay-Dr-West-Hollywood-CA-90069/20798034_zpid/?utm_campaign=iosappmessage&amp;utm_medium=referral&amp;utm_source=txtshare" TargetMode="External"/><Relationship Id="rId1059" Type="http://schemas.openxmlformats.org/officeDocument/2006/relationships/hyperlink" Target="https://drive.google.com/open?id=1PZPtxUcLDeL0bNq97Sb_OMWT5HY0Kxxj" TargetMode="External"/><Relationship Id="rId1266" Type="http://schemas.openxmlformats.org/officeDocument/2006/relationships/hyperlink" Target="https://drive.google.com/open?id=1colKWY9LRfDRKHhMwLzj99M6kESkaXMo" TargetMode="External"/><Relationship Id="rId1473" Type="http://schemas.openxmlformats.org/officeDocument/2006/relationships/hyperlink" Target="https://www.zillow.com/homedetails/95-N-Michigan-Ave-11-Pasadena-CA-91106/2068492397_zpid/" TargetMode="External"/><Relationship Id="rId2012" Type="http://schemas.openxmlformats.org/officeDocument/2006/relationships/hyperlink" Target="https://drive.google.com/open?id=1S7xzkbE56m-3DJnuCg-R-0Qjri1pgZb0" TargetMode="External"/><Relationship Id="rId2317" Type="http://schemas.openxmlformats.org/officeDocument/2006/relationships/hyperlink" Target="https://drive.google.com/open?id=1b-0KwK2SJdzEUEprWLwpk3WLSnnD7mZT" TargetMode="External"/><Relationship Id="rId843" Type="http://schemas.openxmlformats.org/officeDocument/2006/relationships/hyperlink" Target="https://www.zillow.com/homedetails/306-N-Venice-Blvd-Venice-CA-90291/20450581_zpid/" TargetMode="External"/><Relationship Id="rId1126" Type="http://schemas.openxmlformats.org/officeDocument/2006/relationships/hyperlink" Target="https://drive.google.com/open?id=1cmWRKUuPfDiKBOGkhiNZR7JFUkl4MloK" TargetMode="External"/><Relationship Id="rId1680" Type="http://schemas.openxmlformats.org/officeDocument/2006/relationships/hyperlink" Target="https://www.zillow.com/homedetails/735-N-Ogden-Dr-Los-Angeles-CA-90046/20786003_zpid/" TargetMode="External"/><Relationship Id="rId1778" Type="http://schemas.openxmlformats.org/officeDocument/2006/relationships/hyperlink" Target="https://drive.google.com/open?id=11CN6yZib1N-lkVKo_1gWiuyCOM_4M0jn" TargetMode="External"/><Relationship Id="rId1985" Type="http://schemas.openxmlformats.org/officeDocument/2006/relationships/hyperlink" Target="https://drive.google.com/open?id=17Tzdfj2hfznYgVLVJCZ8ee7xzsals12k" TargetMode="External"/><Relationship Id="rId703" Type="http://schemas.openxmlformats.org/officeDocument/2006/relationships/hyperlink" Target="https://drive.google.com/open?id=1xw0ENkef9q2OnoQFqap5GfKBQd7ohmXK" TargetMode="External"/><Relationship Id="rId910" Type="http://schemas.openxmlformats.org/officeDocument/2006/relationships/hyperlink" Target="https://www.zillow.com/homedetails/1252-Masselin-Ave-Los-Angeles-CA-90019/20608246_zpid/" TargetMode="External"/><Relationship Id="rId1333" Type="http://schemas.openxmlformats.org/officeDocument/2006/relationships/hyperlink" Target="https://www.zillow.com/homedetails/907-Pine-Grove-Ave-Los-Angeles-CA-90042/20769156_zpid/" TargetMode="External"/><Relationship Id="rId1540" Type="http://schemas.openxmlformats.org/officeDocument/2006/relationships/hyperlink" Target="https://drive.google.com/open?id=1ATSbae9VoQkvV40ZdnEVS1cFHVeZQV2A" TargetMode="External"/><Relationship Id="rId1638" Type="http://schemas.openxmlformats.org/officeDocument/2006/relationships/hyperlink" Target="https://drive.google.com/open?id=1l9XPPaxac-Q809Pn--CrN4IVceVDT_xZ" TargetMode="External"/><Relationship Id="rId1400" Type="http://schemas.openxmlformats.org/officeDocument/2006/relationships/hyperlink" Target="https://www.zillow.com/homedetails/2152-Crescent-Ave-Montrose-CA-91020/20902481_zpid/?utm_campaign=iosappmessage&amp;utm_medium=referral&amp;utm_source=txtshare" TargetMode="External"/><Relationship Id="rId1845" Type="http://schemas.openxmlformats.org/officeDocument/2006/relationships/hyperlink" Target="https://www.zillow.com/homedetails/10660-W-Wilshire-Blvd-309-Los-Angeles-CA-90024/444004097_zpid/" TargetMode="External"/><Relationship Id="rId1705" Type="http://schemas.openxmlformats.org/officeDocument/2006/relationships/hyperlink" Target="https://drive.google.com/open?id=1jfgVaEyz-hxOh0DdtfJni14tWnjbKVI0" TargetMode="External"/><Relationship Id="rId1912" Type="http://schemas.openxmlformats.org/officeDocument/2006/relationships/hyperlink" Target="https://drive.google.com/open?id=1HghB2n4gRNFJs2eSwiURfSggeFvKicMp" TargetMode="External"/><Relationship Id="rId286" Type="http://schemas.openxmlformats.org/officeDocument/2006/relationships/hyperlink" Target="https://drive.google.com/open?id=189eGLA2TNGPXY6w1YWV-MHqt1VYkweTV" TargetMode="External"/><Relationship Id="rId493" Type="http://schemas.openxmlformats.org/officeDocument/2006/relationships/hyperlink" Target="https://drive.google.com/open?id=1sHeEw2G7cdqY5Fk7pHlZbqlY18O-pmt_" TargetMode="External"/><Relationship Id="rId2174" Type="http://schemas.openxmlformats.org/officeDocument/2006/relationships/hyperlink" Target="https://www.zillow.com/homedetails/5908-Wish-Ave-Encino-CA-91316/19977848_zpid/" TargetMode="External"/><Relationship Id="rId2381" Type="http://schemas.openxmlformats.org/officeDocument/2006/relationships/hyperlink" Target="https://drive.google.com/open?id=1gxhyQJxUCavRtLuZaAtPAP7qx6kEO8WB" TargetMode="External"/><Relationship Id="rId146" Type="http://schemas.openxmlformats.org/officeDocument/2006/relationships/hyperlink" Target="https://www.zillow.com/homedetails/1719-Wellesley-Ave-Los-Angeles-CA-90025/20464247_zpid/" TargetMode="External"/><Relationship Id="rId353" Type="http://schemas.openxmlformats.org/officeDocument/2006/relationships/hyperlink" Target="https://www.zillow.com/homedetails/500-14th-St-Manhattan-Beach-CA-90266/20418321_zpid/" TargetMode="External"/><Relationship Id="rId560" Type="http://schemas.openxmlformats.org/officeDocument/2006/relationships/hyperlink" Target="https://www.zillow.com/homedetails/823-S-Sierra-Bonita-Ave-Los-Angeles-CA-90036/20610339_zpid/" TargetMode="External"/><Relationship Id="rId798" Type="http://schemas.openxmlformats.org/officeDocument/2006/relationships/hyperlink" Target="https://www.zillow.com/homedetails/5109-Longridge-Ave-Sherman-Oaks-CA-91423/20021223_zpid/" TargetMode="External"/><Relationship Id="rId1190" Type="http://schemas.openxmlformats.org/officeDocument/2006/relationships/hyperlink" Target="https://www.zillow.com/homedetails/532-N-Rossmore-Ave-APT-103-Los-Angeles-CA-90004/20782624_zpid/" TargetMode="External"/><Relationship Id="rId2034" Type="http://schemas.openxmlformats.org/officeDocument/2006/relationships/hyperlink" Target="https://www.zillow.com/homedetails/17250-Sunset-Blvd-FLOOR-2-ID1109-Pacific-Palisades-CA-90272/443103852_zpid/" TargetMode="External"/><Relationship Id="rId2241" Type="http://schemas.openxmlformats.org/officeDocument/2006/relationships/hyperlink" Target="https://www.zillow.com/homedetails/829-E-Camino-Real-Ave-Arcadia-CA-91006/20892517_zpid/" TargetMode="External"/><Relationship Id="rId213" Type="http://schemas.openxmlformats.org/officeDocument/2006/relationships/hyperlink" Target="https://www.zillow.com/homedetails/649-N-Edinburgh-Ave-Los-Angeles-CA-90048/20786041_zpid/" TargetMode="External"/><Relationship Id="rId420" Type="http://schemas.openxmlformats.org/officeDocument/2006/relationships/hyperlink" Target="https://drive.google.com/open?id=1BoZfT7wCBGlurbwqFTQ0q6fEWzic6K84" TargetMode="External"/><Relationship Id="rId658" Type="http://schemas.openxmlformats.org/officeDocument/2006/relationships/hyperlink" Target="https://www.zillow.com/homedetails/22147-Gresham-St-West-Hills-CA-91304/51576724_zpid/" TargetMode="External"/><Relationship Id="rId865" Type="http://schemas.openxmlformats.org/officeDocument/2006/relationships/hyperlink" Target="https://www.zillow.com/homedetails/7171-La-Presa-Dr-Los-Angeles-CA-90068/20793583_zpid/" TargetMode="External"/><Relationship Id="rId1050" Type="http://schemas.openxmlformats.org/officeDocument/2006/relationships/hyperlink" Target="https://www.zillow.com/homedetails/1155-Englewild-Dr-Glendora-CA-91741/21638249_zpid/" TargetMode="External"/><Relationship Id="rId1288" Type="http://schemas.openxmlformats.org/officeDocument/2006/relationships/hyperlink" Target="https://www.trulia.com/home/6760-w-gill-way-los-angeles-ca-90068-122235808" TargetMode="External"/><Relationship Id="rId1495" Type="http://schemas.openxmlformats.org/officeDocument/2006/relationships/hyperlink" Target="https://www.zillow.com/homedetails/4249-Longridge-Ave-UNIT-303-Studio-City-CA-91604/20029463_zpid/" TargetMode="External"/><Relationship Id="rId2101" Type="http://schemas.openxmlformats.org/officeDocument/2006/relationships/hyperlink" Target="https://www.zillow.com/homedetails/836-Pacific-St-Santa-Monica-CA-90405/20480195_zpid/" TargetMode="External"/><Relationship Id="rId2339" Type="http://schemas.openxmlformats.org/officeDocument/2006/relationships/hyperlink" Target="https://www.redfin.com/CA/Los-Angeles/2309-Hollyridge-Dr-90068/home/7131424" TargetMode="External"/><Relationship Id="rId518" Type="http://schemas.openxmlformats.org/officeDocument/2006/relationships/hyperlink" Target="https://www.zillow.com/homedetails/11964-Brentwood-Grove-Dr-Los-Angeles-CA-90049/20547052_zpid/" TargetMode="External"/><Relationship Id="rId725" Type="http://schemas.openxmlformats.org/officeDocument/2006/relationships/hyperlink" Target="https://www.zillow.com/homedetails/Pacific-Palisades-CA-90272/20542872_zpid/" TargetMode="External"/><Relationship Id="rId932" Type="http://schemas.openxmlformats.org/officeDocument/2006/relationships/hyperlink" Target="https://www.zillow.com/homedetails/18821-Kirkcolm-Ln-Porter-Ranch-CA-91326/20199559_zpid/" TargetMode="External"/><Relationship Id="rId1148" Type="http://schemas.openxmlformats.org/officeDocument/2006/relationships/hyperlink" Target="http://www.westsiderentals.com/" TargetMode="External"/><Relationship Id="rId1355" Type="http://schemas.openxmlformats.org/officeDocument/2006/relationships/hyperlink" Target="https://www.zillow.com/homedetails/1378-N-Raymond-Ave-Pasadena-CA-91103/20865141_zpid/" TargetMode="External"/><Relationship Id="rId1562" Type="http://schemas.openxmlformats.org/officeDocument/2006/relationships/hyperlink" Target="https://drive.google.com/open?id=1RWT_ow_qKPi8ow8GwLfXfvJo4Xa46cQ6" TargetMode="External"/><Relationship Id="rId1008" Type="http://schemas.openxmlformats.org/officeDocument/2006/relationships/hyperlink" Target="https://www.zillow.com/homedetails/16-Park-Ave-Venice-CA-90291/20482259_zpid/" TargetMode="External"/><Relationship Id="rId1215" Type="http://schemas.openxmlformats.org/officeDocument/2006/relationships/hyperlink" Target="https://www.zillow.com/homedetails/1224-Wesley-Ave-Pasadena-CA-91104/20871318_zpid/" TargetMode="External"/><Relationship Id="rId1422" Type="http://schemas.openxmlformats.org/officeDocument/2006/relationships/hyperlink" Target="https://www.zillow.com/homedetails/1524-N-Sierra-Bonita-Ave-Los-Angeles-CA-90046/20794339_zpid/?utm_campaign=iosappmessage&amp;utm_medium=referral&amp;utm_source=txtshare" TargetMode="External"/><Relationship Id="rId1867" Type="http://schemas.openxmlformats.org/officeDocument/2006/relationships/hyperlink" Target="https://drive.google.com/open?id=1OcdmPB655eGCAnCdLQuN9mxRTCXLK6yk" TargetMode="External"/><Relationship Id="rId61" Type="http://schemas.openxmlformats.org/officeDocument/2006/relationships/hyperlink" Target="https://www.zillow.com/homedetails/8-Rancho-Laguna-Dr-Pomona-CA-91766/21662573_zpid/?utm_campaign=iosappmessage&amp;utm_medium=referral&amp;utm_source=txtshare" TargetMode="External"/><Relationship Id="rId1727" Type="http://schemas.openxmlformats.org/officeDocument/2006/relationships/hyperlink" Target="https://www.zillow.com/homedetails/1928-Melwood-Dr-Glendale-CA-91207/20838315_zpid/" TargetMode="External"/><Relationship Id="rId1934" Type="http://schemas.openxmlformats.org/officeDocument/2006/relationships/hyperlink" Target="https://drive.google.com/open?id=1GSZB4hHnv2Tn6-LfsIPMMiW7rQx_QLO_" TargetMode="External"/><Relationship Id="rId19" Type="http://schemas.openxmlformats.org/officeDocument/2006/relationships/hyperlink" Target="https://drive.google.com/open?id=1LFNYyfOfLWzQJCUTfqJyy5sO9xFI8daV" TargetMode="External"/><Relationship Id="rId2196" Type="http://schemas.openxmlformats.org/officeDocument/2006/relationships/hyperlink" Target="https://www.zillow.com/homedetails/12340-Moorpark-St-Studio-City-CA-91604/20026068_zpid/" TargetMode="External"/><Relationship Id="rId168" Type="http://schemas.openxmlformats.org/officeDocument/2006/relationships/hyperlink" Target="https://www.redfin.com/CA/Venice/543-Rialto-Ave-90291/home/23075948" TargetMode="External"/><Relationship Id="rId375" Type="http://schemas.openxmlformats.org/officeDocument/2006/relationships/hyperlink" Target="https://drive.google.com/open?id=1qjQGpYS4NVE8KEG0qchARlBWc0TQcv9A" TargetMode="External"/><Relationship Id="rId582" Type="http://schemas.openxmlformats.org/officeDocument/2006/relationships/hyperlink" Target="https://www.zillow.com/homedetails/748-S-Cloverdale-Ave-Los-Angeles-CA-90036/20610066_zpid/" TargetMode="External"/><Relationship Id="rId2056" Type="http://schemas.openxmlformats.org/officeDocument/2006/relationships/hyperlink" Target="https://www.zillow.com/homedetails/Santa-Monica-CA-90403/20478774_zpid/" TargetMode="External"/><Relationship Id="rId2263" Type="http://schemas.openxmlformats.org/officeDocument/2006/relationships/hyperlink" Target="https://www.zillow.com/homedetails/477-N-Baldwin-Ave-Sierra-Madre-CA-91024/20882270_zpid/" TargetMode="External"/><Relationship Id="rId3" Type="http://schemas.openxmlformats.org/officeDocument/2006/relationships/hyperlink" Target="https://www.zillow.com/homedetails/11708-Exposition-Blvd-Los-Angeles-CA-90064/20464795_zpid/?utm_campaign=iosappmessage&amp;utm_medium=referral&amp;utm_source=txtshare" TargetMode="External"/><Relationship Id="rId235" Type="http://schemas.openxmlformats.org/officeDocument/2006/relationships/hyperlink" Target="https://www.zillow.com/homedetails/8966-Shoreham-Dr-Los-Angeles-CA-90069/20799415_zpid/" TargetMode="External"/><Relationship Id="rId442" Type="http://schemas.openxmlformats.org/officeDocument/2006/relationships/hyperlink" Target="https://www.zillow.com/homedetails/2655-Creston-Dr-Los-Angeles-CA-90068/20806979_zpid/" TargetMode="External"/><Relationship Id="rId887" Type="http://schemas.openxmlformats.org/officeDocument/2006/relationships/hyperlink" Target="https://drive.google.com/open?id=1gfYUzh7ZpO48bEZy7LB5YEUsQucAcZSg" TargetMode="External"/><Relationship Id="rId1072" Type="http://schemas.openxmlformats.org/officeDocument/2006/relationships/hyperlink" Target="https://drive.google.com/open?id=1eo-BlXbxzZOEVKX1nrlaIwxqef2n3cRY" TargetMode="External"/><Relationship Id="rId2123" Type="http://schemas.openxmlformats.org/officeDocument/2006/relationships/hyperlink" Target="https://drive.google.com/open?id=1_NuodRg3Lyg5gGt3hW7bqc0u1oNBVp6A" TargetMode="External"/><Relationship Id="rId2330" Type="http://schemas.openxmlformats.org/officeDocument/2006/relationships/hyperlink" Target="https://drive.google.com/open?id=1jshdvKtA70EvNpsHViX6Zbk3eS09q9-Y" TargetMode="External"/><Relationship Id="rId302" Type="http://schemas.openxmlformats.org/officeDocument/2006/relationships/hyperlink" Target="https://www.zillow.com/homedetails/1026-E-Verdugo-Ave-Burbank-CA-91501/20054588_zpid/?utm_campaign=androidappmessage&amp;utm_medium=referral&amp;utm_source=txtshare" TargetMode="External"/><Relationship Id="rId747" Type="http://schemas.openxmlformats.org/officeDocument/2006/relationships/hyperlink" Target="https://drive.google.com/open?id=1N_mo8xWs7IIbk4m67SpLKo0l3S6P4iOV" TargetMode="External"/><Relationship Id="rId954" Type="http://schemas.openxmlformats.org/officeDocument/2006/relationships/hyperlink" Target="https://www.compass.com/listing/5222-ventura-canyon-avenue-sherman-oaks-ca-91401/1749053077309590265/" TargetMode="External"/><Relationship Id="rId1377" Type="http://schemas.openxmlformats.org/officeDocument/2006/relationships/hyperlink" Target="https://www.zillow.com/homedetails/222-7th-St-UNIT-202-Santa-Monica-CA-90402/20485881_zpid/" TargetMode="External"/><Relationship Id="rId1584" Type="http://schemas.openxmlformats.org/officeDocument/2006/relationships/hyperlink" Target="https://www.trulia.com/home/11843-apple-grove-ln-sylmar-ca-91342-95671061" TargetMode="External"/><Relationship Id="rId1791" Type="http://schemas.openxmlformats.org/officeDocument/2006/relationships/hyperlink" Target="https://www.zillow.com/homedetails/3639-Shady-Oak-Rd-Studio-City-CA-91604/20029790_zpid/" TargetMode="External"/><Relationship Id="rId83" Type="http://schemas.openxmlformats.org/officeDocument/2006/relationships/hyperlink" Target="https://drive.google.com/open?id=1yXe6Ac2kk8syGVdp2eVnmztgqk2TvenN" TargetMode="External"/><Relationship Id="rId607" Type="http://schemas.openxmlformats.org/officeDocument/2006/relationships/hyperlink" Target="https://www.zillow.com/homedetails/1104-Casiano-Rd-Los-Angeles-CA-90049/20528677_zpid/" TargetMode="External"/><Relationship Id="rId814" Type="http://schemas.openxmlformats.org/officeDocument/2006/relationships/hyperlink" Target="https://drive.google.com/open?id=1p94nlE3V3myTnWaoHP5hQZl_6-IGICRa" TargetMode="External"/><Relationship Id="rId1237" Type="http://schemas.openxmlformats.org/officeDocument/2006/relationships/hyperlink" Target="https://drive.google.com/open?id=1Y3kMINCYE3_WBrnk5-i4_CPKRXlwo7Ga" TargetMode="External"/><Relationship Id="rId1444" Type="http://schemas.openxmlformats.org/officeDocument/2006/relationships/hyperlink" Target="https://www.zillow.com/homedetails/22601-Iris-Ave-Torrance-CA-90505/21277590_zpid/" TargetMode="External"/><Relationship Id="rId1651" Type="http://schemas.openxmlformats.org/officeDocument/2006/relationships/hyperlink" Target="https://www.zillow.com/homedetails/2189-Sunset-Plaza-Dr-Los-Angeles-CA-90069/20800086_zpid/" TargetMode="External"/><Relationship Id="rId1889" Type="http://schemas.openxmlformats.org/officeDocument/2006/relationships/hyperlink" Target="https://drive.google.com/open?id=1juywM-kym7nVdk0LY0cLItTI0eYA1WdR" TargetMode="External"/><Relationship Id="rId1304" Type="http://schemas.openxmlformats.org/officeDocument/2006/relationships/hyperlink" Target="https://www.zillow.com/homedetails/1156-N-Orange-Dr-Los-Angeles-CA-90038/338340809_zpid/" TargetMode="External"/><Relationship Id="rId1511" Type="http://schemas.openxmlformats.org/officeDocument/2006/relationships/hyperlink" Target="https://www.zillow.com/homedetails/134-S-Carmelina-Ave-Los-Angeles-CA-90049/20538283_zpid/" TargetMode="External"/><Relationship Id="rId1749" Type="http://schemas.openxmlformats.org/officeDocument/2006/relationships/hyperlink" Target="https://www.zillow.com/homedetails/5107-11th-Ave-Los-Angeles-CA-90043/20567993_zpid/" TargetMode="External"/><Relationship Id="rId1956" Type="http://schemas.openxmlformats.org/officeDocument/2006/relationships/hyperlink" Target="https://www.compass.com/app/listing/2222-canalda-drive-la-canada-flintridge-ca-91011/1722841017790625713" TargetMode="External"/><Relationship Id="rId1609" Type="http://schemas.openxmlformats.org/officeDocument/2006/relationships/hyperlink" Target="https://livemwlofts.com/floorplans/" TargetMode="External"/><Relationship Id="rId1816" Type="http://schemas.openxmlformats.org/officeDocument/2006/relationships/hyperlink" Target="https://www.zillow.com/homedetails/5237-Leghorn-Ave-Van-Nuys-CA-91401/20015833_zpid/?utm_campaign=iosappmessage&amp;utm_medium=referral&amp;utm_source=txtshare" TargetMode="External"/><Relationship Id="rId10" Type="http://schemas.openxmlformats.org/officeDocument/2006/relationships/hyperlink" Target="https://www.zillow.com/homedetails/1923-Sunset-Plaza-Dr-Los-Angeles-CA-90069/20798097_zpid/" TargetMode="External"/><Relationship Id="rId397" Type="http://schemas.openxmlformats.org/officeDocument/2006/relationships/hyperlink" Target="https://www.zillow.com/homedetails/8666-Hollywood-Blvd-Los-Angeles-CA-90069/20799046_zpid/" TargetMode="External"/><Relationship Id="rId2078" Type="http://schemas.openxmlformats.org/officeDocument/2006/relationships/hyperlink" Target="https://drive.google.com/open?id=1SEbWddSaORn4EufjVFFS7IxaBkIiqQkL" TargetMode="External"/><Relationship Id="rId2285" Type="http://schemas.openxmlformats.org/officeDocument/2006/relationships/hyperlink" Target="https://drive.google.com/open?id=1rg-HaIMrocF7lOHUateHSFwxbG7mCwjc" TargetMode="External"/><Relationship Id="rId257" Type="http://schemas.openxmlformats.org/officeDocument/2006/relationships/hyperlink" Target="https://www.zillow.com/homedetails/1846-N-Alvarado-St-Los-Angeles-CA-90026/20742169_zpid/" TargetMode="External"/><Relationship Id="rId464" Type="http://schemas.openxmlformats.org/officeDocument/2006/relationships/hyperlink" Target="https://drive.google.com/open?id=18DUVbGXqcPf8qMcGuNClLaFdHEC3xGow" TargetMode="External"/><Relationship Id="rId1094" Type="http://schemas.openxmlformats.org/officeDocument/2006/relationships/hyperlink" Target="https://drive.google.com/open?id=1veM_gwZ48BVQ657F5hY3nMXpTMb0Bftz" TargetMode="External"/><Relationship Id="rId2145" Type="http://schemas.openxmlformats.org/officeDocument/2006/relationships/hyperlink" Target="https://www.zillow.com/homedetails/823-S-Sierra-Bonita-Ave-Los-Angeles-CA-90036/20610339_zpid/" TargetMode="External"/><Relationship Id="rId117" Type="http://schemas.openxmlformats.org/officeDocument/2006/relationships/hyperlink" Target="https://drive.google.com/open?id=1cdakQbu1clG1T5hojPoqQd22z_EhSDB2" TargetMode="External"/><Relationship Id="rId671" Type="http://schemas.openxmlformats.org/officeDocument/2006/relationships/hyperlink" Target="https://www.zillow.com/homedetails/16-Park-Ave-Venice-CA-90291/20482259_zpid/" TargetMode="External"/><Relationship Id="rId769" Type="http://schemas.openxmlformats.org/officeDocument/2006/relationships/hyperlink" Target="https://drive.google.com/open?id=1zq7sGmKX4LMWYLrExqaL0CgPqHv0hWQs" TargetMode="External"/><Relationship Id="rId976" Type="http://schemas.openxmlformats.org/officeDocument/2006/relationships/hyperlink" Target="https://drive.google.com/open?id=1eGESJjHae58-xlfD4KX1nCkuNdSNih1g" TargetMode="External"/><Relationship Id="rId1399" Type="http://schemas.openxmlformats.org/officeDocument/2006/relationships/hyperlink" Target="https://drive.google.com/open?id=10k86cidj7BDd03mSvF6Y5iDXjEibPkaK" TargetMode="External"/><Relationship Id="rId2352" Type="http://schemas.openxmlformats.org/officeDocument/2006/relationships/hyperlink" Target="https://drive.google.com/open?id=1SNgygrE-8VCnrRhMmJTyulvk8ttf7Ay5" TargetMode="External"/><Relationship Id="rId324" Type="http://schemas.openxmlformats.org/officeDocument/2006/relationships/hyperlink" Target="https://www.zillow.com/homedetails/208-Marine-Ave-Manhattan-Beach-CA-90266/20421873_zpid/" TargetMode="External"/><Relationship Id="rId531" Type="http://schemas.openxmlformats.org/officeDocument/2006/relationships/hyperlink" Target="https://drive.google.com/open?id=1yuzb9kS34TA4vdMTaZMNNQTxg6nP--IZ" TargetMode="External"/><Relationship Id="rId629" Type="http://schemas.openxmlformats.org/officeDocument/2006/relationships/hyperlink" Target="https://drive.google.com/open?id=1pEZ5MOoXPIY_QDr3Al6APYByDbrsFLiU" TargetMode="External"/><Relationship Id="rId1161" Type="http://schemas.openxmlformats.org/officeDocument/2006/relationships/hyperlink" Target="https://www.zillow.com/homedetails/3055-Landa-St-Los-Angeles-CA-90039/20747666_zpid/" TargetMode="External"/><Relationship Id="rId1259" Type="http://schemas.openxmlformats.org/officeDocument/2006/relationships/hyperlink" Target="https://drive.google.com/open?id=147Wk_ZodFpzXpE1BzL8zX-e5AuiiMFC8" TargetMode="External"/><Relationship Id="rId1466" Type="http://schemas.openxmlformats.org/officeDocument/2006/relationships/hyperlink" Target="https://www.zillow.com/homedetails/11750-W-Sunset-Blvd-APT-311-Los-Angeles-CA-90049/20535208_zpid/" TargetMode="External"/><Relationship Id="rId2005" Type="http://schemas.openxmlformats.org/officeDocument/2006/relationships/hyperlink" Target="https://www.zillow.com/homedetails/6871-Pacific-View-Dr-Los-Angeles-CA-90068/20045524_zpid/" TargetMode="External"/><Relationship Id="rId2212" Type="http://schemas.openxmlformats.org/officeDocument/2006/relationships/hyperlink" Target="https://www.redfin.com/CA/Los-Angeles/1485-Westerly-Ter-90026/home/194389457" TargetMode="External"/><Relationship Id="rId836" Type="http://schemas.openxmlformats.org/officeDocument/2006/relationships/hyperlink" Target="https://www.zillow.com/homedetails/10923-Ayres-Ave-1-Los-Angeles-CA-90064/440958563_zpid/" TargetMode="External"/><Relationship Id="rId1021" Type="http://schemas.openxmlformats.org/officeDocument/2006/relationships/hyperlink" Target="https://drive.google.com/open?id=1qPZi2x2d81qHcZOPPWgk3Bm8faFf1etT" TargetMode="External"/><Relationship Id="rId1119" Type="http://schemas.openxmlformats.org/officeDocument/2006/relationships/hyperlink" Target="https://www.zillow.com/homedetails/9060-Harland-Ave-West-Hollywood-CA-90069/20518102_zpid/" TargetMode="External"/><Relationship Id="rId1673" Type="http://schemas.openxmlformats.org/officeDocument/2006/relationships/hyperlink" Target="https://www.zillow.com/homedetails/5150-Calvin-Ave-Tarzana-CA-91356/19940339_zpid/?utm_campaign=iosappmessage&amp;utm_medium=referral&amp;utm_source=txtshare" TargetMode="External"/><Relationship Id="rId1880" Type="http://schemas.openxmlformats.org/officeDocument/2006/relationships/hyperlink" Target="https://www.zillow.com/homedetails/18730-Hatteras-St-UNIT-49-Tarzana-CA-91356/19933668_zpid/" TargetMode="External"/><Relationship Id="rId1978" Type="http://schemas.openxmlformats.org/officeDocument/2006/relationships/hyperlink" Target="https://www.zillow.com/homedetails/13535-Bessemer-St-Van-Nuys-CA-91401/20007895_zpid/" TargetMode="External"/><Relationship Id="rId903" Type="http://schemas.openxmlformats.org/officeDocument/2006/relationships/hyperlink" Target="https://www.zillow.com/homedetails/1250-S-Beverly-Glen-Blvd-APT-107-Los-Angeles-CA-90024/20508096_zpid/" TargetMode="External"/><Relationship Id="rId1326" Type="http://schemas.openxmlformats.org/officeDocument/2006/relationships/hyperlink" Target="https://www.zillow.com/homedetails/9509-Cresta-Dr-Los-Angeles-CA-90035/20493657_zpid/" TargetMode="External"/><Relationship Id="rId1533" Type="http://schemas.openxmlformats.org/officeDocument/2006/relationships/hyperlink" Target="https://www.zillow.com/homedetails/22015-Mulholland-Way-Woodland-Hills-CA-91364/19943854_zpid/" TargetMode="External"/><Relationship Id="rId1740" Type="http://schemas.openxmlformats.org/officeDocument/2006/relationships/hyperlink" Target="https://www.zillow.com/homedetails/5902-Lemp-Ave-North-Hollywood-CA-91601/20012347_zpid/" TargetMode="External"/><Relationship Id="rId32" Type="http://schemas.openxmlformats.org/officeDocument/2006/relationships/hyperlink" Target="https://www.zillow.com/homedetails/8405-Edwin-Dr-Los-Angeles-CA-90046/20801360_zpid/" TargetMode="External"/><Relationship Id="rId1600" Type="http://schemas.openxmlformats.org/officeDocument/2006/relationships/hyperlink" Target="https://www.zillow.com/homedetails/Monrovia-CA-91016/21577579_zpid/" TargetMode="External"/><Relationship Id="rId1838" Type="http://schemas.openxmlformats.org/officeDocument/2006/relationships/hyperlink" Target="https://www.zillow.com/homedetails/801-S-Grand-Ave-APT-2010-Los-Angeles-CA-90017/67420686_zpid/" TargetMode="External"/><Relationship Id="rId181" Type="http://schemas.openxmlformats.org/officeDocument/2006/relationships/hyperlink" Target="https://www.zillow.com/homedetails/543-Perugia-Way-Los-Angeles-CA-90077/20526792_zpid/" TargetMode="External"/><Relationship Id="rId1905" Type="http://schemas.openxmlformats.org/officeDocument/2006/relationships/hyperlink" Target="https://www.zillow.com/homedetails/15316-Del-Gado-Dr-Sherman-Oaks-CA-91403/19990949_zpid/" TargetMode="External"/><Relationship Id="rId279" Type="http://schemas.openxmlformats.org/officeDocument/2006/relationships/hyperlink" Target="https://drive.google.com/open?id=1-Eb5AEYrX4Hfke_KyB58ZP98YUwDTlwr" TargetMode="External"/><Relationship Id="rId486" Type="http://schemas.openxmlformats.org/officeDocument/2006/relationships/hyperlink" Target="https://www.zillow.com/homedetails/8147-Mulholland-Ter-Los-Angeles-CA-90046/20031972_zpid/?utm_campaign=iosappmessage&amp;utm_medium=referral&amp;utm_source=txtshare" TargetMode="External"/><Relationship Id="rId693" Type="http://schemas.openxmlformats.org/officeDocument/2006/relationships/hyperlink" Target="https://drive.google.com/open?id=1YfA8WvE-02u1yo5LCj4wODpXVDyYdbDm" TargetMode="External"/><Relationship Id="rId2167" Type="http://schemas.openxmlformats.org/officeDocument/2006/relationships/hyperlink" Target="https://www.zillow.com/homedetails/10802-Wilkins-Ave-Los-Angeles-CA-90024/2053179796_zpid/" TargetMode="External"/><Relationship Id="rId2374" Type="http://schemas.openxmlformats.org/officeDocument/2006/relationships/hyperlink" Target="https://drive.google.com/open?id=1EP-QrkeUER7xQAwi7xD8gfgWZn_kacDO" TargetMode="External"/><Relationship Id="rId139" Type="http://schemas.openxmlformats.org/officeDocument/2006/relationships/hyperlink" Target="https://www.zillow.com/homedetails/Burbank-CA-91505/20065843_zpid/" TargetMode="External"/><Relationship Id="rId346" Type="http://schemas.openxmlformats.org/officeDocument/2006/relationships/hyperlink" Target="https://drive.google.com/open?id=1uPsZMr9JXmrdVRIOC1OSEDPL9WcA2L33" TargetMode="External"/><Relationship Id="rId553" Type="http://schemas.openxmlformats.org/officeDocument/2006/relationships/hyperlink" Target="https://drive.google.com/open?id=1VPQwGXo1jWxgkw6403xNgw9Ud7psstY5" TargetMode="External"/><Relationship Id="rId760" Type="http://schemas.openxmlformats.org/officeDocument/2006/relationships/hyperlink" Target="https://drive.google.com/open?id=12JMhD0VbAqf4yXuk03-lfsWrkJbxz98C" TargetMode="External"/><Relationship Id="rId998" Type="http://schemas.openxmlformats.org/officeDocument/2006/relationships/hyperlink" Target="https://drive.google.com/open?id=1GyelHmxswe5A6EuMtRgpuZtgvyp3lnFW" TargetMode="External"/><Relationship Id="rId1183" Type="http://schemas.openxmlformats.org/officeDocument/2006/relationships/hyperlink" Target="https://www.zillow.com/homedetails/417-1-2-S-Cochran-Ave-Los-Angeles-CA-90036/2082146739_zpid/" TargetMode="External"/><Relationship Id="rId1390" Type="http://schemas.openxmlformats.org/officeDocument/2006/relationships/hyperlink" Target="https://drive.google.com/open?id=1ehv4sjNnPAXAk4A4AUbuiLNsQ23GVlZo" TargetMode="External"/><Relationship Id="rId2027" Type="http://schemas.openxmlformats.org/officeDocument/2006/relationships/hyperlink" Target="https://www.zillow.com/homedetails/982-Hyperion-Ave-Los-Angeles-CA-90029/20745684_zpid/?utm_campaign=iosappmessage&amp;utm_medium=referral&amp;utm_source=txtshare" TargetMode="External"/><Relationship Id="rId2234" Type="http://schemas.openxmlformats.org/officeDocument/2006/relationships/hyperlink" Target="https://drive.google.com/open?id=1Y6VUJvtHp5CeZ_-_bRaybKbphdmnsZmB" TargetMode="External"/><Relationship Id="rId206" Type="http://schemas.openxmlformats.org/officeDocument/2006/relationships/hyperlink" Target="https://www.zillow.com/homedetails/2430-7th-St-Santa-Monica-CA-90405/20482351_zpid/?utm_campaign=iosappmessage&amp;utm_medium=referral&amp;utm_source=txtshare" TargetMode="External"/><Relationship Id="rId413" Type="http://schemas.openxmlformats.org/officeDocument/2006/relationships/hyperlink" Target="https://www.zillow.com/homedetails/11310-Valley-Spring-Ln-North-Hollywood-CA-91602/80620474_zpid/" TargetMode="External"/><Relationship Id="rId858" Type="http://schemas.openxmlformats.org/officeDocument/2006/relationships/hyperlink" Target="https://www.zillow.com/homedetails/5117-Bakman-Ave-North-Hollywood-CA-91601/2131031938_zpid/" TargetMode="External"/><Relationship Id="rId1043" Type="http://schemas.openxmlformats.org/officeDocument/2006/relationships/hyperlink" Target="https://drive.google.com/open?id=13aKnweom7cLN0WjP9Ef2BlvyOCm0ZUwg" TargetMode="External"/><Relationship Id="rId1488" Type="http://schemas.openxmlformats.org/officeDocument/2006/relationships/hyperlink" Target="https://www.zillow.com/homedetails/5115-Kester-Ave-APT-9-Sherman-Oaks-CA-91403/19981877_zpid/" TargetMode="External"/><Relationship Id="rId1695" Type="http://schemas.openxmlformats.org/officeDocument/2006/relationships/hyperlink" Target="https://www.zillow.com/homedetails/9962-Pacific-Ave-Anaheim-CA-92804/25222080_zpid/" TargetMode="External"/><Relationship Id="rId620" Type="http://schemas.openxmlformats.org/officeDocument/2006/relationships/hyperlink" Target="https://www.zillow.com/homedetails/724-S-Gramercy-Dr-Los-Angeles-CA-90005/2070015636_zpid/?utm_campaign=iosappmessage&amp;utm_medium=referral&amp;utm_source=txtshare" TargetMode="External"/><Relationship Id="rId718" Type="http://schemas.openxmlformats.org/officeDocument/2006/relationships/hyperlink" Target="https://www.zillow.com/homedetails/16070-W-Sunset-Blvd-FLOOR-1-ID361-Pacific-Palisades-CA-90272/2066994843_zpid/" TargetMode="External"/><Relationship Id="rId925" Type="http://schemas.openxmlformats.org/officeDocument/2006/relationships/hyperlink" Target="https://www.zillow.com/homedetails/Tarzana-CA-91356/19948070_zpid/" TargetMode="External"/><Relationship Id="rId1250" Type="http://schemas.openxmlformats.org/officeDocument/2006/relationships/hyperlink" Target="https://www.zillow.com/homedetails/1524-N-Sierra-Bonita-Ave-Los-Angeles-CA-90046/20794339_zpid/?utm_campaign=iosappmessage&amp;utm_medium=referral&amp;utm_source=txtshare" TargetMode="External"/><Relationship Id="rId1348" Type="http://schemas.openxmlformats.org/officeDocument/2006/relationships/hyperlink" Target="https://www.zillow.com/homedetails/4411-Roma-Ct-Marina-Del-Rey-CA-90292/20487766_zpid/" TargetMode="External"/><Relationship Id="rId1555" Type="http://schemas.openxmlformats.org/officeDocument/2006/relationships/hyperlink" Target="https://www.zillow.com/homedetails/3623-Saint-Elizabeth-Rd-Glendale-CA-91206/20841809_zpid/" TargetMode="External"/><Relationship Id="rId1762" Type="http://schemas.openxmlformats.org/officeDocument/2006/relationships/hyperlink" Target="https://www.zillow.com/homedetails/822-S-Plymouth-Blvd-2-Los-Angeles-CA-90005/339398724_zpid/" TargetMode="External"/><Relationship Id="rId2301" Type="http://schemas.openxmlformats.org/officeDocument/2006/relationships/hyperlink" Target="https://www.zillow.com/homedetails/16221-Elisa-Pl-Encino-CA-91436/19991926_zpid/?utm_campaign=iosappmessage&amp;utm_medium=referral&amp;utm_source=txtshare" TargetMode="External"/><Relationship Id="rId1110" Type="http://schemas.openxmlformats.org/officeDocument/2006/relationships/hyperlink" Target="https://drive.google.com/open?id=1ITzHGNRLjU6llfOsBaHqda9F3yG5xVr4" TargetMode="External"/><Relationship Id="rId1208" Type="http://schemas.openxmlformats.org/officeDocument/2006/relationships/hyperlink" Target="https://www.zillow.com/homedetails/17862-Via-Vallarta-Encino-CA-91316/19950893_zpid/" TargetMode="External"/><Relationship Id="rId1415" Type="http://schemas.openxmlformats.org/officeDocument/2006/relationships/hyperlink" Target="https://www.redfin.com/CA/Los-Angeles/637-N-Gardner-St-90036/home/7102773" TargetMode="External"/><Relationship Id="rId54" Type="http://schemas.openxmlformats.org/officeDocument/2006/relationships/hyperlink" Target="https://www.zillow.com/homedetails/2527-E-Cameron-Ave-West-Covina-CA-91791/21571053_zpid/?utm_campaign=iosappmessage&amp;utm_medium=referral&amp;utm_source=txtshare" TargetMode="External"/><Relationship Id="rId1622" Type="http://schemas.openxmlformats.org/officeDocument/2006/relationships/hyperlink" Target="https://www.zillow.com/homedetails/817-N-Whittier-Dr-Beverly-Hills-CA-90210/20521923_zpid/" TargetMode="External"/><Relationship Id="rId1927" Type="http://schemas.openxmlformats.org/officeDocument/2006/relationships/hyperlink" Target="https://www.zillow.com/homedetails/432-N-Oakhurst-Dr-407-Beverly-Hills-CA-90210/119677448_zpid/?utm_campaign=iosappmessage&amp;utm_medium=referral&amp;utm_source=txtshare" TargetMode="External"/><Relationship Id="rId2091" Type="http://schemas.openxmlformats.org/officeDocument/2006/relationships/hyperlink" Target="https://www.zillow.com/homedetails/906-S-Wooster-St-APT-301-Los-Angeles-CA-90035/2078903979_zpid/" TargetMode="External"/><Relationship Id="rId2189" Type="http://schemas.openxmlformats.org/officeDocument/2006/relationships/hyperlink" Target="https://www.zillow.com/homedetails/1544-Ard-Eevin-Ave-Glendale-CA-91202/20827167_zpid/" TargetMode="External"/><Relationship Id="rId270" Type="http://schemas.openxmlformats.org/officeDocument/2006/relationships/hyperlink" Target="https://www.zillow.com/homedetails/1801-Roscomare-Rd-Los-Angeles-CA-90077/20530151_zpid/" TargetMode="External"/><Relationship Id="rId130" Type="http://schemas.openxmlformats.org/officeDocument/2006/relationships/hyperlink" Target="https://www.zillow.com/homedetails/1026-E-Verdugo-Ave-Burbank-CA-91501/20054588_zpid/" TargetMode="External"/><Relationship Id="rId368" Type="http://schemas.openxmlformats.org/officeDocument/2006/relationships/hyperlink" Target="https://www.zillow.com/homedetails/1920-Sunset-Plaza-Dr-Los-Angeles-CA-90069/20798268_zpid/" TargetMode="External"/><Relationship Id="rId575" Type="http://schemas.openxmlformats.org/officeDocument/2006/relationships/hyperlink" Target="https://www.zillow.com/homedetails/2559-Hutton-Dr-Beverly-Hills-CA-90210/20532078_zpid/" TargetMode="External"/><Relationship Id="rId782" Type="http://schemas.openxmlformats.org/officeDocument/2006/relationships/hyperlink" Target="https://www.zillow.com/homedetails/672-Walther-Way-Los-Angeles-CA-90049/2059425368_zpid/" TargetMode="External"/><Relationship Id="rId2049" Type="http://schemas.openxmlformats.org/officeDocument/2006/relationships/hyperlink" Target="https://drive.google.com/open?id=1Vrs8lpZ6jHhn1uUVY6_cmv9oM3Ld9RYs" TargetMode="External"/><Relationship Id="rId2256" Type="http://schemas.openxmlformats.org/officeDocument/2006/relationships/hyperlink" Target="https://drive.google.com/open?id=1c6Sydm4-gMhMndgiC83egOxF0gnDXgx1" TargetMode="External"/><Relationship Id="rId228" Type="http://schemas.openxmlformats.org/officeDocument/2006/relationships/hyperlink" Target="https://www.zillow.com/homedetails/138-N-Hamel-Dr-Beverly-Hills-CA-90211/20514615_zpid/" TargetMode="External"/><Relationship Id="rId435" Type="http://schemas.openxmlformats.org/officeDocument/2006/relationships/hyperlink" Target="https://www.zillow.com/homedetails/1659-Waynecrest-Dr-Beverly-Hills-CA-90210/20522844_zpid/" TargetMode="External"/><Relationship Id="rId642" Type="http://schemas.openxmlformats.org/officeDocument/2006/relationships/hyperlink" Target="https://www.zillow.com/homedetails/22720-Oxnard-St-2-Woodland-Hills-CA-91367/441854582_zpid/" TargetMode="External"/><Relationship Id="rId1065" Type="http://schemas.openxmlformats.org/officeDocument/2006/relationships/hyperlink" Target="https://www.zillow.com/homedetails/5028-Willowcrest-Ave-North-Hollywood-CA-91601/20041641_zpid/" TargetMode="External"/><Relationship Id="rId1272" Type="http://schemas.openxmlformats.org/officeDocument/2006/relationships/hyperlink" Target="https://www.zillow.com/homedetails/24375-Hatteras-St-Woodland-Hills-CA-91367/19880901_zpid/" TargetMode="External"/><Relationship Id="rId2116" Type="http://schemas.openxmlformats.org/officeDocument/2006/relationships/hyperlink" Target="https://www.zillow.com/homedetails/Topanga-CA-90290/2056259711_zpid/" TargetMode="External"/><Relationship Id="rId2323" Type="http://schemas.openxmlformats.org/officeDocument/2006/relationships/hyperlink" Target="https://www.zillow.com/homedetails/2245-S-Beverly-Glen-Blvd-203-Los-Angeles-CA-90064/2053363955_zpid/" TargetMode="External"/><Relationship Id="rId502" Type="http://schemas.openxmlformats.org/officeDocument/2006/relationships/hyperlink" Target="https://www.zillow.com/homedetails/748-S-Cloverdale-Ave-Los-Angeles-CA-90036/20610066_zpid/" TargetMode="External"/><Relationship Id="rId947" Type="http://schemas.openxmlformats.org/officeDocument/2006/relationships/hyperlink" Target="https://drive.google.com/open?id=1vXjfny69IBRHtjQTu2feytrPcfxAzACP" TargetMode="External"/><Relationship Id="rId1132" Type="http://schemas.openxmlformats.org/officeDocument/2006/relationships/hyperlink" Target="https://www.zillow.com/homedetails/620-N-Walden-Dr-Beverly-Hills-CA-90210/2054212565_zpid/" TargetMode="External"/><Relationship Id="rId1577" Type="http://schemas.openxmlformats.org/officeDocument/2006/relationships/hyperlink" Target="https://www.facebook.com/commerce/listing/1618477352367130/?media_id=2&amp;ref=share_attachment" TargetMode="External"/><Relationship Id="rId1784" Type="http://schemas.openxmlformats.org/officeDocument/2006/relationships/hyperlink" Target="https://www.zillow.com/homedetails/600-N-Soto-St-APT-101-Los-Angeles-CA-90033/2095350496_zpid/" TargetMode="External"/><Relationship Id="rId1991" Type="http://schemas.openxmlformats.org/officeDocument/2006/relationships/hyperlink" Target="https://drive.google.com/open?id=1pn0kwfZkL2-WngdNe1-LVyVVNrDpU54s" TargetMode="External"/><Relationship Id="rId76" Type="http://schemas.openxmlformats.org/officeDocument/2006/relationships/hyperlink" Target="https://www.zillow.com/homedetails/2390-Nalin-Dr-Los-Angeles-CA-90077/20531088_zpid/" TargetMode="External"/><Relationship Id="rId807" Type="http://schemas.openxmlformats.org/officeDocument/2006/relationships/hyperlink" Target="https://www.zillow.com/homedetails/138-N-Hamel-Dr-Beverly-Hills-CA-90211/20514615_zpid/" TargetMode="External"/><Relationship Id="rId1437" Type="http://schemas.openxmlformats.org/officeDocument/2006/relationships/hyperlink" Target="https://www.zillow.com/homedetails/3623-Saint-Elizabeth-Rd-Glendale-CA-91206/20841809_zpid/" TargetMode="External"/><Relationship Id="rId1644" Type="http://schemas.openxmlformats.org/officeDocument/2006/relationships/hyperlink" Target="https://drive.google.com/open?id=16NEcVCFACU4RoRKztFijkyzu0aRrpxrv" TargetMode="External"/><Relationship Id="rId1851" Type="http://schemas.openxmlformats.org/officeDocument/2006/relationships/hyperlink" Target="https://drive.google.com/open?id=1YJ9iNjd2jqgBhTMWO0MaET0eSm_iY3sV" TargetMode="External"/><Relationship Id="rId1504" Type="http://schemas.openxmlformats.org/officeDocument/2006/relationships/hyperlink" Target="https://drive.google.com/open?id=1h6eEO_3myR18tJWio_mxcmDSzzRfUKPe" TargetMode="External"/><Relationship Id="rId1711" Type="http://schemas.openxmlformats.org/officeDocument/2006/relationships/hyperlink" Target="https://drive.google.com/open?id=1FrrAyZGhDCraHCtlCGKNKcNKAacsjqRm" TargetMode="External"/><Relationship Id="rId1949" Type="http://schemas.openxmlformats.org/officeDocument/2006/relationships/hyperlink" Target="https://www.zillow.com/homedetails/1025-S-Berendo-St-402-Los-Angeles-CA-90006/2078084718_zpid/" TargetMode="External"/><Relationship Id="rId292" Type="http://schemas.openxmlformats.org/officeDocument/2006/relationships/hyperlink" Target="https://www.zillow.com/homedetails/15701-Royal-Ridge-Rd-Sherman-Oaks-CA-91403/19990414_zpid/" TargetMode="External"/><Relationship Id="rId1809" Type="http://schemas.openxmlformats.org/officeDocument/2006/relationships/hyperlink" Target="https://drive.google.com/open?id=1nQsJDgFIK7-01xB_Y3j7XfgMMAAgs0r_" TargetMode="External"/><Relationship Id="rId597" Type="http://schemas.openxmlformats.org/officeDocument/2006/relationships/hyperlink" Target="https://www.zillow.com/homedetails/13204-Hansworth-Ave-Hawthorne-CA-90250/20400640_zpid/?utm_campaign=iosappmessage&amp;utm_medium=referral&amp;utm_source=txtshare" TargetMode="External"/><Relationship Id="rId2180" Type="http://schemas.openxmlformats.org/officeDocument/2006/relationships/hyperlink" Target="https://www.zillow.com/homedetails/27589-Pacific-Coast-Hwy-Malibu-CA-90265/20554627_zpid/" TargetMode="External"/><Relationship Id="rId2278" Type="http://schemas.openxmlformats.org/officeDocument/2006/relationships/hyperlink" Target="https://www.zillow.com/homedetails/1587-La-Loma-Rd-Pasadena-CA-91105/20857360_zpid/" TargetMode="External"/><Relationship Id="rId152" Type="http://schemas.openxmlformats.org/officeDocument/2006/relationships/hyperlink" Target="https://drive.google.com/open?id=11cAHRfoxpgfHkcPpYA0d5if66ceWIRnH" TargetMode="External"/><Relationship Id="rId457" Type="http://schemas.openxmlformats.org/officeDocument/2006/relationships/hyperlink" Target="https://drive.google.com/open?id=1if9-R9HXJvapmlRaWUOW7IG3W041Glmf" TargetMode="External"/><Relationship Id="rId1087" Type="http://schemas.openxmlformats.org/officeDocument/2006/relationships/hyperlink" Target="https://drive.google.com/open?id=1WqbeUiUd34vfg--51Q8T-42iqlTcirRR" TargetMode="External"/><Relationship Id="rId1294" Type="http://schemas.openxmlformats.org/officeDocument/2006/relationships/hyperlink" Target="https://www.trulia.com/home/2928-las-alturas-st-los-angeles-ca-90068-20045443" TargetMode="External"/><Relationship Id="rId2040" Type="http://schemas.openxmlformats.org/officeDocument/2006/relationships/hyperlink" Target="https://www.zillow.com/homedetails/3649-Cazador-St-Los-Angeles-CA-90065/443934582_zpid/" TargetMode="External"/><Relationship Id="rId2138" Type="http://schemas.openxmlformats.org/officeDocument/2006/relationships/hyperlink" Target="https://www.zillow.com/homedetails/2371-Midvale-Ave-Los-Angeles-CA-90064/20501925_zpid/" TargetMode="External"/><Relationship Id="rId664" Type="http://schemas.openxmlformats.org/officeDocument/2006/relationships/hyperlink" Target="https://drive.google.com/open?id=1o7H4TmAFhYcInovJAyC3AZZluENsGEDx" TargetMode="External"/><Relationship Id="rId871" Type="http://schemas.openxmlformats.org/officeDocument/2006/relationships/hyperlink" Target="https://www.zillow.com/homedetails/6111-San-Vicente-Blvd-Los-Angeles-CA-90048/20609731_zpid/" TargetMode="External"/><Relationship Id="rId969" Type="http://schemas.openxmlformats.org/officeDocument/2006/relationships/hyperlink" Target="https://drive.google.com/open?id=1ojAz8CInNNo_u3TSdbHu5vFrbWfE02U0" TargetMode="External"/><Relationship Id="rId1599" Type="http://schemas.openxmlformats.org/officeDocument/2006/relationships/hyperlink" Target="https://drive.google.com/open?id=1SI6qP1Fyv4he6-LiUz6MTeeOnxDkiPf8" TargetMode="External"/><Relationship Id="rId2345" Type="http://schemas.openxmlformats.org/officeDocument/2006/relationships/hyperlink" Target="https://drive.google.com/open?id=12IhI1WA0aMWIZd-E31yMmaHvEPWtqnWY" TargetMode="External"/><Relationship Id="rId317" Type="http://schemas.openxmlformats.org/officeDocument/2006/relationships/hyperlink" Target="https://www.zillow.com/homedetails/1812-Navy-St-Santa-Monica-CA-90405/20472397_zpid/" TargetMode="External"/><Relationship Id="rId524" Type="http://schemas.openxmlformats.org/officeDocument/2006/relationships/hyperlink" Target="https://drive.google.com/open?id=103BLSYoIgGN6zJqNX5aO86D_qqOHQEa5" TargetMode="External"/><Relationship Id="rId731" Type="http://schemas.openxmlformats.org/officeDocument/2006/relationships/hyperlink" Target="https://drive.google.com/open?id=1Cp-hsZPhx9i3lznyjfgiJoUcvvQq9aeZ" TargetMode="External"/><Relationship Id="rId1154" Type="http://schemas.openxmlformats.org/officeDocument/2006/relationships/hyperlink" Target="https://www.zillow.com/homedetails/3180-Casitas-Ave-Los-Angeles-CA-90039/20750713_zpid/?utm_campaign=iosappmessage&amp;utm_medium=referral&amp;utm_source=txtshare" TargetMode="External"/><Relationship Id="rId1361" Type="http://schemas.openxmlformats.org/officeDocument/2006/relationships/hyperlink" Target="https://www.zillow.com/homedetails/2444-E-Del-Mar-Blvd-UNIT-115-Pasadena-CA-91107/20702157_zpid/" TargetMode="External"/><Relationship Id="rId1459" Type="http://schemas.openxmlformats.org/officeDocument/2006/relationships/hyperlink" Target="https://www.zillow.com/homedetails/19311-Inglewood-Ave-Torrance-CA-90503/21331251_zpid/" TargetMode="External"/><Relationship Id="rId2205" Type="http://schemas.openxmlformats.org/officeDocument/2006/relationships/hyperlink" Target="https://drive.google.com/open?id=1lsl9UArWXtrHschz8WHWj1I7KHMTE3cg" TargetMode="External"/><Relationship Id="rId98" Type="http://schemas.openxmlformats.org/officeDocument/2006/relationships/hyperlink" Target="https://www.zillow.com/homedetails/636-Acanto-St-APT-104-Los-Angeles-CA-90049/2123187503_zpid/" TargetMode="External"/><Relationship Id="rId829" Type="http://schemas.openxmlformats.org/officeDocument/2006/relationships/hyperlink" Target="https://drive.google.com/open?id=1V0FyQafcLdLlmVZb6RtYQo4PbXgUSdqg" TargetMode="External"/><Relationship Id="rId1014" Type="http://schemas.openxmlformats.org/officeDocument/2006/relationships/hyperlink" Target="https://www.redfin.com/CA/Los-Angeles/108-W-2nd-St-90012/unit-206/home/21923543" TargetMode="External"/><Relationship Id="rId1221" Type="http://schemas.openxmlformats.org/officeDocument/2006/relationships/hyperlink" Target="https://www.zillow.com/homedetails/802-N-Edinburgh-Ave-Los-Angeles-CA-90046/441737128_zpid/" TargetMode="External"/><Relationship Id="rId1666" Type="http://schemas.openxmlformats.org/officeDocument/2006/relationships/hyperlink" Target="https://www.zillow.com/homedetails/721-N-Spaulding-Ave-Los-Angeles-CA-90046/20785966_zpid/" TargetMode="External"/><Relationship Id="rId1873" Type="http://schemas.openxmlformats.org/officeDocument/2006/relationships/hyperlink" Target="https://www.zillow.com/homedetails/923-20th-St-APT-A-Santa-Monica-CA-90403/2123889522_zpid/" TargetMode="External"/><Relationship Id="rId1319" Type="http://schemas.openxmlformats.org/officeDocument/2006/relationships/hyperlink" Target="https://www.zillow.com/homedetails/1808-Paseo-Del-Mar-Palos-Verdes-Estates-CA-90274/21341208_zpid/" TargetMode="External"/><Relationship Id="rId1526" Type="http://schemas.openxmlformats.org/officeDocument/2006/relationships/hyperlink" Target="https://drive.google.com/open?id=1-QHUCZcHDOC7c-Mw-m89Msc9aX6yXakq" TargetMode="External"/><Relationship Id="rId1733" Type="http://schemas.openxmlformats.org/officeDocument/2006/relationships/hyperlink" Target="https://www.zillow.com/homedetails/6445-Deep-Dell-Pl-Los-Angeles-CA-90068/20804921_zpid/" TargetMode="External"/><Relationship Id="rId1940" Type="http://schemas.openxmlformats.org/officeDocument/2006/relationships/hyperlink" Target="https://drive.google.com/open?id=1UTbmVr-Nata3kl2h5A4V-Q7EUFz6L2-k" TargetMode="External"/><Relationship Id="rId25" Type="http://schemas.openxmlformats.org/officeDocument/2006/relationships/hyperlink" Target="https://drive.google.com/open?id=1N-jwy0O5CQlECavSOx0ioz1XnjQZUOe8" TargetMode="External"/><Relationship Id="rId1800" Type="http://schemas.openxmlformats.org/officeDocument/2006/relationships/hyperlink" Target="https://drive.google.com/open?id=1eK-xJJEYE2F9lniwb3_iSVGC1Y9nqt2Y" TargetMode="External"/><Relationship Id="rId174" Type="http://schemas.openxmlformats.org/officeDocument/2006/relationships/hyperlink" Target="https://drive.google.com/open?id=1kgpnFYZgOrMkdb1olE1zxVjCvuTjlBOO" TargetMode="External"/><Relationship Id="rId381" Type="http://schemas.openxmlformats.org/officeDocument/2006/relationships/hyperlink" Target="https://drive.google.com/open?id=1nUhxHUlZWRBrwRSE0-2jBaWPreBIuOlG" TargetMode="External"/><Relationship Id="rId2062" Type="http://schemas.openxmlformats.org/officeDocument/2006/relationships/hyperlink" Target="https://www.zillow.com/homedetails/8737-Rosewood-Ave-101-West-Hollywood-CA-90048/20516261_zpid/" TargetMode="External"/><Relationship Id="rId241" Type="http://schemas.openxmlformats.org/officeDocument/2006/relationships/hyperlink" Target="https://drive.google.com/open?id=1A-soIUjd5PAmtxUsxqHcRj8j0ub7wEGb" TargetMode="External"/><Relationship Id="rId479" Type="http://schemas.openxmlformats.org/officeDocument/2006/relationships/hyperlink" Target="https://www.zillow.com/homedetails/20-28th-Ave-APT-C-Venice-CA-90291/2092186923_zpid/" TargetMode="External"/><Relationship Id="rId686" Type="http://schemas.openxmlformats.org/officeDocument/2006/relationships/hyperlink" Target="https://www.zillow.com/homedetails/17063-San-Fernando-Mission-Blvd-Granada-Hills-CA-91344/20154671_zpid/" TargetMode="External"/><Relationship Id="rId893" Type="http://schemas.openxmlformats.org/officeDocument/2006/relationships/hyperlink" Target="https://www.zillow.com/homedetails/20300-Oxnard-St-Woodland-Hills-CA-91367/19931424_zpid/?utm_campaign=iosappmessage&amp;utm_medium=referral&amp;utm_source=txtshare" TargetMode="External"/><Relationship Id="rId2367" Type="http://schemas.openxmlformats.org/officeDocument/2006/relationships/hyperlink" Target="https://www.zillow.com/homedetails/3252-Oakshire-Dr-Los-Angeles-CA-90068/20045742_zpid/" TargetMode="External"/><Relationship Id="rId339" Type="http://schemas.openxmlformats.org/officeDocument/2006/relationships/hyperlink" Target="https://drive.google.com/open?id=1hWk_7Apx47z-2rzRs1WFiUWSkBoN2Bja" TargetMode="External"/><Relationship Id="rId546" Type="http://schemas.openxmlformats.org/officeDocument/2006/relationships/hyperlink" Target="https://www.zillow.com/homedetails/5709-Calvin-Ave-Tarzana-CA-91356/19932890_zpid/" TargetMode="External"/><Relationship Id="rId753" Type="http://schemas.openxmlformats.org/officeDocument/2006/relationships/hyperlink" Target="https://www.zillow.com/homedetails/592-30th-St-Manhattan-Beach-CA-90266/20420685_zpid/" TargetMode="External"/><Relationship Id="rId1176" Type="http://schemas.openxmlformats.org/officeDocument/2006/relationships/hyperlink" Target="https://www.zillow.com/homedetails/532-N-Rossmore-Ave-APT-103-Los-Angeles-CA-90004/20782624_zpid/" TargetMode="External"/><Relationship Id="rId1383" Type="http://schemas.openxmlformats.org/officeDocument/2006/relationships/hyperlink" Target="https://www.zillow.com/homedetails/547-Palisades-Beach-Rd-Santa-Monica-CA-90402/20486922_zpid/" TargetMode="External"/><Relationship Id="rId2227" Type="http://schemas.openxmlformats.org/officeDocument/2006/relationships/hyperlink" Target="https://www.zillow.com/homedetails/6216-Acadia-Ave-Agoura-Hills-CA-91301/19883802_zpid/?rtoken=d6ebb56f-63c7-4267-bc1d-c2146bdb0fe7~X1-ZUtjknhst6klqh_5cfwe&amp;utm_campaign=emo-instant_home_recs_email&amp;utm_source=email&amp;utm_term=urn:msg:20250109175333108919053300b629&amp;utm_medium=email&amp;utm_content=forsaleimage-_rid-fg6emvuxXzhMjdwdmpWUyD_" TargetMode="External"/><Relationship Id="rId101" Type="http://schemas.openxmlformats.org/officeDocument/2006/relationships/hyperlink" Target="https://drive.google.com/open?id=1CIKkpaEIAOHnw38kVHxej3ixDpajsgzN" TargetMode="External"/><Relationship Id="rId406" Type="http://schemas.openxmlformats.org/officeDocument/2006/relationships/hyperlink" Target="https://www.zillow.com/homedetails/3552-Federal-Ave-Los-Angeles-CA-90066/20458262_zpid/" TargetMode="External"/><Relationship Id="rId960" Type="http://schemas.openxmlformats.org/officeDocument/2006/relationships/hyperlink" Target="https://www.zillow.com/homedetails/626-University-Ave-Burbank-CA-91504/2062931190_zpid/" TargetMode="External"/><Relationship Id="rId1036" Type="http://schemas.openxmlformats.org/officeDocument/2006/relationships/hyperlink" Target="https://drive.google.com/open?id=1-QyWo-kww3SZJWmNlhDOLJntUGG4_kIc" TargetMode="External"/><Relationship Id="rId1243" Type="http://schemas.openxmlformats.org/officeDocument/2006/relationships/hyperlink" Target="https://drive.google.com/open?id=1RcCVF4sb3BB8ccKDUtiDnOdfJ0m5kV-n" TargetMode="External"/><Relationship Id="rId1590" Type="http://schemas.openxmlformats.org/officeDocument/2006/relationships/hyperlink" Target="https://www.trulia.com/home/202-s-raymond-ave-7-id856-pasadena-ca-91105-2061707930" TargetMode="External"/><Relationship Id="rId1688" Type="http://schemas.openxmlformats.org/officeDocument/2006/relationships/hyperlink" Target="https://drive.google.com/open?id=1fntv9rBiO7SS8ANWeurxInlGim5zSb0B" TargetMode="External"/><Relationship Id="rId1895" Type="http://schemas.openxmlformats.org/officeDocument/2006/relationships/hyperlink" Target="https://drive.google.com/open?id=1MPlixm_zmXjtr8DgaZZXLBChJ0iO8H68" TargetMode="External"/><Relationship Id="rId613" Type="http://schemas.openxmlformats.org/officeDocument/2006/relationships/hyperlink" Target="https://drive.google.com/open?id=1pM3ZPZnV-myvZbEfiT3yWRcjfMaovx-w" TargetMode="External"/><Relationship Id="rId820" Type="http://schemas.openxmlformats.org/officeDocument/2006/relationships/hyperlink" Target="https://www.zillow.com/homedetails/13018-Chandler-Blvd-Van-Nuys-CA-91401/440548973_zpid/" TargetMode="External"/><Relationship Id="rId918" Type="http://schemas.openxmlformats.org/officeDocument/2006/relationships/hyperlink" Target="https://www.zillow.com/homedetails/(undisclosed-Address)-Venice-CA-90291/20450249_zpid/?utm_campaign=iosappmessage&amp;utm_medium=referral&amp;utm_source=txtshare" TargetMode="External"/><Relationship Id="rId1450" Type="http://schemas.openxmlformats.org/officeDocument/2006/relationships/hyperlink" Target="https://www.zillow.com/homedetails/815-E-Chestnut-Ave-San-Gabriel-CA-91776/20725484_zpid/" TargetMode="External"/><Relationship Id="rId1548" Type="http://schemas.openxmlformats.org/officeDocument/2006/relationships/hyperlink" Target="https://drive.google.com/open?id=1QOimACWu0prpPFVPkCKiHAM71QDLs2pU" TargetMode="External"/><Relationship Id="rId1755" Type="http://schemas.openxmlformats.org/officeDocument/2006/relationships/hyperlink" Target="https://www.zillow.com/homedetails/1104-Exposition-Blvd-UNIT-2-Los-Angeles-CA-90007/2064322675_zpid/" TargetMode="External"/><Relationship Id="rId1103" Type="http://schemas.openxmlformats.org/officeDocument/2006/relationships/hyperlink" Target="https://www.zillow.com/homedetails/16679-Calneva-Dr-Encino-CA-91436/441577757_zpid/" TargetMode="External"/><Relationship Id="rId1310" Type="http://schemas.openxmlformats.org/officeDocument/2006/relationships/hyperlink" Target="https://www.zillow.com/homedetails/6740-Colgate-Ave-Los-Angeles-CA-90048/20776032_zpid/" TargetMode="External"/><Relationship Id="rId1408" Type="http://schemas.openxmlformats.org/officeDocument/2006/relationships/hyperlink" Target="https://drive.google.com/open?id=1XwVk29ZJ10q097mqReXgr4-BQYG7FNvU" TargetMode="External"/><Relationship Id="rId1962" Type="http://schemas.openxmlformats.org/officeDocument/2006/relationships/hyperlink" Target="https://drive.google.com/open?id=1DA7i4Vy24eMm4NyvDiHQWs5RMu1MZ6bp" TargetMode="External"/><Relationship Id="rId47" Type="http://schemas.openxmlformats.org/officeDocument/2006/relationships/hyperlink" Target="https://www.zillow.com/homedetails/2379-Venus-Dr-Los-Angeles-CA-90046/20802341_zpid/" TargetMode="External"/><Relationship Id="rId1615" Type="http://schemas.openxmlformats.org/officeDocument/2006/relationships/hyperlink" Target="https://click.mail.zillow.com/f/a/odLqG4NE7X4Cb46In8K9cA~~/AAAAAQA~/RgRpaporP0UvZW1vLWluc3RhbnRfaG9tZV9yZWNzX2VtYWlsX3JlbnQtZm9ycmVudGFkZHJlc3MEVwZ6aWxsb3dCCmd_KxWIZ-sjLYNSEXNhbXBvc2FAZ21haWwuY29tWAQAAAAA?target=https%3A%2F%2Fwww.zillow.com%2Fhomedetails%2F20450263_zpid%2F%3Frtoken%3D660516b1-d98a-4554-a551-af76cd91551e%257EX1-ZU17mgwnrvpqosp_8fetp%26utm_campaign%3Demo-instant_home_recs_email_rent%26utm_source%3Demail%26utm_term%3Durn%3Amsg%3A202501152006016717aa3d998816a2%26utm_medium%3Demail%26utm_content%3Dforrentaddress-_rid-ekjPd6ZndbHWNy3d9oyKg6_" TargetMode="External"/><Relationship Id="rId1822" Type="http://schemas.openxmlformats.org/officeDocument/2006/relationships/hyperlink" Target="https://www.zillow.com/homedetails/12311-Deana-St-El-Monte-CA-91732/21598789_zpid/" TargetMode="External"/><Relationship Id="rId196" Type="http://schemas.openxmlformats.org/officeDocument/2006/relationships/hyperlink" Target="https://www.zillow.com/homedetails/17821-San-Jose-St-Granada-Hills-CA-91344/20168586_zpid/" TargetMode="External"/><Relationship Id="rId2084" Type="http://schemas.openxmlformats.org/officeDocument/2006/relationships/hyperlink" Target="https://www.zillow.com/homedetails/1825-Thayer-Ave-Los-Angeles-CA-90025/20498309_zpid/" TargetMode="External"/><Relationship Id="rId2291" Type="http://schemas.openxmlformats.org/officeDocument/2006/relationships/hyperlink" Target="https://drive.google.com/open?id=1ZD3LcPGuI9lTefuoZTyE0PS2-H8SkPmZ" TargetMode="External"/><Relationship Id="rId263" Type="http://schemas.openxmlformats.org/officeDocument/2006/relationships/hyperlink" Target="https://drive.google.com/open?id=1W-ioNzPqFRqCqmztCBTDGiBYb4kwXgV2" TargetMode="External"/><Relationship Id="rId470" Type="http://schemas.openxmlformats.org/officeDocument/2006/relationships/hyperlink" Target="https://www.zillow.com/homedetails/4418-S-Slauson-Ave-402-Culver-City-CA-90230/440875021_zpid/" TargetMode="External"/><Relationship Id="rId2151" Type="http://schemas.openxmlformats.org/officeDocument/2006/relationships/hyperlink" Target="https://www.zillow.com/homedetails/19715-Linda-Dr-Torrance-CA-90503/21330436_zpid/" TargetMode="External"/><Relationship Id="rId123" Type="http://schemas.openxmlformats.org/officeDocument/2006/relationships/hyperlink" Target="https://drive.google.com/open?id=1IrXriRSXcp7ZJtW5_erTzE7xDkKv5TO5" TargetMode="External"/><Relationship Id="rId330" Type="http://schemas.openxmlformats.org/officeDocument/2006/relationships/hyperlink" Target="https://www.zillow.com/homedetails/3512-Crestmont-Ave-Los-Angeles-CA-90026/20746365_zpid/" TargetMode="External"/><Relationship Id="rId568" Type="http://schemas.openxmlformats.org/officeDocument/2006/relationships/hyperlink" Target="https://www.zillow.com/homedetails/1636-N-Occidental-Blvd-Los-Angeles-CA-90026/20743781_zpid/" TargetMode="External"/><Relationship Id="rId775" Type="http://schemas.openxmlformats.org/officeDocument/2006/relationships/hyperlink" Target="https://www.zillow.com/homedetails/8568-Burton-Way-APT-301-Los-Angeles-CA-90048/20514791_zpid/" TargetMode="External"/><Relationship Id="rId982" Type="http://schemas.openxmlformats.org/officeDocument/2006/relationships/hyperlink" Target="https://www.zillow.com/homedetails/1104-Casiano-Rd-Los-Angeles-CA-90049/20528677_zpid/" TargetMode="External"/><Relationship Id="rId1198" Type="http://schemas.openxmlformats.org/officeDocument/2006/relationships/hyperlink" Target="https://www.zillow.com/homedetails/2822-Oak-Point-Dr-Los-Angeles-CA-90068/20045383_zpid/?rtoken=52342285-6e47-4b10-8880-ecb1f26ed70b~X1-ZUycucvuvnqscp_6le3i&amp;utm_campaign=emo-propertyalertnew&amp;utm_source=email&amp;utm_term=urn:msg:20250114174940e9d2ee5dec8fdbbc&amp;utm_medium=email&amp;utm_content=forrentaddress" TargetMode="External"/><Relationship Id="rId2011" Type="http://schemas.openxmlformats.org/officeDocument/2006/relationships/hyperlink" Target="https://www.zillow.com/homedetails/17517-Tuscan-Dr-Granada-Hills-CA-91344/20104229_zpid/" TargetMode="External"/><Relationship Id="rId2249" Type="http://schemas.openxmlformats.org/officeDocument/2006/relationships/hyperlink" Target="https://www.zillow.com/homedetails/8160-Mannix-Dr-Los-Angeles-CA-90046/20797616_zpid/" TargetMode="External"/><Relationship Id="rId428" Type="http://schemas.openxmlformats.org/officeDocument/2006/relationships/hyperlink" Target="https://www.zillow.com/homedetails/9314-Sierra-Mar-Dr-Los-Angeles-CA-90069/20535099_zpid/" TargetMode="External"/><Relationship Id="rId635" Type="http://schemas.openxmlformats.org/officeDocument/2006/relationships/hyperlink" Target="https://drive.google.com/open?id=1Nxqci0VXzaI0dQ5G-0z_nixsmxcBqh0r" TargetMode="External"/><Relationship Id="rId842" Type="http://schemas.openxmlformats.org/officeDocument/2006/relationships/hyperlink" Target="https://drive.google.com/open?id=1zQy_r3JN941ZOrOhvPzV9Tm7nRPlY_GG" TargetMode="External"/><Relationship Id="rId1058" Type="http://schemas.openxmlformats.org/officeDocument/2006/relationships/hyperlink" Target="https://www.compass.com/listing/10941-cardamine-place-tujunga-ca-91042/1751119937148160233/" TargetMode="External"/><Relationship Id="rId1265" Type="http://schemas.openxmlformats.org/officeDocument/2006/relationships/hyperlink" Target="https://www.zillow.com/homedetails/748-N-Detroit-St-Los-Angeles-CA-90046/20784322_zpid/" TargetMode="External"/><Relationship Id="rId1472" Type="http://schemas.openxmlformats.org/officeDocument/2006/relationships/hyperlink" Target="https://www.zillow.com/homedetails/3185-Larga-Ave-C-Los-Angeles-CA-90039/2077459261_zpid/" TargetMode="External"/><Relationship Id="rId2109" Type="http://schemas.openxmlformats.org/officeDocument/2006/relationships/hyperlink" Target="https://www.redfin.com/CA/Studio-City/3639-Shady-Oak-Rd-91604/home/5249090" TargetMode="External"/><Relationship Id="rId2316" Type="http://schemas.openxmlformats.org/officeDocument/2006/relationships/hyperlink" Target="https://www.zillow.com/homedetails/2264-Duane-St-Los-Angeles-CA-90039/250336729_zpid/" TargetMode="External"/><Relationship Id="rId702" Type="http://schemas.openxmlformats.org/officeDocument/2006/relationships/hyperlink" Target="https://www.zillow.com/homedetails/233-17th-St-Manhattan-Beach-CA-90266/20421726_zpid/" TargetMode="External"/><Relationship Id="rId1125" Type="http://schemas.openxmlformats.org/officeDocument/2006/relationships/hyperlink" Target="https://www.zillow.com/homedetails/1141-Summit-Dr-Beverly-Hills-CA-90210/135433958_zpid/" TargetMode="External"/><Relationship Id="rId1332" Type="http://schemas.openxmlformats.org/officeDocument/2006/relationships/hyperlink" Target="https://www.redfin.com/CA/Calabasas/22740-Liberty-Bell-Rd-91302/home/3596428" TargetMode="External"/><Relationship Id="rId1777" Type="http://schemas.openxmlformats.org/officeDocument/2006/relationships/hyperlink" Target="https://www.zillow.com/homedetails/1800-N-Allen-Ave-Pasadena-CA-91104/442462723_zpid/" TargetMode="External"/><Relationship Id="rId1984" Type="http://schemas.openxmlformats.org/officeDocument/2006/relationships/hyperlink" Target="https://www.zillow.com/homedetails/13106-S-Vermont-Ave-APT-06-Gardena-CA-90247/2087578781_zpid/" TargetMode="External"/><Relationship Id="rId69" Type="http://schemas.openxmlformats.org/officeDocument/2006/relationships/hyperlink" Target="https://www.zillow.com/homedetails/710-Westbourne-Dr-West-Hollywood-CA-90069/2098186436_zpid/" TargetMode="External"/><Relationship Id="rId1637" Type="http://schemas.openxmlformats.org/officeDocument/2006/relationships/hyperlink" Target="https://www.redfin.com/CA/Los-Angeles/2438-Riverside-Pl-90039/home/7067705" TargetMode="External"/><Relationship Id="rId1844" Type="http://schemas.openxmlformats.org/officeDocument/2006/relationships/hyperlink" Target="https://drive.google.com/open?id=1DQ4uQNz32ojUh6ej8qhmkFtOlMb9wxz4" TargetMode="External"/><Relationship Id="rId1704" Type="http://schemas.openxmlformats.org/officeDocument/2006/relationships/hyperlink" Target="https://www.zillow.com/homedetails/8262-Woodshill-Trl-Los-Angeles-CA-90069/20797509_zpid/" TargetMode="External"/><Relationship Id="rId285" Type="http://schemas.openxmlformats.org/officeDocument/2006/relationships/hyperlink" Target="https://www.zillow.com/homedetails/3055-Landa-St-Los-Angeles-CA-90039/20747666_zpid/" TargetMode="External"/><Relationship Id="rId1911" Type="http://schemas.openxmlformats.org/officeDocument/2006/relationships/hyperlink" Target="https://www.zillow.com/homedetails/921-Georgina-Ave-Santa-Monica-CA-90402/20477436_zpid/" TargetMode="External"/><Relationship Id="rId492" Type="http://schemas.openxmlformats.org/officeDocument/2006/relationships/hyperlink" Target="https://www.zillow.com/homedetails/22731-Burbank-Blvd-Woodland-Hills-CA-91367/19878010_zpid/" TargetMode="External"/><Relationship Id="rId797" Type="http://schemas.openxmlformats.org/officeDocument/2006/relationships/hyperlink" Target="https://drive.google.com/open?id=1l6P2y4cxchVE90aPqvCEm4NywLnp46kx" TargetMode="External"/><Relationship Id="rId2173" Type="http://schemas.openxmlformats.org/officeDocument/2006/relationships/hyperlink" Target="https://www.zillow.com/homedetails/432-N-Oakhurst-Dr-407-Beverly-Hills-CA-90210/119677448_zpid/?utm_campaign=iosappmessage&amp;utm_medium=referral&amp;utm_source=txtshare" TargetMode="External"/><Relationship Id="rId2380" Type="http://schemas.openxmlformats.org/officeDocument/2006/relationships/hyperlink" Target="https://www.zillow.com/homedetails/955-W-Avenue-37-Los-Angeles-CA-90065/20760139_zpid/" TargetMode="External"/><Relationship Id="rId145" Type="http://schemas.openxmlformats.org/officeDocument/2006/relationships/hyperlink" Target="https://www.zillow.com/homedetails/2943-Virginia-Ave-Santa-Monica-CA-90404/20471162_zpid/?utm_campaign=iosappmessage&amp;utm_medium=referral&amp;utm_source=txtshare" TargetMode="External"/><Relationship Id="rId352" Type="http://schemas.openxmlformats.org/officeDocument/2006/relationships/hyperlink" Target="https://www.zillow.com/homedetails/1915-S-Crescent-Heights-Blvd-Los-Angeles-CA-90034/20598384_zpid/" TargetMode="External"/><Relationship Id="rId1287" Type="http://schemas.openxmlformats.org/officeDocument/2006/relationships/hyperlink" Target="https://www.zillow.com/homedetails/30028-Torrepines-Pl-Agoura-Hills-CA-91301/19887179_zpid/" TargetMode="External"/><Relationship Id="rId2033" Type="http://schemas.openxmlformats.org/officeDocument/2006/relationships/hyperlink" Target="https://www.zillow.com/homedetails/2642-Queen-St-Los-Angeles-CA-90039/20753265_zpid/" TargetMode="External"/><Relationship Id="rId2240" Type="http://schemas.openxmlformats.org/officeDocument/2006/relationships/hyperlink" Target="https://drive.google.com/open?id=1v5YbLxEiuEHe9EPwgvwK3-fq_Q7ckyrU" TargetMode="External"/><Relationship Id="rId212" Type="http://schemas.openxmlformats.org/officeDocument/2006/relationships/hyperlink" Target="https://drive.google.com/open?id=1BAJxou-I0vqezS1E3AQwDhD9IO1Fn5Z0" TargetMode="External"/><Relationship Id="rId657" Type="http://schemas.openxmlformats.org/officeDocument/2006/relationships/hyperlink" Target="https://www.zillow.com/homedetails/7901-Limerick-Ave-1-Winnetka-CA-91306/2054214691_zpid/" TargetMode="External"/><Relationship Id="rId864" Type="http://schemas.openxmlformats.org/officeDocument/2006/relationships/hyperlink" Target="https://drive.google.com/open?id=1qTq2JWwniDfHjbIDdDVfW_I468Qv23Vw" TargetMode="External"/><Relationship Id="rId1494" Type="http://schemas.openxmlformats.org/officeDocument/2006/relationships/hyperlink" Target="https://www.zillow.com/homedetails/5709-Calvin-Ave-Tarzana-CA-91356/19932890_zpid/" TargetMode="External"/><Relationship Id="rId1799" Type="http://schemas.openxmlformats.org/officeDocument/2006/relationships/hyperlink" Target="https://www.zillow.com/homedetails/10824-Chalon-Rd-Los-Angeles-CA-90077/20529073_zpid/" TargetMode="External"/><Relationship Id="rId2100" Type="http://schemas.openxmlformats.org/officeDocument/2006/relationships/hyperlink" Target="https://www.zillow.com/homedetails/1630-S-Gramercy-Pl-APT-2-Los-Angeles-CA-90019/2087232826_zpid/" TargetMode="External"/><Relationship Id="rId2338" Type="http://schemas.openxmlformats.org/officeDocument/2006/relationships/hyperlink" Target="https://drive.google.com/open?id=1gqTBWpNlUWdinI0IjDH9ajn6IOIrQ9nF" TargetMode="External"/><Relationship Id="rId517" Type="http://schemas.openxmlformats.org/officeDocument/2006/relationships/hyperlink" Target="https://drive.google.com/open?id=1XIWAmEMheuJtE6JHUCdlaJIJid8go9m1" TargetMode="External"/><Relationship Id="rId724" Type="http://schemas.openxmlformats.org/officeDocument/2006/relationships/hyperlink" Target="https://www.zillow.com/homedetails/1850-San-Jacinto-St-Los-Angeles-CA-90026/20747879_zpid/" TargetMode="External"/><Relationship Id="rId931" Type="http://schemas.openxmlformats.org/officeDocument/2006/relationships/hyperlink" Target="https://www.zillow.com/homedetails/23863-Friar-St-Woodland-Hills-CA-91367/19873812_zpid/" TargetMode="External"/><Relationship Id="rId1147" Type="http://schemas.openxmlformats.org/officeDocument/2006/relationships/hyperlink" Target="https://www.zillow.com/homedetails/10798-Lindbrook-Dr-Los-Angeles-CA-90024/20525012_zpid/" TargetMode="External"/><Relationship Id="rId1354" Type="http://schemas.openxmlformats.org/officeDocument/2006/relationships/hyperlink" Target="https://www.zillow.com/homedetails/6952-Solano-Verde-Dr-Somis-CA-93066/16346318_zpid/" TargetMode="External"/><Relationship Id="rId1561" Type="http://schemas.openxmlformats.org/officeDocument/2006/relationships/hyperlink" Target="https://www.redfin.com/CA/Los-Angeles/2243-Century-Hl-90067/home/6809489" TargetMode="External"/><Relationship Id="rId60" Type="http://schemas.openxmlformats.org/officeDocument/2006/relationships/hyperlink" Target="https://www.zillow.com/homedetails/3055-Landa-St-Los-Angeles-CA-90039/20747666_zpid/" TargetMode="External"/><Relationship Id="rId1007" Type="http://schemas.openxmlformats.org/officeDocument/2006/relationships/hyperlink" Target="https://www.zillow.com/homedetails/5028-Willowcrest-Ave-North-Hollywood-CA-91601/20041641_zpid/" TargetMode="External"/><Relationship Id="rId1214" Type="http://schemas.openxmlformats.org/officeDocument/2006/relationships/hyperlink" Target="https://www.zillow.com/homedetails/336-Museum-Dr-Los-Angeles-CA-90065/20761567_zpid/" TargetMode="External"/><Relationship Id="rId1421" Type="http://schemas.openxmlformats.org/officeDocument/2006/relationships/hyperlink" Target="https://www.zillow.com/homedetails/213-Via-Cordova-Newport-Beach-CA-92663/25464893_zpid/" TargetMode="External"/><Relationship Id="rId1659" Type="http://schemas.openxmlformats.org/officeDocument/2006/relationships/hyperlink" Target="https://www.zillow.com/homedetails/10660-W-Wilshire-Blvd-309-Los-Angeles-CA-90024/444004097_zpid/?utm_campaign=iosappmessage&amp;utm_medium=referral&amp;utm_source=txtshare" TargetMode="External"/><Relationship Id="rId1866" Type="http://schemas.openxmlformats.org/officeDocument/2006/relationships/hyperlink" Target="https://www.zillow.com/homedetails/3548-Poppy-Dr-Calabasas-CA-91302/63086404_zpid/" TargetMode="External"/><Relationship Id="rId1519" Type="http://schemas.openxmlformats.org/officeDocument/2006/relationships/hyperlink" Target="https://www.zillow.com/homedetails/6213-S-Budlong-Ave-Los-Angeles-CA-90044/443691128_zpid/" TargetMode="External"/><Relationship Id="rId1726" Type="http://schemas.openxmlformats.org/officeDocument/2006/relationships/hyperlink" Target="https://www.zillow.com/homedetails/13341-Cromwell-Dr-Tustin-CA-92780/25197305_zpid/" TargetMode="External"/><Relationship Id="rId1933" Type="http://schemas.openxmlformats.org/officeDocument/2006/relationships/hyperlink" Target="https://www.zillow.com/homedetails/6249-Tapia-Dr-Malibu-CA-90265/20557432_zpid/" TargetMode="External"/><Relationship Id="rId18" Type="http://schemas.openxmlformats.org/officeDocument/2006/relationships/hyperlink" Target="https://www.zillow.com/homedetails/6255-W-Olympic-Blvd-2-Los-Angeles-CA-90048/443225953_zpid/" TargetMode="External"/><Relationship Id="rId2195" Type="http://schemas.openxmlformats.org/officeDocument/2006/relationships/hyperlink" Target="https://www.redfin.com/CA/Venice/546-Broadway-St-90291/home/28904051" TargetMode="External"/><Relationship Id="rId167" Type="http://schemas.openxmlformats.org/officeDocument/2006/relationships/hyperlink" Target="https://www.zillow.com/homedetails/22738-Mobile-St-West-Hills-CA-91307/19877075_zpid/?utm_campaign=iosappmessage&amp;utm_medium=referral&amp;utm_source=txtshare" TargetMode="External"/><Relationship Id="rId374" Type="http://schemas.openxmlformats.org/officeDocument/2006/relationships/hyperlink" Target="https://www.zillow.com/homedetails/815-N-Whittier-Dr-Beverly-Hills-CA-90210/20521924_zpid/" TargetMode="External"/><Relationship Id="rId581" Type="http://schemas.openxmlformats.org/officeDocument/2006/relationships/hyperlink" Target="https://www.zillow.com/homedetails/1941-Glencoe-Way-Los-Angeles-CA-90068/20793801_zpid/" TargetMode="External"/><Relationship Id="rId2055" Type="http://schemas.openxmlformats.org/officeDocument/2006/relationships/hyperlink" Target="https://www.zillow.com/homedetails/4265-Marina-City-Dr-Marina-Del-Rey-CA-90292/20442244_zpid/" TargetMode="External"/><Relationship Id="rId2262" Type="http://schemas.openxmlformats.org/officeDocument/2006/relationships/hyperlink" Target="https://drive.google.com/open?id=1CrCZuUMYgaBxT6GgROjIkdQQ40ikdLj5" TargetMode="External"/><Relationship Id="rId234" Type="http://schemas.openxmlformats.org/officeDocument/2006/relationships/hyperlink" Target="https://drive.google.com/open?id=1Zev9PIso1a8dzC7pNzOUawwCr8wW--kN" TargetMode="External"/><Relationship Id="rId679" Type="http://schemas.openxmlformats.org/officeDocument/2006/relationships/hyperlink" Target="https://www.zillow.com/homedetails/1622-Viewmont-Dr-Los-Angeles-CA-90069/95641245_zpid/" TargetMode="External"/><Relationship Id="rId886" Type="http://schemas.openxmlformats.org/officeDocument/2006/relationships/hyperlink" Target="https://www.redfin.com/CA/Los-Angeles/2390-Nalin-Dr-90077/home/6831567" TargetMode="External"/><Relationship Id="rId2" Type="http://schemas.openxmlformats.org/officeDocument/2006/relationships/hyperlink" Target="https://drive.google.com/open?id=1aosZrpwKYKbiGa8tAUa069dR5YSk_L1Z" TargetMode="External"/><Relationship Id="rId441" Type="http://schemas.openxmlformats.org/officeDocument/2006/relationships/hyperlink" Target="https://drive.google.com/open?id=1GJ_HPbHk0cqknP6y4Ce4xHkp_no6Y9UQ" TargetMode="External"/><Relationship Id="rId539" Type="http://schemas.openxmlformats.org/officeDocument/2006/relationships/hyperlink" Target="https://www.zillow.com/homedetails/929-Marco-Pl-Venice-CA-90291/2071334027_zpid/" TargetMode="External"/><Relationship Id="rId746" Type="http://schemas.openxmlformats.org/officeDocument/2006/relationships/hyperlink" Target="https://www.zillow.com/homedetails/16-Park-Ave-Venice-CA-90291/20482259_zpid/" TargetMode="External"/><Relationship Id="rId1071" Type="http://schemas.openxmlformats.org/officeDocument/2006/relationships/hyperlink" Target="http://showmojo.com/lrt/9aaab72095" TargetMode="External"/><Relationship Id="rId1169" Type="http://schemas.openxmlformats.org/officeDocument/2006/relationships/hyperlink" Target="https://www.zillow.com/homedetails/8911-Cynthia-St-APT-10-West-Hollywood-CA-90069/2058171272_zpid/" TargetMode="External"/><Relationship Id="rId1376" Type="http://schemas.openxmlformats.org/officeDocument/2006/relationships/hyperlink" Target="https://drive.google.com/open?id=1v1H3QeJY_qq2mjOGOsY9-v_K-9KL0_Tt" TargetMode="External"/><Relationship Id="rId1583" Type="http://schemas.openxmlformats.org/officeDocument/2006/relationships/hyperlink" Target="https://drive.google.com/open?id=1Y3-Xq0ypre4qqlWKX6UpToVUmr_9-yHd" TargetMode="External"/><Relationship Id="rId2122" Type="http://schemas.openxmlformats.org/officeDocument/2006/relationships/hyperlink" Target="https://www.zillow.com/homedetails/5959-Franklin-Ave-APT-410-Los-Angeles-CA-90028/2089645455_zpid/" TargetMode="External"/><Relationship Id="rId301" Type="http://schemas.openxmlformats.org/officeDocument/2006/relationships/hyperlink" Target="https://drive.google.com/open?id=1QdCaG10dp_0I5G20noHWOZH14EruF-_M" TargetMode="External"/><Relationship Id="rId953" Type="http://schemas.openxmlformats.org/officeDocument/2006/relationships/hyperlink" Target="https://www.zillow.com/homedetails/13918-Chandler-Blvd-Van-Nuys-CA-91401/19974663_zpid/" TargetMode="External"/><Relationship Id="rId1029" Type="http://schemas.openxmlformats.org/officeDocument/2006/relationships/hyperlink" Target="https://drive.google.com/open?id=12H4FxQXgBkKaVEAFTiXemDdfNx08iwP8" TargetMode="External"/><Relationship Id="rId1236" Type="http://schemas.openxmlformats.org/officeDocument/2006/relationships/hyperlink" Target="https://www.zillow.com/homedetails/532-N-Rossmore-Ave-APT-103-Los-Angeles-CA-90004/20782624_zpid/" TargetMode="External"/><Relationship Id="rId1790" Type="http://schemas.openxmlformats.org/officeDocument/2006/relationships/hyperlink" Target="https://drive.google.com/open?id=1xx5niDLtCsyVXa6czw2Z-RFQx9ltmX9S" TargetMode="External"/><Relationship Id="rId1888" Type="http://schemas.openxmlformats.org/officeDocument/2006/relationships/hyperlink" Target="https://www.zillow.com/homedetails/5829-E-2nd-St-Long-Beach-CA-90803/21215596_zpid/" TargetMode="External"/><Relationship Id="rId82" Type="http://schemas.openxmlformats.org/officeDocument/2006/relationships/hyperlink" Target="https://www.zillow.com/homedetails/3715-Kelton-Ave-APT-3-Los-Angeles-CA-90034/2080996983_zpid/" TargetMode="External"/><Relationship Id="rId606" Type="http://schemas.openxmlformats.org/officeDocument/2006/relationships/hyperlink" Target="https://www.zillow.com/homedetails/190-Arroyo-Ter-APT-202-Pasadena-CA-91103/20857668_zpid/" TargetMode="External"/><Relationship Id="rId813" Type="http://schemas.openxmlformats.org/officeDocument/2006/relationships/hyperlink" Target="https://www.zillow.com/homedetails/812-N-Croft-Ave-APT-201-Los-Angeles-CA-90069/2098592518_zpid/" TargetMode="External"/><Relationship Id="rId1443" Type="http://schemas.openxmlformats.org/officeDocument/2006/relationships/hyperlink" Target="https://drive.google.com/open?id=1ElfqO42X1xb7ugCh3lKihcCpi1vpu9_z" TargetMode="External"/><Relationship Id="rId1650" Type="http://schemas.openxmlformats.org/officeDocument/2006/relationships/hyperlink" Target="https://drive.google.com/open?id=1k_ma6Gda-nBDFW9vc7UFi3rizsrZDvJw" TargetMode="External"/><Relationship Id="rId1748" Type="http://schemas.openxmlformats.org/officeDocument/2006/relationships/hyperlink" Target="https://www.zillow.com/homedetails/11431-Tiara-St-2-North-Hollywood-CA-91601/2075429500_zpid/" TargetMode="External"/><Relationship Id="rId1303" Type="http://schemas.openxmlformats.org/officeDocument/2006/relationships/hyperlink" Target="https://drive.google.com/open?id=1Yz_il5FvBrEiHSYezXfksBveYeItWXZT" TargetMode="External"/><Relationship Id="rId1510" Type="http://schemas.openxmlformats.org/officeDocument/2006/relationships/hyperlink" Target="https://drive.google.com/open?id=1Wrf_leVpIqTyyzeVzX_B2O-cjiuOtJ43" TargetMode="External"/><Relationship Id="rId1955" Type="http://schemas.openxmlformats.org/officeDocument/2006/relationships/hyperlink" Target="https://drive.google.com/open?id=1uBHI8XlmI-AmzXNoGWOKrr3xCJ8GxC5r" TargetMode="External"/><Relationship Id="rId1608" Type="http://schemas.openxmlformats.org/officeDocument/2006/relationships/hyperlink" Target="https://www.zillow.com/homedetails/80-Virginia-Ave-Pasadena-CA-91107/443940697_zpid/" TargetMode="External"/><Relationship Id="rId1815" Type="http://schemas.openxmlformats.org/officeDocument/2006/relationships/hyperlink" Target="https://www.zillow.com/homedetails/1456-Newport-Ave-Long-Beach-CA-90804/21226664_zpid/" TargetMode="External"/><Relationship Id="rId189" Type="http://schemas.openxmlformats.org/officeDocument/2006/relationships/hyperlink" Target="https://www.zillow.com/homedetails/12829-Jolette-Ave-Granada-Hills-CA-91344/20108763_zpid/" TargetMode="External"/><Relationship Id="rId396" Type="http://schemas.openxmlformats.org/officeDocument/2006/relationships/hyperlink" Target="https://drive.google.com/open?id=1x3Vp3RMfXD7RCn4k1KhkaLqNf2fMqP3e" TargetMode="External"/><Relationship Id="rId2077" Type="http://schemas.openxmlformats.org/officeDocument/2006/relationships/hyperlink" Target="https://www.zillow.com/homedetails/5041-Noeline-Ave-Encino-CA-91436/19980566_zpid/?utm_campaign=iosappmessage&amp;utm_medium=referral&amp;utm_source=txtshare" TargetMode="External"/><Relationship Id="rId2284" Type="http://schemas.openxmlformats.org/officeDocument/2006/relationships/hyperlink" Target="https://www.zillow.com/homedetails/201-S-Bristol-Ave-Los-Angeles-CA-90049/20538485_zpid/" TargetMode="External"/><Relationship Id="rId256" Type="http://schemas.openxmlformats.org/officeDocument/2006/relationships/hyperlink" Target="https://drive.google.com/open?id=1L6lLR96t0dkfGjJdxQLqEjpD7FQ2BMSf" TargetMode="External"/><Relationship Id="rId463" Type="http://schemas.openxmlformats.org/officeDocument/2006/relationships/hyperlink" Target="https://www.zillow.com/homedetails/Burbank-CA-91505/20062811_zpid/" TargetMode="External"/><Relationship Id="rId670" Type="http://schemas.openxmlformats.org/officeDocument/2006/relationships/hyperlink" Target="https://drive.google.com/open?id=1JIENl35wpgxW9OJ8hdptSZobmrIr8EEb" TargetMode="External"/><Relationship Id="rId1093" Type="http://schemas.openxmlformats.org/officeDocument/2006/relationships/hyperlink" Target="https://www.compass.com/listing/1537-wildwood-drive-eagle-rock-ca-90041/1750293297031826697/" TargetMode="External"/><Relationship Id="rId2144" Type="http://schemas.openxmlformats.org/officeDocument/2006/relationships/hyperlink" Target="https://drive.google.com/open?id=1_-4wDXJ2AeawEXkd9w8Nn6R1X0SGvOMF" TargetMode="External"/><Relationship Id="rId2351" Type="http://schemas.openxmlformats.org/officeDocument/2006/relationships/hyperlink" Target="https://www.zillow.com/homedetails/24098-Stone-Creek-Dr-Valencia-CA-91354/63088203_zpid/" TargetMode="External"/><Relationship Id="rId116" Type="http://schemas.openxmlformats.org/officeDocument/2006/relationships/hyperlink" Target="https://www.zillow.com/homedetails/5316-Teesdale-Ave-Valley-Village-CA-91607/2053789692_zpid/" TargetMode="External"/><Relationship Id="rId323" Type="http://schemas.openxmlformats.org/officeDocument/2006/relationships/hyperlink" Target="https://www.zillow.com/homedetails/907-Pine-Grove-Ave-Los-Angeles-CA-90042/20769156_zpid/?utm_campaign=iosappmessage&amp;utm_medium=referral&amp;utm_source=txtshare" TargetMode="External"/><Relationship Id="rId530" Type="http://schemas.openxmlformats.org/officeDocument/2006/relationships/hyperlink" Target="https://www.zillow.com/homedetails/1540-Marlay-Dr-Los-Angeles-CA-90069/20798020_zpid/" TargetMode="External"/><Relationship Id="rId768" Type="http://schemas.openxmlformats.org/officeDocument/2006/relationships/hyperlink" Target="https://www.redfin.com/CA/Los-Angeles/6358-La-Rocha-Dr-90068/home/7127670" TargetMode="External"/><Relationship Id="rId975" Type="http://schemas.openxmlformats.org/officeDocument/2006/relationships/hyperlink" Target="https://www.zillow.com/homedetails/5204-Etiwanda-Ave-Tarzana-CA-91356/19949467_zpid/" TargetMode="External"/><Relationship Id="rId1160" Type="http://schemas.openxmlformats.org/officeDocument/2006/relationships/hyperlink" Target="https://drive.google.com/open?id=1eEuG15FeQHAZFhvWGTcvI1-rocSS5ljT" TargetMode="External"/><Relationship Id="rId1398" Type="http://schemas.openxmlformats.org/officeDocument/2006/relationships/hyperlink" Target="https://www.zillow.com/homedetails/5190-Horizon-Dr-Malibu-CA-90265/95578986_zpid/" TargetMode="External"/><Relationship Id="rId2004" Type="http://schemas.openxmlformats.org/officeDocument/2006/relationships/hyperlink" Target="https://drive.google.com/open?id=17fSuSUVjPZSWLOTJG9-RavTkXcx2eAUn" TargetMode="External"/><Relationship Id="rId2211" Type="http://schemas.openxmlformats.org/officeDocument/2006/relationships/hyperlink" Target="https://www.redfin.com/CA/Los-Angeles/Inspire-Echo-Park/apartment/191903567" TargetMode="External"/><Relationship Id="rId628" Type="http://schemas.openxmlformats.org/officeDocument/2006/relationships/hyperlink" Target="https://www.zillow.com/homedetails/6056-Fountain-Ave-Los-Angeles-CA-90028/20789459_zpid/" TargetMode="External"/><Relationship Id="rId835" Type="http://schemas.openxmlformats.org/officeDocument/2006/relationships/hyperlink" Target="https://drive.google.com/open?id=1a6OxM_ZsH6kdmA_kCSOn_5CXmf_km6Ar" TargetMode="External"/><Relationship Id="rId1258" Type="http://schemas.openxmlformats.org/officeDocument/2006/relationships/hyperlink" Target="https://www.zillow.com/homedetails/2189-Sunset-Plaza-Dr-Los-Angeles-CA-90069/20800086_zpid/" TargetMode="External"/><Relationship Id="rId1465" Type="http://schemas.openxmlformats.org/officeDocument/2006/relationships/hyperlink" Target="https://drive.google.com/open?id=1hf8SwBwNaZVj0FV6VG8D7mKCuF_N8bR7" TargetMode="External"/><Relationship Id="rId1672" Type="http://schemas.openxmlformats.org/officeDocument/2006/relationships/hyperlink" Target="https://drive.google.com/open?id=146-3gPUz6qjsVF3qilEE1Xjr3IOOZPXo" TargetMode="External"/><Relationship Id="rId2309" Type="http://schemas.openxmlformats.org/officeDocument/2006/relationships/hyperlink" Target="https://www.zillow.com/homedetails/13106-S-Vermont-Ave-APT-06-Gardena-CA-90247/2087578781_zpid/" TargetMode="External"/><Relationship Id="rId1020" Type="http://schemas.openxmlformats.org/officeDocument/2006/relationships/hyperlink" Target="https://www.compass.com/listing/1536-blue-jay-way-los-angeles-ca-90069/1591519659078998841/" TargetMode="External"/><Relationship Id="rId1118" Type="http://schemas.openxmlformats.org/officeDocument/2006/relationships/hyperlink" Target="https://drive.google.com/open?id=159al1OGyUYkITkQztdNPBareJ7p-Wf-D" TargetMode="External"/><Relationship Id="rId1325" Type="http://schemas.openxmlformats.org/officeDocument/2006/relationships/hyperlink" Target="https://drive.google.com/open?id=1TCAbNSqcGvlq-_JXyPt6JZb98qAbB4o2" TargetMode="External"/><Relationship Id="rId1532" Type="http://schemas.openxmlformats.org/officeDocument/2006/relationships/hyperlink" Target="https://drive.google.com/open?id=1Xt7Vjk7jNojpOFhAmEEdTuEjj__J1ebT" TargetMode="External"/><Relationship Id="rId1977" Type="http://schemas.openxmlformats.org/officeDocument/2006/relationships/hyperlink" Target="https://www.zillow.com/homedetails/2714-Hollister-Ter-Glendale-CA-91206/20844682_zpid/?utm_campaign=iosappmessage&amp;utm_medium=referral&amp;utm_source=txtshare" TargetMode="External"/><Relationship Id="rId902" Type="http://schemas.openxmlformats.org/officeDocument/2006/relationships/hyperlink" Target="https://www.zillow.com/homedetails/Los-Angeles-CA-90077/20531944_zpid/?" TargetMode="External"/><Relationship Id="rId1837" Type="http://schemas.openxmlformats.org/officeDocument/2006/relationships/hyperlink" Target="https://drive.google.com/open?id=1n682evfJ0ztpvU7MOVN9_uHbwiso1Ssu" TargetMode="External"/><Relationship Id="rId31" Type="http://schemas.openxmlformats.org/officeDocument/2006/relationships/hyperlink" Target="https://www.zillow.com/homedetails/1702-Sunset-Plaza-Dr-Los-Angeles-CA-90069/20798287_zpid/" TargetMode="External"/><Relationship Id="rId2099" Type="http://schemas.openxmlformats.org/officeDocument/2006/relationships/hyperlink" Target="https://www.zillow.com/homedetails/5541-Bellaire-Ave-Valley-Village-CA-91607/20016625_zpid/" TargetMode="External"/><Relationship Id="rId180" Type="http://schemas.openxmlformats.org/officeDocument/2006/relationships/hyperlink" Target="https://drive.google.com/open?id=1PjPQuQ4SxY6Gy9B5K_xiqa11pCy1-2va" TargetMode="External"/><Relationship Id="rId278" Type="http://schemas.openxmlformats.org/officeDocument/2006/relationships/hyperlink" Target="https://www.zillow.com/homedetails/Burbank-CA-91505/20062811_zpid/" TargetMode="External"/><Relationship Id="rId1904" Type="http://schemas.openxmlformats.org/officeDocument/2006/relationships/hyperlink" Target="https://drive.google.com/open?id=1jful6JWBXQ3jPKA-QreKrR6Q-X2Bys-5" TargetMode="External"/><Relationship Id="rId485" Type="http://schemas.openxmlformats.org/officeDocument/2006/relationships/hyperlink" Target="https://www.zillow.com/homedetails/11361-Ovada-Pl-APT-2-Los-Angeles-CA-90049/2111162635_zpid/" TargetMode="External"/><Relationship Id="rId692" Type="http://schemas.openxmlformats.org/officeDocument/2006/relationships/hyperlink" Target="https://www.zillow.com/homedetails/512-Griswold-St-APT-6-Glendale-CA-91205/2089256757_zpid/" TargetMode="External"/><Relationship Id="rId2166" Type="http://schemas.openxmlformats.org/officeDocument/2006/relationships/hyperlink" Target="https://drive.google.com/open?id=1LCExxb9za-YE9oWU2q-7V26BRGIU-MWf" TargetMode="External"/><Relationship Id="rId2373" Type="http://schemas.openxmlformats.org/officeDocument/2006/relationships/hyperlink" Target="https://www.zillow.com/homedetails/2822-Oak-Point-Dr-Los-Angeles-CA-90068/20045383_zpid/" TargetMode="External"/><Relationship Id="rId138" Type="http://schemas.openxmlformats.org/officeDocument/2006/relationships/hyperlink" Target="https://drive.google.com/open?id=1ou9y_SxG7r66aEb26MltadhISkU0pfpz" TargetMode="External"/><Relationship Id="rId345" Type="http://schemas.openxmlformats.org/officeDocument/2006/relationships/hyperlink" Target="https://www.zillow.com/homedetails/11570-W-Sunset-Blvd-Los-Angeles-CA-90049/20527245_zpid/" TargetMode="External"/><Relationship Id="rId552" Type="http://schemas.openxmlformats.org/officeDocument/2006/relationships/hyperlink" Target="https://www.zillow.com/homedetails/11361-Ovada-Pl-APT-2-Los-Angeles-CA-90049/2111162635_zpid/" TargetMode="External"/><Relationship Id="rId997" Type="http://schemas.openxmlformats.org/officeDocument/2006/relationships/hyperlink" Target="https://www.zillow.com/homedetails/7135-Hollywood-Blvd-APT-702-Los-Angeles-CA-90046/20792737_zpid/" TargetMode="External"/><Relationship Id="rId1182" Type="http://schemas.openxmlformats.org/officeDocument/2006/relationships/hyperlink" Target="https://drive.google.com/open?id=1vX-nJ7f1LTWdg5s5EZMEfXqtcEL56ELS" TargetMode="External"/><Relationship Id="rId2026" Type="http://schemas.openxmlformats.org/officeDocument/2006/relationships/hyperlink" Target="https://drive.google.com/open?id=1IFPIV5YoKWDnFW6fowvbcuhLoZWw4mzm" TargetMode="External"/><Relationship Id="rId2233" Type="http://schemas.openxmlformats.org/officeDocument/2006/relationships/hyperlink" Target="https://www.zillow.com/homedetails/5051-Arundel-Dr-Woodland-Hills-CA-91364/19946455_zpid/" TargetMode="External"/><Relationship Id="rId205" Type="http://schemas.openxmlformats.org/officeDocument/2006/relationships/hyperlink" Target="https://drive.google.com/open?id=1-rNasGbTjI-w93MTPDozdiHKGN4qFyFr" TargetMode="External"/><Relationship Id="rId412" Type="http://schemas.openxmlformats.org/officeDocument/2006/relationships/hyperlink" Target="https://www.zillow.com/homedetails/11455-Segrell-Way-Culver-City-CA-90230/20438430_zpid/" TargetMode="External"/><Relationship Id="rId857" Type="http://schemas.openxmlformats.org/officeDocument/2006/relationships/hyperlink" Target="https://www.zillow.com/homedetails/3945-Eagle-Rock-Blvd-UNIT-49-Los-Angeles-CA-90065/124212301_zpid/" TargetMode="External"/><Relationship Id="rId1042" Type="http://schemas.openxmlformats.org/officeDocument/2006/relationships/hyperlink" Target="https://www.compass.com/listing/6760-gill-way-los-angeles-ca-90068/1752316050567855849/" TargetMode="External"/><Relationship Id="rId1487" Type="http://schemas.openxmlformats.org/officeDocument/2006/relationships/hyperlink" Target="https://drive.google.com/open?id=1z9LzIuRRJFbJ6JcCrVGK_Kb7TFP0hJ9W" TargetMode="External"/><Relationship Id="rId1694" Type="http://schemas.openxmlformats.org/officeDocument/2006/relationships/hyperlink" Target="https://drive.google.com/open?id=1oQWTO6NuCtgTenPU74YxLrGyD305hxsU" TargetMode="External"/><Relationship Id="rId2300" Type="http://schemas.openxmlformats.org/officeDocument/2006/relationships/hyperlink" Target="https://www.zillow.com/homedetails/8545-Franklin-Ave-Los-Angeles-CA-90069/20798381_zpid/?utm_campaign=iosappmessage&amp;utm_medium=referral&amp;utm_source=txtshare" TargetMode="External"/><Relationship Id="rId717" Type="http://schemas.openxmlformats.org/officeDocument/2006/relationships/hyperlink" Target="https://drive.google.com/open?id=1YoZzS-Zpo6z0Iuk307iFqld83xIY7I3M" TargetMode="External"/><Relationship Id="rId924" Type="http://schemas.openxmlformats.org/officeDocument/2006/relationships/hyperlink" Target="https://www.zillow.com/homedetails/(undisclosed-Address)-Venice-CA-90291/443897944_zpid/?utm_campaign=iosappmessage&amp;utm_medium=referral&amp;utm_source=txtshare" TargetMode="External"/><Relationship Id="rId1347" Type="http://schemas.openxmlformats.org/officeDocument/2006/relationships/hyperlink" Target="https://drive.google.com/open?id=15igRpIrHqTHy7uClvBJ2g28Es9F-wgBE" TargetMode="External"/><Relationship Id="rId1554" Type="http://schemas.openxmlformats.org/officeDocument/2006/relationships/hyperlink" Target="https://www.zillow.com/homedetails/114-N-Doheny-Dr-APT-402-West-Hollywood-CA-90048/2103862435_zpid/" TargetMode="External"/><Relationship Id="rId1761" Type="http://schemas.openxmlformats.org/officeDocument/2006/relationships/hyperlink" Target="https://drive.google.com/open?id=1ph2e8J0TJLbcwtf-0lQRgD8CWw89xqCc" TargetMode="External"/><Relationship Id="rId1999" Type="http://schemas.openxmlformats.org/officeDocument/2006/relationships/hyperlink" Target="https://www.zillow.com/homedetails/9742-Wendover-Dr-Beverly-Hills-CA-90210/20533273_zpid/" TargetMode="External"/><Relationship Id="rId53" Type="http://schemas.openxmlformats.org/officeDocument/2006/relationships/hyperlink" Target="https://www.zillow.com/homedetails/915-Edie-Dr-Duarte-CA-91010/58477819_zpid/?utm_campaign=iosappmessage&amp;utm_medium=referral&amp;utm_source=txtshare" TargetMode="External"/><Relationship Id="rId1207" Type="http://schemas.openxmlformats.org/officeDocument/2006/relationships/hyperlink" Target="https://drive.google.com/open?id=1YXrNSUF_IRiWVcU5rO4MsQdTHe2LJllv" TargetMode="External"/><Relationship Id="rId1414" Type="http://schemas.openxmlformats.org/officeDocument/2006/relationships/hyperlink" Target="https://drive.google.com/open?id=1zRAKdqGtj1Ewx-BbXjhtTKRRTuapmKOa" TargetMode="External"/><Relationship Id="rId1621" Type="http://schemas.openxmlformats.org/officeDocument/2006/relationships/hyperlink" Target="https://www.zillow.com/homedetails/Calabasas-CA-91302/20553413_zpid/" TargetMode="External"/><Relationship Id="rId1859" Type="http://schemas.openxmlformats.org/officeDocument/2006/relationships/hyperlink" Target="https://www.zillow.com/homedetails/29712-Zuma-Bay-Way-Malibu-CA-90265/20556841_zpid/" TargetMode="External"/><Relationship Id="rId1719" Type="http://schemas.openxmlformats.org/officeDocument/2006/relationships/hyperlink" Target="https://www.zillow.com/homedetails/11659-Chandler-Blvd-APT-4-North-Hollywood-CA-91601/2086789486_zpid/" TargetMode="External"/><Relationship Id="rId1926" Type="http://schemas.openxmlformats.org/officeDocument/2006/relationships/hyperlink" Target="https://drive.google.com/open?id=1J7ugfR93WEJeP-ZVaCDTWM3hfF_2Mlvg" TargetMode="External"/><Relationship Id="rId2090" Type="http://schemas.openxmlformats.org/officeDocument/2006/relationships/hyperlink" Target="https://www.zillow.com/homedetails/1947-S-Sherbourne-Dr-APT-6-Los-Angeles-CA-90034/2091331364_zpid/" TargetMode="External"/><Relationship Id="rId2188" Type="http://schemas.openxmlformats.org/officeDocument/2006/relationships/hyperlink" Target="https://drive.google.com/open?id=1XTV6ufUZHZKR5DxbwjcIBshfm7CdV9W4" TargetMode="External"/><Relationship Id="rId367" Type="http://schemas.openxmlformats.org/officeDocument/2006/relationships/hyperlink" Target="https://drive.google.com/open?id=1ATYe5B5jzNSry08ltD0XTPf2iHS8s37b" TargetMode="External"/><Relationship Id="rId574" Type="http://schemas.openxmlformats.org/officeDocument/2006/relationships/hyperlink" Target="https://www.zillow.com/homedetails/3055-Landa-St-Los-Angeles-CA-90039/20747666_zpid/" TargetMode="External"/><Relationship Id="rId2048" Type="http://schemas.openxmlformats.org/officeDocument/2006/relationships/hyperlink" Target="https://www.zillow.com/homedetails/13050-Blairwood-Dr-Studio-City-CA-91604/20032882_zpid/" TargetMode="External"/><Relationship Id="rId2255" Type="http://schemas.openxmlformats.org/officeDocument/2006/relationships/hyperlink" Target="https://www.zillow.com/homedetails/1277-Via-Esperanza-San-Dimas-CA-91773/21533522_zpid/" TargetMode="External"/><Relationship Id="rId227" Type="http://schemas.openxmlformats.org/officeDocument/2006/relationships/hyperlink" Target="https://drive.google.com/open?id=19BT85d6UwVi4gdzVdHL2EPPh1ua-ZVR6" TargetMode="External"/><Relationship Id="rId781" Type="http://schemas.openxmlformats.org/officeDocument/2006/relationships/hyperlink" Target="https://drive.google.com/open?id=10FAvISM95X3VVcUkk9fOLG_vyXcItjkP" TargetMode="External"/><Relationship Id="rId879" Type="http://schemas.openxmlformats.org/officeDocument/2006/relationships/hyperlink" Target="https://www.redfin.com/CA/Los-Angeles/1612-Courtney-Ave-90046/home/7115359" TargetMode="External"/><Relationship Id="rId434" Type="http://schemas.openxmlformats.org/officeDocument/2006/relationships/hyperlink" Target="https://www.zillow.com/homedetails/8911-Cynthia-St-APT-9-West-Hollywood-CA-90069/2100113899_zpid/" TargetMode="External"/><Relationship Id="rId641" Type="http://schemas.openxmlformats.org/officeDocument/2006/relationships/hyperlink" Target="https://drive.google.com/open?id=13ZcQBP_jqomhSvIrsusWt7B0KtBjWRXT" TargetMode="External"/><Relationship Id="rId739" Type="http://schemas.openxmlformats.org/officeDocument/2006/relationships/hyperlink" Target="https://drive.google.com/open?id=1F0ISGjC1XrIw04zLJ5cV3qC3AFX-IaX8" TargetMode="External"/><Relationship Id="rId1064" Type="http://schemas.openxmlformats.org/officeDocument/2006/relationships/hyperlink" Target="https://drive.google.com/open?id=1d2LYCUAfhBeAkX6RSww3qVzXG1ISwSdK" TargetMode="External"/><Relationship Id="rId1271" Type="http://schemas.openxmlformats.org/officeDocument/2006/relationships/hyperlink" Target="https://drive.google.com/open?id=168UrlOeiBHs5hm0XiFPrLzuB1RoR556r" TargetMode="External"/><Relationship Id="rId1369" Type="http://schemas.openxmlformats.org/officeDocument/2006/relationships/hyperlink" Target="https://www.zillow.com/homedetails/15-Outrigger-St-APT-102-Marina-Del-Rey-CA-90292/2091349239_zpid/" TargetMode="External"/><Relationship Id="rId1576" Type="http://schemas.openxmlformats.org/officeDocument/2006/relationships/hyperlink" Target="https://drive.google.com/open?id=1ZYiZ_02AsnSNoIcSEyx9nfB3GAMmh1_5" TargetMode="External"/><Relationship Id="rId2115" Type="http://schemas.openxmlformats.org/officeDocument/2006/relationships/hyperlink" Target="https://www.zillow.com/homedetails/1218-E-Tujunga-Ave-Burbank-CA-91501/20816771_zpid/" TargetMode="External"/><Relationship Id="rId2322" Type="http://schemas.openxmlformats.org/officeDocument/2006/relationships/hyperlink" Target="https://drive.google.com/open?id=1YiFPiHKNLcVjTcsoNGOqDzf80YBVAA4W" TargetMode="External"/><Relationship Id="rId501" Type="http://schemas.openxmlformats.org/officeDocument/2006/relationships/hyperlink" Target="https://drive.google.com/open?id=1sh-mc_J_t-V5wtXhrmoFJ1gR1xbCNqjR" TargetMode="External"/><Relationship Id="rId946" Type="http://schemas.openxmlformats.org/officeDocument/2006/relationships/hyperlink" Target="https://www.compass.com/listing/14729-otsego-street-sherman-oaks-ca-91403/1751946698597328937/" TargetMode="External"/><Relationship Id="rId1131" Type="http://schemas.openxmlformats.org/officeDocument/2006/relationships/hyperlink" Target="https://drive.google.com/open?id=13YtClyTpPwYd8Z7DfNaTw0xbKif4Wn0y" TargetMode="External"/><Relationship Id="rId1229" Type="http://schemas.openxmlformats.org/officeDocument/2006/relationships/hyperlink" Target="https://www.zillow.com/homedetails/1525-Selby-Ave-APT-203-Los-Angeles-CA-90024/2094114909_zpid/" TargetMode="External"/><Relationship Id="rId1783" Type="http://schemas.openxmlformats.org/officeDocument/2006/relationships/hyperlink" Target="https://drive.google.com/open?id=1mQ_fSiNTydHuinl-gZesNcNgl3NpMnRI" TargetMode="External"/><Relationship Id="rId1990" Type="http://schemas.openxmlformats.org/officeDocument/2006/relationships/hyperlink" Target="https://www.redfin.com/CA/Encino/5041-Noeline-Ave-91436/home/4791587" TargetMode="External"/><Relationship Id="rId75" Type="http://schemas.openxmlformats.org/officeDocument/2006/relationships/hyperlink" Target="https://drive.google.com/open?id=1lurDtvavOtJQHEH-jszWykgd0ctuSATo" TargetMode="External"/><Relationship Id="rId806" Type="http://schemas.openxmlformats.org/officeDocument/2006/relationships/hyperlink" Target="https://www.zillow.com/homedetails/745-Patterson-Ave-Glendale-CA-91202/20830106_zpid/" TargetMode="External"/><Relationship Id="rId1436" Type="http://schemas.openxmlformats.org/officeDocument/2006/relationships/hyperlink" Target="https://www.zillow.com/homedetails/24438-Ward-St-Torrance-CA-90505/21337001_zpid/" TargetMode="External"/><Relationship Id="rId1643" Type="http://schemas.openxmlformats.org/officeDocument/2006/relationships/hyperlink" Target="https://www.zillow.com/homedetails/9982-Beverly-Grove-Dr-Beverly-Hills-CA-90210/250218875_zpid/" TargetMode="External"/><Relationship Id="rId1850" Type="http://schemas.openxmlformats.org/officeDocument/2006/relationships/hyperlink" Target="https://www.zillow.com/homedetails/2398-Leeward-Cir-Westlake-Village-CA-91361/16493568_zpid/" TargetMode="External"/><Relationship Id="rId1503" Type="http://schemas.openxmlformats.org/officeDocument/2006/relationships/hyperlink" Target="http://zillow.com/" TargetMode="External"/><Relationship Id="rId1710" Type="http://schemas.openxmlformats.org/officeDocument/2006/relationships/hyperlink" Target="https://www.zillow.com/homedetails/1410-Coronado-Ter-Los-Angeles-CA-90026/20744469_zpid/" TargetMode="External"/><Relationship Id="rId1948" Type="http://schemas.openxmlformats.org/officeDocument/2006/relationships/hyperlink" Target="https://drive.google.com/open?id=1xqqFlJjdxezZYig1oqGk0pj-ouD4t4iE" TargetMode="External"/><Relationship Id="rId291" Type="http://schemas.openxmlformats.org/officeDocument/2006/relationships/hyperlink" Target="https://www.zillow.com/homedetails/2950-Tyburn-St-Los-Angeles-CA-90039/20751814_zpid/?utm_campaign=iosappmessage&amp;utm_medium=referral&amp;utm_source=txtshare" TargetMode="External"/><Relationship Id="rId1808" Type="http://schemas.openxmlformats.org/officeDocument/2006/relationships/hyperlink" Target="https://www.zillow.com/homedetails/400-E-Live-Oak-St-APT-12-San-Gabriel-CA-91776/2112247538_zpid/" TargetMode="External"/><Relationship Id="rId151" Type="http://schemas.openxmlformats.org/officeDocument/2006/relationships/hyperlink" Target="https://www.zillow.com/homedetails/11571-Nebraska-Ave-2-Los-Angeles-CA-90025/442366314_zpid/" TargetMode="External"/><Relationship Id="rId389" Type="http://schemas.openxmlformats.org/officeDocument/2006/relationships/hyperlink" Target="https://www.zillow.com/homedetails/1222-Hilldale-Ave-Los-Angeles-CA-90069/20799396_zpid/" TargetMode="External"/><Relationship Id="rId596" Type="http://schemas.openxmlformats.org/officeDocument/2006/relationships/hyperlink" Target="https://www.zillow.com/homedetails/2639-S-Genesee-Ave-Los-Angeles-CA-90016/20588130_zpid/" TargetMode="External"/><Relationship Id="rId2277" Type="http://schemas.openxmlformats.org/officeDocument/2006/relationships/hyperlink" Target="https://www.padmapper.com/apartments/24610679p/3-bedroom-3-bath-apartment-at-800-canon-dr-pasadena-ca-91106" TargetMode="External"/><Relationship Id="rId249" Type="http://schemas.openxmlformats.org/officeDocument/2006/relationships/hyperlink" Target="https://www.zillow.com/homedetails/1612-Courtney-Ave-Los-Angeles-CA-90046/20794166_zpid/" TargetMode="External"/><Relationship Id="rId456" Type="http://schemas.openxmlformats.org/officeDocument/2006/relationships/hyperlink" Target="https://www.zillow.com/homedetails/700-Main-St-UNIT-25-Venice-CA-90291/82877585_zpid/" TargetMode="External"/><Relationship Id="rId663" Type="http://schemas.openxmlformats.org/officeDocument/2006/relationships/hyperlink" Target="https://www.zillow.com/homedetails/686-Island-View-Ct-Port-Hueneme-CA-93041/16400784_zpid/?utm_campaign=iosappmessage&amp;utm_medium=referral&amp;utm_source=txtshare" TargetMode="External"/><Relationship Id="rId870" Type="http://schemas.openxmlformats.org/officeDocument/2006/relationships/hyperlink" Target="https://www.zillow.com/homedetails/18220-Fallenleaf-Cir-Fountain-Valley-CA-92708/25284910_zpid/" TargetMode="External"/><Relationship Id="rId1086" Type="http://schemas.openxmlformats.org/officeDocument/2006/relationships/hyperlink" Target="https://www.zillow.com/homedetails/4335-Jubilo-Dr-Tarzana-CA-91356/19947995_zpid/" TargetMode="External"/><Relationship Id="rId1293" Type="http://schemas.openxmlformats.org/officeDocument/2006/relationships/hyperlink" Target="https://www.zillow.com/homedetails/1123-4th-Ave-Los-Angeles-CA-90019/2087193810_zpid/" TargetMode="External"/><Relationship Id="rId2137" Type="http://schemas.openxmlformats.org/officeDocument/2006/relationships/hyperlink" Target="https://www.redfin.com/CA/North-Hollywood/10910-Hesby-St-91601/unit-B/apartment/180887414" TargetMode="External"/><Relationship Id="rId2344" Type="http://schemas.openxmlformats.org/officeDocument/2006/relationships/hyperlink" Target="https://www.zillow.com/homedetails/22100-Burbank-Blvd-UNIT-232D-Woodland-Hills-CA-91367/19930047_zpid/?utm_campaign=androidappmessage&amp;utm_medium=referral&amp;utm_source=txtshare" TargetMode="External"/><Relationship Id="rId109" Type="http://schemas.openxmlformats.org/officeDocument/2006/relationships/hyperlink" Target="https://www.zillow.com/homedetails/240-Howland-Canal-Ct-Venice-CA-90291/443837979_zpid/" TargetMode="External"/><Relationship Id="rId316" Type="http://schemas.openxmlformats.org/officeDocument/2006/relationships/hyperlink" Target="https://www.zillow.com/homedetails/2229-Willetta-St-Los-Angeles-CA-90068/20804418_zpid/?utm_campaign=iosappmessage&amp;utm_medium=referral&amp;utm_source=txtshare" TargetMode="External"/><Relationship Id="rId523" Type="http://schemas.openxmlformats.org/officeDocument/2006/relationships/hyperlink" Target="https://www.zillow.com/homedetails/1106-Oakwood-Ave-Venice-CA-90291/20450981_zpid/" TargetMode="External"/><Relationship Id="rId968" Type="http://schemas.openxmlformats.org/officeDocument/2006/relationships/hyperlink" Target="https://www.zillow.com/homedetails/16-Park-Ave-Venice-CA-90291/20482259_zpid/?utm_campaign=iosappmessage&amp;utm_medium=referral&amp;utm_source=txtshare" TargetMode="External"/><Relationship Id="rId1153" Type="http://schemas.openxmlformats.org/officeDocument/2006/relationships/hyperlink" Target="https://drive.google.com/open?id=1zsJS51Z-YmCYtrWIlaN8mg7Nk7F2j4DX" TargetMode="External"/><Relationship Id="rId1598" Type="http://schemas.openxmlformats.org/officeDocument/2006/relationships/hyperlink" Target="https://www.zillow.com/homedetails/4504-Cedros-Ave-Sherman-Oaks-CA-91403/19983993_zpid/" TargetMode="External"/><Relationship Id="rId2204" Type="http://schemas.openxmlformats.org/officeDocument/2006/relationships/hyperlink" Target="https://www.forrent.com/ca/los-angeles/818-s-orange-grove-ave/dktrd3j" TargetMode="External"/><Relationship Id="rId97" Type="http://schemas.openxmlformats.org/officeDocument/2006/relationships/hyperlink" Target="https://drive.google.com/open?id=1-cvodFRKoFesDkWtRQeY95iFgkwQpx-W" TargetMode="External"/><Relationship Id="rId730" Type="http://schemas.openxmlformats.org/officeDocument/2006/relationships/hyperlink" Target="https://www.zillow.com/homedetails/3608-The-Strand-APT-2-Manhattan-Beach-CA-90266/2094828516_zpid/" TargetMode="External"/><Relationship Id="rId828" Type="http://schemas.openxmlformats.org/officeDocument/2006/relationships/hyperlink" Target="https://www.zillow.com/homedetails/6229-Fallbrook-Ave-Woodland-Hills-CA-91367/19877436_zpid/" TargetMode="External"/><Relationship Id="rId1013" Type="http://schemas.openxmlformats.org/officeDocument/2006/relationships/hyperlink" Target="https://drive.google.com/open?id=15ttysk9e85zb1lgm764ScH6jn6FwAmwd" TargetMode="External"/><Relationship Id="rId1360" Type="http://schemas.openxmlformats.org/officeDocument/2006/relationships/hyperlink" Target="https://drive.google.com/open?id=1JbTRbnG9_nikV8vJV9aJWoQdtmSPlI8Y" TargetMode="External"/><Relationship Id="rId1458" Type="http://schemas.openxmlformats.org/officeDocument/2006/relationships/hyperlink" Target="https://drive.google.com/open?id=1tynkOT1UoWPkKztvoCiYIJimOwNUKLvz" TargetMode="External"/><Relationship Id="rId1665" Type="http://schemas.openxmlformats.org/officeDocument/2006/relationships/hyperlink" Target="https://drive.google.com/open?id=1l5zKByWrrDALI0Ej9asPtZx9wvmkG58r" TargetMode="External"/><Relationship Id="rId1872" Type="http://schemas.openxmlformats.org/officeDocument/2006/relationships/hyperlink" Target="https://www.zillow.com/homedetails/1531-Summitridge-Dr-Beverly-Hills-CA-90210/20523085_zpid/" TargetMode="External"/><Relationship Id="rId1220" Type="http://schemas.openxmlformats.org/officeDocument/2006/relationships/hyperlink" Target="https://www.zillow.com/homedetails/267-Barthe-Dr-14-Pasadena-CA-91103/441812912_zpid/" TargetMode="External"/><Relationship Id="rId1318" Type="http://schemas.openxmlformats.org/officeDocument/2006/relationships/hyperlink" Target="https://www.zillow.com/homedetails/817-N-Whittier-Dr-Beverly-Hills-CA-90210/20521923_zpid/" TargetMode="External"/><Relationship Id="rId1525" Type="http://schemas.openxmlformats.org/officeDocument/2006/relationships/hyperlink" Target="https://www.zillow.com/homedetails/10982-Roebling-Ave-APT-565-Los-Angeles-CA-90024/51582844_zpid/" TargetMode="External"/><Relationship Id="rId1732" Type="http://schemas.openxmlformats.org/officeDocument/2006/relationships/hyperlink" Target="https://drive.google.com/open?id=1zQYqWu7NULAriTI89D43PqT82ML_dZE0" TargetMode="External"/><Relationship Id="rId24" Type="http://schemas.openxmlformats.org/officeDocument/2006/relationships/hyperlink" Target="https://www.zillow.com/homedetails/3931-Berry-Dr-Studio-City-CA-91604/20028364_zpid/" TargetMode="External"/><Relationship Id="rId2299" Type="http://schemas.openxmlformats.org/officeDocument/2006/relationships/hyperlink" Target="https://www.zillow.com/homedetails/1912-Laurel-Canyon-Blvd-Los-Angeles-CA-90046/446950428_zpid/?utm_campaign=iosappmessage&amp;utm_medium=referral&amp;utm_source=txtshare" TargetMode="External"/><Relationship Id="rId173" Type="http://schemas.openxmlformats.org/officeDocument/2006/relationships/hyperlink" Target="https://www.zillow.com/homedetails/11826-Dorothy-St-APT-202-Los-Angeles-CA-90049/63090973_zpid/" TargetMode="External"/><Relationship Id="rId380" Type="http://schemas.openxmlformats.org/officeDocument/2006/relationships/hyperlink" Target="https://www.zillow.com/homedetails/5514-Sylvia-Ave-Tarzana-CA-91356/19940536_zpid/" TargetMode="External"/><Relationship Id="rId2061" Type="http://schemas.openxmlformats.org/officeDocument/2006/relationships/hyperlink" Target="https://www.zillow.com/homedetails/902-Manzanita-St-Los-Angeles-CA-90029/2066630147_zpid/" TargetMode="External"/><Relationship Id="rId240" Type="http://schemas.openxmlformats.org/officeDocument/2006/relationships/hyperlink" Target="https://www.zillow.com/homedetails/8680-Franklin-Ave-Los-Angeles-CA-90069/20798318_zpid/" TargetMode="External"/><Relationship Id="rId478" Type="http://schemas.openxmlformats.org/officeDocument/2006/relationships/hyperlink" Target="https://www.zillow.com/homedetails/17841-Tarzana-St-Encino-CA-91316/19950053_zpid/" TargetMode="External"/><Relationship Id="rId685" Type="http://schemas.openxmlformats.org/officeDocument/2006/relationships/hyperlink" Target="https://drive.google.com/open?id=18Hr_OC_Bmj6-3fMq5KsPC2xOOamEgGVe" TargetMode="External"/><Relationship Id="rId892" Type="http://schemas.openxmlformats.org/officeDocument/2006/relationships/hyperlink" Target="https://www.zillow.com/homedetails/10824-Chalon-Rd-Los-Angeles-CA-90077/20529073_zpid/" TargetMode="External"/><Relationship Id="rId2159" Type="http://schemas.openxmlformats.org/officeDocument/2006/relationships/hyperlink" Target="https://www.redfin.com/CA/Los-Angeles/3300-Craig-Dr-90068/home/7128523" TargetMode="External"/><Relationship Id="rId2366" Type="http://schemas.openxmlformats.org/officeDocument/2006/relationships/hyperlink" Target="https://drive.google.com/open?id=1whO85T8TLP5TqVm6B5gPdT5wazC8gYil" TargetMode="External"/><Relationship Id="rId100" Type="http://schemas.openxmlformats.org/officeDocument/2006/relationships/hyperlink" Target="https://www.zillow.com/homedetails/8700-Chalmers-Dr-301-Los-Angeles-CA-90035/2078397244_zpid/" TargetMode="External"/><Relationship Id="rId338" Type="http://schemas.openxmlformats.org/officeDocument/2006/relationships/hyperlink" Target="https://www.zillow.com/homedetails/614-Midvale-Ave-Los-Angeles-CA-90024/2078728356_zpid/" TargetMode="External"/><Relationship Id="rId545" Type="http://schemas.openxmlformats.org/officeDocument/2006/relationships/hyperlink" Target="https://drive.google.com/open?id=19q6U4HoiXZyk9zBbO64owBXk3sOYKuuU" TargetMode="External"/><Relationship Id="rId752" Type="http://schemas.openxmlformats.org/officeDocument/2006/relationships/hyperlink" Target="https://www.zillow.com/homedetails/3977-Dalton-Ave-1-Los-Angeles-CA-90062/347232716_zpid/" TargetMode="External"/><Relationship Id="rId1175" Type="http://schemas.openxmlformats.org/officeDocument/2006/relationships/hyperlink" Target="https://drive.google.com/open?id=1RZVLIDFqjA5GrbZPxYS5A2GJ4KgcZaTM" TargetMode="External"/><Relationship Id="rId1382" Type="http://schemas.openxmlformats.org/officeDocument/2006/relationships/hyperlink" Target="https://www.zillow.com/homedetails/207-Hollister-Ave-Santa-Monica-CA-90405/82872897_zpid/" TargetMode="External"/><Relationship Id="rId2019" Type="http://schemas.openxmlformats.org/officeDocument/2006/relationships/hyperlink" Target="https://www.zillow.com/homedetails/1740-Cielito-Dr-Glendale-CA-91207/20837929_zpid/" TargetMode="External"/><Relationship Id="rId2226" Type="http://schemas.openxmlformats.org/officeDocument/2006/relationships/hyperlink" Target="https://drive.google.com/open?id=11S6SgzPBefvvnPdjvBr_Zbkiaer2tHDS" TargetMode="External"/><Relationship Id="rId405" Type="http://schemas.openxmlformats.org/officeDocument/2006/relationships/hyperlink" Target="https://www.zillow.com/los-angeles-ca/rentals/?searchQueryState=%7B%22pagination%22%3A%7B%7D%2C%22isMapVisible%22%3Atrue%2C%22mapBounds%22%3A%7B%22west%22%3A-118.52363831787109%2C%22east%22%3A-118.4144616821289%2C%22south%22%3A34.03261687026668%2C%22north%22%3A34.12929785798081%7D%2C%22regionSelection%22%3A%5B%7B%22regionId%22%3A12447%2C%22regionType%22%3A6%7D%5D%2C%22filterState%22%3A%7B%22fr%22%3A%7B%22value%22%3Atrue%7D%2C%22fsba%22%3A%7B%22value%22%3Afalse%7D%2C%22fsbo%22%3A%7B%22value%22%3Afalse%7D%2C%22nc%22%3A%7B%22value%22%3Afalse%7D%2C%22cmsn%22%3A%7B%22value%22%3Afalse%7D%2C%22auc%22%3A%7B%22value%22%3Afalse%7D%2C%22fore%22%3A%7B%22value%22%3Afalse%7D%7D%2C%22isListVisible%22%3Atrue%2C%22mapZoom%22%3A13%7D" TargetMode="External"/><Relationship Id="rId612" Type="http://schemas.openxmlformats.org/officeDocument/2006/relationships/hyperlink" Target="https://www.zillow.com/homedetails/Burbank-CA-91505/20062811_zpid/" TargetMode="External"/><Relationship Id="rId1035" Type="http://schemas.openxmlformats.org/officeDocument/2006/relationships/hyperlink" Target="https://www.zillow.com/homedetails/11814-Hesby-St-Valley-Village-CA-91607/20019456_zpid/?utm_campaign=iosappmessage&amp;utm_medium=referral&amp;utm_source=txtshare" TargetMode="External"/><Relationship Id="rId1242" Type="http://schemas.openxmlformats.org/officeDocument/2006/relationships/hyperlink" Target="https://www.compass.com/listing/695-south-santa-fe-avenue-unit-302-los-angeles-ca-90021/1517643130692156657/" TargetMode="External"/><Relationship Id="rId1687" Type="http://schemas.openxmlformats.org/officeDocument/2006/relationships/hyperlink" Target="https://www.zillow.com/homedetails/809-N-Roxbury-Dr-Beverly-Hills-CA-90210/20521388_zpid/" TargetMode="External"/><Relationship Id="rId1894" Type="http://schemas.openxmlformats.org/officeDocument/2006/relationships/hyperlink" Target="https://www.zillow.com/homedetails/13730-Community-St-Panorama-City-CA-91402/20123762_zpid/?rtoken=49f8339d-934a-4351-b21f-b989aedbf4f8~X1-ZUzfpzrsig6x3d_4234t&amp;utm_campaign=emo-propertyalertnew&amp;utm_source=email&amp;utm_term=urn:msg:20250116175322a1e75d2448cb4d8b&amp;utm_medium=email&amp;utm_content=forrentimage" TargetMode="External"/><Relationship Id="rId917" Type="http://schemas.openxmlformats.org/officeDocument/2006/relationships/hyperlink" Target="https://www.zillow.com/homedetails/2227-Pearl-St-Santa-Monica-CA-90405/20472937_zpid/" TargetMode="External"/><Relationship Id="rId1102" Type="http://schemas.openxmlformats.org/officeDocument/2006/relationships/hyperlink" Target="https://drive.google.com/open?id=1S2q7og_US7EtnhiWfDwrEf_-9GZ97z-J" TargetMode="External"/><Relationship Id="rId1547" Type="http://schemas.openxmlformats.org/officeDocument/2006/relationships/hyperlink" Target="https://www.zillow.com/homedetails/4045-Jackson-Ave-Culver-City-CA-90232/20433150_zpid/" TargetMode="External"/><Relationship Id="rId1754" Type="http://schemas.openxmlformats.org/officeDocument/2006/relationships/hyperlink" Target="https://drive.google.com/open?id=10QSOD_4oSwFrkZxoonF7kjiVRaPiaph0" TargetMode="External"/><Relationship Id="rId1961" Type="http://schemas.openxmlformats.org/officeDocument/2006/relationships/hyperlink" Target="https://www.zillow.com/homedetails/5938-E-Echo-St-Los-Angeles-CA-90042/20772488_zpid/" TargetMode="External"/><Relationship Id="rId46" Type="http://schemas.openxmlformats.org/officeDocument/2006/relationships/hyperlink" Target="https://www.zillow.com/homedetails/7612-Willow-Glen-Rd-Los-Angeles-CA-90046/20801864_zpid/" TargetMode="External"/><Relationship Id="rId1407" Type="http://schemas.openxmlformats.org/officeDocument/2006/relationships/hyperlink" Target="https://www.redfin.com/CA/Los-Angeles/843-N-Spaulding-Ave-90046/home/7103480" TargetMode="External"/><Relationship Id="rId1614" Type="http://schemas.openxmlformats.org/officeDocument/2006/relationships/hyperlink" Target="https://drive.google.com/open?id=1lnAGfsPVkRVogb4kVOBKD8Hm0HacQFDx" TargetMode="External"/><Relationship Id="rId1821" Type="http://schemas.openxmlformats.org/officeDocument/2006/relationships/hyperlink" Target="https://www.zillow.com/homedetails/817-N-Whittier-Dr-Beverly-Hills-CA-90210/20521923_zpid/?utm_campaign=iosappmessage&amp;utm_medium=referral&amp;utm_source=txtshare" TargetMode="External"/><Relationship Id="rId195" Type="http://schemas.openxmlformats.org/officeDocument/2006/relationships/hyperlink" Target="https://www.zillow.com/homedetails/13001-13019-Montana-Ave-13011-Los-Angeles-CA-90049/443790422_zpid/" TargetMode="External"/><Relationship Id="rId1919" Type="http://schemas.openxmlformats.org/officeDocument/2006/relationships/hyperlink" Target="https://www.zillow.com/homedetails/2567-S-Sepulveda-Blvd-Los-Angeles-CA-90064/20462191_zpid/?utm_campaign=iosappmessage&amp;utm_medium=referral&amp;utm_source=txtshare" TargetMode="External"/><Relationship Id="rId2083" Type="http://schemas.openxmlformats.org/officeDocument/2006/relationships/hyperlink" Target="https://www.zillow.com/homedetails/3730-Midvale-Ave-20-Los-Angeles-CA-90034/2071541159_zpid/" TargetMode="External"/><Relationship Id="rId2290" Type="http://schemas.openxmlformats.org/officeDocument/2006/relationships/hyperlink" Target="https://www.redfin.com/CA/Newport-Beach/14-Beacon-Bay-92660/home/28455522" TargetMode="External"/><Relationship Id="rId262" Type="http://schemas.openxmlformats.org/officeDocument/2006/relationships/hyperlink" Target="https://www.zillow.com/homedetails/3205-Waverly-Dr-Los-Angeles-CA-90027/20749233_zpid/" TargetMode="External"/><Relationship Id="rId567" Type="http://schemas.openxmlformats.org/officeDocument/2006/relationships/hyperlink" Target="https://drive.google.com/open?id=1y1wVtoLvl0ufZ__cKjeBwrPafVlwTKp8" TargetMode="External"/><Relationship Id="rId1197" Type="http://schemas.openxmlformats.org/officeDocument/2006/relationships/hyperlink" Target="https://drive.google.com/open?id=1WM7mZbCkA56yE4v9JEjL_gXqRl7ri6ry" TargetMode="External"/><Relationship Id="rId2150" Type="http://schemas.openxmlformats.org/officeDocument/2006/relationships/hyperlink" Target="https://www.zillow.com/homedetails/15440-Dickens-St-Sherman-Oaks-CA-91403/19991381_zpid/" TargetMode="External"/><Relationship Id="rId2248" Type="http://schemas.openxmlformats.org/officeDocument/2006/relationships/hyperlink" Target="https://drive.google.com/open?id=16siES5D4re8bLFGBEyfK2eMx-M2s1nKZ" TargetMode="External"/><Relationship Id="rId122" Type="http://schemas.openxmlformats.org/officeDocument/2006/relationships/hyperlink" Target="https://www.zillow.com/homedetails/705-Chaucer-Rd-San-Marino-CA-91108/20701815_zpid/" TargetMode="External"/><Relationship Id="rId774" Type="http://schemas.openxmlformats.org/officeDocument/2006/relationships/hyperlink" Target="https://www.zillow.com/homedetails/5571-Camp-St-Cypress-CA-90630/25330127_zpid/" TargetMode="External"/><Relationship Id="rId981" Type="http://schemas.openxmlformats.org/officeDocument/2006/relationships/hyperlink" Target="https://drive.google.com/open?id=1HK85z-TzuplZPCfu_ZP6wtuKnnoV2VF-" TargetMode="External"/><Relationship Id="rId1057" Type="http://schemas.openxmlformats.org/officeDocument/2006/relationships/hyperlink" Target="https://www.zillow.com/homedetails/10023-Westwanda-Dr-Beverly-Hills-CA-90210/20532837_zpid/" TargetMode="External"/><Relationship Id="rId2010" Type="http://schemas.openxmlformats.org/officeDocument/2006/relationships/hyperlink" Target="https://drive.google.com/open?id=1Jrab3qxiXd5vmfGsuvWlptEvT1k_fypS" TargetMode="External"/><Relationship Id="rId427" Type="http://schemas.openxmlformats.org/officeDocument/2006/relationships/hyperlink" Target="https://drive.google.com/open?id=1v_KY4rhFU1PVBscg83ETTvYK5CeLvuUV" TargetMode="External"/><Relationship Id="rId634" Type="http://schemas.openxmlformats.org/officeDocument/2006/relationships/hyperlink" Target="https://www.zillow.com/homedetails/1427-Columbia-Dr-Glendale-CA-91205/20847539_zpid/?utm_campaign=iosappmessage&amp;utm_medium=referral&amp;utm_source=txtshare" TargetMode="External"/><Relationship Id="rId841" Type="http://schemas.openxmlformats.org/officeDocument/2006/relationships/hyperlink" Target="https://www.zillow.com/homedetails/3701-Royal-Meadow-Rd-Sherman-Oaks-CA-91403/19990560_zpid/" TargetMode="External"/><Relationship Id="rId1264" Type="http://schemas.openxmlformats.org/officeDocument/2006/relationships/hyperlink" Target="https://drive.google.com/open?id=1hEegzj5c5XyMj6VMplcsgPYRnqhmvB7y" TargetMode="External"/><Relationship Id="rId1471" Type="http://schemas.openxmlformats.org/officeDocument/2006/relationships/hyperlink" Target="https://drive.google.com/open?id=1f37aSUOYGsfibxZgLkMdRjRSsG4Cd0ov" TargetMode="External"/><Relationship Id="rId1569" Type="http://schemas.openxmlformats.org/officeDocument/2006/relationships/hyperlink" Target="https://www.trulia.com/home/3247b-n-big-dalton-ave-baldwin-park-ca-91706-2062218854" TargetMode="External"/><Relationship Id="rId2108" Type="http://schemas.openxmlformats.org/officeDocument/2006/relationships/hyperlink" Target="https://www.zillow.com/homedetails/6148-W-85th-Pl-Los-Angeles-CA-90045/20380867_zpid/" TargetMode="External"/><Relationship Id="rId2315" Type="http://schemas.openxmlformats.org/officeDocument/2006/relationships/hyperlink" Target="https://drive.google.com/open?id=1J3WqloYEUBSwSfIw5L0f9iHHGc8dccb8" TargetMode="External"/><Relationship Id="rId701" Type="http://schemas.openxmlformats.org/officeDocument/2006/relationships/hyperlink" Target="https://drive.google.com/open?id=1MO8hWvLH6SPLQmmhCAHx069PDgJ7quZh" TargetMode="External"/><Relationship Id="rId939" Type="http://schemas.openxmlformats.org/officeDocument/2006/relationships/hyperlink" Target="https://www.zillow.com/homedetails/729-Raymond-Ave-Santa-Monica-CA-90405/20482750_zpid/?utm_campaign=iosappmessage&amp;utm_medium=referral&amp;utm_source=txtshare" TargetMode="External"/><Relationship Id="rId1124" Type="http://schemas.openxmlformats.org/officeDocument/2006/relationships/hyperlink" Target="https://drive.google.com/open?id=1iEOIn41lXjjlkl0CxVtNuJCa8YYnQORB" TargetMode="External"/><Relationship Id="rId1331" Type="http://schemas.openxmlformats.org/officeDocument/2006/relationships/hyperlink" Target="https://www.zillow.com/homedetails/934-N-Orlando-Ave-Los-Angeles-CA-90069/20787434_zpid/" TargetMode="External"/><Relationship Id="rId1776" Type="http://schemas.openxmlformats.org/officeDocument/2006/relationships/hyperlink" Target="https://drive.google.com/open?id=1IalZMxBK7_GIdIZcZY7umua4RfhI2ztd" TargetMode="External"/><Relationship Id="rId1983" Type="http://schemas.openxmlformats.org/officeDocument/2006/relationships/hyperlink" Target="https://drive.google.com/open?id=1ygYFk3SmHLCGKvFGs5exg2wAj5hRVpvu" TargetMode="External"/><Relationship Id="rId68" Type="http://schemas.openxmlformats.org/officeDocument/2006/relationships/hyperlink" Target="https://drive.google.com/open?id=1ykTw-MninZQREUhz3VJJVdhr_XoM3_rA" TargetMode="External"/><Relationship Id="rId1429" Type="http://schemas.openxmlformats.org/officeDocument/2006/relationships/hyperlink" Target="https://www.zillow.com/homedetails/2529-Topanga-Skyline-Dr-Topanga-CA-90290/135463528_zpid/" TargetMode="External"/><Relationship Id="rId1636" Type="http://schemas.openxmlformats.org/officeDocument/2006/relationships/hyperlink" Target="https://www.zillow.com/homedetails/4-Highpoint-Newport-Coast-CA-92657/63113368_zpid/" TargetMode="External"/><Relationship Id="rId1843" Type="http://schemas.openxmlformats.org/officeDocument/2006/relationships/hyperlink" Target="https://www.zillow.com/homedetails/21-Lakefront-Irvine-CA-92604/2126557441_zpid/" TargetMode="External"/><Relationship Id="rId1703" Type="http://schemas.openxmlformats.org/officeDocument/2006/relationships/hyperlink" Target="https://drive.google.com/open?id=1RHuur4182HOEKl9CQ5ZIanOovmrtIHC7" TargetMode="External"/><Relationship Id="rId1910" Type="http://schemas.openxmlformats.org/officeDocument/2006/relationships/hyperlink" Target="https://drive.google.com/open?id=1yGA-2paV3GpPe0xT2xiWI2PzrNk1zZY4" TargetMode="External"/><Relationship Id="rId284" Type="http://schemas.openxmlformats.org/officeDocument/2006/relationships/hyperlink" Target="https://drive.google.com/open?id=1QbSgXsZU8R9YAgQocAEC5RKn8pDNTLfk" TargetMode="External"/><Relationship Id="rId491" Type="http://schemas.openxmlformats.org/officeDocument/2006/relationships/hyperlink" Target="https://drive.google.com/open?id=1i_ALZuHmfPo1tfSSeeNz4ym95dJw7su9" TargetMode="External"/><Relationship Id="rId2172" Type="http://schemas.openxmlformats.org/officeDocument/2006/relationships/hyperlink" Target="https://drive.google.com/open?id=1m66NDH5o7GCsZHEKLS7R_OqXBtNftmzN" TargetMode="External"/><Relationship Id="rId144" Type="http://schemas.openxmlformats.org/officeDocument/2006/relationships/hyperlink" Target="https://www.zillow.com/homedetails/220-Avenue-A-Redondo-Beach-CA-90277/21322400_zpid/" TargetMode="External"/><Relationship Id="rId589" Type="http://schemas.openxmlformats.org/officeDocument/2006/relationships/hyperlink" Target="https://www.zillow.com/homedetails/825-N-Pasadena-Ave-Pasadena-CA-91103/20857788_zpid/" TargetMode="External"/><Relationship Id="rId796" Type="http://schemas.openxmlformats.org/officeDocument/2006/relationships/hyperlink" Target="https://www.zillow.com/homedetails/7665-Woodrow-Wilson-Dr-Los-Angeles-CA-90046/20802829_zpid/" TargetMode="External"/><Relationship Id="rId351" Type="http://schemas.openxmlformats.org/officeDocument/2006/relationships/hyperlink" Target="https://drive.google.com/open?id=1sgFI5vArFESQ0rJx1kM2uVjQGZnTEGRn" TargetMode="External"/><Relationship Id="rId449" Type="http://schemas.openxmlformats.org/officeDocument/2006/relationships/hyperlink" Target="https://www.zillow.com/homedetails/726-Pier-Ave-C-Santa-Monica-CA-90405/443775974_zpid/?utm_campaign=iosappmessage&amp;utm_medium=referral&amp;utm_source=txtshare" TargetMode="External"/><Relationship Id="rId656" Type="http://schemas.openxmlformats.org/officeDocument/2006/relationships/hyperlink" Target="https://www.zillow.com/homedetails/915-Edie-Dr-Duarte-CA-91010/58477819_zpid/?utm_campaign=iosappmessage&amp;utm_medium=referral&amp;utm_source=txtshare" TargetMode="External"/><Relationship Id="rId863" Type="http://schemas.openxmlformats.org/officeDocument/2006/relationships/hyperlink" Target="https://www.redfin.com/CA/Los-Angeles/1719-Wellesley-Ave-90025/home/6756075" TargetMode="External"/><Relationship Id="rId1079" Type="http://schemas.openxmlformats.org/officeDocument/2006/relationships/hyperlink" Target="https://www.redfin.com/CA/Lake-Balboa/15335-Lemay-St-91406/home/193499975" TargetMode="External"/><Relationship Id="rId1286" Type="http://schemas.openxmlformats.org/officeDocument/2006/relationships/hyperlink" Target="https://www.zillow.com/homedetails/3365-Tyburn-St-Los-Angeles-CA-90039/20750852_zpid/" TargetMode="External"/><Relationship Id="rId1493" Type="http://schemas.openxmlformats.org/officeDocument/2006/relationships/hyperlink" Target="https://www.zillow.com/homedetails/909-El-Centro-St-FLOOR-2-ID1158-South-Pasadena-CA-91030/2053698939_zpid/?utm_campaign=iosappmessage&amp;utm_medium=referral&amp;utm_source=txtshare" TargetMode="External"/><Relationship Id="rId2032" Type="http://schemas.openxmlformats.org/officeDocument/2006/relationships/hyperlink" Target="https://www.zillow.com/homedetails/1960-Walcott-Way-A-Los-Angeles-CA-90039/444386802_zpid/" TargetMode="External"/><Relationship Id="rId2337" Type="http://schemas.openxmlformats.org/officeDocument/2006/relationships/hyperlink" Target="https://www.redfin.com/CA/Playa-del-Rey/123-Waterview-St-90293/home/6626383" TargetMode="External"/><Relationship Id="rId211" Type="http://schemas.openxmlformats.org/officeDocument/2006/relationships/hyperlink" Target="https://www.zillow.com/homedetails/5948-Abernathy-Dr-Los-Angeles-CA-90045/20378962_zpid/" TargetMode="External"/><Relationship Id="rId309" Type="http://schemas.openxmlformats.org/officeDocument/2006/relationships/hyperlink" Target="https://www.zillow.com/homedetails/1741-Stearns-Dr-Los-Angeles-CA-90035/20598494_zpid/" TargetMode="External"/><Relationship Id="rId516" Type="http://schemas.openxmlformats.org/officeDocument/2006/relationships/hyperlink" Target="https://www.zillow.com/homedetails/15541-Aqua-Verde-Dr-Los-Angeles-CA-90077/20531173_zpid/" TargetMode="External"/><Relationship Id="rId1146" Type="http://schemas.openxmlformats.org/officeDocument/2006/relationships/hyperlink" Target="https://drive.google.com/open?id=1byRQQW55I47272rEwLG_rZa5vFkvtato" TargetMode="External"/><Relationship Id="rId1798" Type="http://schemas.openxmlformats.org/officeDocument/2006/relationships/hyperlink" Target="https://www.redfin.com/CA/Beverly-Hills/9982-Beverly-Grove-Dr-90210/home/64460234" TargetMode="External"/><Relationship Id="rId723" Type="http://schemas.openxmlformats.org/officeDocument/2006/relationships/hyperlink" Target="https://drive.google.com/open?id=1QUzp_3X_X-WlIHL5gMPtZixBhnYwR0Wd" TargetMode="External"/><Relationship Id="rId930" Type="http://schemas.openxmlformats.org/officeDocument/2006/relationships/hyperlink" Target="https://www.zillow.com/homedetails/19500-Oxnard-St-Tarzana-CA-91356/401888932_zpid/" TargetMode="External"/><Relationship Id="rId1006" Type="http://schemas.openxmlformats.org/officeDocument/2006/relationships/hyperlink" Target="https://elaraliving.com/floorplan/" TargetMode="External"/><Relationship Id="rId1353" Type="http://schemas.openxmlformats.org/officeDocument/2006/relationships/hyperlink" Target="https://www.zillow.com/homedetails/15541-Aqua-Verde-Dr-Los-Angeles-CA-90077/20531173_zpid/" TargetMode="External"/><Relationship Id="rId1560" Type="http://schemas.openxmlformats.org/officeDocument/2006/relationships/hyperlink" Target="https://www.realtor.com/realestateandhomes-detail/1239-Rossmoyne-Ave_Glendale_CA_91207_M26149-24118" TargetMode="External"/><Relationship Id="rId1658" Type="http://schemas.openxmlformats.org/officeDocument/2006/relationships/hyperlink" Target="https://drive.google.com/open?id=12r0HV77k6avO5cuH771HrfUp3p1vPbZG" TargetMode="External"/><Relationship Id="rId1865" Type="http://schemas.openxmlformats.org/officeDocument/2006/relationships/hyperlink" Target="https://www.zillow.com/homedetails/1859-Bel-Air-Rd-Los-Angeles-CA-90077/95660959_zpid/" TargetMode="External"/><Relationship Id="rId1213" Type="http://schemas.openxmlformats.org/officeDocument/2006/relationships/hyperlink" Target="https://drive.google.com/open?id=12p7eLoRDCdhCWulQwYHWkGo_-g0H-gLj" TargetMode="External"/><Relationship Id="rId1420" Type="http://schemas.openxmlformats.org/officeDocument/2006/relationships/hyperlink" Target="https://www.redfin.com/CA/West-Hills/7168-Rockridge-Ter-91307/home/3142272" TargetMode="External"/><Relationship Id="rId1518" Type="http://schemas.openxmlformats.org/officeDocument/2006/relationships/hyperlink" Target="https://drive.google.com/open?id=1e_KVH6RsFL6yNWeWM5xabpd3IWLaBeYR" TargetMode="External"/><Relationship Id="rId1725" Type="http://schemas.openxmlformats.org/officeDocument/2006/relationships/hyperlink" Target="https://drive.google.com/open?id=19_L6yL8cthZK0fW4K9VSy1VUkaJrnLXK" TargetMode="External"/><Relationship Id="rId1932" Type="http://schemas.openxmlformats.org/officeDocument/2006/relationships/hyperlink" Target="https://drive.google.com/open?id=1IBLJjh89YEcLXvvquDAtdf04LJ1T428t" TargetMode="External"/><Relationship Id="rId17" Type="http://schemas.openxmlformats.org/officeDocument/2006/relationships/hyperlink" Target="https://drive.google.com/open?id=1islSFMMCwgXyhAlstDg6hU7Xl7m3yO9p" TargetMode="External"/><Relationship Id="rId2194" Type="http://schemas.openxmlformats.org/officeDocument/2006/relationships/hyperlink" Target="https://drive.google.com/open?id=17gh9zj3NOEysz2F36D7gjyTzwDDxylS5" TargetMode="External"/><Relationship Id="rId166" Type="http://schemas.openxmlformats.org/officeDocument/2006/relationships/hyperlink" Target="https://www.zillow.com/homedetails/3663-Edenhurst-Ave-Los-Angeles-CA-90039/20749912_zpid/" TargetMode="External"/><Relationship Id="rId373" Type="http://schemas.openxmlformats.org/officeDocument/2006/relationships/hyperlink" Target="https://drive.google.com/open?id=1xrh6x7xiVA8_hSMrWbUJNncEujUK-mU6" TargetMode="External"/><Relationship Id="rId580" Type="http://schemas.openxmlformats.org/officeDocument/2006/relationships/hyperlink" Target="https://www.zillow.com/homedetails/4045-Jackson-Ave-Culver-City-CA-90232/20433150_zpid/" TargetMode="External"/><Relationship Id="rId2054" Type="http://schemas.openxmlformats.org/officeDocument/2006/relationships/hyperlink" Target="https://www.zillow.com/homedetails/114-Pacific-Ave-Venice-CA-90291/20482017_zpid/" TargetMode="External"/><Relationship Id="rId2261" Type="http://schemas.openxmlformats.org/officeDocument/2006/relationships/hyperlink" Target="https://www.zillow.com/homedetails/Rosemead-CA-91770/20682798_zpid/" TargetMode="External"/><Relationship Id="rId1" Type="http://schemas.openxmlformats.org/officeDocument/2006/relationships/hyperlink" Target="https://www.zillow.com/homedetails/1812-Navy-St-Santa-Monica-CA-90405/20472397_zpid/" TargetMode="External"/><Relationship Id="rId233" Type="http://schemas.openxmlformats.org/officeDocument/2006/relationships/hyperlink" Target="https://www.zillow.com/homedetails/114-Pacific-Ave-Venice-CA-90291/20482017_zpid/?utm_campaign=iosappmessage&amp;utm_medium=referral&amp;utm_source=txtshare" TargetMode="External"/><Relationship Id="rId440" Type="http://schemas.openxmlformats.org/officeDocument/2006/relationships/hyperlink" Target="https://www.zillow.com/homedetails/2260-Maravilla-Dr-Los-Angeles-CA-90068/20793606_zpid/?utm_campaign=iosappmessage&amp;utm_medium=referral&amp;utm_source=txtshare" TargetMode="External"/><Relationship Id="rId678" Type="http://schemas.openxmlformats.org/officeDocument/2006/relationships/hyperlink" Target="https://drive.google.com/open?id=11sFGlwmBRwZbh24Um7yzpoRhsYVfmN0N" TargetMode="External"/><Relationship Id="rId885" Type="http://schemas.openxmlformats.org/officeDocument/2006/relationships/hyperlink" Target="https://drive.google.com/open?id=10mu_QAdzwq6ueQS2HO-IoPsSXQSsU_7n" TargetMode="External"/><Relationship Id="rId1070" Type="http://schemas.openxmlformats.org/officeDocument/2006/relationships/hyperlink" Target="https://www.redfin.com/CA/Van-Nuys/15333-Lemay-St-91406/home/4593658" TargetMode="External"/><Relationship Id="rId2121" Type="http://schemas.openxmlformats.org/officeDocument/2006/relationships/hyperlink" Target="https://drive.google.com/open?id=1LriUuyoAnAqiqZGaxPhlolBJZ3hKghqx" TargetMode="External"/><Relationship Id="rId2359" Type="http://schemas.openxmlformats.org/officeDocument/2006/relationships/hyperlink" Target="https://www.zillow.com/homedetails/201-N-Normandie-Ave-1A-Los-Angeles-CA-90004/447526960_zpid/" TargetMode="External"/><Relationship Id="rId300" Type="http://schemas.openxmlformats.org/officeDocument/2006/relationships/hyperlink" Target="https://www.zillow.com/homedetails/425-29th-St-Manhattan-Beach-CA-90266/20420888_zpid/" TargetMode="External"/><Relationship Id="rId538" Type="http://schemas.openxmlformats.org/officeDocument/2006/relationships/hyperlink" Target="https://www.zillow.com/homedetails/354-S-Spring-St-FLOOR-10-ID1208-Los-Angeles-CA-90013/442289384_zpid/" TargetMode="External"/><Relationship Id="rId745" Type="http://schemas.openxmlformats.org/officeDocument/2006/relationships/hyperlink" Target="https://www.zillow.com/homedetails/20752-Collins-St-Woodland-Hills-CA-91367/19932187_zpid/" TargetMode="External"/><Relationship Id="rId952" Type="http://schemas.openxmlformats.org/officeDocument/2006/relationships/hyperlink" Target="https://www.zillow.com/homedetails/10097-Tujunga-Canyon-Blvd-Tujunga-CA-91042/2080530432_zpid/" TargetMode="External"/><Relationship Id="rId1168" Type="http://schemas.openxmlformats.org/officeDocument/2006/relationships/hyperlink" Target="https://drive.google.com/open?id=18Sq_80zmyIFrgIZhfbzy90G3-5ExQgUk" TargetMode="External"/><Relationship Id="rId1375" Type="http://schemas.openxmlformats.org/officeDocument/2006/relationships/hyperlink" Target="https://www.zillow.com/homedetails/5059-Hermosa-Ave-Los-Angeles-CA-90041/2090546544_zpid/" TargetMode="External"/><Relationship Id="rId1582" Type="http://schemas.openxmlformats.org/officeDocument/2006/relationships/hyperlink" Target="https://www.trulia.com/home/11141-mcvine-ave-sunland-ca-91040-20092094" TargetMode="External"/><Relationship Id="rId2219" Type="http://schemas.openxmlformats.org/officeDocument/2006/relationships/hyperlink" Target="https://www.zillow.com/homedetails/601-Bohlig-Rd-Glendale-CA-91207/82878976_zpid/" TargetMode="External"/><Relationship Id="rId81" Type="http://schemas.openxmlformats.org/officeDocument/2006/relationships/hyperlink" Target="https://www.zillow.com/homedetails/1916-W-Court-St-Los-Angeles-CA-90026/20627817_zpid/" TargetMode="External"/><Relationship Id="rId605" Type="http://schemas.openxmlformats.org/officeDocument/2006/relationships/hyperlink" Target="https://drive.google.com/open?id=1HGAbctnFt1J3TdqX4pb3NHonroRCrwn5" TargetMode="External"/><Relationship Id="rId812" Type="http://schemas.openxmlformats.org/officeDocument/2006/relationships/hyperlink" Target="https://drive.google.com/open?id=1OspzwTiV4amwFN8EcwcC6-xSJ7fok_tT" TargetMode="External"/><Relationship Id="rId1028" Type="http://schemas.openxmlformats.org/officeDocument/2006/relationships/hyperlink" Target="https://www.compass.com/listing/8159-hollywood-boulevard-los-angeles-ca-90069/1753352903706402097/" TargetMode="External"/><Relationship Id="rId1235" Type="http://schemas.openxmlformats.org/officeDocument/2006/relationships/hyperlink" Target="https://drive.google.com/open?id=1iOcDL5ArvPVY_8GdFhnwmL3dnNdoPALB" TargetMode="External"/><Relationship Id="rId1442" Type="http://schemas.openxmlformats.org/officeDocument/2006/relationships/hyperlink" Target="https://www.zillow.com/homedetails/1425-Wentworth-Ave-Pasadena-CA-91106/20699925_zpid/" TargetMode="External"/><Relationship Id="rId1887" Type="http://schemas.openxmlformats.org/officeDocument/2006/relationships/hyperlink" Target="https://drive.google.com/open?id=1B30SRMYzxQ6r-oFd6pEVSqj5qu-WHFJg" TargetMode="External"/><Relationship Id="rId1302" Type="http://schemas.openxmlformats.org/officeDocument/2006/relationships/hyperlink" Target="https://www.trulia.com/home/3763-lankershim-blvd-los-angeles-ca-90068-20030296" TargetMode="External"/><Relationship Id="rId1747" Type="http://schemas.openxmlformats.org/officeDocument/2006/relationships/hyperlink" Target="https://drive.google.com/open?id=11JiP5B432Awk5U_1mjtJ_ftcKb9n4KOE" TargetMode="External"/><Relationship Id="rId1954" Type="http://schemas.openxmlformats.org/officeDocument/2006/relationships/hyperlink" Target="https://www.compass.com/app/listing/2222-canalda-drive-la-canada-flintridge-ca-91011/1722841017790625713" TargetMode="External"/><Relationship Id="rId39" Type="http://schemas.openxmlformats.org/officeDocument/2006/relationships/hyperlink" Target="https://www.zillow.com/homedetails/9289-Swallow-Dr-Los-Angeles-CA-90069/20799708_zpid/" TargetMode="External"/><Relationship Id="rId1607" Type="http://schemas.openxmlformats.org/officeDocument/2006/relationships/hyperlink" Target="https://www.zillow.com/homedetails/1829-Coldwater-Canyon-Dr-Beverly-Hills-CA-90210/20522744_zpid/" TargetMode="External"/><Relationship Id="rId1814" Type="http://schemas.openxmlformats.org/officeDocument/2006/relationships/hyperlink" Target="https://www.redfin.com/CA/Los-Angeles/8744-Skyline-Dr-90046/home/7123091" TargetMode="External"/><Relationship Id="rId188" Type="http://schemas.openxmlformats.org/officeDocument/2006/relationships/hyperlink" Target="https://drive.google.com/open?id=1mcnGkktBbTOcOJJhgQVUf14I_ezBxFaV" TargetMode="External"/><Relationship Id="rId395" Type="http://schemas.openxmlformats.org/officeDocument/2006/relationships/hyperlink" Target="https://www.zillow.com/homedetails/Burbank-CA-91505/20065843_zpid/" TargetMode="External"/><Relationship Id="rId2076" Type="http://schemas.openxmlformats.org/officeDocument/2006/relationships/hyperlink" Target="https://www.zillow.com/homedetails/3358-Red-Rose-Dr-Encino-CA-91436/19995256_zpid/" TargetMode="External"/><Relationship Id="rId2283" Type="http://schemas.openxmlformats.org/officeDocument/2006/relationships/hyperlink" Target="https://drive.google.com/open?id=1yZCtv9TvBxPD4d3-PILxHWWTD7HU9gFE" TargetMode="External"/><Relationship Id="rId255" Type="http://schemas.openxmlformats.org/officeDocument/2006/relationships/hyperlink" Target="https://www.zillow.com/homedetails/1719-Wellesley-Ave-Los-Angeles-CA-90025/20464247_zpid/" TargetMode="External"/><Relationship Id="rId462" Type="http://schemas.openxmlformats.org/officeDocument/2006/relationships/hyperlink" Target="https://www.zillow.com/homedetails/518-Rialto-Ave-A-Venice-CA-90291/440956450_zpid/" TargetMode="External"/><Relationship Id="rId1092" Type="http://schemas.openxmlformats.org/officeDocument/2006/relationships/hyperlink" Target="https://drive.google.com/open?id=1665k12HCm8AZdns5Vtvt52BEFZ15L665" TargetMode="External"/><Relationship Id="rId1397" Type="http://schemas.openxmlformats.org/officeDocument/2006/relationships/hyperlink" Target="https://drive.google.com/open?id=10B4itCRJadNmeDs_3C7di3KSSVOdVm99" TargetMode="External"/><Relationship Id="rId2143" Type="http://schemas.openxmlformats.org/officeDocument/2006/relationships/hyperlink" Target="https://pinnacleestate.com/listing/SR25004024/1317-n-brand-boulevard-7-glendale-ca-91202/" TargetMode="External"/><Relationship Id="rId2350" Type="http://schemas.openxmlformats.org/officeDocument/2006/relationships/hyperlink" Target="https://www.zillow.com/homedetails/4434-Lowell-Ave-Los-Angeles-CA-90032/2068058298_zpid/" TargetMode="External"/><Relationship Id="rId115" Type="http://schemas.openxmlformats.org/officeDocument/2006/relationships/hyperlink" Target="https://drive.google.com/open?id=14JXnSxRudGw06uRPpcV8TH_FxkUCgQ7n" TargetMode="External"/><Relationship Id="rId322" Type="http://schemas.openxmlformats.org/officeDocument/2006/relationships/hyperlink" Target="https://www.zillow.com/homedetails/11708-Exposition-Blvd-Los-Angeles-CA-90064/20464795_zpid/?utm_campaign=iosappmessage&amp;utm_medium=referral&amp;utm_source=txtshare" TargetMode="External"/><Relationship Id="rId767" Type="http://schemas.openxmlformats.org/officeDocument/2006/relationships/hyperlink" Target="https://drive.google.com/open?id=1a-WYDLcGBl4IZmWF8DzX3AXxoGl9Zrk4" TargetMode="External"/><Relationship Id="rId974" Type="http://schemas.openxmlformats.org/officeDocument/2006/relationships/hyperlink" Target="https://drive.google.com/open?id=15BzOv04_-SJsDsa-LYG2p7MdUrpzikZU" TargetMode="External"/><Relationship Id="rId2003" Type="http://schemas.openxmlformats.org/officeDocument/2006/relationships/hyperlink" Target="https://www.zillow.com/homedetails/1902-Granville-Ave-Los-Angeles-CA-90025/20466278_zpid/" TargetMode="External"/><Relationship Id="rId2210" Type="http://schemas.openxmlformats.org/officeDocument/2006/relationships/hyperlink" Target="https://www.redfin.com/CA/Los-Angeles/235-N-Hoover-St-90004/home/182324328" TargetMode="External"/><Relationship Id="rId627" Type="http://schemas.openxmlformats.org/officeDocument/2006/relationships/hyperlink" Target="https://drive.google.com/open?id=1aS5GDEsmdNmy4brvJHn6i6bR5nUv_fUa" TargetMode="External"/><Relationship Id="rId834" Type="http://schemas.openxmlformats.org/officeDocument/2006/relationships/hyperlink" Target="https://www.zillow.com/homedetails/3215-Ocean-Front-Walk-101-Marina-Del-Rey-CA-90292/51582315_zpid/" TargetMode="External"/><Relationship Id="rId1257" Type="http://schemas.openxmlformats.org/officeDocument/2006/relationships/hyperlink" Target="https://drive.google.com/open?id=1FnWdL5n3Onpr6NnOeE_uYL_H1s8rCDxg" TargetMode="External"/><Relationship Id="rId1464" Type="http://schemas.openxmlformats.org/officeDocument/2006/relationships/hyperlink" Target="https://www.zillow.com/homedetails/3321-E-Colorado-Blvd-25-Pasadena-CA-91107/353727409_zpid/" TargetMode="External"/><Relationship Id="rId1671" Type="http://schemas.openxmlformats.org/officeDocument/2006/relationships/hyperlink" Target="https://www.zillow.com/homedetails/735-N-Ogden-Dr-Los-Angeles-CA-90046/20786003_zpid/" TargetMode="External"/><Relationship Id="rId2308" Type="http://schemas.openxmlformats.org/officeDocument/2006/relationships/hyperlink" Target="https://www.zillow.com/homedetails/4819-W-137th-St-B-Hawthorne-CA-90250/344063916_zpid/" TargetMode="External"/><Relationship Id="rId901" Type="http://schemas.openxmlformats.org/officeDocument/2006/relationships/hyperlink" Target="https://drive.google.com/open?id=1KoKu8vGLUrZuSHmgYiu0i-stxTuZkU2-" TargetMode="External"/><Relationship Id="rId1117" Type="http://schemas.openxmlformats.org/officeDocument/2006/relationships/hyperlink" Target="https://www.zillow.com/homedetails/138-N-Hamel-Dr-Beverly-Hills-CA-90211/20514615_zpid/" TargetMode="External"/><Relationship Id="rId1324" Type="http://schemas.openxmlformats.org/officeDocument/2006/relationships/hyperlink" Target="https://www.zillow.com/homedetails/934-N-Orlando-Ave-Los-Angeles-CA-90069/20787434_zpid/" TargetMode="External"/><Relationship Id="rId1531" Type="http://schemas.openxmlformats.org/officeDocument/2006/relationships/hyperlink" Target="https://www.zillow.com/homedetails/1508-S-Beverly-Glen-Blvd-Los-Angeles-CA-90024/402072336_zpid/" TargetMode="External"/><Relationship Id="rId1769" Type="http://schemas.openxmlformats.org/officeDocument/2006/relationships/hyperlink" Target="https://drive.google.com/open?id=1dXq6WhVtLv02YzpbU4Y2Yk3X-VPS5ifZ" TargetMode="External"/><Relationship Id="rId1976" Type="http://schemas.openxmlformats.org/officeDocument/2006/relationships/hyperlink" Target="https://www.zillow.com/homedetails/2002-S-Corning-St-Los-Angeles-CA-90034/20491459_zpid/" TargetMode="External"/><Relationship Id="rId30" Type="http://schemas.openxmlformats.org/officeDocument/2006/relationships/hyperlink" Target="https://www.zillow.com/homedetails/1916-W-Court-St-Los-Angeles-CA-90026/20627817_zpid/" TargetMode="External"/><Relationship Id="rId1629" Type="http://schemas.openxmlformats.org/officeDocument/2006/relationships/hyperlink" Target="https://www.zillow.com/homedetails/1879-S-Norma-Ln-Anaheim-CA-92802/25173483_zpid/" TargetMode="External"/><Relationship Id="rId1836" Type="http://schemas.openxmlformats.org/officeDocument/2006/relationships/hyperlink" Target="https://www.zillow.com/homedetails/6446-Deep-Dell-Pl-Los-Angeles-CA-90068/68978731_zpid/" TargetMode="External"/><Relationship Id="rId1903" Type="http://schemas.openxmlformats.org/officeDocument/2006/relationships/hyperlink" Target="https://www.redfin.com/CA/Los-Angeles/1850-Industrial-St-90021/home/194276793" TargetMode="External"/><Relationship Id="rId2098" Type="http://schemas.openxmlformats.org/officeDocument/2006/relationships/hyperlink" Target="https://www.zillow.com/homedetails/10757-Palms-Blvd-9-Los-Angeles-CA-90034/401748346_zpid/" TargetMode="External"/><Relationship Id="rId277" Type="http://schemas.openxmlformats.org/officeDocument/2006/relationships/hyperlink" Target="https://drive.google.com/open?id=1FzlnbqdywRvwTC6FXgA3Yf3dhDBpxjgm" TargetMode="External"/><Relationship Id="rId484" Type="http://schemas.openxmlformats.org/officeDocument/2006/relationships/hyperlink" Target="https://drive.google.com/open?id=1CZrlT5S4kBxjIQjDbc_TdUzgvBNQY_gt" TargetMode="External"/><Relationship Id="rId2165" Type="http://schemas.openxmlformats.org/officeDocument/2006/relationships/hyperlink" Target="https://www.zillow.com/homedetails/18948-Pacific-Coast-Hwy-Malibu-CA-90265/89149270_zpid/" TargetMode="External"/><Relationship Id="rId137" Type="http://schemas.openxmlformats.org/officeDocument/2006/relationships/hyperlink" Target="https://www.zillow.com/homedetails/9982-Beverly-Grv-Beverly-Hills-CA-90210/443685654_zpid/" TargetMode="External"/><Relationship Id="rId344" Type="http://schemas.openxmlformats.org/officeDocument/2006/relationships/hyperlink" Target="https://www.zillow.com/homedetails/3100-The-Strand-Hermosa-Beach-CA-90254/20424059_zpid/" TargetMode="External"/><Relationship Id="rId691" Type="http://schemas.openxmlformats.org/officeDocument/2006/relationships/hyperlink" Target="https://www.zillow.com/homedetails/8434-Shirley-Ave-Northridge-CA-91324/20182539_zpid/" TargetMode="External"/><Relationship Id="rId789" Type="http://schemas.openxmlformats.org/officeDocument/2006/relationships/hyperlink" Target="https://drive.google.com/open?id=1C6ONULTfz57Q0knbGDmACfhgARZxj0gb" TargetMode="External"/><Relationship Id="rId996" Type="http://schemas.openxmlformats.org/officeDocument/2006/relationships/hyperlink" Target="https://drive.google.com/open?id=1xv9qCx_1tWmyWPDzieCancwRTVbj50Ze" TargetMode="External"/><Relationship Id="rId2025" Type="http://schemas.openxmlformats.org/officeDocument/2006/relationships/hyperlink" Target="https://www.zillow.com/homedetails/4267-Marina-City-Dr-UNIT-102-Marina-Del-Rey-CA-90292/302687068_zpid/" TargetMode="External"/><Relationship Id="rId2372" Type="http://schemas.openxmlformats.org/officeDocument/2006/relationships/hyperlink" Target="https://drive.google.com/open?id=1P1kG9gQpzcVwWycv2rrMYT-mY0UMRzc-" TargetMode="External"/><Relationship Id="rId551" Type="http://schemas.openxmlformats.org/officeDocument/2006/relationships/hyperlink" Target="https://drive.google.com/open?id=1hsVL0s6p3nQ9hXzZKMIzvMnCEfloERIm" TargetMode="External"/><Relationship Id="rId649" Type="http://schemas.openxmlformats.org/officeDocument/2006/relationships/hyperlink" Target="https://drive.google.com/open?id=1rT-8MNa_fhtodlQg8X4PmmER-0tT5Nq4" TargetMode="External"/><Relationship Id="rId856" Type="http://schemas.openxmlformats.org/officeDocument/2006/relationships/hyperlink" Target="https://drive.google.com/open?id=18N2SpT-HqRXVtkNuJwfD4IwY8mcxrDrh" TargetMode="External"/><Relationship Id="rId1181" Type="http://schemas.openxmlformats.org/officeDocument/2006/relationships/hyperlink" Target="https://www.zillow.com/homedetails/11863-Darlington-Ave-UNIT-308-Los-Angeles-CA-90049/135374969_zpid/" TargetMode="External"/><Relationship Id="rId1279" Type="http://schemas.openxmlformats.org/officeDocument/2006/relationships/hyperlink" Target="https://www.zillow.com/homedetails/12830-Elkwood-St-North-Hollywood-CA-91605/19997569_zpid/" TargetMode="External"/><Relationship Id="rId1486" Type="http://schemas.openxmlformats.org/officeDocument/2006/relationships/hyperlink" Target="https://www.zillow.com/homedetails/394-S-Los-Robles-Ave-APT-7-Pasadena-CA-91101/20867347_zpid/" TargetMode="External"/><Relationship Id="rId2232" Type="http://schemas.openxmlformats.org/officeDocument/2006/relationships/hyperlink" Target="https://drive.google.com/open?id=1s73MGgaYy9OPLAJrKaneXZgQubClS9b_" TargetMode="External"/><Relationship Id="rId204" Type="http://schemas.openxmlformats.org/officeDocument/2006/relationships/hyperlink" Target="https://www.zillow.com/homedetails/4707-Libbit-Ave-Encino-CA-91436/19991540_zpid/" TargetMode="External"/><Relationship Id="rId411" Type="http://schemas.openxmlformats.org/officeDocument/2006/relationships/hyperlink" Target="https://drive.google.com/open?id=16Id389rDEvuyJNQgvmDD421AMifV41GW" TargetMode="External"/><Relationship Id="rId509" Type="http://schemas.openxmlformats.org/officeDocument/2006/relationships/hyperlink" Target="https://www.zillow.com/homedetails/710-Westbourne-Dr-West-Hollywood-CA-90069/2098186436_zpid/" TargetMode="External"/><Relationship Id="rId1041" Type="http://schemas.openxmlformats.org/officeDocument/2006/relationships/hyperlink" Target="https://www.zillow.com/homedetails/Baldwin-Park-CA-91706/21596745_zpid/" TargetMode="External"/><Relationship Id="rId1139" Type="http://schemas.openxmlformats.org/officeDocument/2006/relationships/hyperlink" Target="https://drive.google.com/open?id=1T_M5MmfCBWDPjrAZ3xQSZ1IPega5W75p" TargetMode="External"/><Relationship Id="rId1346" Type="http://schemas.openxmlformats.org/officeDocument/2006/relationships/hyperlink" Target="https://www.redfin.com/CA/Los-Angeles/7599-Coastal-View-Dr-90045/home/17238564" TargetMode="External"/><Relationship Id="rId1693" Type="http://schemas.openxmlformats.org/officeDocument/2006/relationships/hyperlink" Target="https://www.zillow.com/homedetails/1716-N-Sierra-Bonita-Ave-Pasadena-CA-91104/2081043454_zpid/" TargetMode="External"/><Relationship Id="rId1998" Type="http://schemas.openxmlformats.org/officeDocument/2006/relationships/hyperlink" Target="https://drive.google.com/open?id=1AixtOUF865tX_vQvQPXkXGH8gcsPlFRQ" TargetMode="External"/><Relationship Id="rId716" Type="http://schemas.openxmlformats.org/officeDocument/2006/relationships/hyperlink" Target="https://www.zillow.com/homedetails/31678-Cottontail-Ln-Malibu-CA-90265/2054295562_zpid/" TargetMode="External"/><Relationship Id="rId923" Type="http://schemas.openxmlformats.org/officeDocument/2006/relationships/hyperlink" Target="https://www.zillow.com/homedetails/1023-S-Stanley-Ave-Los-Angeles-CA-90019/20607748_zpid/" TargetMode="External"/><Relationship Id="rId1553" Type="http://schemas.openxmlformats.org/officeDocument/2006/relationships/hyperlink" Target="https://www.zillow.com/homedetails/8590-Hollywood-Blvd-Los-Angeles-CA-90069/20797372_zpid/" TargetMode="External"/><Relationship Id="rId1760" Type="http://schemas.openxmlformats.org/officeDocument/2006/relationships/hyperlink" Target="https://www.zillow.com/homedetails/1012-Keniston-Ave-Los-Angeles-CA-90019/20606367_zpid/" TargetMode="External"/><Relationship Id="rId1858" Type="http://schemas.openxmlformats.org/officeDocument/2006/relationships/hyperlink" Target="https://drive.google.com/open?id=1yAEl3WDQxfQbeFrvBUHYc6FwGkzHiw4F" TargetMode="External"/><Relationship Id="rId52" Type="http://schemas.openxmlformats.org/officeDocument/2006/relationships/hyperlink" Target="https://www.zillow.com/homedetails/3711-Flora-Ave-Los-Angeles-CA-90031/20637876_zpid/?utm_campaign=iosappmessage&amp;utm_medium=referral&amp;utm_source=txtshare" TargetMode="External"/><Relationship Id="rId1206" Type="http://schemas.openxmlformats.org/officeDocument/2006/relationships/hyperlink" Target="https://www.compass.com/listing/750-south-oxford-avenue-unit-669-los-angeles-ca-90005/1681986269086401201/" TargetMode="External"/><Relationship Id="rId1413" Type="http://schemas.openxmlformats.org/officeDocument/2006/relationships/hyperlink" Target="https://www.zillow.com/homedetails/1900-Fox-Hills-Dr-Los-Angeles-CA-90025/20500326_zpid/" TargetMode="External"/><Relationship Id="rId1620" Type="http://schemas.openxmlformats.org/officeDocument/2006/relationships/hyperlink" Target="https://www.zillow.com/homedetails/3900-Hilton-Head-Way-Tarzana-CA-91356/19951258_zpid/" TargetMode="External"/><Relationship Id="rId1718" Type="http://schemas.openxmlformats.org/officeDocument/2006/relationships/hyperlink" Target="https://www.zillow.com/homedetails/11659-Chandler-Blvd-APT-5-North-Hollywood-CA-91601/2082032780_zpid/" TargetMode="External"/><Relationship Id="rId1925" Type="http://schemas.openxmlformats.org/officeDocument/2006/relationships/hyperlink" Target="https://www.zillow.com/homedetails/454-E-Washington-Blvd-Pasadena-CA-91104/20865663_zpid/" TargetMode="External"/><Relationship Id="rId299" Type="http://schemas.openxmlformats.org/officeDocument/2006/relationships/hyperlink" Target="https://drive.google.com/open?id=13XxrWddwBbsSyjIJlvNNxD8Hu9RndxAt" TargetMode="External"/><Relationship Id="rId2187" Type="http://schemas.openxmlformats.org/officeDocument/2006/relationships/hyperlink" Target="https://www.zillow.com/homedetails/14818-Round-Valley-Dr-Sherman-Oaks-CA-91403/19987890_zpid/?" TargetMode="External"/><Relationship Id="rId159" Type="http://schemas.openxmlformats.org/officeDocument/2006/relationships/hyperlink" Target="https://www.zillow.com/homedetails/912-N-Vendome-St-Los-Angeles-CA-90026/2083961992_zpid/" TargetMode="External"/><Relationship Id="rId366" Type="http://schemas.openxmlformats.org/officeDocument/2006/relationships/hyperlink" Target="https://www.zillow.com/homedetails/1321-Londonderry-Pl-Los-Angeles-CA-90069/20798979_zpid/" TargetMode="External"/><Relationship Id="rId573" Type="http://schemas.openxmlformats.org/officeDocument/2006/relationships/hyperlink" Target="https://www.zillow.com/homedetails/2369-Jupiter-Dr-Los-Angeles-CA-90046/20801934_zpid/" TargetMode="External"/><Relationship Id="rId780" Type="http://schemas.openxmlformats.org/officeDocument/2006/relationships/hyperlink" Target="https://www.zillow.com/homedetails/8038-Blackburn-Ave-7-Los-Angeles-CA-90048/2067901955_zpid/" TargetMode="External"/><Relationship Id="rId2047" Type="http://schemas.openxmlformats.org/officeDocument/2006/relationships/hyperlink" Target="https://drive.google.com/open?id=1V318bBA4MGUVaaGxsBaxoLGO5epRb9ay" TargetMode="External"/><Relationship Id="rId2254" Type="http://schemas.openxmlformats.org/officeDocument/2006/relationships/hyperlink" Target="https://drive.google.com/open?id=1SOQhMkB4tAOzBYExiDY_O5mffAI2QFXr" TargetMode="External"/><Relationship Id="rId226" Type="http://schemas.openxmlformats.org/officeDocument/2006/relationships/hyperlink" Target="https://www.zillow.com/homedetails/157-S-Anita-Ave-Los-Angeles-CA-90049/20537967_zpid/" TargetMode="External"/><Relationship Id="rId433" Type="http://schemas.openxmlformats.org/officeDocument/2006/relationships/hyperlink" Target="https://www.zillow.com/homedetails/3663-Edenhurst-Ave-Los-Angeles-CA-90039/20749912_zpid/" TargetMode="External"/><Relationship Id="rId878" Type="http://schemas.openxmlformats.org/officeDocument/2006/relationships/hyperlink" Target="https://drive.google.com/open?id=10GDwSNmrLyGEJe5GHqO-F7mD8dgyJL3y" TargetMode="External"/><Relationship Id="rId1063" Type="http://schemas.openxmlformats.org/officeDocument/2006/relationships/hyperlink" Target="https://www.zillow.com/homedetails/2075-Minoru-Dr-Altadena-CA-91001/20922301_zpid/" TargetMode="External"/><Relationship Id="rId1270" Type="http://schemas.openxmlformats.org/officeDocument/2006/relationships/hyperlink" Target="https://www.zillow.com/homedetails/9243-Cordell-Dr-Los-Angeles-CA-90069/20534852_zpid/" TargetMode="External"/><Relationship Id="rId2114" Type="http://schemas.openxmlformats.org/officeDocument/2006/relationships/hyperlink" Target="https://drive.google.com/open?id=1B1lp06jT89d_3YplUKhvCrI6Wxtth8nr" TargetMode="External"/><Relationship Id="rId640" Type="http://schemas.openxmlformats.org/officeDocument/2006/relationships/hyperlink" Target="https://www.zillow.com/homedetails/3425-W-Olive-Ave-335-Burbank-CA-91505/2086716625_zpid/?utm_campaign=iosappmessage&amp;utm_medium=referral&amp;utm_source=txtshare" TargetMode="External"/><Relationship Id="rId738" Type="http://schemas.openxmlformats.org/officeDocument/2006/relationships/hyperlink" Target="https://www.zillow.com/homedetails/500-14th-St-Manhattan-Beach-CA-90266/20418321_zpid/" TargetMode="External"/><Relationship Id="rId945" Type="http://schemas.openxmlformats.org/officeDocument/2006/relationships/hyperlink" Target="https://drive.google.com/open?id=1S4sFn4ROyHa1rDJbRDirdIvc2bLwlljk" TargetMode="External"/><Relationship Id="rId1368" Type="http://schemas.openxmlformats.org/officeDocument/2006/relationships/hyperlink" Target="https://www.zillow.com/homedetails/2937-Urban-Ave-Santa-Monica-CA-90404/20473812_zpid/" TargetMode="External"/><Relationship Id="rId1575" Type="http://schemas.openxmlformats.org/officeDocument/2006/relationships/hyperlink" Target="https://www.trulia.com/home/286-n-madison-ave-3-id1153-pasadena-ca-91101-348506118" TargetMode="External"/><Relationship Id="rId1782" Type="http://schemas.openxmlformats.org/officeDocument/2006/relationships/hyperlink" Target="https://www.zillow.com/homedetails/9243-Cordell-Dr-Los-Angeles-CA-90069/20534852_zpid/" TargetMode="External"/><Relationship Id="rId2321" Type="http://schemas.openxmlformats.org/officeDocument/2006/relationships/hyperlink" Target="https://www.zillow.com/homedetails/7820-Mulholland-Dr-Los-Angeles-CA-90046/20802716_zpid/?utm_campaign=iosappmessage&amp;utm_medium=referral&amp;utm_source=txtshare" TargetMode="External"/><Relationship Id="rId74" Type="http://schemas.openxmlformats.org/officeDocument/2006/relationships/hyperlink" Target="https://www.zillow.com/homedetails/Venice-CA-90291/2059889727_zpid/" TargetMode="External"/><Relationship Id="rId500" Type="http://schemas.openxmlformats.org/officeDocument/2006/relationships/hyperlink" Target="https://www.zillow.com/homedetails/8680-Franklin-Ave-Los-Angeles-CA-90069/20798318_zpid/" TargetMode="External"/><Relationship Id="rId805" Type="http://schemas.openxmlformats.org/officeDocument/2006/relationships/hyperlink" Target="https://drive.google.com/open?id=1NdXx2bCA3ymxCJP39eqetoT00zbpJc6M" TargetMode="External"/><Relationship Id="rId1130" Type="http://schemas.openxmlformats.org/officeDocument/2006/relationships/hyperlink" Target="https://www.zillow.com/homedetails/508-N-Canon-Dr-Beverly-Hills-CA-90210/20521062_zpid/" TargetMode="External"/><Relationship Id="rId1228" Type="http://schemas.openxmlformats.org/officeDocument/2006/relationships/hyperlink" Target="https://drive.google.com/open?id=1rKMoMeU_EKZrbNcW0Nd0F-rEflJ6cLya" TargetMode="External"/><Relationship Id="rId1435" Type="http://schemas.openxmlformats.org/officeDocument/2006/relationships/hyperlink" Target="https://www.zillow.com/homedetails/11730-Stonehenge-Ln-Los-Angeles-CA-90077/20530651_zpid/" TargetMode="External"/><Relationship Id="rId1642" Type="http://schemas.openxmlformats.org/officeDocument/2006/relationships/hyperlink" Target="https://drive.google.com/open?id=1iSXeJt-VLpo3KsqcKRctBxVgfN_f5hjZ" TargetMode="External"/><Relationship Id="rId1947" Type="http://schemas.openxmlformats.org/officeDocument/2006/relationships/hyperlink" Target="https://www.zillow.com/homedetails/4653-1-2-Lincoln-Ave-Los-Angeles-CA-90041/2067550115_zpid/" TargetMode="External"/><Relationship Id="rId1502" Type="http://schemas.openxmlformats.org/officeDocument/2006/relationships/hyperlink" Target="https://www.google.com/url?q=https://www.zillow.com/homedetails/917-S-Berendo-St-402-Los-Angeles-CA-90006/439637632_zpid/?utm_campaign%3Diosappmessage%26utm_medium%3Dreferral%26utm_source%3Dtxtshare&amp;sa=D&amp;source=editors&amp;ust=1736931393970887&amp;usg=AOvVaw38zefftyL_aeA4vEU1lLg8" TargetMode="External"/><Relationship Id="rId1807" Type="http://schemas.openxmlformats.org/officeDocument/2006/relationships/hyperlink" Target="https://drive.google.com/open?id=19aimCbC5WGBAmEHknnpqsgqn9TwULCIm" TargetMode="External"/><Relationship Id="rId290" Type="http://schemas.openxmlformats.org/officeDocument/2006/relationships/hyperlink" Target="https://www.zillow.com/homedetails/1106-Oakwood-Ave-Venice-CA-90291/20450981_zpid/?utm_campaign=iosappmessage&amp;utm_medium=referral&amp;utm_source=txtshare" TargetMode="External"/><Relationship Id="rId388" Type="http://schemas.openxmlformats.org/officeDocument/2006/relationships/hyperlink" Target="https://drive.google.com/open?id=1FCc3hVLZluutG08uUEkV69VHkWoF-4ll" TargetMode="External"/><Relationship Id="rId2069" Type="http://schemas.openxmlformats.org/officeDocument/2006/relationships/hyperlink" Target="https://www.zillow.com/homedetails/24801-Calle-Cedro-Calabasas-CA-91302/19897048_zpid/" TargetMode="External"/><Relationship Id="rId150" Type="http://schemas.openxmlformats.org/officeDocument/2006/relationships/hyperlink" Target="https://www.zillow.com/homedetails/22522-Gilmore-St-West-Hills-CA-91307/439680894_zpid/?utm_campaign=iosappmessage&amp;utm_medium=referral&amp;utm_source=txtshare" TargetMode="External"/><Relationship Id="rId595" Type="http://schemas.openxmlformats.org/officeDocument/2006/relationships/hyperlink" Target="https://drive.google.com/open?id=1ALdQjDNHz4eViUl7THeU1QVPs68PNJyO" TargetMode="External"/><Relationship Id="rId2276" Type="http://schemas.openxmlformats.org/officeDocument/2006/relationships/hyperlink" Target="https://www.zillow.com/homedetails/1238-W-Adams-Blvd-APT-2-Los-Angeles-CA-90007/2115053245_zpid/" TargetMode="External"/><Relationship Id="rId248" Type="http://schemas.openxmlformats.org/officeDocument/2006/relationships/hyperlink" Target="https://www.zillow.com/homedetails/637-Oxford-Ave-Venice-CA-90291/20445192_zpid/" TargetMode="External"/><Relationship Id="rId455" Type="http://schemas.openxmlformats.org/officeDocument/2006/relationships/hyperlink" Target="https://drive.google.com/open?id=1IO27b-BWYpVKLvNWqghtVTf7-zjxcxxl" TargetMode="External"/><Relationship Id="rId662" Type="http://schemas.openxmlformats.org/officeDocument/2006/relationships/hyperlink" Target="https://www.zillow.com/homedetails/22958-Cantlay-St-West-Hills-CA-91307/19866343_zpid/" TargetMode="External"/><Relationship Id="rId1085" Type="http://schemas.openxmlformats.org/officeDocument/2006/relationships/hyperlink" Target="https://drive.google.com/open?id=1Whn27qhhBvqGwc_YDqvXfUdKYOoYskZZ" TargetMode="External"/><Relationship Id="rId1292" Type="http://schemas.openxmlformats.org/officeDocument/2006/relationships/hyperlink" Target="https://www.zillow.com/homedetails/Van-Nuys-CA-91406/19953018_zpid/" TargetMode="External"/><Relationship Id="rId2136" Type="http://schemas.openxmlformats.org/officeDocument/2006/relationships/hyperlink" Target="https://drive.google.com/open?id=1o5fEEAc0-5ai1PZTg-DZZ6KCjhpKgkY_" TargetMode="External"/><Relationship Id="rId2343" Type="http://schemas.openxmlformats.org/officeDocument/2006/relationships/hyperlink" Target="https://www.zillow.com/homedetails/834-Lincoln-Blvd-APT-5-Santa-Monica-CA-90403/2093836699_zpid/?utm_campaign=iosappmessage&amp;utm_medium=referral&amp;utm_source=txtshare" TargetMode="External"/><Relationship Id="rId108" Type="http://schemas.openxmlformats.org/officeDocument/2006/relationships/hyperlink" Target="https://drive.google.com/open?id=1YKY0jAgqx2PN8xqnatLY6-sNOytbD4OL" TargetMode="External"/><Relationship Id="rId315" Type="http://schemas.openxmlformats.org/officeDocument/2006/relationships/hyperlink" Target="https://www.zillow.com/homedetails/2219-Estribo-Dr-Rolling-Hills-CA-90274/21348855_zpid/" TargetMode="External"/><Relationship Id="rId522" Type="http://schemas.openxmlformats.org/officeDocument/2006/relationships/hyperlink" Target="https://drive.google.com/open?id=1FVRTLoOLw_BqABqxhw724xqWFtPgFyV8" TargetMode="External"/><Relationship Id="rId967" Type="http://schemas.openxmlformats.org/officeDocument/2006/relationships/hyperlink" Target="https://drive.google.com/open?id=1AVTg7Hjv1_eq1FnZ-hO4O3Ckrhvxxwel" TargetMode="External"/><Relationship Id="rId1152" Type="http://schemas.openxmlformats.org/officeDocument/2006/relationships/hyperlink" Target="https://www.zillow.com/homedetails/420-S-Sunset-Canyon-Dr-Burbank-CA-91501/20816835_zpid/" TargetMode="External"/><Relationship Id="rId1597" Type="http://schemas.openxmlformats.org/officeDocument/2006/relationships/hyperlink" Target="https://www.zillow.com/homedetails/1016-Balboa-Blvd-E-Newport-Beach-CA-92661/2054129145_zpid/" TargetMode="External"/><Relationship Id="rId2203" Type="http://schemas.openxmlformats.org/officeDocument/2006/relationships/hyperlink" Target="http://forrent.com/" TargetMode="External"/><Relationship Id="rId96" Type="http://schemas.openxmlformats.org/officeDocument/2006/relationships/hyperlink" Target="https://www.zillow.com/homedetails/2950-Warwick-Ave-Los-Angeles-CA-90032/20643542_zpid/" TargetMode="External"/><Relationship Id="rId827" Type="http://schemas.openxmlformats.org/officeDocument/2006/relationships/hyperlink" Target="https://www.zillow.com/homedetails/3935-Inglewood-Blvd-3935-Los-Angeles-CA-90066/401885716_zpid/" TargetMode="External"/><Relationship Id="rId1012" Type="http://schemas.openxmlformats.org/officeDocument/2006/relationships/hyperlink" Target="https://www.zillow.com/homedetails/10787-Wilshire-Blvd-PENTHOUSE-Los-Angeles-CA-90024/443396409_zpid/" TargetMode="External"/><Relationship Id="rId1457" Type="http://schemas.openxmlformats.org/officeDocument/2006/relationships/hyperlink" Target="https://www.zillow.com/homedetails/1621-S-Atlantic-Blvd-Alhambra-CA-91803/20716753_zpid/" TargetMode="External"/><Relationship Id="rId1664" Type="http://schemas.openxmlformats.org/officeDocument/2006/relationships/hyperlink" Target="https://www.zillow.com/homedetails/5902-Fallbrook-Ave-Woodland-Hills-CA-91367/19877809_zpid/" TargetMode="External"/><Relationship Id="rId1871" Type="http://schemas.openxmlformats.org/officeDocument/2006/relationships/hyperlink" Target="https://drive.google.com/open?id=1pkZpf8y6i00bkyiFlj3TBXgSJvLtRM7C" TargetMode="External"/><Relationship Id="rId1317" Type="http://schemas.openxmlformats.org/officeDocument/2006/relationships/hyperlink" Target="https://www.zillow.com/homedetails/10214-Candleberry-Ln-Northridge-CA-91324/20167392_zpid/" TargetMode="External"/><Relationship Id="rId1524" Type="http://schemas.openxmlformats.org/officeDocument/2006/relationships/hyperlink" Target="https://drive.google.com/open?id=1XLJYHQYLmA7oezTd7aaYKAKK5QsVuXDQ" TargetMode="External"/><Relationship Id="rId1731" Type="http://schemas.openxmlformats.org/officeDocument/2006/relationships/hyperlink" Target="https://www.zillow.com/homedetails/800-W-1st-St-APT-1609-Los-Angeles-CA-90012/20625889_zpid/" TargetMode="External"/><Relationship Id="rId1969" Type="http://schemas.openxmlformats.org/officeDocument/2006/relationships/hyperlink" Target="https://www.avaloncommunities.com/california/los-angeles-apartments/ava-toluca-hills/" TargetMode="External"/><Relationship Id="rId23" Type="http://schemas.openxmlformats.org/officeDocument/2006/relationships/hyperlink" Target="https://www.zillow.com/homedetails/1427-Columbia-Dr-Glendale-CA-91205/20847539_zpid/" TargetMode="External"/><Relationship Id="rId1829" Type="http://schemas.openxmlformats.org/officeDocument/2006/relationships/hyperlink" Target="https://www.zillow.com/homedetails/Los-Angeles-CA-90004/2089738197_zpid/" TargetMode="External"/><Relationship Id="rId2298" Type="http://schemas.openxmlformats.org/officeDocument/2006/relationships/hyperlink" Target="https://www.zillow.com/homedetails/2450-Glencoe-Ave-Venice-CA-90291/111919381_zpid/?rtoken=9f90b7ad-9955-4483-a880-9ce99996658d~X1-ZUw262ebtplte1_4kciy&amp;utm_campaign=emo-instantsavedsearch-rental&amp;utm_source=email&amp;utm_term=urn:msg:20250206123602395ff60a8a18db3d&amp;utm_medium=email&amp;utm_content=forrentimage&amp;sse=X1-SStmcgo8ejuwwb1000000000_6sexf&amp;srp=H4sIAAAAAAAAAI2Ty27CMBBFvyZLILYTPxZVVaCLLks2VTfISRxC5Qf1g9C/b4QDBalI9mrGc+b6akZe9EYJt+iM3Vqh/eLZCW6b/j0I+1N57sVTRpYZhIoflibo1o1xhl7i5SCcj/kMADovMKEY0ZxhBhHL4GqsCX6P5BQXOUYFLlCJI+JM8H1kEJozUlJKEAIAoIuINvZKFPMcFBgzRjAFo06ZkXWkur30wp5N35rs7G125DJMZW/H6Nrsav6A67h0d6BJAnWThDXK6SSQhzTBcZUiCazF/TbVfjICY13xU8x1kPLapbokccl1mwQqrkMS6L47/69dAMv8geO/Rw6fxqiJL6bJB+eN2ojd3ui3i1kIMatbjAmj4APMVpuGWy8bLDAKWwD6AZ3dRkf8KNrq/F9etTVSqvEH3SiN/VXlVbMzVHyFYahBfjlb7MTpPEmy/gWSR5DygwMAAA==" TargetMode="External"/><Relationship Id="rId172" Type="http://schemas.openxmlformats.org/officeDocument/2006/relationships/hyperlink" Target="https://drive.google.com/open?id=1Q9ycrMCVyVemQcJOvJ0VqcMW9YT0vFf6" TargetMode="External"/><Relationship Id="rId477" Type="http://schemas.openxmlformats.org/officeDocument/2006/relationships/hyperlink" Target="https://drive.google.com/open?id=1zc_rXe5eY-HEevQ93IBNS_xpdjiquv3R" TargetMode="External"/><Relationship Id="rId684" Type="http://schemas.openxmlformats.org/officeDocument/2006/relationships/hyperlink" Target="https://www.zillow.com/homedetails/1235-Highland-Oaks-Dr-Arcadia-CA-91006/20887520_zpid/" TargetMode="External"/><Relationship Id="rId2060" Type="http://schemas.openxmlformats.org/officeDocument/2006/relationships/hyperlink" Target="https://www.zillow.com/homedetails/4707-Libbit-Ave-Encino-CA-91436/19991540_zpid/?utm_campaign=iosappmessage&amp;utm_medium=referral&amp;utm_source=txtshare" TargetMode="External"/><Relationship Id="rId2158" Type="http://schemas.openxmlformats.org/officeDocument/2006/relationships/hyperlink" Target="https://www.zillow.com/homedetails/(undisclosed-Address)-Glendale-CA-91207/20838315_zpid/?utm_campaign=iosappmessage&amp;utm_medium=referral&amp;utm_source=txtshare" TargetMode="External"/><Relationship Id="rId2365" Type="http://schemas.openxmlformats.org/officeDocument/2006/relationships/hyperlink" Target="https://www.zillow.com/homedetails/3359-Bennett-Dr-Los-Angeles-CA-90068/20045727_zpid/" TargetMode="External"/><Relationship Id="rId337" Type="http://schemas.openxmlformats.org/officeDocument/2006/relationships/hyperlink" Target="https://drive.google.com/open?id=1VPdM8Uc2SWtHADKixOOZhTJbDtFwzXdW" TargetMode="External"/><Relationship Id="rId891" Type="http://schemas.openxmlformats.org/officeDocument/2006/relationships/hyperlink" Target="https://www.zillow.com/homedetails/2071-Paramount-Dr-Los-Angeles-CA-90068/442128547_zpid/" TargetMode="External"/><Relationship Id="rId989" Type="http://schemas.openxmlformats.org/officeDocument/2006/relationships/hyperlink" Target="https://www.zillow.com/homedetails/724-S-Gramercy-Dr-Los-Angeles-CA-90005/2070015636_zpid/" TargetMode="External"/><Relationship Id="rId2018" Type="http://schemas.openxmlformats.org/officeDocument/2006/relationships/hyperlink" Target="https://www.zillow.com/homedetails/1235-Highland-Oaks-Dr-Arcadia-CA-91006/20887520_zpid/" TargetMode="External"/><Relationship Id="rId544" Type="http://schemas.openxmlformats.org/officeDocument/2006/relationships/hyperlink" Target="https://www.zillow.com/homedetails/8147-Mulholland-Ter-Los-Angeles-CA-90046/20031972_zpid/" TargetMode="External"/><Relationship Id="rId751" Type="http://schemas.openxmlformats.org/officeDocument/2006/relationships/hyperlink" Target="https://drive.google.com/open?id=15FVCO4QWHIPisKu1sjp1qwrEnBepTn3i" TargetMode="External"/><Relationship Id="rId849" Type="http://schemas.openxmlformats.org/officeDocument/2006/relationships/hyperlink" Target="http://compass.com/" TargetMode="External"/><Relationship Id="rId1174" Type="http://schemas.openxmlformats.org/officeDocument/2006/relationships/hyperlink" Target="https://www.zillow.com/homedetails/16-Park-Ave-Venice-CA-90291/20482259_zpid/" TargetMode="External"/><Relationship Id="rId1381" Type="http://schemas.openxmlformats.org/officeDocument/2006/relationships/hyperlink" Target="https://drive.google.com/open?id=1I9-w49am5bOsT5kE4UBOOtW2G0vqrHVz" TargetMode="External"/><Relationship Id="rId1479" Type="http://schemas.openxmlformats.org/officeDocument/2006/relationships/hyperlink" Target="https://www.zillow.com/homedetails/267-Barthe-Dr-14-Pasadena-CA-91103/441812912_zpid/" TargetMode="External"/><Relationship Id="rId1686" Type="http://schemas.openxmlformats.org/officeDocument/2006/relationships/hyperlink" Target="https://www.zillow.com/homedetails/20552-Bergamo-Way-Porter-Ranch-CA-91326/54663961_zpid/?utm_campaign=iosappmessage&amp;utm_medium=referral&amp;utm_source=txtshare" TargetMode="External"/><Relationship Id="rId2225" Type="http://schemas.openxmlformats.org/officeDocument/2006/relationships/hyperlink" Target="https://www.zillow.com/apartments/beverly-hills-ca/gardenhouse-beverly-hills/9MNYSn/" TargetMode="External"/><Relationship Id="rId404" Type="http://schemas.openxmlformats.org/officeDocument/2006/relationships/hyperlink" Target="https://drive.google.com/open?id=1pmlGPUW-dbDyMNDuu5UMKihfmhSUF8si" TargetMode="External"/><Relationship Id="rId611" Type="http://schemas.openxmlformats.org/officeDocument/2006/relationships/hyperlink" Target="https://drive.google.com/open?id=1XaJT_1-1vdKGWwStln1D3hty2nIlsuFg" TargetMode="External"/><Relationship Id="rId1034" Type="http://schemas.openxmlformats.org/officeDocument/2006/relationships/hyperlink" Target="https://drive.google.com/open?id=1QOkfxgXomJnV0Bj1pYo61rXRefY48Qdc" TargetMode="External"/><Relationship Id="rId1241" Type="http://schemas.openxmlformats.org/officeDocument/2006/relationships/hyperlink" Target="https://drive.google.com/open?id=1xqX9FNVQ12PyBZ693Pli-4IMIhnaY2vq" TargetMode="External"/><Relationship Id="rId1339" Type="http://schemas.openxmlformats.org/officeDocument/2006/relationships/hyperlink" Target="https://www.zillow.com/homedetails/Los-Angeles-CA-90056/20429298_zpid/" TargetMode="External"/><Relationship Id="rId1893" Type="http://schemas.openxmlformats.org/officeDocument/2006/relationships/hyperlink" Target="https://drive.google.com/open?id=1kzJYnURAxN5I0_P90YA1Ha1bO_qyGxS4" TargetMode="External"/><Relationship Id="rId709" Type="http://schemas.openxmlformats.org/officeDocument/2006/relationships/hyperlink" Target="https://www.zillow.com/homedetails/3055-Landa-St-Los-Angeles-CA-90039/20747666_zpid/" TargetMode="External"/><Relationship Id="rId916" Type="http://schemas.openxmlformats.org/officeDocument/2006/relationships/hyperlink" Target="https://www.zillow.com/homedetails/10228-Encino-Ave-Northridge-CA-91325/20169508_zpid/" TargetMode="External"/><Relationship Id="rId1101" Type="http://schemas.openxmlformats.org/officeDocument/2006/relationships/hyperlink" Target="https://www.zillow.com/homedetails/2844-Ashmont-Ave-Arcadia-CA-91006/21581179_zpid/" TargetMode="External"/><Relationship Id="rId1546" Type="http://schemas.openxmlformats.org/officeDocument/2006/relationships/hyperlink" Target="https://drive.google.com/open?id=13OMhN2abmYJ-LrYjTZKPmqAR13Pr3cCX" TargetMode="External"/><Relationship Id="rId1753" Type="http://schemas.openxmlformats.org/officeDocument/2006/relationships/hyperlink" Target="https://www.zillow.com/homedetails/1735-Taft-Ave-Los-Angeles-CA-90028/20807936_zpid/" TargetMode="External"/><Relationship Id="rId1960" Type="http://schemas.openxmlformats.org/officeDocument/2006/relationships/hyperlink" Target="https://drive.google.com/open?id=19aIia90l2mZ0FlNG12s4FeFiDYs25OLl" TargetMode="External"/><Relationship Id="rId45" Type="http://schemas.openxmlformats.org/officeDocument/2006/relationships/hyperlink" Target="https://www.zillow.com/homedetails/1780-S-Garth-Ave-Los-Angeles-CA-90035/20492198_zpid/" TargetMode="External"/><Relationship Id="rId1406" Type="http://schemas.openxmlformats.org/officeDocument/2006/relationships/hyperlink" Target="https://www.zillow.com/homedetails/31663-Broad-Beach-Rd-Malibu-CA-90265/20557790_zpid/" TargetMode="External"/><Relationship Id="rId1613" Type="http://schemas.openxmlformats.org/officeDocument/2006/relationships/hyperlink" Target="https://www.zillow.com/homedetails/3420-Manhattan-Ave-Manhattan-Beach-CA-90266/2129343585_zpid/" TargetMode="External"/><Relationship Id="rId1820" Type="http://schemas.openxmlformats.org/officeDocument/2006/relationships/hyperlink" Target="https://www.zillow.com/homedetails/8262-Woodshill-Trl-Los-Angeles-CA-90069/20797509_zpid/?utm_campaign=iosappmessage&amp;utm_medium=referral&amp;utm_source=txtshare" TargetMode="External"/><Relationship Id="rId194" Type="http://schemas.openxmlformats.org/officeDocument/2006/relationships/hyperlink" Target="https://drive.google.com/open?id=1utj10Kj4F1iFPGaGA8_tvbUctcVtUaMK" TargetMode="External"/><Relationship Id="rId1918" Type="http://schemas.openxmlformats.org/officeDocument/2006/relationships/hyperlink" Target="https://www.zillow.com/homedetails/4653-12-Lincoln-Ave-Los-Angeles-CA-90041/2067550115_zpid/?utm_campaign=iosappmessage&amp;utm_medium=referral&amp;utm_source=txtshare" TargetMode="External"/><Relationship Id="rId2082" Type="http://schemas.openxmlformats.org/officeDocument/2006/relationships/hyperlink" Target="https://www.zillow.com/homedetails/6738-Andover-Ln-Los-Angeles-CA-90045/122235551_zpid/" TargetMode="External"/><Relationship Id="rId261" Type="http://schemas.openxmlformats.org/officeDocument/2006/relationships/hyperlink" Target="https://www.zillow.com/homedetails/8429-Wiley-Post-Ave-Los-Angeles-CA-90045/20380558_zpid/" TargetMode="External"/><Relationship Id="rId499" Type="http://schemas.openxmlformats.org/officeDocument/2006/relationships/hyperlink" Target="https://drive.google.com/open?id=1u_JxoGrBb23ezSiNO4W_F-QIRduVpuSx" TargetMode="External"/><Relationship Id="rId359" Type="http://schemas.openxmlformats.org/officeDocument/2006/relationships/hyperlink" Target="https://www.zillow.com/homedetails/8147-Mulholland-Ter-Los-Angeles-CA-90046/20031972_zpid/" TargetMode="External"/><Relationship Id="rId566" Type="http://schemas.openxmlformats.org/officeDocument/2006/relationships/hyperlink" Target="https://www.zillow.com/homedetails/17808-Sherman-Way-APT-127-Reseda-CA-91335/2061798789_zpid/" TargetMode="External"/><Relationship Id="rId773" Type="http://schemas.openxmlformats.org/officeDocument/2006/relationships/hyperlink" Target="https://www.zillow.com/homedetails/632-N-Hayworth-Ave-APT-3-Los-Angeles-CA-90048/2080867853_zpid/" TargetMode="External"/><Relationship Id="rId1196" Type="http://schemas.openxmlformats.org/officeDocument/2006/relationships/hyperlink" Target="https://www.zillow.com/homedetails/1016-S-Wooster-St-APT-8-Los-Angeles-CA-90035/2108655700_zpid/" TargetMode="External"/><Relationship Id="rId2247" Type="http://schemas.openxmlformats.org/officeDocument/2006/relationships/hyperlink" Target="https://www.zillow.com/homedetails/3025-E-Corto-Pl-Long-Beach-CA-90803/21230067_zpid/" TargetMode="External"/><Relationship Id="rId121" Type="http://schemas.openxmlformats.org/officeDocument/2006/relationships/hyperlink" Target="https://drive.google.com/open?id=1h2IElqvSaXKs80UlnsYqt1dd7ikWs18s" TargetMode="External"/><Relationship Id="rId219" Type="http://schemas.openxmlformats.org/officeDocument/2006/relationships/hyperlink" Target="https://www.zillow.com/homedetails/5442-W-76th-St-Los-Angeles-CA-90045/20391003_zpid/?utm_campaign=iosappmessage&amp;utm_medium=referral&amp;utm_source=txtshare" TargetMode="External"/><Relationship Id="rId426" Type="http://schemas.openxmlformats.org/officeDocument/2006/relationships/hyperlink" Target="https://www.zillow.com/homedetails/724-N-Ogden-Dr-Los-Angeles-CA-90046/20785980_zpid/" TargetMode="External"/><Relationship Id="rId633" Type="http://schemas.openxmlformats.org/officeDocument/2006/relationships/hyperlink" Target="https://drive.google.com/open?id=1-G9qTud4jaiS5dltOXcaLtPoBWkINE9A" TargetMode="External"/><Relationship Id="rId980" Type="http://schemas.openxmlformats.org/officeDocument/2006/relationships/hyperlink" Target="https://www.zillow.com/homedetails/12267-San-Vicente-Blvd-Los-Angeles-CA-90049/20538212_zpid/" TargetMode="External"/><Relationship Id="rId1056" Type="http://schemas.openxmlformats.org/officeDocument/2006/relationships/hyperlink" Target="https://drive.google.com/open?id=1yQJ6OPjAj6-bb_zaX9szw2ytwXzZbaV5" TargetMode="External"/><Relationship Id="rId1263" Type="http://schemas.openxmlformats.org/officeDocument/2006/relationships/hyperlink" Target="https://www.zillow.com/homedetails/540-W-Knoll-Dr-West-Hollywood-CA-90048/2108723145_zpid/" TargetMode="External"/><Relationship Id="rId2107" Type="http://schemas.openxmlformats.org/officeDocument/2006/relationships/hyperlink" Target="https://www.zillow.com/homedetails/330-Brockmont-Dr-Glendale-CA-91202/20827935_zpid/" TargetMode="External"/><Relationship Id="rId2314" Type="http://schemas.openxmlformats.org/officeDocument/2006/relationships/hyperlink" Target="https://www.zillow.com/homedetails/1731-W-57th-St-1-Los-Angeles-CA-90062/2057454756_zpid/" TargetMode="External"/><Relationship Id="rId840" Type="http://schemas.openxmlformats.org/officeDocument/2006/relationships/hyperlink" Target="https://www.zillow.com/homedetails/5344-Leghorn-Ave-Van-Nuys-CA-91401/20015679_zpid/" TargetMode="External"/><Relationship Id="rId938" Type="http://schemas.openxmlformats.org/officeDocument/2006/relationships/hyperlink" Target="https://www.zillow.com/homedetails/1330-N-Harper-Ave-100-Los-Angeles-CA-90046/2068797074_zpid/" TargetMode="External"/><Relationship Id="rId1470" Type="http://schemas.openxmlformats.org/officeDocument/2006/relationships/hyperlink" Target="https://www.zillow.com/homedetails/1141-Sunset-Blvd-C-Arcadia-CA-91007/2132378039_zpid/" TargetMode="External"/><Relationship Id="rId1568" Type="http://schemas.openxmlformats.org/officeDocument/2006/relationships/hyperlink" Target="https://drive.google.com/open?id=1u6mD0eAYi3PQbTXjz42e9AGTsYfuz-qy" TargetMode="External"/><Relationship Id="rId1775" Type="http://schemas.openxmlformats.org/officeDocument/2006/relationships/hyperlink" Target="https://www.zillow.com/homedetails/170-N-Crescent-Dr-APT-204-Beverly-Hills-CA-90210/2082461854_zpid/" TargetMode="External"/><Relationship Id="rId67" Type="http://schemas.openxmlformats.org/officeDocument/2006/relationships/hyperlink" Target="https://www.zillow.com/homedetails/2943-Virginia-Ave-Santa-Monica-CA-90404/20471162_zpid/" TargetMode="External"/><Relationship Id="rId700" Type="http://schemas.openxmlformats.org/officeDocument/2006/relationships/hyperlink" Target="https://www.zillow.com/homedetails/15105-Mulholland-Dr-Los-Angeles-CA-90077/19990206_zpid/" TargetMode="External"/><Relationship Id="rId1123" Type="http://schemas.openxmlformats.org/officeDocument/2006/relationships/hyperlink" Target="https://www.zillow.com/homedetails/9297-Burton-Way-B-Beverly-Hills-CA-90210/2070939537_zpid/" TargetMode="External"/><Relationship Id="rId1330" Type="http://schemas.openxmlformats.org/officeDocument/2006/relationships/hyperlink" Target="https://www.zillow.com/homedetails/4045-Jackson-Ave-Culver-City-CA-90232/20433150_zpid/?utm_campaign=iosappmessage&amp;utm_medium=referral&amp;utm_source=txtshare" TargetMode="External"/><Relationship Id="rId1428" Type="http://schemas.openxmlformats.org/officeDocument/2006/relationships/hyperlink" Target="https://www.zillow.com/homedetails/1914-Laurel-Canyon-Blvd-Los-Angeles-CA-90046/20802462_zpid/?utm_campaign=iosappmessage&amp;utm_medium=referral&amp;utm_source=txtshare" TargetMode="External"/><Relationship Id="rId1635" Type="http://schemas.openxmlformats.org/officeDocument/2006/relationships/hyperlink" Target="https://www.zillow.com/homedetails/17151-Orange-St-Fountain-Valley-CA-92708/25294525_zpid/" TargetMode="External"/><Relationship Id="rId1982" Type="http://schemas.openxmlformats.org/officeDocument/2006/relationships/hyperlink" Target="https://www.zillow.com/homedetails/3835-1-2-Bluff-Pl-San-Pedro-CA-90731/2070242843_zpid/" TargetMode="External"/><Relationship Id="rId1842" Type="http://schemas.openxmlformats.org/officeDocument/2006/relationships/hyperlink" Target="https://drive.google.com/open?id=1umf8eLy_7nJDanVSlbpSHv2WdQuaFmL4" TargetMode="External"/><Relationship Id="rId1702" Type="http://schemas.openxmlformats.org/officeDocument/2006/relationships/hyperlink" Target="https://www.zillow.com/homedetails/5911-Saturn-St-Los-Angeles-CA-90035/119678788_zpid/" TargetMode="External"/><Relationship Id="rId283" Type="http://schemas.openxmlformats.org/officeDocument/2006/relationships/hyperlink" Target="https://www.zillow.com/homedetails/14654-Addison-St-Sherman-Oaks-CA-91403/19982382_zpid/" TargetMode="External"/><Relationship Id="rId490" Type="http://schemas.openxmlformats.org/officeDocument/2006/relationships/hyperlink" Target="https://www.zillow.com/homedetails/3731-W-59th-Pl-Los-Angeles-CA-90043/20325270_zpid/" TargetMode="External"/><Relationship Id="rId2171" Type="http://schemas.openxmlformats.org/officeDocument/2006/relationships/hyperlink" Target="https://www.zillow.com/homedetails/2616-Glendale-Blvd-0-Los-Angeles-CA-90039/2061183865_zpid/?utm_campaign=iosappmessage&amp;utm_medium=referral&amp;utm_source=txtshare" TargetMode="External"/><Relationship Id="rId143" Type="http://schemas.openxmlformats.org/officeDocument/2006/relationships/hyperlink" Target="https://drive.google.com/open?id=1vbZw11CQHxLXuQxQMposEkZ9BeGKzX_q" TargetMode="External"/><Relationship Id="rId350" Type="http://schemas.openxmlformats.org/officeDocument/2006/relationships/hyperlink" Target="https://www.zillow.com/homedetails/3600-Valley-Meadow-Rd-Sherman-Oaks-CA-91403/19990550_zpid/" TargetMode="External"/><Relationship Id="rId588" Type="http://schemas.openxmlformats.org/officeDocument/2006/relationships/hyperlink" Target="https://www.zillow.com/homedetails/12117-Alberta-Dr-Los-Angeles-CA-90230/20439895_zpid/" TargetMode="External"/><Relationship Id="rId795" Type="http://schemas.openxmlformats.org/officeDocument/2006/relationships/hyperlink" Target="https://drive.google.com/open?id=1XUITWWIP2ZwGy8xwaUOjvKHvjWYhy0lY" TargetMode="External"/><Relationship Id="rId2031" Type="http://schemas.openxmlformats.org/officeDocument/2006/relationships/hyperlink" Target="https://drive.google.com/open?id=1XpTqZeSDO1J5MIazw4tY8hrHsiZtZ1X4" TargetMode="External"/><Relationship Id="rId2269" Type="http://schemas.openxmlformats.org/officeDocument/2006/relationships/hyperlink" Target="https://drive.google.com/open?id=1S0q24nx2xiJELrOuGsGcKT-dpDFhNxwQ" TargetMode="External"/><Relationship Id="rId9" Type="http://schemas.openxmlformats.org/officeDocument/2006/relationships/hyperlink" Target="https://drive.google.com/open?id=1csTqJmRE_F3wALrmm-rYWP3W2ef8M5Ts" TargetMode="External"/><Relationship Id="rId210" Type="http://schemas.openxmlformats.org/officeDocument/2006/relationships/hyperlink" Target="https://drive.google.com/open?id=1J-PBKqq30VAZsOE1R0HYvvQ0zzc0lJVF" TargetMode="External"/><Relationship Id="rId448" Type="http://schemas.openxmlformats.org/officeDocument/2006/relationships/hyperlink" Target="https://drive.google.com/open?id=17MUQwwoRY02n8MJ6H06objHdOIg7bXoS" TargetMode="External"/><Relationship Id="rId655" Type="http://schemas.openxmlformats.org/officeDocument/2006/relationships/hyperlink" Target="https://drive.google.com/open?id=1SVvXvtqq6oZKMRT0b3Q5LbshLr89JiQh" TargetMode="External"/><Relationship Id="rId862" Type="http://schemas.openxmlformats.org/officeDocument/2006/relationships/hyperlink" Target="https://www.zillow.com/homedetails/1933-N-Vista-Del-Mar-Ave-Los-Angeles-CA-90068/20807472_zpid/" TargetMode="External"/><Relationship Id="rId1078" Type="http://schemas.openxmlformats.org/officeDocument/2006/relationships/hyperlink" Target="https://drive.google.com/open?id=16p1uvAhHoD7qzCE5hi_S0L92l19PypZo" TargetMode="External"/><Relationship Id="rId1285" Type="http://schemas.openxmlformats.org/officeDocument/2006/relationships/hyperlink" Target="https://drive.google.com/open?id=1k5BvLcs9yJZyi45CAgCpMrXCx2weYHaV" TargetMode="External"/><Relationship Id="rId1492" Type="http://schemas.openxmlformats.org/officeDocument/2006/relationships/hyperlink" Target="https://drive.google.com/open?id=1q-Sdl8RYDbcdX4WsK2QjxRs-_M-y8IDU" TargetMode="External"/><Relationship Id="rId2129" Type="http://schemas.openxmlformats.org/officeDocument/2006/relationships/hyperlink" Target="https://drive.google.com/open?id=1wlAhDqasN1mxDd8IbitffDGWIzKsCuhj" TargetMode="External"/><Relationship Id="rId2336" Type="http://schemas.openxmlformats.org/officeDocument/2006/relationships/hyperlink" Target="https://drive.google.com/open?id=15P1NaZHM8OtW5PjXqyD0CoEpcesNnEnJ" TargetMode="External"/><Relationship Id="rId308" Type="http://schemas.openxmlformats.org/officeDocument/2006/relationships/hyperlink" Target="https://drive.google.com/open?id=1helEMAdM-ub5OuLiHjpDTAh-ahcUYdbQ" TargetMode="External"/><Relationship Id="rId515" Type="http://schemas.openxmlformats.org/officeDocument/2006/relationships/hyperlink" Target="https://www.zillow.com/homedetails/8517-Valley-Flores-Dr-B-West-Hills-CA-91304/2088281090_zpid/" TargetMode="External"/><Relationship Id="rId722" Type="http://schemas.openxmlformats.org/officeDocument/2006/relationships/hyperlink" Target="https://www.zillow.com/homedetails/425-29th-St-Manhattan-Beach-CA-90266/20420888_zpid/" TargetMode="External"/><Relationship Id="rId1145" Type="http://schemas.openxmlformats.org/officeDocument/2006/relationships/hyperlink" Target="https://www.zillow.com/homedetails/16-Park-Ave-Venice-CA-90291/20482259_zpid/" TargetMode="External"/><Relationship Id="rId1352" Type="http://schemas.openxmlformats.org/officeDocument/2006/relationships/hyperlink" Target="https://drive.google.com/open?id=16UH9DamUXehHB-VTrQWb9Vh5JHp3n-wE" TargetMode="External"/><Relationship Id="rId1797" Type="http://schemas.openxmlformats.org/officeDocument/2006/relationships/hyperlink" Target="https://www.zillow.com/homedetails/4504-Cedros-Ave-Sherman-Oaks-CA-91403/19983993_zpid/" TargetMode="External"/><Relationship Id="rId89" Type="http://schemas.openxmlformats.org/officeDocument/2006/relationships/hyperlink" Target="https://drive.google.com/open?id=1V18ERb5uGG3twa-Qp410Y2d9PmUGuzm2" TargetMode="External"/><Relationship Id="rId1005" Type="http://schemas.openxmlformats.org/officeDocument/2006/relationships/hyperlink" Target="https://www.zillow.com/homedetails/4609-Alla-Rd-UNIT-3-Marina-Del-Rey-CA-90292/20435568_zpid/" TargetMode="External"/><Relationship Id="rId1212" Type="http://schemas.openxmlformats.org/officeDocument/2006/relationships/hyperlink" Target="https://www.compass.com/listing/717-west-olympic-boulevard-unit-1903-los-angeles-ca-90015/1682045154295747281/" TargetMode="External"/><Relationship Id="rId1657" Type="http://schemas.openxmlformats.org/officeDocument/2006/relationships/hyperlink" Target="https://www.zillow.com/homedetails/832-N-Sierra-Bonita-Ave-Los-Angeles-CA-90046/20784976_zpid/" TargetMode="External"/><Relationship Id="rId1864" Type="http://schemas.openxmlformats.org/officeDocument/2006/relationships/hyperlink" Target="https://drive.google.com/open?id=15djCDg66BmipuKOms9d8G8gJSk7W72He" TargetMode="External"/><Relationship Id="rId1517" Type="http://schemas.openxmlformats.org/officeDocument/2006/relationships/hyperlink" Target="https://www.zillow.com/homedetails/641-N-Fuller-Ave-Los-Angeles-CA-90036/20785325_zpid/" TargetMode="External"/><Relationship Id="rId1724" Type="http://schemas.openxmlformats.org/officeDocument/2006/relationships/hyperlink" Target="https://www.zillow.com/homedetails/717-N-Rodeo-Dr-Beverly-Hills-CA-90210/20521466_zpid/" TargetMode="External"/><Relationship Id="rId16" Type="http://schemas.openxmlformats.org/officeDocument/2006/relationships/hyperlink" Target="https://www.zillow.com/homedetails/23716-Archwood-St-West-Hills-CA-91307/340040879_zpid/" TargetMode="External"/><Relationship Id="rId1931" Type="http://schemas.openxmlformats.org/officeDocument/2006/relationships/hyperlink" Target="https://www.zillow.com/homedetails/1248-Elden-Ave-APT-201-Los-Angeles-CA-90006/2092286364_zpid/" TargetMode="External"/><Relationship Id="rId2193" Type="http://schemas.openxmlformats.org/officeDocument/2006/relationships/hyperlink" Target="https://www.zillow.com/homedetails/3319-Lowry-Rd-Los-Angeles-CA-90027/20812073_zpid/?rtoken=9db7a4fd-48ca-4c28-ba61-2af3c71103fd~X1-ZU14fpvedl0k0sp_3z9zv&amp;utm_campaign=emo-instantsavedsearch-rental&amp;utm_source=email&amp;utm_term=urn:msg:20250127185117aa77945f185927e8&amp;utm_medium=email&amp;utm_content=forrentimage&amp;sse=X1-SShhczic9znkri0000000000_4dbo5&amp;srp=H4sIAAAAAAAAAI2US4+bMBCAfw3HTTzgF4eq6m576LGbHqpeImNMoMU29WNfv740Rt5E2lXNwYKZj49hBrMfrVZ+P1h3dMqE/UevhJPjt6jc8yGIoD5U7Laqay2WWxtN79fzqvmUgsa6MKZAg3fASY0I8KbhmNGqvlszSviQgBsAvgMKBBPEOG1bRBLibbyQIIpbTjACymizSR7VlQQDboHVDBAHTiv2OVFrhT+t1QmEOgWjV84fzq/0Xbkt+W+tN0BGH6y+V6fJmq99znM5kJ6Smg4/4Obu/skwYL8Q+D+6P0KH4+mUDcM0B+XOvbrsTaeue6Unky7rXHEnwvg2AzuSqcVN8sqsxdNmYkAb3GRSWnPJPYg5bjcOYvYqc+uwVREoFlHE6eXN+oAghF5l4zuu4OKryq+f1Dvcuvbi+dyw7IyyqEBThg2upMRgH8tsvrNFoNS+bHBikWXG9dH/nVzuuHhQfdoiX4yz86zX/8DFVlg3wOEwjvJlku2L+e0mlI8j7jtL0kD+AvvjLCdJBAAA" TargetMode="External"/><Relationship Id="rId165" Type="http://schemas.openxmlformats.org/officeDocument/2006/relationships/hyperlink" Target="https://drive.google.com/open?id=14yN-0unH9X9XjCAltPjtLGDz9sWKFgbP" TargetMode="External"/><Relationship Id="rId372" Type="http://schemas.openxmlformats.org/officeDocument/2006/relationships/hyperlink" Target="https://www.zillow.com/homedetails/1801-Roscomare-Rd-Los-Angeles-CA-90077/20530151_zpid/" TargetMode="External"/><Relationship Id="rId677" Type="http://schemas.openxmlformats.org/officeDocument/2006/relationships/hyperlink" Target="https://www.zillow.com/homedetails/1455-N-Los-Robles-Ave-1B-1BA-650SQFT-Pasadena-CA-91104/441125403_zpid/" TargetMode="External"/><Relationship Id="rId2053" Type="http://schemas.openxmlformats.org/officeDocument/2006/relationships/hyperlink" Target="https://www.zillow.com/homedetails/651-Westminster-Ave-APT-1-Venice-CA-90291/20451042_zpid/" TargetMode="External"/><Relationship Id="rId2260" Type="http://schemas.openxmlformats.org/officeDocument/2006/relationships/hyperlink" Target="https://drive.google.com/open?id=11FqYL67IIl99BVRazO5sKDPOA0Pu_Yn1" TargetMode="External"/><Relationship Id="rId2358" Type="http://schemas.openxmlformats.org/officeDocument/2006/relationships/hyperlink" Target="https://drive.google.com/open?id=1ITE9TrF_QfdqccybK46jAsKOsWYgbLHv" TargetMode="External"/><Relationship Id="rId232" Type="http://schemas.openxmlformats.org/officeDocument/2006/relationships/hyperlink" Target="https://www.zillow.com/homedetails/2307-Federal-Ave-Los-Angeles-CA-90064/2052980412_zpid/" TargetMode="External"/><Relationship Id="rId884" Type="http://schemas.openxmlformats.org/officeDocument/2006/relationships/hyperlink" Target="https://www.zillow.com/homedetails/2227-Pearl-St-Santa-Monica-CA-90405/20472937_zpid/" TargetMode="External"/><Relationship Id="rId2120" Type="http://schemas.openxmlformats.org/officeDocument/2006/relationships/hyperlink" Target="https://www.zillow.com/homedetails/333-S-Wilton-Pl-APT-4-Los-Angeles-CA-90020/89145531_zpid/" TargetMode="External"/><Relationship Id="rId537" Type="http://schemas.openxmlformats.org/officeDocument/2006/relationships/hyperlink" Target="https://drive.google.com/open?id=1A8nEpPZ8CUjNFA4JjlXkOZUWTjWsBXyN" TargetMode="External"/><Relationship Id="rId744" Type="http://schemas.openxmlformats.org/officeDocument/2006/relationships/hyperlink" Target="https://www.zillow.com/homedetails/314-Upper-Lake-Rd-Westlake-Village-CA-91361/2062639240_zpid/" TargetMode="External"/><Relationship Id="rId951" Type="http://schemas.openxmlformats.org/officeDocument/2006/relationships/hyperlink" Target="http://alreadypulleddown.com/" TargetMode="External"/><Relationship Id="rId1167" Type="http://schemas.openxmlformats.org/officeDocument/2006/relationships/hyperlink" Target="https://www.zillow.com/homedetails/2822-Grayson-Ave-Venice-CA-90291/20444393_zpid/" TargetMode="External"/><Relationship Id="rId1374" Type="http://schemas.openxmlformats.org/officeDocument/2006/relationships/hyperlink" Target="https://www.zillow.com/homedetails/414-Pacific-Ave-Venice-CA-90291/20482001_zpid/" TargetMode="External"/><Relationship Id="rId1581" Type="http://schemas.openxmlformats.org/officeDocument/2006/relationships/hyperlink" Target="https://drive.google.com/open?id=1r9IDPodBPKZQaj37Qw706JU3lYf-oQXL" TargetMode="External"/><Relationship Id="rId1679" Type="http://schemas.openxmlformats.org/officeDocument/2006/relationships/hyperlink" Target="https://www.zillow.com/homedetails/2179-La-Granada-Dr-Thousand-Oaks-CA-91362/16483480_zpid/" TargetMode="External"/><Relationship Id="rId2218" Type="http://schemas.openxmlformats.org/officeDocument/2006/relationships/hyperlink" Target="https://www.zillow.com/homedetails/3047-12th-Ave-APT-B-Los-Angeles-CA-90018/445906016_zpid/" TargetMode="External"/><Relationship Id="rId80" Type="http://schemas.openxmlformats.org/officeDocument/2006/relationships/hyperlink" Target="https://drive.google.com/open?id=1qpacoSkvsBYeqUK6C-z3dB2yY0lScYrd" TargetMode="External"/><Relationship Id="rId604" Type="http://schemas.openxmlformats.org/officeDocument/2006/relationships/hyperlink" Target="https://www.trulia.com/home/1802-belmont-ln-redondo-beach-ca-90278-20410745?cid=shr%7Capp_ios_rental_phone%7Crent%7Cpdp_share" TargetMode="External"/><Relationship Id="rId811" Type="http://schemas.openxmlformats.org/officeDocument/2006/relationships/hyperlink" Target="https://www.zillow.com/homedetails/3418-Glendale-Blvd-1-2-Los-Angeles-CA-90039/441657486_zpid/" TargetMode="External"/><Relationship Id="rId1027" Type="http://schemas.openxmlformats.org/officeDocument/2006/relationships/hyperlink" Target="https://drive.google.com/open?id=1Fffk1lANdJn8YavQu7m9W0H9zn1I4ZDV" TargetMode="External"/><Relationship Id="rId1234" Type="http://schemas.openxmlformats.org/officeDocument/2006/relationships/hyperlink" Target="https://www.compass.com/listing/2470-venus-drive-los-angeles-ca-90046/1692131304925978729/" TargetMode="External"/><Relationship Id="rId1441" Type="http://schemas.openxmlformats.org/officeDocument/2006/relationships/hyperlink" Target="https://drive.google.com/open?id=1oPuBLTwcLJHbvyVlx1NCPp9O48ofp6KY" TargetMode="External"/><Relationship Id="rId1886" Type="http://schemas.openxmlformats.org/officeDocument/2006/relationships/hyperlink" Target="https://www.zillow.com/homedetails/920-N-Beverly-Glen-Blvd-Los-Angeles-CA-90077/20529879_zpid/" TargetMode="External"/><Relationship Id="rId909" Type="http://schemas.openxmlformats.org/officeDocument/2006/relationships/hyperlink" Target="https://www.zillow.com/homedetails/2470-Venus-Dr-Los-Angeles-CA-90046/20802366_zpid/?utm_campaign=iosappmessage&amp;utm_medium=referral&amp;utm_source=txtshare" TargetMode="External"/><Relationship Id="rId1301" Type="http://schemas.openxmlformats.org/officeDocument/2006/relationships/hyperlink" Target="https://www.zillow.com/homedetails/1255-Federal-Ave-APT-407-Los-Angeles-CA-90025/20466832_zpid/" TargetMode="External"/><Relationship Id="rId1539" Type="http://schemas.openxmlformats.org/officeDocument/2006/relationships/hyperlink" Target="https://www.zillow.com/homedetails/10780-Andora-Ave-Chatsworth-CA-91311/2068802822_zpid/" TargetMode="External"/><Relationship Id="rId1746" Type="http://schemas.openxmlformats.org/officeDocument/2006/relationships/hyperlink" Target="https://www.zillow.com/homedetails/1517-Estuary-Way-Oxnard-CA-93035/69045884_zpid/" TargetMode="External"/><Relationship Id="rId1953" Type="http://schemas.openxmlformats.org/officeDocument/2006/relationships/hyperlink" Target="http://compass.com/" TargetMode="External"/><Relationship Id="rId38" Type="http://schemas.openxmlformats.org/officeDocument/2006/relationships/hyperlink" Target="https://www.zillow.com/homedetails/1470-Blue-Jay-Way-Los-Angeles-CA-90069/20799733_zpid/" TargetMode="External"/><Relationship Id="rId1606" Type="http://schemas.openxmlformats.org/officeDocument/2006/relationships/hyperlink" Target="https://drive.google.com/open?id=1SSkCiF0cYVnwFuj0srSbLzED6d_XV0ja" TargetMode="External"/><Relationship Id="rId1813" Type="http://schemas.openxmlformats.org/officeDocument/2006/relationships/hyperlink" Target="https://www.redfin.com/CA/Encino/4141-Hayvenhurst-Ave-91436/home/4942231" TargetMode="External"/><Relationship Id="rId187" Type="http://schemas.openxmlformats.org/officeDocument/2006/relationships/hyperlink" Target="https://www.zillow.com/homedetails/1658-Lindacrest-Dr-Beverly-Hills-CA-90210/95556943_zpid/" TargetMode="External"/><Relationship Id="rId394" Type="http://schemas.openxmlformats.org/officeDocument/2006/relationships/hyperlink" Target="https://drive.google.com/open?id=1Moi4mL06HTx-hH8O5r7L2tAEA_2_zFnw" TargetMode="External"/><Relationship Id="rId2075" Type="http://schemas.openxmlformats.org/officeDocument/2006/relationships/hyperlink" Target="https://www.zillow.com/homedetails/3900-Hilton-Head-Way-Tarzana-CA-91356/19951258_zpid/" TargetMode="External"/><Relationship Id="rId2282" Type="http://schemas.openxmlformats.org/officeDocument/2006/relationships/hyperlink" Target="https://www.zillow.com/homedetails/8417-Harold-Way-Los-Angeles-CA-90069/243013044_zpid/" TargetMode="External"/><Relationship Id="rId254" Type="http://schemas.openxmlformats.org/officeDocument/2006/relationships/hyperlink" Target="https://www.zillow.com/homedetails/4227-McLaughlin-Ave-FLOOR-3-ID136-Los-Angeles-CA-90066/439767586_zpid/" TargetMode="External"/><Relationship Id="rId699" Type="http://schemas.openxmlformats.org/officeDocument/2006/relationships/hyperlink" Target="https://drive.google.com/open?id=1GfpfsW2MYAa8RmTy-4XUPixjbLNhnkwf" TargetMode="External"/><Relationship Id="rId1091" Type="http://schemas.openxmlformats.org/officeDocument/2006/relationships/hyperlink" Target="https://www.zillow.com/homedetails/1049-S-Hayworth-Ave-Los-Angeles-CA-90035/20609573_zpid/" TargetMode="External"/><Relationship Id="rId114" Type="http://schemas.openxmlformats.org/officeDocument/2006/relationships/hyperlink" Target="https://www.zillow.com/homedetails/503-N-Santa-Anita-Ave-A-Arcadia-CA-91006/2077677076_zpid/" TargetMode="External"/><Relationship Id="rId461" Type="http://schemas.openxmlformats.org/officeDocument/2006/relationships/hyperlink" Target="https://drive.google.com/open?id=1UynTGmtnnXwQOVC5fMieZUL_cLYCtQnG" TargetMode="External"/><Relationship Id="rId559" Type="http://schemas.openxmlformats.org/officeDocument/2006/relationships/hyperlink" Target="https://drive.google.com/open?id=15wCIyPX90Q_ljgJCQnCozUgX6tBAVUgZ" TargetMode="External"/><Relationship Id="rId766" Type="http://schemas.openxmlformats.org/officeDocument/2006/relationships/hyperlink" Target="https://www.zillow.com/homedetails/1070-S-Bedford-St-405A-Los-Angeles-CA-90035/443493164_zpid/" TargetMode="External"/><Relationship Id="rId1189" Type="http://schemas.openxmlformats.org/officeDocument/2006/relationships/hyperlink" Target="https://www.zillow.com/homedetails/5661-Spreading-Oak-Dr-Los-Angeles-CA-90068/20808029_zpid/" TargetMode="External"/><Relationship Id="rId1396" Type="http://schemas.openxmlformats.org/officeDocument/2006/relationships/hyperlink" Target="https://www.zillow.com/homedetails/1433-19th-St-APT-C-Santa-Monica-CA-90404/2088111038_zpid/?utm_campaign=iosappmessage&amp;utm_medium=referral&amp;utm_source=txtshare" TargetMode="External"/><Relationship Id="rId2142" Type="http://schemas.openxmlformats.org/officeDocument/2006/relationships/hyperlink" Target="http://pinnacleestate.com/" TargetMode="External"/><Relationship Id="rId321" Type="http://schemas.openxmlformats.org/officeDocument/2006/relationships/hyperlink" Target="https://drive.google.com/open?id=18VwtNi21SWtzIJgo4yu0DiKSB15fH3jl" TargetMode="External"/><Relationship Id="rId419" Type="http://schemas.openxmlformats.org/officeDocument/2006/relationships/hyperlink" Target="https://www.zillow.com/homedetails/1812-Navy-St-Santa-Monica-CA-90405/20472397_zpid/" TargetMode="External"/><Relationship Id="rId626" Type="http://schemas.openxmlformats.org/officeDocument/2006/relationships/hyperlink" Target="https://www.zillow.com/homedetails/3055-Landa-St-Los-Angeles-CA-90039/20747666_zpid/" TargetMode="External"/><Relationship Id="rId973" Type="http://schemas.openxmlformats.org/officeDocument/2006/relationships/hyperlink" Target="https://www.zillow.com/homedetails/330-W-California-Blvd-Pasadena-CA-91105/442831501_zpid/" TargetMode="External"/><Relationship Id="rId1049" Type="http://schemas.openxmlformats.org/officeDocument/2006/relationships/hyperlink" Target="https://www.zillow.com/homedetails/6111-San-Vicente-Blvd-Los-Angeles-CA-90048/20609731_zpid/" TargetMode="External"/><Relationship Id="rId1256" Type="http://schemas.openxmlformats.org/officeDocument/2006/relationships/hyperlink" Target="https://www.zillow.com/homedetails/12426-Idaho-Ave-Los-Angeles-CA-90025/20464168_zpid/" TargetMode="External"/><Relationship Id="rId2002" Type="http://schemas.openxmlformats.org/officeDocument/2006/relationships/hyperlink" Target="https://drive.google.com/open?id=1G7YHpyObLDWlBXYDmYW_Pn4UdLIuoaEc" TargetMode="External"/><Relationship Id="rId2307" Type="http://schemas.openxmlformats.org/officeDocument/2006/relationships/hyperlink" Target="https://www.zillow.com/homedetails/Santa-Monica-CA-90402/20539296_zpid/" TargetMode="External"/><Relationship Id="rId833" Type="http://schemas.openxmlformats.org/officeDocument/2006/relationships/hyperlink" Target="https://drive.google.com/open?id=1y4x3osig7e8Kz9E4C5uTOH9M055vlU-9" TargetMode="External"/><Relationship Id="rId1116" Type="http://schemas.openxmlformats.org/officeDocument/2006/relationships/hyperlink" Target="https://drive.google.com/open?id=1IR9d5odrZROMnqFwGAKL-Fgz9mih0K8N" TargetMode="External"/><Relationship Id="rId1463" Type="http://schemas.openxmlformats.org/officeDocument/2006/relationships/hyperlink" Target="https://www.zillow.com/homedetails/414-Pacific-Ave-Venice-CA-90291/20482001_zpid/" TargetMode="External"/><Relationship Id="rId1670" Type="http://schemas.openxmlformats.org/officeDocument/2006/relationships/hyperlink" Target="https://drive.google.com/open?id=145XWROO_rCaS3Ath1kNJ9QDywjKF-002" TargetMode="External"/><Relationship Id="rId1768" Type="http://schemas.openxmlformats.org/officeDocument/2006/relationships/hyperlink" Target="https://www.zillow.com/homedetails/9907-National-Blvd-Los-Angeles-CA-90034/402290876_zpid/" TargetMode="External"/><Relationship Id="rId900" Type="http://schemas.openxmlformats.org/officeDocument/2006/relationships/hyperlink" Target="https://www.redfin.com/CA/Los-Angeles/449-N-Bonhill-Rd-90049/home/6860980" TargetMode="External"/><Relationship Id="rId1323" Type="http://schemas.openxmlformats.org/officeDocument/2006/relationships/hyperlink" Target="https://www.zillow.com/homedetails/801-S-Grand-Ave-APT-2010-Los-Angeles-CA-90017/67420686_zpid/" TargetMode="External"/><Relationship Id="rId1530" Type="http://schemas.openxmlformats.org/officeDocument/2006/relationships/hyperlink" Target="https://drive.google.com/open?id=13DrVI0o4wNhm-RGydB7fZYm3MOFWeqSA" TargetMode="External"/><Relationship Id="rId1628" Type="http://schemas.openxmlformats.org/officeDocument/2006/relationships/hyperlink" Target="https://www.zillow.com/homedetails/4338-Gayle-Dr-Tarzana-CA-91356/19947698_zpid/" TargetMode="External"/><Relationship Id="rId1975" Type="http://schemas.openxmlformats.org/officeDocument/2006/relationships/hyperlink" Target="https://www.zillow.com/homedetails/280-Cherry-Dr-Pasadena-CA-91105/20857313_zpid/" TargetMode="External"/><Relationship Id="rId1835" Type="http://schemas.openxmlformats.org/officeDocument/2006/relationships/hyperlink" Target="https://drive.google.com/open?id=1bMHneq-CtEqEaBIaxu44cT-nmSWzHygN" TargetMode="External"/><Relationship Id="rId1902" Type="http://schemas.openxmlformats.org/officeDocument/2006/relationships/hyperlink" Target="https://drive.google.com/open?id=1PGfhoTfpe7r5FeUTaj2DDYi20FY-fxta" TargetMode="External"/><Relationship Id="rId2097" Type="http://schemas.openxmlformats.org/officeDocument/2006/relationships/hyperlink" Target="https://www.zillow.com/homedetails/7661-Atron-Ave-Canoga-Park-CA-91304/19869515_zpid/" TargetMode="External"/><Relationship Id="rId276" Type="http://schemas.openxmlformats.org/officeDocument/2006/relationships/hyperlink" Target="https://www.zillow.com/homedetails/3600-Valley-Meadow-Rd-Sherman-Oaks-CA-91403/19990550_zpid/" TargetMode="External"/><Relationship Id="rId483" Type="http://schemas.openxmlformats.org/officeDocument/2006/relationships/hyperlink" Target="https://www.zillow.com/homedetails/20500-Ventura-Blvd-FLOOR-3-ID681-Woodland-Hills-CA-91364/2065471166_zpid/" TargetMode="External"/><Relationship Id="rId690" Type="http://schemas.openxmlformats.org/officeDocument/2006/relationships/hyperlink" Target="https://drive.google.com/open?id=1R9Fp71i1VfdcbEEhPt0xZ9_fV2_81r2a" TargetMode="External"/><Relationship Id="rId2164" Type="http://schemas.openxmlformats.org/officeDocument/2006/relationships/hyperlink" Target="https://drive.google.com/open?id=1oMdRJTQ0jEBUSzsCjyPm_Rm2hdAoEdm_" TargetMode="External"/><Relationship Id="rId2371" Type="http://schemas.openxmlformats.org/officeDocument/2006/relationships/hyperlink" Target="https://www.zillow.com/homedetails/3352-Oak-Glen-Dr-Los-Angeles-CA-90068/20045062_zpid/?" TargetMode="External"/><Relationship Id="rId136" Type="http://schemas.openxmlformats.org/officeDocument/2006/relationships/hyperlink" Target="https://drive.google.com/open?id=12pR2hLzYw3_oSW8qObS5bgVrR5wOpo_Z" TargetMode="External"/><Relationship Id="rId343" Type="http://schemas.openxmlformats.org/officeDocument/2006/relationships/hyperlink" Target="https://www.zillow.com/homedetails/8966-Shoreham-Dr-Los-Angeles-CA-90069/20799415_zpid/" TargetMode="External"/><Relationship Id="rId550" Type="http://schemas.openxmlformats.org/officeDocument/2006/relationships/hyperlink" Target="https://www.zillow.com/homedetails/1445-S-Ogden-Dr-Los-Angeles-CA-90019/20599990_zpid/" TargetMode="External"/><Relationship Id="rId788" Type="http://schemas.openxmlformats.org/officeDocument/2006/relationships/hyperlink" Target="https://www.zillow.com/homedetails/1470-Blue-Jay-Way-Los-Angeles-CA-90069/20799733_zpid/" TargetMode="External"/><Relationship Id="rId995" Type="http://schemas.openxmlformats.org/officeDocument/2006/relationships/hyperlink" Target="https://www.zillow.com/homedetails/16-Park-Ave-Venice-CA-90291/20482259_zpid/" TargetMode="External"/><Relationship Id="rId1180" Type="http://schemas.openxmlformats.org/officeDocument/2006/relationships/hyperlink" Target="https://drive.google.com/open?id=136zMoE4ZtONyYHjgIh7lAiNhDRinfZvQ" TargetMode="External"/><Relationship Id="rId2024" Type="http://schemas.openxmlformats.org/officeDocument/2006/relationships/hyperlink" Target="https://www.zillow.com/homedetails/1822-W-Silver-Lake-Dr-APT-2-Los-Angeles-CA-90026/443943394_zpid/" TargetMode="External"/><Relationship Id="rId2231" Type="http://schemas.openxmlformats.org/officeDocument/2006/relationships/hyperlink" Target="https://www.zillow.com/homedetails/4740-Sunnyslope-Ave-Sherman-Oaks-CA-91423/20022323_zpid/?utm_campaign=iosappmessage&amp;utm_medium=referral&amp;utm_source=txtshare" TargetMode="External"/><Relationship Id="rId203" Type="http://schemas.openxmlformats.org/officeDocument/2006/relationships/hyperlink" Target="https://www.zillow.com/homedetails/7484-Mulholland-Dr-Los-Angeles-CA-90046/20802582_zpid/" TargetMode="External"/><Relationship Id="rId648" Type="http://schemas.openxmlformats.org/officeDocument/2006/relationships/hyperlink" Target="https://www.redfin.com/CA/Los-Angeles/15541-Aqua-Verde-Dr-90077/home/6831653" TargetMode="External"/><Relationship Id="rId855" Type="http://schemas.openxmlformats.org/officeDocument/2006/relationships/hyperlink" Target="https://www.zillow.com/homedetails/325-Woodcliffe-Rd-Pasadena-CA-91105/20856334_zpid/" TargetMode="External"/><Relationship Id="rId1040" Type="http://schemas.openxmlformats.org/officeDocument/2006/relationships/hyperlink" Target="https://drive.google.com/open?id=1C4-coZogeqkRXhJxxuuUih_MknjoTI5K" TargetMode="External"/><Relationship Id="rId1278" Type="http://schemas.openxmlformats.org/officeDocument/2006/relationships/hyperlink" Target="https://www.zillow.com/homedetails/17862-Via-Vallarta-Encino-CA-91316/19950893_zpid/" TargetMode="External"/><Relationship Id="rId1485" Type="http://schemas.openxmlformats.org/officeDocument/2006/relationships/hyperlink" Target="https://www.zillow.com/homedetails/332-N-Orlando-Ave-Los-Angeles-CA-90048/20779041_zpid/" TargetMode="External"/><Relationship Id="rId1692" Type="http://schemas.openxmlformats.org/officeDocument/2006/relationships/hyperlink" Target="https://www.zillow.com/homedetails/9631-Random-Dr-Anaheim-CA-92804/25220401_zpid/" TargetMode="External"/><Relationship Id="rId2329" Type="http://schemas.openxmlformats.org/officeDocument/2006/relationships/hyperlink" Target="https://www.zillow.com/homedetails/975-Schumacher-Dr-Los-Angeles-CA-90048/20609649_zpid/" TargetMode="External"/><Relationship Id="rId410" Type="http://schemas.openxmlformats.org/officeDocument/2006/relationships/hyperlink" Target="https://www.zillow.com/homedetails/2229-Willetta-St-Los-Angeles-CA-90068/20804418_zpid/?utm_campaign=iosappmessage&amp;utm_medium=referral&amp;utm_source=txtshare" TargetMode="External"/><Relationship Id="rId508" Type="http://schemas.openxmlformats.org/officeDocument/2006/relationships/hyperlink" Target="https://www.zillow.com/homedetails/4045-Jackson-Ave-Culver-City-CA-90232/20433150_zpid/" TargetMode="External"/><Relationship Id="rId715" Type="http://schemas.openxmlformats.org/officeDocument/2006/relationships/hyperlink" Target="https://drive.google.com/open?id=1ZCW5cdQm3CKc901iI_RBl5tvzsaOfnmj" TargetMode="External"/><Relationship Id="rId922" Type="http://schemas.openxmlformats.org/officeDocument/2006/relationships/hyperlink" Target="https://www.zillow.com/homedetails/8590-Hollywood-Blvd-Los-Angeles-CA-90069/20797372_zpid/" TargetMode="External"/><Relationship Id="rId1138" Type="http://schemas.openxmlformats.org/officeDocument/2006/relationships/hyperlink" Target="https://www.zillow.com/homedetails/4267-Marina-City-Dr-UNIT-102-Marina-Del-Rey-CA-90292/302687068_zpid/" TargetMode="External"/><Relationship Id="rId1345" Type="http://schemas.openxmlformats.org/officeDocument/2006/relationships/hyperlink" Target="https://www.zillow.com/homedetails/17837-Blackbrush-Dr-Santa-Clarita-CA-91387/20215783_zpid/" TargetMode="External"/><Relationship Id="rId1552" Type="http://schemas.openxmlformats.org/officeDocument/2006/relationships/hyperlink" Target="https://www.zillow.com/homedetails/3323-N-Knoll-Dr-Los-Angeles-CA-90068/20805677_zpid/" TargetMode="External"/><Relationship Id="rId1997" Type="http://schemas.openxmlformats.org/officeDocument/2006/relationships/hyperlink" Target="https://www.zillow.com/homedetails/16754-Armstead-St-Granada-Hills-CA-91344/20110441_zpid/" TargetMode="External"/><Relationship Id="rId1205" Type="http://schemas.openxmlformats.org/officeDocument/2006/relationships/hyperlink" Target="https://drive.google.com/open?id=1QfbdS2tJzV1SWz82GXGJJsqMxT465oaV" TargetMode="External"/><Relationship Id="rId1857" Type="http://schemas.openxmlformats.org/officeDocument/2006/relationships/hyperlink" Target="https://www.zillow.com/homedetails/6369-Orange-St-6369-Los-Angeles-CA-90048/443464708_zpid/?utm_campaign=iosappmessage&amp;utm_medium=referral&amp;utm_source=txtshare" TargetMode="External"/><Relationship Id="rId51" Type="http://schemas.openxmlformats.org/officeDocument/2006/relationships/hyperlink" Target="https://www.zillow.com/homedetails/907-Pine-Grove-Ave-Los-Angeles-CA-90042/20769156_zpid/?utm_campaign=iosappmessage&amp;utm_medium=referral&amp;utm_source=txtshare" TargetMode="External"/><Relationship Id="rId1412" Type="http://schemas.openxmlformats.org/officeDocument/2006/relationships/hyperlink" Target="https://www.redfin.com/CA/Tarzana/5050-Casa-Dr-91356/home/4238732" TargetMode="External"/><Relationship Id="rId1717" Type="http://schemas.openxmlformats.org/officeDocument/2006/relationships/hyperlink" Target="https://www.zillow.com/homedetails/11659-Chandler-Blvd-APT-8-North-Hollywood-CA-91601/2088302513_zpid/" TargetMode="External"/><Relationship Id="rId1924" Type="http://schemas.openxmlformats.org/officeDocument/2006/relationships/hyperlink" Target="https://www.zillow.com/homedetails/14808-Huston-St-Sherman-Oaks-CA-91403/19982244_zpid/" TargetMode="External"/><Relationship Id="rId298" Type="http://schemas.openxmlformats.org/officeDocument/2006/relationships/hyperlink" Target="https://www.zillow.com/homedetails/848-15th-St-APT-2-Santa-Monica-CA-90403/20478339_zpid/" TargetMode="External"/><Relationship Id="rId158" Type="http://schemas.openxmlformats.org/officeDocument/2006/relationships/hyperlink" Target="https://drive.google.com/open?id=1NHzdUcPgDGr7orm55mn2MmBNLqvSIJ_Z" TargetMode="External"/><Relationship Id="rId2186" Type="http://schemas.openxmlformats.org/officeDocument/2006/relationships/hyperlink" Target="https://www.zillow.com/homedetails/11556-Burbank-Blvd-APT-408-North-Hollywood-CA-91601/89150365_zpid/" TargetMode="External"/><Relationship Id="rId365" Type="http://schemas.openxmlformats.org/officeDocument/2006/relationships/hyperlink" Target="https://drive.google.com/open?id=1TtdzfmcsirmchVHTQzjpIYVL7gZ-FtCO" TargetMode="External"/><Relationship Id="rId572" Type="http://schemas.openxmlformats.org/officeDocument/2006/relationships/hyperlink" Target="https://drive.google.com/open?id=1UEvkwHSoV1xWMhiBpvmzjjni_wtQz5Dk" TargetMode="External"/><Relationship Id="rId2046" Type="http://schemas.openxmlformats.org/officeDocument/2006/relationships/hyperlink" Target="https://www.zillow.com/homedetails/11177-Valley-Spring-Pl-Studio-City-CA-91602/20025421_zpid/" TargetMode="External"/><Relationship Id="rId2253" Type="http://schemas.openxmlformats.org/officeDocument/2006/relationships/hyperlink" Target="https://www.zillow.com/homedetails/2890-Eider-St-La-Verne-CA-91750/51602754_zpid/" TargetMode="External"/><Relationship Id="rId225" Type="http://schemas.openxmlformats.org/officeDocument/2006/relationships/hyperlink" Target="https://www.zillow.com/homedetails/1937-Prosser-Ave-Los-Angeles-CA-90025/20501203_zpid/" TargetMode="External"/><Relationship Id="rId432" Type="http://schemas.openxmlformats.org/officeDocument/2006/relationships/hyperlink" Target="https://www.zillow.com/homedetails/3205-Waverly-Dr-Los-Angeles-CA-90027/20749233_zpid/" TargetMode="External"/><Relationship Id="rId877" Type="http://schemas.openxmlformats.org/officeDocument/2006/relationships/hyperlink" Target="https://www.zillow.com/homedetails/534-Wilcox-Ave-Los-Angeles-CA-90004/20783361_zpid/" TargetMode="External"/><Relationship Id="rId1062" Type="http://schemas.openxmlformats.org/officeDocument/2006/relationships/hyperlink" Target="https://www.zillow.com/homedetails/10824-Chalon-Rd-Los-Angeles-CA-90077/20529073_zpid/" TargetMode="External"/><Relationship Id="rId2113" Type="http://schemas.openxmlformats.org/officeDocument/2006/relationships/hyperlink" Target="https://www.zillow.com/apartments/los-angeles-ca/madison-hancock-park/5XqKhY/?utm_campaign=iosappmessage&amp;utm_medium=referral&amp;utm_source=txtshare" TargetMode="External"/><Relationship Id="rId2320" Type="http://schemas.openxmlformats.org/officeDocument/2006/relationships/hyperlink" Target="https://drive.google.com/open?id=1FxaBDqNXaPvgeWvPGgjgFunxNaeIXs2_" TargetMode="External"/><Relationship Id="rId737" Type="http://schemas.openxmlformats.org/officeDocument/2006/relationships/hyperlink" Target="https://drive.google.com/open?id=1kXqdr-_9alyZteZ8w2p9GkX4gmVOqgCy" TargetMode="External"/><Relationship Id="rId944" Type="http://schemas.openxmlformats.org/officeDocument/2006/relationships/hyperlink" Target="https://www.zillow.com/homedetails/5204-Etiwanda-Ave-Tarzana-CA-91356/19949467_zpid/" TargetMode="External"/><Relationship Id="rId1367" Type="http://schemas.openxmlformats.org/officeDocument/2006/relationships/hyperlink" Target="https://drive.google.com/open?id=1eLezQ7AJf9VGn1r9t_F6PY7qzynQS_EC" TargetMode="External"/><Relationship Id="rId1574" Type="http://schemas.openxmlformats.org/officeDocument/2006/relationships/hyperlink" Target="https://www.zillow.com/homedetails/305-Venice-Way-Venice-CA-90291/325799119_zpid/?utm_campaign=iosappmessage&amp;utm_medium=referral&amp;utm_source=txtshare" TargetMode="External"/><Relationship Id="rId1781" Type="http://schemas.openxmlformats.org/officeDocument/2006/relationships/hyperlink" Target="https://drive.google.com/open?id=13U5U7zUsoYQ6mzoflGcPiBigJLhVPC5s" TargetMode="External"/><Relationship Id="rId73" Type="http://schemas.openxmlformats.org/officeDocument/2006/relationships/hyperlink" Target="https://www.zillow.com/homedetails/223-Lake-Shore-Ter-UNIT-12-Los-Angeles-CA-90026/2058442885_zpid/?utm_campaign=iosappmessage&amp;utm_medium=referral&amp;utm_source=txtshare" TargetMode="External"/><Relationship Id="rId804" Type="http://schemas.openxmlformats.org/officeDocument/2006/relationships/hyperlink" Target="https://www.zillow.com/homedetails/5344-Leghorn-Ave-Van-Nuys-CA-91401/20015679_zpid/" TargetMode="External"/><Relationship Id="rId1227" Type="http://schemas.openxmlformats.org/officeDocument/2006/relationships/hyperlink" Target="https://www.compass.com/listing/1612-courtney-avenue-los-angeles-ca-90046/1747876484574831273/" TargetMode="External"/><Relationship Id="rId1434" Type="http://schemas.openxmlformats.org/officeDocument/2006/relationships/hyperlink" Target="https://www.zillow.com/homedetails/2438-Riverside-Pl-Los-Angeles-CA-90039/20753132_zpid/?utm_campaign=iosappmessage&amp;utm_medium=referral&amp;utm_source=txtshare" TargetMode="External"/><Relationship Id="rId1641" Type="http://schemas.openxmlformats.org/officeDocument/2006/relationships/hyperlink" Target="https://www.zillow.com/homedetails/380-Trousdale-Pl-Beverly-Hills-CA-90210/20534471_zpid/" TargetMode="External"/><Relationship Id="rId1879" Type="http://schemas.openxmlformats.org/officeDocument/2006/relationships/hyperlink" Target="https://drive.google.com/open?id=10GkFmLi2BJ6nr81aJjepqYZM_XbyTE7G" TargetMode="External"/><Relationship Id="rId1501" Type="http://schemas.openxmlformats.org/officeDocument/2006/relationships/hyperlink" Target="https://www.google.com/url?q=https://www.zillow.com/homedetails/351-S-Catalina-St-351-Los-Angeles-CA-90020/442833273_zpid/?utm_campaign%3Diosappmessage%26utm_medium%3Dreferral%26utm_source%3Dtxtshare&amp;sa=D&amp;source=editors&amp;ust=1736931393971201&amp;usg=AOvVaw1uLNsK5xWkL1hdcxkBrfc8" TargetMode="External"/><Relationship Id="rId1739" Type="http://schemas.openxmlformats.org/officeDocument/2006/relationships/hyperlink" Target="https://drive.google.com/open?id=1dx8dNxfJCDyLuj2HMPcW8BzowzSGsnAq" TargetMode="External"/><Relationship Id="rId1946" Type="http://schemas.openxmlformats.org/officeDocument/2006/relationships/hyperlink" Target="https://drive.google.com/open?id=1t1_bKwIb8MjE5hHbsCASw7MKJZSs8wh6" TargetMode="External"/><Relationship Id="rId1806" Type="http://schemas.openxmlformats.org/officeDocument/2006/relationships/hyperlink" Target="https://www.zillow.com/homedetails/1245-Buena-Vista-St-Ventura-CA-93001/69037464_zpid/" TargetMode="External"/><Relationship Id="rId387" Type="http://schemas.openxmlformats.org/officeDocument/2006/relationships/hyperlink" Target="https://www.zillow.com/homedetails/1106-Maybrook-Dr-Beverly-Hills-CA-90210/20524112_zpid/" TargetMode="External"/><Relationship Id="rId594" Type="http://schemas.openxmlformats.org/officeDocument/2006/relationships/hyperlink" Target="https://www.zillow.com/homedetails/2328-San-Ysidro-Dr-Beverly-Hills-CA-90210/20533103_zpid/" TargetMode="External"/><Relationship Id="rId2068" Type="http://schemas.openxmlformats.org/officeDocument/2006/relationships/hyperlink" Target="https://www.zillow.com/homedetails/2330-28th-St-APT-B-Santa-Monica-CA-90405/2055205097_zpid/" TargetMode="External"/><Relationship Id="rId2275" Type="http://schemas.openxmlformats.org/officeDocument/2006/relationships/hyperlink" Target="https://www.zillow.com/homedetails/1287-W-37th-Pl-APT-6-Los-Angeles-CA-90007/2112831084_zpid/" TargetMode="External"/><Relationship Id="rId247" Type="http://schemas.openxmlformats.org/officeDocument/2006/relationships/hyperlink" Target="https://www.zillow.com/homedetails/748-S-Cloverdale-Ave-Los-Angeles-CA-90036/20610066_zpid/" TargetMode="External"/><Relationship Id="rId899" Type="http://schemas.openxmlformats.org/officeDocument/2006/relationships/hyperlink" Target="https://drive.google.com/open?id=1gc7qb35DXCkE2jgxJ-EWdis2JitTTe-x" TargetMode="External"/><Relationship Id="rId1084" Type="http://schemas.openxmlformats.org/officeDocument/2006/relationships/hyperlink" Target="https://www.compass.com/listing/7566-west-sunset-boulevard-unit-423phw-los-angeles-ca-90046/1751040834965519697/" TargetMode="External"/><Relationship Id="rId107" Type="http://schemas.openxmlformats.org/officeDocument/2006/relationships/hyperlink" Target="https://www.zillow.com/homedetails/4865-Eldred-St-Los-Angeles-CA-90042/20763415_zpid/" TargetMode="External"/><Relationship Id="rId454" Type="http://schemas.openxmlformats.org/officeDocument/2006/relationships/hyperlink" Target="https://www.zillow.com/homedetails/2442-Beverwil-Dr-Los-Angeles-CA-90034/20494462_zpid/" TargetMode="External"/><Relationship Id="rId661" Type="http://schemas.openxmlformats.org/officeDocument/2006/relationships/hyperlink" Target="https://www.zillow.com/homedetails/7540-Quimby-Ave-West-Hills-CA-91307/19865941_zpid/" TargetMode="External"/><Relationship Id="rId759" Type="http://schemas.openxmlformats.org/officeDocument/2006/relationships/hyperlink" Target="https://www.zillow.com/homedetails/425-29th-St-Manhattan-Beach-CA-90266/20420888_zpid/" TargetMode="External"/><Relationship Id="rId966" Type="http://schemas.openxmlformats.org/officeDocument/2006/relationships/hyperlink" Target="https://www.zillow.com/homedetails/27553-Country-Glen-Rd-Agoura-Hills-CA-91301/19894551_zpid/" TargetMode="External"/><Relationship Id="rId1291" Type="http://schemas.openxmlformats.org/officeDocument/2006/relationships/hyperlink" Target="https://drive.google.com/open?id=19z-PTKSAx0YcVBgoSvPoq2LZrisZH3WI" TargetMode="External"/><Relationship Id="rId1389" Type="http://schemas.openxmlformats.org/officeDocument/2006/relationships/hyperlink" Target="https://www.zillow.com/homedetails/1067-Palos-Verdes-Blvd-A-Redondo-Beach-CA-90277/2077373956_zpid/" TargetMode="External"/><Relationship Id="rId1596" Type="http://schemas.openxmlformats.org/officeDocument/2006/relationships/hyperlink" Target="https://www.zillow.com/homedetails/33-Sage-Ln-Bell-Canyon-CA-91307/16497722_zpid/" TargetMode="External"/><Relationship Id="rId2135" Type="http://schemas.openxmlformats.org/officeDocument/2006/relationships/hyperlink" Target="https://www.zillow.com/homedetails/168-S-Sierra-Madre-Blvd-UNIT-201-Pasadena-CA-91107/302796216_zpid/" TargetMode="External"/><Relationship Id="rId2342" Type="http://schemas.openxmlformats.org/officeDocument/2006/relationships/hyperlink" Target="https://drive.google.com/open?id=19wRLm6gFJfof-xdumPcqA9dNMF6IEwz1" TargetMode="External"/><Relationship Id="rId314" Type="http://schemas.openxmlformats.org/officeDocument/2006/relationships/hyperlink" Target="https://drive.google.com/open?id=1qdmT4gaJ43Jjze92Of-0pUC3dxPzdcZC" TargetMode="External"/><Relationship Id="rId521" Type="http://schemas.openxmlformats.org/officeDocument/2006/relationships/hyperlink" Target="https://www.zillow.com/homedetails/1881-Mount-Olympus-Dr-Los-Angeles-CA-90046/20802451_zpid/" TargetMode="External"/><Relationship Id="rId619" Type="http://schemas.openxmlformats.org/officeDocument/2006/relationships/hyperlink" Target="https://drive.google.com/open?id=1mXNDyBNvv-dMObjSsNqe7KkOouFF6hKG" TargetMode="External"/><Relationship Id="rId1151" Type="http://schemas.openxmlformats.org/officeDocument/2006/relationships/hyperlink" Target="https://www.zillow.com/homedetails/1524-N-Sierra-Bonita-Ave-Los-Angeles-CA-90046/20794339_zpid/" TargetMode="External"/><Relationship Id="rId1249" Type="http://schemas.openxmlformats.org/officeDocument/2006/relationships/hyperlink" Target="https://drive.google.com/open?id=1VT02kAEBqqJx1m1HVKgQdvLPQHCGutBe" TargetMode="External"/><Relationship Id="rId2202" Type="http://schemas.openxmlformats.org/officeDocument/2006/relationships/hyperlink" Target="https://drive.google.com/open?id=1BRBgStbfAiXKWWWJ_3PoOOTGnShpqbML" TargetMode="External"/><Relationship Id="rId95" Type="http://schemas.openxmlformats.org/officeDocument/2006/relationships/hyperlink" Target="https://drive.google.com/open?id=15mqxuwsMa7JJ_yiSeiBzSZBXdars85Gd" TargetMode="External"/><Relationship Id="rId826" Type="http://schemas.openxmlformats.org/officeDocument/2006/relationships/hyperlink" Target="https://drive.google.com/open?id=1P_1d_7FkETiPPie_MSIjS1hOqGA8jTeb" TargetMode="External"/><Relationship Id="rId1011" Type="http://schemas.openxmlformats.org/officeDocument/2006/relationships/hyperlink" Target="https://drive.google.com/open?id=1DIut1-cKArF4pShB7hMrWuszu7YDcn9v" TargetMode="External"/><Relationship Id="rId1109" Type="http://schemas.openxmlformats.org/officeDocument/2006/relationships/hyperlink" Target="https://www.zillow.com/homedetails/8700-Dorrington-Ave-West-Hollywood-CA-90048/20516282_zpid/" TargetMode="External"/><Relationship Id="rId1456" Type="http://schemas.openxmlformats.org/officeDocument/2006/relationships/hyperlink" Target="https://www.zillow.com/homedetails/280-Cherry-Dr-Pasadena-CA-91105/20857313_zpid/" TargetMode="External"/><Relationship Id="rId1663" Type="http://schemas.openxmlformats.org/officeDocument/2006/relationships/hyperlink" Target="https://www.zillow.com/homedetails/17025-Labrador-St-Northridge-CA-91325/20152369_zpid/" TargetMode="External"/><Relationship Id="rId1870" Type="http://schemas.openxmlformats.org/officeDocument/2006/relationships/hyperlink" Target="https://www.zillow.com/homedetails/3534-Weslin-Ave-Sherman-Oaks-CA-91423/20033259_zpid/" TargetMode="External"/><Relationship Id="rId1968" Type="http://schemas.openxmlformats.org/officeDocument/2006/relationships/hyperlink" Target="https://www.compass.com/listing/404-south-westgate-avenue-los-angeles-ca-90049/1754535184085322921/?origin=listing_page&amp;origin_type=copy_url&amp;agent_id=668c3fcf1e6b880001a264b7" TargetMode="External"/><Relationship Id="rId1316" Type="http://schemas.openxmlformats.org/officeDocument/2006/relationships/hyperlink" Target="https://www.zillow.com/homedetails/1831-Federal-Ave-11-Los-Angeles-CA-90025/2077855757_zpid/" TargetMode="External"/><Relationship Id="rId1523" Type="http://schemas.openxmlformats.org/officeDocument/2006/relationships/hyperlink" Target="https://www.zillow.com/homedetails/1821-W-25th-St-Los-Angeles-CA-90018/2054605304_zpid/" TargetMode="External"/><Relationship Id="rId1730" Type="http://schemas.openxmlformats.org/officeDocument/2006/relationships/hyperlink" Target="https://www.zillow.com/homedetails/Los-Angeles-CA-90019/95587640_zpid/" TargetMode="External"/><Relationship Id="rId22" Type="http://schemas.openxmlformats.org/officeDocument/2006/relationships/hyperlink" Target="https://www.zillow.com/homedetails/5059-Hermosa-Ave-Los-Angeles-CA-90041/2090546544_zpid/" TargetMode="External"/><Relationship Id="rId1828" Type="http://schemas.openxmlformats.org/officeDocument/2006/relationships/hyperlink" Target="https://drive.google.com/open?id=1NxzsuG-9CBbhiKm_DVPAredkrcWGGCl2" TargetMode="External"/><Relationship Id="rId171" Type="http://schemas.openxmlformats.org/officeDocument/2006/relationships/hyperlink" Target="https://www.zillow.com/homedetails/716-N-Kenter-Ave-Los-Angeles-CA-90049/20560387_zpid/" TargetMode="External"/><Relationship Id="rId2297" Type="http://schemas.openxmlformats.org/officeDocument/2006/relationships/hyperlink" Target="https://drive.google.com/open?id=1GKwbCkGpBsCI68-EnZcamyrszUsLDQ5D" TargetMode="External"/><Relationship Id="rId269" Type="http://schemas.openxmlformats.org/officeDocument/2006/relationships/hyperlink" Target="https://drive.google.com/open?id=1W906Jv2fvSSPhw77-SnWW1Cg9fzdXPuA" TargetMode="External"/><Relationship Id="rId476" Type="http://schemas.openxmlformats.org/officeDocument/2006/relationships/hyperlink" Target="https://www.instagram.com/realtor_mer/" TargetMode="External"/><Relationship Id="rId683" Type="http://schemas.openxmlformats.org/officeDocument/2006/relationships/hyperlink" Target="https://www.zillow.com/homedetails/9572-Rhea-Ave-Northridge-CA-91324/20176308_zpid/" TargetMode="External"/><Relationship Id="rId890" Type="http://schemas.openxmlformats.org/officeDocument/2006/relationships/hyperlink" Target="https://www.zillow.com/homedetails/Los-Angeles-CA-90046/20803208_zpid/" TargetMode="External"/><Relationship Id="rId2157" Type="http://schemas.openxmlformats.org/officeDocument/2006/relationships/hyperlink" Target="https://www.zillow.com/homedetails/348-30th-Pl-Hermosa-Beach-CA-90254/2091678115_zpid/" TargetMode="External"/><Relationship Id="rId2364" Type="http://schemas.openxmlformats.org/officeDocument/2006/relationships/hyperlink" Target="https://www.bizprofile.net/ca/paramount/elijah-park-llc" TargetMode="External"/><Relationship Id="rId129" Type="http://schemas.openxmlformats.org/officeDocument/2006/relationships/hyperlink" Target="https://drive.google.com/open?id=1CaDTWltwVv4hlQ8iFI8RzC8WUzm9-Rpq" TargetMode="External"/><Relationship Id="rId336" Type="http://schemas.openxmlformats.org/officeDocument/2006/relationships/hyperlink" Target="https://www.zillow.com/homedetails/6255-W-Olympic-Blvd-2-Los-Angeles-CA-90048/443225953_zpid/" TargetMode="External"/><Relationship Id="rId543" Type="http://schemas.openxmlformats.org/officeDocument/2006/relationships/hyperlink" Target="https://www.zillow.com/homedetails/4707-Libbit-Ave-Encino-CA-91436/19991540_zpid/" TargetMode="External"/><Relationship Id="rId988" Type="http://schemas.openxmlformats.org/officeDocument/2006/relationships/hyperlink" Target="https://drive.google.com/open?id=157btZ_BWccojwNlQq20IFZyyEXEnO1LT" TargetMode="External"/><Relationship Id="rId1173" Type="http://schemas.openxmlformats.org/officeDocument/2006/relationships/hyperlink" Target="https://drive.google.com/open?id=1rOOlPZ63vXE8gFV4DkEeJsu9wGA-dMut" TargetMode="External"/><Relationship Id="rId1380" Type="http://schemas.openxmlformats.org/officeDocument/2006/relationships/hyperlink" Target="https://www.trulia.com/home/4400-carpenter-ave-valley-village-ca-91607-20024404" TargetMode="External"/><Relationship Id="rId2017" Type="http://schemas.openxmlformats.org/officeDocument/2006/relationships/hyperlink" Target="https://drive.google.com/open?id=1j20CIdz9dnmDtietKL-kS5PoascQJYkX" TargetMode="External"/><Relationship Id="rId2224" Type="http://schemas.openxmlformats.org/officeDocument/2006/relationships/hyperlink" Target="https://www.zillow.com/homedetails/1101-S-Bundy-Dr-Los-Angeles-CA-90049/20468041_zpid/?utm_campaign=iosappmessage&amp;utm_medium=referral&amp;utm_source=txtshare" TargetMode="External"/><Relationship Id="rId403" Type="http://schemas.openxmlformats.org/officeDocument/2006/relationships/hyperlink" Target="https://www.zillow.com/homedetails/7599-W-Coastal-View-Dr-Los-Angeles-CA-90045/443793824_zpid/?utm_campaign=iosappmessage&amp;utm_medium=referral&amp;utm_source=txtshare" TargetMode="External"/><Relationship Id="rId750" Type="http://schemas.openxmlformats.org/officeDocument/2006/relationships/hyperlink" Target="https://www.zillow.com/homedetails/716-The-Strand-Manhattan-Beach-CA-90266/20423287_zpid/" TargetMode="External"/><Relationship Id="rId848" Type="http://schemas.openxmlformats.org/officeDocument/2006/relationships/hyperlink" Target="https://drive.google.com/open?id=10mthTV-x6G6EP7BEQDNLjodFoxOXfjY0" TargetMode="External"/><Relationship Id="rId1033" Type="http://schemas.openxmlformats.org/officeDocument/2006/relationships/hyperlink" Target="https://www.compass.com/listing/10518-woodbridge-street-toluca-lake-ca-91602/1753167744872985745/" TargetMode="External"/><Relationship Id="rId1478" Type="http://schemas.openxmlformats.org/officeDocument/2006/relationships/hyperlink" Target="https://drive.google.com/open?id=19IcC5_AE79HfQNoxZG2OD__JcCtbZXvM" TargetMode="External"/><Relationship Id="rId1685" Type="http://schemas.openxmlformats.org/officeDocument/2006/relationships/hyperlink" Target="https://www.zillow.com/homedetails/8875-Cynthia-St-B-West-Hollywood-CA-90069/244500425_zpid/" TargetMode="External"/><Relationship Id="rId1892" Type="http://schemas.openxmlformats.org/officeDocument/2006/relationships/hyperlink" Target="https://www.redfin.com/CA/Tarzana/6258-Shirley-Ave-91335/home/3903305" TargetMode="External"/><Relationship Id="rId610" Type="http://schemas.openxmlformats.org/officeDocument/2006/relationships/hyperlink" Target="https://www.trulia.com/home/1931-nelson-ave-redondo-beach-ca-90278-2061986612?cid=shr%7Capp_ios_rental_phone%7Crent%7Cpdp_share" TargetMode="External"/><Relationship Id="rId708" Type="http://schemas.openxmlformats.org/officeDocument/2006/relationships/hyperlink" Target="https://www.zillow.com/homedetails/23608-Pineforest-Ln-Harbor-City-CA-90710/21289318_zpid/" TargetMode="External"/><Relationship Id="rId915" Type="http://schemas.openxmlformats.org/officeDocument/2006/relationships/hyperlink" Target="https://www.zillow.com/homedetails/1318-S-Roxbury-Dr-111-Los-Angeles-CA-90035/95527136_zpid/" TargetMode="External"/><Relationship Id="rId1240" Type="http://schemas.openxmlformats.org/officeDocument/2006/relationships/hyperlink" Target="https://www.zillow.com/homedetails/715-N-Rexford-Dr-Beverly-Hills-CA-90210/20520993_zpid/" TargetMode="External"/><Relationship Id="rId1338" Type="http://schemas.openxmlformats.org/officeDocument/2006/relationships/hyperlink" Target="https://drive.google.com/open?id=13Y4KlXbGkmmaWR36_IbQrNGh_8ZKUWOz" TargetMode="External"/><Relationship Id="rId1545" Type="http://schemas.openxmlformats.org/officeDocument/2006/relationships/hyperlink" Target="https://www.zillow.com/homedetails/15-Outrigger-St-APT-102-Marina-Del-Rey-CA-90292/2091349239_zpid/" TargetMode="External"/><Relationship Id="rId1100" Type="http://schemas.openxmlformats.org/officeDocument/2006/relationships/hyperlink" Target="https://drive.google.com/open?id=1lW7glwuBKvdmz5FD3l5AMSgPJGTho6rp" TargetMode="External"/><Relationship Id="rId1405" Type="http://schemas.openxmlformats.org/officeDocument/2006/relationships/hyperlink" Target="https://www.zillow.com/homedetails/25247-Bigelow-Rd-503-02-Torrance-CA-90505/2079199375_zpid/" TargetMode="External"/><Relationship Id="rId1752" Type="http://schemas.openxmlformats.org/officeDocument/2006/relationships/hyperlink" Target="https://www.zillow.com/homedetails/5010-Tujunga-Ave-APT-1-North-Hollywood-CA-91601/439714116_zpid/" TargetMode="External"/><Relationship Id="rId44" Type="http://schemas.openxmlformats.org/officeDocument/2006/relationships/hyperlink" Target="https://www.zillow.com/homedetails/8400-Grand-View-Dr-Los-Angeles-CA-90046/20797928_zpid/" TargetMode="External"/><Relationship Id="rId1612" Type="http://schemas.openxmlformats.org/officeDocument/2006/relationships/hyperlink" Target="https://drive.google.com/open?id=1T7mfEo8ckGaBgfXy1PjWryDLio8TBdYy" TargetMode="External"/><Relationship Id="rId1917" Type="http://schemas.openxmlformats.org/officeDocument/2006/relationships/hyperlink" Target="https://drive.google.com/open?id=1slpkaUYvSoHB05-MA3dWQKT1FKHOKBah" TargetMode="External"/><Relationship Id="rId193" Type="http://schemas.openxmlformats.org/officeDocument/2006/relationships/hyperlink" Target="https://www.zillow.com/homedetails/15373-Valley-Vista-Blvd-Sherman-Oaks-CA-91403/19991451_zpid/" TargetMode="External"/><Relationship Id="rId498" Type="http://schemas.openxmlformats.org/officeDocument/2006/relationships/hyperlink" Target="https://www.zillow.com/homedetails/3310-Coy-Dr-Sherman-Oaks-CA-91423/19987597_zpid/" TargetMode="External"/><Relationship Id="rId2081" Type="http://schemas.openxmlformats.org/officeDocument/2006/relationships/hyperlink" Target="https://www.zillow.com/homedetails/658-California-Ave-Venice-CA-90291/2075403474_zpid/" TargetMode="External"/><Relationship Id="rId2179" Type="http://schemas.openxmlformats.org/officeDocument/2006/relationships/hyperlink" Target="https://www.redfin.com/CA/Woodland-Hills/21908-Providencia-St-91364/home/4205476" TargetMode="External"/><Relationship Id="rId260" Type="http://schemas.openxmlformats.org/officeDocument/2006/relationships/hyperlink" Target="https://drive.google.com/open?id=1vf8hpHBjuhq8v2Ecqd2dojvA1zHbRFnN" TargetMode="External"/><Relationship Id="rId120" Type="http://schemas.openxmlformats.org/officeDocument/2006/relationships/hyperlink" Target="https://www.zillow.com/homedetails/2205-Ocean-Front-Walk-Venice-CA-90291/59276620_zpid/" TargetMode="External"/><Relationship Id="rId358" Type="http://schemas.openxmlformats.org/officeDocument/2006/relationships/hyperlink" Target="https://drive.google.com/open?id=1Bv7Wip_9bKpqyRr_LYUzVBvFKol7-uuQ" TargetMode="External"/><Relationship Id="rId565" Type="http://schemas.openxmlformats.org/officeDocument/2006/relationships/hyperlink" Target="https://www.zillow.com/homedetails/7901-Limerick-Ave-1-Winnetka-CA-91306/2054214691_zpid/" TargetMode="External"/><Relationship Id="rId772" Type="http://schemas.openxmlformats.org/officeDocument/2006/relationships/hyperlink" Target="https://drive.google.com/open?id=1f8I2DxZfiad6SVYQyQ8sMmIFEbqHKyuc" TargetMode="External"/><Relationship Id="rId1195" Type="http://schemas.openxmlformats.org/officeDocument/2006/relationships/hyperlink" Target="https://www.zillow.com/homedetails/1036-Ruberta-Ave-Glendale-CA-91201/20824498_zpid/" TargetMode="External"/><Relationship Id="rId2039" Type="http://schemas.openxmlformats.org/officeDocument/2006/relationships/hyperlink" Target="https://drive.google.com/open?id=1-8ZPQZHGT9tR7gXc817Pj-25TnosEr1_" TargetMode="External"/><Relationship Id="rId2246" Type="http://schemas.openxmlformats.org/officeDocument/2006/relationships/hyperlink" Target="https://drive.google.com/open?id=1xAvlnku_N_UETf63C4w2eMx-tCwjYjmd" TargetMode="External"/><Relationship Id="rId218" Type="http://schemas.openxmlformats.org/officeDocument/2006/relationships/hyperlink" Target="https://www.zillow.com/homedetails/11842-Culver-Blvd-Los-Angeles-CA-90066/2123490972_zpid/?utm_source=txtshare" TargetMode="External"/><Relationship Id="rId425" Type="http://schemas.openxmlformats.org/officeDocument/2006/relationships/hyperlink" Target="https://drive.google.com/open?id=18MCew9Eu7z2ksiX5nPpH4QxyPAkSA3nO" TargetMode="External"/><Relationship Id="rId632" Type="http://schemas.openxmlformats.org/officeDocument/2006/relationships/hyperlink" Target="https://www.zillow.com/homedetails/2901-Angus-St-Los-Angeles-CA-90039/20749550_zpid/" TargetMode="External"/><Relationship Id="rId1055" Type="http://schemas.openxmlformats.org/officeDocument/2006/relationships/hyperlink" Target="https://www.zillow.com/homedetails/3577-Thorndale-Rd-Pasadena-CA-91107/20878791_zpid/" TargetMode="External"/><Relationship Id="rId1262" Type="http://schemas.openxmlformats.org/officeDocument/2006/relationships/hyperlink" Target="https://www.zillow.com/homedetails/Pasadena-CA-91104/20919815_zpid/" TargetMode="External"/><Relationship Id="rId2106" Type="http://schemas.openxmlformats.org/officeDocument/2006/relationships/hyperlink" Target="https://www.redfin.com/CA/Encino/4434-Grimes-Pl-91316/home/4299068" TargetMode="External"/><Relationship Id="rId2313" Type="http://schemas.openxmlformats.org/officeDocument/2006/relationships/hyperlink" Target="https://www.zillow.com/homedetails/1618-E-Vernon-Ave-Los-Angeles-CA-90011/250334355_zpid/" TargetMode="External"/><Relationship Id="rId937" Type="http://schemas.openxmlformats.org/officeDocument/2006/relationships/hyperlink" Target="https://drive.google.com/open?id=1ruluOV0XIGaul23eknjFVTxQTxZ08LOA" TargetMode="External"/><Relationship Id="rId1122" Type="http://schemas.openxmlformats.org/officeDocument/2006/relationships/hyperlink" Target="https://drive.google.com/open?id=1dSWAYNYZ6yGyPLb7UZq92jMEl1dshsBG" TargetMode="External"/><Relationship Id="rId1567" Type="http://schemas.openxmlformats.org/officeDocument/2006/relationships/hyperlink" Target="https://www.trulia.com/home/10856-plainview-ave-tujunga-ca-91042-2054676045" TargetMode="External"/><Relationship Id="rId1774" Type="http://schemas.openxmlformats.org/officeDocument/2006/relationships/hyperlink" Target="https://www.zillow.com/homedetails/7015-Wrightcrest-Dr-Culver-City-CA-90232/20430909_zpid/" TargetMode="External"/><Relationship Id="rId1981" Type="http://schemas.openxmlformats.org/officeDocument/2006/relationships/hyperlink" Target="https://drive.google.com/open?id=1D137Uq03l-Wc0h52-D_ndnZYhBQThRuF" TargetMode="External"/><Relationship Id="rId66" Type="http://schemas.openxmlformats.org/officeDocument/2006/relationships/hyperlink" Target="https://www.zillow.com/homedetails/2950-Warwick-Ave-Los-Angeles-CA-90032/20643542_zpid/?utm_campaign=iosappmessage&amp;utm_medium=referral&amp;utm_source=txtshare" TargetMode="External"/><Relationship Id="rId1427" Type="http://schemas.openxmlformats.org/officeDocument/2006/relationships/hyperlink" Target="https://www.zillow.com/homedetails/474-Rye-Ct-Thousand-Oaks-CA-91362/54900416_zpid/" TargetMode="External"/><Relationship Id="rId1634" Type="http://schemas.openxmlformats.org/officeDocument/2006/relationships/hyperlink" Target="https://drive.google.com/open?id=1hHHKtHXShrg1BSxumJl-6jsAjR19qZyp" TargetMode="External"/><Relationship Id="rId1841" Type="http://schemas.openxmlformats.org/officeDocument/2006/relationships/hyperlink" Target="https://www.zillow.com/homedetails/126-Donati-Irvine-CA-92602/325861553_zpid/" TargetMode="External"/><Relationship Id="rId1939" Type="http://schemas.openxmlformats.org/officeDocument/2006/relationships/hyperlink" Target="https://www.zillow.com/homedetails/2112-Century-Park-Ln-UNIT-408-Los-Angeles-CA-90067/20510711_zpid/?utm_campaign=iosappmessage&amp;utm_medium=referral&amp;utm_source=txtshare" TargetMode="External"/><Relationship Id="rId1701" Type="http://schemas.openxmlformats.org/officeDocument/2006/relationships/hyperlink" Target="https://www.zillow.com/homedetails/11271-Otsego-St-204-North-Hollywood-CA-91601/2078923251_zpid/" TargetMode="External"/><Relationship Id="rId282" Type="http://schemas.openxmlformats.org/officeDocument/2006/relationships/hyperlink" Target="https://www.zillow.com/homedetails/2428-Glyndon-Ave-Venice-CA-90291/20448951_zpid/?utm_campaign=iosappmessage&amp;utm_medium=referral&amp;utm_source=txtshare" TargetMode="External"/><Relationship Id="rId587" Type="http://schemas.openxmlformats.org/officeDocument/2006/relationships/hyperlink" Target="https://drive.google.com/open?id=1dtgFlROGaSCoPPIpefAzURSHDY0eEldR" TargetMode="External"/><Relationship Id="rId2170" Type="http://schemas.openxmlformats.org/officeDocument/2006/relationships/hyperlink" Target="https://www.zillow.com/homedetails/5042-Laurel-Canyon-Blvd-2-Valley-Village-CA-91607/446243273_zpid/" TargetMode="External"/><Relationship Id="rId2268" Type="http://schemas.openxmlformats.org/officeDocument/2006/relationships/hyperlink" Target="https://www.zillow.com/homedetails/525-E-Seaside-Way-UNIT-806-Long-Beach-CA-90802/21238743_zpid/" TargetMode="External"/><Relationship Id="rId8" Type="http://schemas.openxmlformats.org/officeDocument/2006/relationships/hyperlink" Target="https://www.zillow.com/homedetails/8966-Shoreham-Dr-Los-Angeles-CA-90069/20799415_zpid/" TargetMode="External"/><Relationship Id="rId142" Type="http://schemas.openxmlformats.org/officeDocument/2006/relationships/hyperlink" Target="https://www.zillow.com/homedetails/2950-Tyburn-St-Los-Angeles-CA-90039/20751814_zpid/" TargetMode="External"/><Relationship Id="rId447" Type="http://schemas.openxmlformats.org/officeDocument/2006/relationships/hyperlink" Target="https://www.zillow.com/homedetails/4188-Marcasel-Ave-Los-Angeles-CA-90066/20447597_zpid/" TargetMode="External"/><Relationship Id="rId794" Type="http://schemas.openxmlformats.org/officeDocument/2006/relationships/hyperlink" Target="https://www.redfin.com/CA/Harbor-City/1661-259th-St-90710/unit-235/home/193276678" TargetMode="External"/><Relationship Id="rId1077" Type="http://schemas.openxmlformats.org/officeDocument/2006/relationships/hyperlink" Target="https://www.zillow.com/homedetails/20955-Marmora-St-Woodland-Hills-CA-91364/19945090_zpid/" TargetMode="External"/><Relationship Id="rId2030" Type="http://schemas.openxmlformats.org/officeDocument/2006/relationships/hyperlink" Target="https://www.trulia.com/home/3650-shadow-grove-rd-pasadena-ca-91107-20879961?ecampaign=eml%7Cfrb%7Ccon_day_newlistingforrent_instant%7Css_only&amp;eurl=www.trulia.com/home/3650-shadow-grove-rd-pasadena-ca-91107-20879961&amp;guid=9bc85659bbd7430d99bb830f6c2594281737234224175" TargetMode="External"/><Relationship Id="rId2128" Type="http://schemas.openxmlformats.org/officeDocument/2006/relationships/hyperlink" Target="https://www.zillow.com/homedetails/1984-N-Orchid-Ave-Los-Angeles-CA-90068/443984392_zpid/" TargetMode="External"/><Relationship Id="rId654" Type="http://schemas.openxmlformats.org/officeDocument/2006/relationships/hyperlink" Target="https://www.zillow.com/homedetails/907-Pine-Grove-Ave-Los-Angeles-CA-90042/20769156_zpid/?utm_campaign=iosappmessage&amp;utm_medium=referral&amp;utm_source=txtshare" TargetMode="External"/><Relationship Id="rId861" Type="http://schemas.openxmlformats.org/officeDocument/2006/relationships/hyperlink" Target="https://drive.google.com/open?id=1n_zEv5aXfX1mS5kdOU2sU1dmIqKoaHv9" TargetMode="External"/><Relationship Id="rId959" Type="http://schemas.openxmlformats.org/officeDocument/2006/relationships/hyperlink" Target="https://drive.google.com/open?id=197ATC5H295tlnPyEPvRqeA0jF7QK3c2r" TargetMode="External"/><Relationship Id="rId1284" Type="http://schemas.openxmlformats.org/officeDocument/2006/relationships/hyperlink" Target="https://www.trulia.com/home/2324-n-vermont-ave-los-angeles-ca-90027-20809114" TargetMode="External"/><Relationship Id="rId1491" Type="http://schemas.openxmlformats.org/officeDocument/2006/relationships/hyperlink" Target="https://www.zillow.com/homedetails/137-N-Doheny-Dr-3-Los-Angeles-CA-90048/406261680_zpid/" TargetMode="External"/><Relationship Id="rId1589" Type="http://schemas.openxmlformats.org/officeDocument/2006/relationships/hyperlink" Target="https://drive.google.com/open?id=1saFmXdprS22kpWLigWIJuuGyN6kldKJQ" TargetMode="External"/><Relationship Id="rId2335" Type="http://schemas.openxmlformats.org/officeDocument/2006/relationships/hyperlink" Target="https://www.zillow.com/homedetails/12125-W-Sunset-Blvd-Los-Angeles-CA-90049/20536618_zpid/?utm_campaign=iosappmessage&amp;utm_medium=referral&amp;utm_source=txtshare" TargetMode="External"/><Relationship Id="rId307" Type="http://schemas.openxmlformats.org/officeDocument/2006/relationships/hyperlink" Target="https://www.zillow.com/homedetails/640-Harbor-St-APT-1-Venice-CA-90291/20444876_zpid/" TargetMode="External"/><Relationship Id="rId514" Type="http://schemas.openxmlformats.org/officeDocument/2006/relationships/hyperlink" Target="https://drive.google.com/open?id=1cDi20Egfm1CzPUZHE-YX4Ih3Y-92PCL2" TargetMode="External"/><Relationship Id="rId721" Type="http://schemas.openxmlformats.org/officeDocument/2006/relationships/hyperlink" Target="https://drive.google.com/open?id=1V5W4yGBti5Ip_wwrzcfHg-Ef6zqNclv1" TargetMode="External"/><Relationship Id="rId1144" Type="http://schemas.openxmlformats.org/officeDocument/2006/relationships/hyperlink" Target="https://drive.google.com/open?id=19aDHEmCcg4Pt9jf2qxt5OhqGf9W9Hynw" TargetMode="External"/><Relationship Id="rId1351" Type="http://schemas.openxmlformats.org/officeDocument/2006/relationships/hyperlink" Target="https://www.zillow.com/homedetails/10364-Eastborne-Ave-Los-Angeles-CA-90024/20507858_zpid/" TargetMode="External"/><Relationship Id="rId1449" Type="http://schemas.openxmlformats.org/officeDocument/2006/relationships/hyperlink" Target="https://www.zillow.com/homedetails/1341-Sierra-Alta-Way-Los-Angeles-CA-90069/20535094_zpid/" TargetMode="External"/><Relationship Id="rId1796" Type="http://schemas.openxmlformats.org/officeDocument/2006/relationships/hyperlink" Target="https://drive.google.com/open?id=1uE2XfX2TyN-0KDWSKMVSG47HVtGd5A6L" TargetMode="External"/><Relationship Id="rId88" Type="http://schemas.openxmlformats.org/officeDocument/2006/relationships/hyperlink" Target="https://www.zillow.com/homedetails/1240-Morningside-Way-Venice-CA-90291/20454370_zpid/" TargetMode="External"/><Relationship Id="rId819" Type="http://schemas.openxmlformats.org/officeDocument/2006/relationships/hyperlink" Target="https://drive.google.com/open?id=1T9H2AtgcxZB4BVqhnujpILNoZQDIRXhh" TargetMode="External"/><Relationship Id="rId1004" Type="http://schemas.openxmlformats.org/officeDocument/2006/relationships/hyperlink" Target="https://www.zillow.com/homedetails/3035-Lake-Glen-Dr-Beverly-Hills-CA-90210/20533531_zpid/" TargetMode="External"/><Relationship Id="rId1211" Type="http://schemas.openxmlformats.org/officeDocument/2006/relationships/hyperlink" Target="https://www.zillow.com/homedetails/2016-Trinity-St-Los-Angeles-CA-90011/20622860_zpid/" TargetMode="External"/><Relationship Id="rId1656" Type="http://schemas.openxmlformats.org/officeDocument/2006/relationships/hyperlink" Target="https://www.zillow.com/homedetails/26172-Pacific-Coast-Hwy-Malibu-CA-90265/20554582_zpid/" TargetMode="External"/><Relationship Id="rId1863" Type="http://schemas.openxmlformats.org/officeDocument/2006/relationships/hyperlink" Target="https://www.zillow.com/homedetails/4450-Hayvenhurst-Ave-Encino-CA-91436/19991832_zpid/" TargetMode="External"/><Relationship Id="rId1309" Type="http://schemas.openxmlformats.org/officeDocument/2006/relationships/hyperlink" Target="https://www.zillow.com/homedetails/5107-11th-Ave-Los-Angeles-CA-90043/20567993_zpid/" TargetMode="External"/><Relationship Id="rId1516" Type="http://schemas.openxmlformats.org/officeDocument/2006/relationships/hyperlink" Target="https://drive.google.com/open?id=15cg--HtLcnRUayIq9VvOFV1p3xXerzmo" TargetMode="External"/><Relationship Id="rId1723" Type="http://schemas.openxmlformats.org/officeDocument/2006/relationships/hyperlink" Target="https://drive.google.com/open?id=1XPUMGAjV2zSNciQFEFG5ZjVshg-qdtV7" TargetMode="External"/><Relationship Id="rId1930" Type="http://schemas.openxmlformats.org/officeDocument/2006/relationships/hyperlink" Target="https://www.zillow.com/homedetails/Los-Angeles-CA-90005/443872022_zpid/" TargetMode="External"/><Relationship Id="rId15" Type="http://schemas.openxmlformats.org/officeDocument/2006/relationships/hyperlink" Target="https://drive.google.com/open?id=1Zew-llRUzDNfN8RUPCh1xX5c3y-3Waca" TargetMode="External"/><Relationship Id="rId2192" Type="http://schemas.openxmlformats.org/officeDocument/2006/relationships/hyperlink" Target="https://www.zillow.com/homedetails/Los-Angeles-CA-90046/20801224_zpid/" TargetMode="External"/><Relationship Id="rId164" Type="http://schemas.openxmlformats.org/officeDocument/2006/relationships/hyperlink" Target="https://www.zillow.com/homedetails/2847-Deep-Canyon-Dr-Beverly-Hills-CA-90210/20531974_zpid/" TargetMode="External"/><Relationship Id="rId371" Type="http://schemas.openxmlformats.org/officeDocument/2006/relationships/hyperlink" Target="https://drive.google.com/open?id=19Xbzwal21XeuqzLAwY-iGUdN05BF3uRF" TargetMode="External"/><Relationship Id="rId2052" Type="http://schemas.openxmlformats.org/officeDocument/2006/relationships/hyperlink" Target="https://www.zillow.com/homedetails/4267-Marina-City-Dr-UNIT-102-Marina-Del-Rey-CA-90292/302687068_zpid/" TargetMode="External"/><Relationship Id="rId469" Type="http://schemas.openxmlformats.org/officeDocument/2006/relationships/hyperlink" Target="https://www.zillow.com/homedetails/8666-Hollywood-Blvd-Los-Angeles-CA-90069/20799046_zpid/" TargetMode="External"/><Relationship Id="rId676" Type="http://schemas.openxmlformats.org/officeDocument/2006/relationships/hyperlink" Target="https://www.zillow.com/homedetails/22660-Baltar-St-West-Hills-CA-91304/51578714_zpid/" TargetMode="External"/><Relationship Id="rId883" Type="http://schemas.openxmlformats.org/officeDocument/2006/relationships/hyperlink" Target="https://www.zillow.com/homedetails/Pacific-Palisades-CA-90272/20542872_zpid/" TargetMode="External"/><Relationship Id="rId1099" Type="http://schemas.openxmlformats.org/officeDocument/2006/relationships/hyperlink" Target="https://www.zillow.com/homedetails/1304-The-Strand-C-Manhattan-Beach-CA-90266/20422503_zpid/" TargetMode="External"/><Relationship Id="rId2357" Type="http://schemas.openxmlformats.org/officeDocument/2006/relationships/hyperlink" Target="https://www.zillow.com/homedetails/854-Brooks-Ave-854-Venice-CA-90291/439982066_zpid/" TargetMode="External"/><Relationship Id="rId231" Type="http://schemas.openxmlformats.org/officeDocument/2006/relationships/hyperlink" Target="https://drive.google.com/open?id=19nzhkkUaiBGrXT8i5FxFEZt3g9CjPXbL" TargetMode="External"/><Relationship Id="rId329" Type="http://schemas.openxmlformats.org/officeDocument/2006/relationships/hyperlink" Target="https://www.zillow.com/homedetails/(undisclosed-Address)-Burbank-CA-91504/20060493_zpid/?utm_campaign=iosappmessage&amp;utm_medium=referral&amp;utm_source=txtshare" TargetMode="External"/><Relationship Id="rId536" Type="http://schemas.openxmlformats.org/officeDocument/2006/relationships/hyperlink" Target="https://www.zillow.com/homedetails/1416-Pandora-Ave-Los-Angeles-CA-90024/20507742_zpid/" TargetMode="External"/><Relationship Id="rId1166" Type="http://schemas.openxmlformats.org/officeDocument/2006/relationships/hyperlink" Target="https://www.zillow.com/homedetails/2315-Glendale-Blvd-Los-Angeles-CA-90039/2069329510_zpid/" TargetMode="External"/><Relationship Id="rId1373" Type="http://schemas.openxmlformats.org/officeDocument/2006/relationships/hyperlink" Target="https://www.zillow.com/homedetails/6952-Solano-Verde-Dr-Somis-CA-93066/16346318_zpid/" TargetMode="External"/><Relationship Id="rId2217" Type="http://schemas.openxmlformats.org/officeDocument/2006/relationships/hyperlink" Target="https://www.zillow.com/homedetails/6564-Kelvin-Ave-Winnetka-CA-91306/19930987_zpid/" TargetMode="External"/><Relationship Id="rId743" Type="http://schemas.openxmlformats.org/officeDocument/2006/relationships/hyperlink" Target="https://drive.google.com/open?id=1EhtLCp2yz3jqGx-4J1gLtp8cLP5YMKwV" TargetMode="External"/><Relationship Id="rId950" Type="http://schemas.openxmlformats.org/officeDocument/2006/relationships/hyperlink" Target="https://drive.google.com/open?id=14z21zG9jQy0iQg-dRfcjVS0O7vPSChrS" TargetMode="External"/><Relationship Id="rId1026" Type="http://schemas.openxmlformats.org/officeDocument/2006/relationships/hyperlink" Target="https://www.compass.com/listing/7309-north-eaton-street-los-angeles-ca-90042/1753399338577397089/" TargetMode="External"/><Relationship Id="rId1580" Type="http://schemas.openxmlformats.org/officeDocument/2006/relationships/hyperlink" Target="https://www.trulia.com/home/267-barthe-dr-14-pasadena-ca-91103-441812912?fbclid=IwZXh0bgNhZW0CMTAAAR3ALF_X7FN5Q17G8XPbYt_2PaaltudkSmyL3wkPqBIH8L2bFRH5Jb_SR18_aem_aRO8OSGcyhP-YoRwoe3g3A" TargetMode="External"/><Relationship Id="rId1678" Type="http://schemas.openxmlformats.org/officeDocument/2006/relationships/hyperlink" Target="https://www.zillow.com/homedetails/20305-Chapter-Dr-Woodland-Hills-CA-91364/19946171_zpid/?utm_campaign=iosappmessage&amp;utm_medium=referral&amp;utm_source=txtshare" TargetMode="External"/><Relationship Id="rId1885" Type="http://schemas.openxmlformats.org/officeDocument/2006/relationships/hyperlink" Target="https://drive.google.com/open?id=13lRpiiSfa790k5dxiANGm0DWA5QHrsnH" TargetMode="External"/><Relationship Id="rId603" Type="http://schemas.openxmlformats.org/officeDocument/2006/relationships/hyperlink" Target="https://www.zillow.com/homedetails/715-N-Rexford-Dr-Beverly-Hills-CA-90210/20520993_zpid/" TargetMode="External"/><Relationship Id="rId810" Type="http://schemas.openxmlformats.org/officeDocument/2006/relationships/hyperlink" Target="https://drive.google.com/open?id=1KY7dvVWL0xZEzMZdH2lUAtbJWlLMXVt-" TargetMode="External"/><Relationship Id="rId908" Type="http://schemas.openxmlformats.org/officeDocument/2006/relationships/hyperlink" Target="https://www.zillow.com/homedetails/7320-Balboa-Blvd-Van-Nuys-CA-91406/2076966998_zpid/" TargetMode="External"/><Relationship Id="rId1233" Type="http://schemas.openxmlformats.org/officeDocument/2006/relationships/hyperlink" Target="https://drive.google.com/open?id=1Bn1zIZLk3t5xol_apsjjev7HQLhgwwen" TargetMode="External"/><Relationship Id="rId1440" Type="http://schemas.openxmlformats.org/officeDocument/2006/relationships/hyperlink" Target="https://www.zillow.com/homedetails/349-E-Newman-Ave-Arcadia-CA-91006/20888114_zpid/" TargetMode="External"/><Relationship Id="rId1538" Type="http://schemas.openxmlformats.org/officeDocument/2006/relationships/hyperlink" Target="https://drive.google.com/open?id=13lY1Ej-0bKXYxGVdR_zMtVGayH8mU28S" TargetMode="External"/><Relationship Id="rId1300" Type="http://schemas.openxmlformats.org/officeDocument/2006/relationships/hyperlink" Target="https://www.zillow.com/homedetails/141-S-La-Peer-Dr-Beverly-Hills-CA-90211/20513483_zpid/" TargetMode="External"/><Relationship Id="rId1745" Type="http://schemas.openxmlformats.org/officeDocument/2006/relationships/hyperlink" Target="https://drive.google.com/open?id=1zUcA0PpQXYVakHtC5YACjkaOsqLyQZMv" TargetMode="External"/><Relationship Id="rId1952" Type="http://schemas.openxmlformats.org/officeDocument/2006/relationships/hyperlink" Target="https://drive.google.com/open?id=1afFbyx7a-LYjIto1A52DVf7ivAfnOlnY" TargetMode="External"/><Relationship Id="rId37" Type="http://schemas.openxmlformats.org/officeDocument/2006/relationships/hyperlink" Target="https://www.zillow.com/homedetails/1456-Sunset-Plaza-Dr-Los-Angeles-CA-90069/20799013_zpid/" TargetMode="External"/><Relationship Id="rId1605" Type="http://schemas.openxmlformats.org/officeDocument/2006/relationships/hyperlink" Target="https://www.zillow.com/homedetails/4800-Zelzah-Ave-Encino-CA-91316/19950258_zpid/" TargetMode="External"/><Relationship Id="rId1812" Type="http://schemas.openxmlformats.org/officeDocument/2006/relationships/hyperlink" Target="https://www.redfin.com/CA/Beverly-Hills/3182-Abington-Dr-90210/home/6834008" TargetMode="External"/><Relationship Id="rId186" Type="http://schemas.openxmlformats.org/officeDocument/2006/relationships/hyperlink" Target="https://drive.google.com/open?id=1gTRYquC7x7zZDhjG1Z1xwX67x46KeuJF" TargetMode="External"/><Relationship Id="rId393" Type="http://schemas.openxmlformats.org/officeDocument/2006/relationships/hyperlink" Target="https://www.zillow.com/homedetails/1106-Maybrook-Dr-Beverly-Hills-CA-90210/20524112_zpid/" TargetMode="External"/><Relationship Id="rId2074" Type="http://schemas.openxmlformats.org/officeDocument/2006/relationships/hyperlink" Target="https://drive.google.com/open?id=19hmQBM3SzM7jKN7A8bMahP8jcDZoY4lI" TargetMode="External"/><Relationship Id="rId2281" Type="http://schemas.openxmlformats.org/officeDocument/2006/relationships/hyperlink" Target="https://drive.google.com/open?id=1peUhpwv3g7JbzcxxCxVAUju9tJqLizPB" TargetMode="External"/><Relationship Id="rId253" Type="http://schemas.openxmlformats.org/officeDocument/2006/relationships/hyperlink" Target="https://www.zillow.com/homedetails/8147-Mulholland-Ter-Los-Angeles-CA-90046/20031972_zpid/?utm_campaign=iosappmessage&amp;utm_medium=referral&amp;utm_source=txtshare" TargetMode="External"/><Relationship Id="rId460" Type="http://schemas.openxmlformats.org/officeDocument/2006/relationships/hyperlink" Target="https://www.instagram.com/kimkesslerhomes/?hl=en" TargetMode="External"/><Relationship Id="rId698" Type="http://schemas.openxmlformats.org/officeDocument/2006/relationships/hyperlink" Target="https://www.zillow.com/homedetails/724-S-Gramercy-Dr-Los-Angeles-CA-90005/2070015636_zpid/" TargetMode="External"/><Relationship Id="rId1090" Type="http://schemas.openxmlformats.org/officeDocument/2006/relationships/hyperlink" Target="https://www.zillow.com/homedetails/10798-Lindbrook-Dr-Los-Angeles-CA-90024/20525012_zpid/" TargetMode="External"/><Relationship Id="rId2141" Type="http://schemas.openxmlformats.org/officeDocument/2006/relationships/hyperlink" Target="https://drive.google.com/open?id=1cKvTA6nlpqKkZ3aSQRv8dpQ_-NCgD-pX" TargetMode="External"/><Relationship Id="rId2379" Type="http://schemas.openxmlformats.org/officeDocument/2006/relationships/hyperlink" Target="https://www.zillow.com/homedetails/7841-W-83rd-St-Playa-Del-Rey-CA-90293/20385772_zpid/" TargetMode="External"/><Relationship Id="rId113" Type="http://schemas.openxmlformats.org/officeDocument/2006/relationships/hyperlink" Target="https://www.zillow.com/homedetails/225-Sherman-Canal-Ct-Venice-CA-90291/443839188_zpid/" TargetMode="External"/><Relationship Id="rId320" Type="http://schemas.openxmlformats.org/officeDocument/2006/relationships/hyperlink" Target="https://www.zillow.com/homedetails/10919-Ayres-Ave-Los-Angeles-CA-90064/2098430421_zpid/" TargetMode="External"/><Relationship Id="rId558" Type="http://schemas.openxmlformats.org/officeDocument/2006/relationships/hyperlink" Target="https://www.zillow.com/homedetails/274-S-La-Fayette-Park-Pl-2B-2BA-Los-Angeles-CA-90057/441951840_zpid/" TargetMode="External"/><Relationship Id="rId765" Type="http://schemas.openxmlformats.org/officeDocument/2006/relationships/hyperlink" Target="https://www.zillow.com/homedetails/6229-Fallbrook-Ave-Woodland-Hills-CA-91367/19877436_zpid/" TargetMode="External"/><Relationship Id="rId972" Type="http://schemas.openxmlformats.org/officeDocument/2006/relationships/hyperlink" Target="https://www.redfin.com/CA/Redondo-Beach/220-Avenue-A-90277/home/7705462" TargetMode="External"/><Relationship Id="rId1188" Type="http://schemas.openxmlformats.org/officeDocument/2006/relationships/hyperlink" Target="https://drive.google.com/open?id=1zEdHJ8q8fBJL2fXlg9n9EMradTwTCkFp" TargetMode="External"/><Relationship Id="rId1395" Type="http://schemas.openxmlformats.org/officeDocument/2006/relationships/hyperlink" Target="https://drive.google.com/open?id=1PjTJhkWRdd-2nyZFagan0YBmuPHV-r3j" TargetMode="External"/><Relationship Id="rId2001" Type="http://schemas.openxmlformats.org/officeDocument/2006/relationships/hyperlink" Target="https://www.zillow.com/homedetails/14550-Round-Valley-Dr-Sherman-Oaks-CA-91403/19987851_zpid/" TargetMode="External"/><Relationship Id="rId2239" Type="http://schemas.openxmlformats.org/officeDocument/2006/relationships/hyperlink" Target="https://www.zillow.com/homedetails/201-Avenue-E-Redondo-Beach-CA-90277/446741345_zpid/" TargetMode="External"/><Relationship Id="rId418" Type="http://schemas.openxmlformats.org/officeDocument/2006/relationships/hyperlink" Target="https://www.zillow.com/homedetails/2010-Vineburn-Ave-Los-Angeles-CA-90032/20640422_zpid/" TargetMode="External"/><Relationship Id="rId625" Type="http://schemas.openxmlformats.org/officeDocument/2006/relationships/hyperlink" Target="https://drive.google.com/open?id=1KgiVmkJ1rj-ZQAfU8IXkDWqdwNDwRu1C" TargetMode="External"/><Relationship Id="rId832" Type="http://schemas.openxmlformats.org/officeDocument/2006/relationships/hyperlink" Target="https://www.zillow.com/homedetails/14133-Tiara-St-Sherman-Oaks-CA-91401/19972784_zpid/" TargetMode="External"/><Relationship Id="rId1048" Type="http://schemas.openxmlformats.org/officeDocument/2006/relationships/hyperlink" Target="https://www.zillow.com/homedetails/1211-Goodman-Ave-Redondo-Beach-CA-90278/20411015_zpid/?utm_campaign=iosappmessage&amp;utm_medium=referral&amp;utm_source=txtshare" TargetMode="External"/><Relationship Id="rId1255" Type="http://schemas.openxmlformats.org/officeDocument/2006/relationships/hyperlink" Target="https://www.zillow.com/homedetails/1460-Parkway-Dr-Rohnert-Park-CA-94928/15855437_zpid/" TargetMode="External"/><Relationship Id="rId1462" Type="http://schemas.openxmlformats.org/officeDocument/2006/relationships/hyperlink" Target="https://www.zillow.com/homedetails/Los-Angeles-CA-90056/20429298_zpid/" TargetMode="External"/><Relationship Id="rId2306" Type="http://schemas.openxmlformats.org/officeDocument/2006/relationships/hyperlink" Target="https://www.zillow.com/homedetails/3987-Denker-Ave-6-Los-Angeles-CA-90062/2070819084_zpid/" TargetMode="External"/><Relationship Id="rId1115" Type="http://schemas.openxmlformats.org/officeDocument/2006/relationships/hyperlink" Target="https://www.zillow.com/homedetails/133-S-Elm-Dr-APT-L-Beverly-Hills-CA-90212/2082088336_zpid/" TargetMode="External"/><Relationship Id="rId1322" Type="http://schemas.openxmlformats.org/officeDocument/2006/relationships/hyperlink" Target="https://www.zillow.com/homedetails/13616-Vose-St-Van-Nuys-CA-91405/20006587_zpid/" TargetMode="External"/><Relationship Id="rId1767" Type="http://schemas.openxmlformats.org/officeDocument/2006/relationships/hyperlink" Target="https://drive.google.com/open?id=1PsxeceZQUmsLIkb15u03CnB9MX-M5h4H" TargetMode="External"/><Relationship Id="rId1974" Type="http://schemas.openxmlformats.org/officeDocument/2006/relationships/hyperlink" Target="https://www.zillow.com/homedetails/4418-S-Slauson-Ave-302-Culver-City-CA-90230/442863515_zpid/" TargetMode="External"/><Relationship Id="rId59" Type="http://schemas.openxmlformats.org/officeDocument/2006/relationships/hyperlink" Target="https://www.zillow.com/homedetails/3113-Prospect-Ave-La-Crescenta-CA-91214/20898422_zpid/?utm_campaign=iosappmessage&amp;utm_medium=referral&amp;utm_source=txtshare" TargetMode="External"/><Relationship Id="rId1627" Type="http://schemas.openxmlformats.org/officeDocument/2006/relationships/hyperlink" Target="https://www.zillow.com/homedetails/25736-Punto-De-Vista-Dr-Calabasas-CA-91302/20553578_zpid/" TargetMode="External"/><Relationship Id="rId1834" Type="http://schemas.openxmlformats.org/officeDocument/2006/relationships/hyperlink" Target="https://www.zillow.com/homedetails/6160-San-Vicente-Blvd-Los-Angeles-CA-90048/20609742_zpid/" TargetMode="External"/><Relationship Id="rId2096" Type="http://schemas.openxmlformats.org/officeDocument/2006/relationships/hyperlink" Target="https://drive.google.com/open?id=19zshL4biZGBF-606JXVNbMFxIcOVmeJ2" TargetMode="External"/><Relationship Id="rId1901" Type="http://schemas.openxmlformats.org/officeDocument/2006/relationships/hyperlink" Target="https://www.zillow.com/homedetails/6370-E-Tamarind-St-Oak-Park-CA-91377/2056151679_zpid/" TargetMode="External"/><Relationship Id="rId275" Type="http://schemas.openxmlformats.org/officeDocument/2006/relationships/hyperlink" Target="https://drive.google.com/open?id=1YIXIrkHjZvuWe_ZTcjPCP7msmaNxwdW4" TargetMode="External"/><Relationship Id="rId482" Type="http://schemas.openxmlformats.org/officeDocument/2006/relationships/hyperlink" Target="https://drive.google.com/open?id=1DKcoRKoeAm2r6kU91LsmY9FUaLganslw" TargetMode="External"/><Relationship Id="rId2163" Type="http://schemas.openxmlformats.org/officeDocument/2006/relationships/hyperlink" Target="https://app.box.com/s/xb6ddzw7djfcl2e640xt5ic1s5xub02i" TargetMode="External"/><Relationship Id="rId2370" Type="http://schemas.openxmlformats.org/officeDocument/2006/relationships/hyperlink" Target="https://drive.google.com/open?id=1ySB9dIGpzFxopsVpXCRidQc4sqYI62z8" TargetMode="External"/><Relationship Id="rId135" Type="http://schemas.openxmlformats.org/officeDocument/2006/relationships/hyperlink" Target="https://www.zillow.com/homedetails/77-E-Altadena-Dr-Altadena-CA-91001/20911914_zpid/" TargetMode="External"/><Relationship Id="rId342" Type="http://schemas.openxmlformats.org/officeDocument/2006/relationships/hyperlink" Target="https://www.zillow.com/homedetails/1222-Hilldale-Ave-Los-Angeles-CA-90069/20799396_zpid/" TargetMode="External"/><Relationship Id="rId787" Type="http://schemas.openxmlformats.org/officeDocument/2006/relationships/hyperlink" Target="https://drive.google.com/open?id=17Va2mZb9Arl9DZ2N5Rul2Qqno0Kcrbs2" TargetMode="External"/><Relationship Id="rId994" Type="http://schemas.openxmlformats.org/officeDocument/2006/relationships/hyperlink" Target="https://drive.google.com/open?id=1MUWVHGhFlvJ8k6Jd6WycGax6uGUxtvLQ" TargetMode="External"/><Relationship Id="rId2023" Type="http://schemas.openxmlformats.org/officeDocument/2006/relationships/hyperlink" Target="https://drive.google.com/open?id=1hQIObzVVvU1ZHb5KpTUVQ6uurP8EN2_r" TargetMode="External"/><Relationship Id="rId2230" Type="http://schemas.openxmlformats.org/officeDocument/2006/relationships/hyperlink" Target="https://www.zillow.com/homedetails/4740-Sunnyslope-Ave-Sherman-Oaks-CA-91423/20022323_zpid/?utm_campaign=iosappmessage&amp;utm_medium=referral&amp;utm_source=txtshare" TargetMode="External"/><Relationship Id="rId202" Type="http://schemas.openxmlformats.org/officeDocument/2006/relationships/hyperlink" Target="https://www.zillow.com/homedetails/3323-N-Knoll-Dr-Los-Angeles-CA-90068/20805677_zpid/" TargetMode="External"/><Relationship Id="rId647" Type="http://schemas.openxmlformats.org/officeDocument/2006/relationships/hyperlink" Target="https://drive.google.com/open?id=1VQygLJ_YQEvevj_Nxrs7xC1omnFMhJJ9" TargetMode="External"/><Relationship Id="rId854" Type="http://schemas.openxmlformats.org/officeDocument/2006/relationships/hyperlink" Target="https://drive.google.com/open?id=1AjqN0aQ8AXSsOa1iOn7lwpshsYqdDf2X" TargetMode="External"/><Relationship Id="rId1277" Type="http://schemas.openxmlformats.org/officeDocument/2006/relationships/hyperlink" Target="https://drive.google.com/open?id=1mNt7gEInYcRSCQrF42L26tUkT_uXRmW1" TargetMode="External"/><Relationship Id="rId1484" Type="http://schemas.openxmlformats.org/officeDocument/2006/relationships/hyperlink" Target="https://drive.google.com/open?id=1mfXKOtzVxM1yr-gpVxHvdkSHDFGlaGPI" TargetMode="External"/><Relationship Id="rId1691" Type="http://schemas.openxmlformats.org/officeDocument/2006/relationships/hyperlink" Target="https://www.zillow.com/homedetails/11019-Hartsook-St-North-Hollywood-CA-91601/2128453240_zpid/" TargetMode="External"/><Relationship Id="rId2328" Type="http://schemas.openxmlformats.org/officeDocument/2006/relationships/hyperlink" Target="https://drive.google.com/open?id=1uBikfWMQ4IBEiPfJmUFnUQUTm_8GgEiB" TargetMode="External"/><Relationship Id="rId507" Type="http://schemas.openxmlformats.org/officeDocument/2006/relationships/hyperlink" Target="https://drive.google.com/open?id=1PWp7PllOi1Rub3Tl7Z2EZWi8m_J1F7K8" TargetMode="External"/><Relationship Id="rId714" Type="http://schemas.openxmlformats.org/officeDocument/2006/relationships/hyperlink" Target="https://www.zillow.com/homedetails/Los-Angeles-CA-90028/2063392866_zpid/" TargetMode="External"/><Relationship Id="rId921" Type="http://schemas.openxmlformats.org/officeDocument/2006/relationships/hyperlink" Target="https://www.zillow.com/homedetails/225-Sherman-Canal-Venice-CA-90291/20444095_zpid/?utm_campaign=iosappmessage&amp;utm_medium=referral&amp;utm_source=txtshare" TargetMode="External"/><Relationship Id="rId1137" Type="http://schemas.openxmlformats.org/officeDocument/2006/relationships/hyperlink" Target="https://drive.google.com/open?id=1ANs4CrYYP2KIpOa0f1jEPj0Y_WV0QtoU" TargetMode="External"/><Relationship Id="rId1344" Type="http://schemas.openxmlformats.org/officeDocument/2006/relationships/hyperlink" Target="https://www.zillow.com/homedetails/1105-S-Barrington-Ave-8-Los-Angeles-CA-90049/442775342_zpid/" TargetMode="External"/><Relationship Id="rId1551" Type="http://schemas.openxmlformats.org/officeDocument/2006/relationships/hyperlink" Target="https://www.zillow.com/homedetails/2523-Abbot-Kinney-Blvd-Venice-CA-90291/20445225_zpid/?rtoken=53d8c654-19a9-498d-bbf8-8e5f8253d4dd~X1-ZUs4lk5b6omoeh_8gte6&amp;utm_campaign=emo-instant_home_recs_email_rent&amp;utm_source=email&amp;utm_term=urn:msg:20250115165744d8ac9a0f48e09222&amp;utm_medium=email&amp;utm_content=forrentimage-_rid-ksszT6ZZDDPbkg4vhZQCYo_" TargetMode="External"/><Relationship Id="rId1789" Type="http://schemas.openxmlformats.org/officeDocument/2006/relationships/hyperlink" Target="https://www.zillow.com/homedetails/965-E-Del-Mar-Blvd-APT-5-Pasadena-CA-91106/20868749_zpid/" TargetMode="External"/><Relationship Id="rId1996" Type="http://schemas.openxmlformats.org/officeDocument/2006/relationships/hyperlink" Target="https://drive.google.com/open?id=16_nrz7u_geX58Q5KlmlAOrXmcS1ASXPB" TargetMode="External"/><Relationship Id="rId50" Type="http://schemas.openxmlformats.org/officeDocument/2006/relationships/hyperlink" Target="https://www.zillow.com/homedetails/2030-S-Chapel-Ave-Alhambra-CA-91801/442707493_zpid/?utm_campaign=iosappmessage&amp;utm_medium=referral&amp;utm_source=txtshare" TargetMode="External"/><Relationship Id="rId1204" Type="http://schemas.openxmlformats.org/officeDocument/2006/relationships/hyperlink" Target="https://www.zillow.com/homedetails/2084-E-Washington-Blvd-Pasadena-CA-91104/20872343_zpid/" TargetMode="External"/><Relationship Id="rId1411" Type="http://schemas.openxmlformats.org/officeDocument/2006/relationships/hyperlink" Target="https://www.zillow.com/homedetails/3317-Vista-Dr-Manhattan-Beach-CA-90266/68993329_zpid/?utm_campaign=iosappmessage&amp;utm_medium=referral&amp;utm_source=txtshare" TargetMode="External"/><Relationship Id="rId1649" Type="http://schemas.openxmlformats.org/officeDocument/2006/relationships/hyperlink" Target="https://www.zillow.com/homedetails/204-N-Woodland-Ct-Montebello-CA-90640/21084634_zpid/" TargetMode="External"/><Relationship Id="rId1856" Type="http://schemas.openxmlformats.org/officeDocument/2006/relationships/hyperlink" Target="https://drive.google.com/open?id=1O4hukGAbYepv5E9wkJake0gzmfBH4qxJ" TargetMode="External"/><Relationship Id="rId1509" Type="http://schemas.openxmlformats.org/officeDocument/2006/relationships/hyperlink" Target="https://www.zillow.com/apartments/marina-del-rey-ca/17-northstar-street/5Xn2hz/" TargetMode="External"/><Relationship Id="rId1716" Type="http://schemas.openxmlformats.org/officeDocument/2006/relationships/hyperlink" Target="https://www.zillow.com/homedetails/280-Cherry-Dr-Pasadena-CA-91105/20857313_zpid/" TargetMode="External"/><Relationship Id="rId1923" Type="http://schemas.openxmlformats.org/officeDocument/2006/relationships/hyperlink" Target="https://www.zillow.com/homedetails/14808-Huston-St-Sherman-Oaks-CA-91403/19982244_zpid/" TargetMode="External"/><Relationship Id="rId297" Type="http://schemas.openxmlformats.org/officeDocument/2006/relationships/hyperlink" Target="https://www.zillow.com/homedetails/1427-Columbia-Dr-Glendale-CA-91205/20847539_zpid/?utm_campaign=iosappmessage&amp;utm_medium=referral&amp;utm_source=txtshare" TargetMode="External"/><Relationship Id="rId2185" Type="http://schemas.openxmlformats.org/officeDocument/2006/relationships/hyperlink" Target="https://www.zillow.com/homedetails/11516-Victory-Blvd-North-Hollywood-CA-91606/20010764_zpid/" TargetMode="External"/><Relationship Id="rId157" Type="http://schemas.openxmlformats.org/officeDocument/2006/relationships/hyperlink" Target="https://www.zillow.com/homedetails/3715-Kelton-Ave-APT-3-Los-Angeles-CA-90034/2080996983_zpid/" TargetMode="External"/><Relationship Id="rId364" Type="http://schemas.openxmlformats.org/officeDocument/2006/relationships/hyperlink" Target="https://www.zillow.com/homedetails/233-17th-St-Manhattan-Beach-CA-90266/20421726_zpid/" TargetMode="External"/><Relationship Id="rId2045" Type="http://schemas.openxmlformats.org/officeDocument/2006/relationships/hyperlink" Target="https://www.apartments.com/the-park-santa-monica-santa-monica-ca/cv7s2xd/" TargetMode="External"/><Relationship Id="rId571" Type="http://schemas.openxmlformats.org/officeDocument/2006/relationships/hyperlink" Target="https://www.zillow.com/homedetails/5535-Carlton-Way-1B-1BA-Los-Angeles-CA-90028/443351112_zpid/" TargetMode="External"/><Relationship Id="rId669" Type="http://schemas.openxmlformats.org/officeDocument/2006/relationships/hyperlink" Target="https://www.zillow.com/homedetails/823-S-Sierra-Bonita-Ave-Los-Angeles-CA-90036/20610339_zpid/" TargetMode="External"/><Relationship Id="rId876" Type="http://schemas.openxmlformats.org/officeDocument/2006/relationships/hyperlink" Target="https://www.zillow.com/homedetails/16412-Ardsley-Cir-Huntington-Beach-CA-92649/25298727_zpid/" TargetMode="External"/><Relationship Id="rId1299" Type="http://schemas.openxmlformats.org/officeDocument/2006/relationships/hyperlink" Target="https://www.zillow.com/homedetails/23621-Dunsmore-Ln-Santa-Clarita-CA-91354/20195841_zpid/?utm_campaign=iosappmessage&amp;utm_medium=referral&amp;utm_source=txtshare" TargetMode="External"/><Relationship Id="rId2252" Type="http://schemas.openxmlformats.org/officeDocument/2006/relationships/hyperlink" Target="https://drive.google.com/open?id=18JRzYr-QJaYargq-ei0vZneeRWFIWslb" TargetMode="External"/><Relationship Id="rId224" Type="http://schemas.openxmlformats.org/officeDocument/2006/relationships/hyperlink" Target="https://www.zillow.com/homedetails/13252-Magnolia-Blvd-Sherman-Oaks-CA-91423/20021216_zpid/" TargetMode="External"/><Relationship Id="rId431" Type="http://schemas.openxmlformats.org/officeDocument/2006/relationships/hyperlink" Target="https://drive.google.com/open?id=1rQVjeY8DimBIyk6aFBpeuzdEVyIrW2Xm" TargetMode="External"/><Relationship Id="rId529" Type="http://schemas.openxmlformats.org/officeDocument/2006/relationships/hyperlink" Target="https://drive.google.com/open?id=1dB8163Gv8GJ2_JkaamKPYUJRnwaQoNqj" TargetMode="External"/><Relationship Id="rId736" Type="http://schemas.openxmlformats.org/officeDocument/2006/relationships/hyperlink" Target="https://www.zillow.com/homedetails/1807-San-Ysidro-Dr-Beverly-Hills-CA-90210/20523504_zpid/" TargetMode="External"/><Relationship Id="rId1061" Type="http://schemas.openxmlformats.org/officeDocument/2006/relationships/hyperlink" Target="https://drive.google.com/open?id=1fR69U0LILn7PT08d9Ws2il_nw-jnu4ep" TargetMode="External"/><Relationship Id="rId1159" Type="http://schemas.openxmlformats.org/officeDocument/2006/relationships/hyperlink" Target="https://www.zillow.com/homedetails/644-E-97th-St-APT-7-Inglewood-CA-90301/2061286817_zpid/?utm_campaign=iosappmessage&amp;utm_medium=referral&amp;utm_source=txtshare" TargetMode="External"/><Relationship Id="rId1366" Type="http://schemas.openxmlformats.org/officeDocument/2006/relationships/hyperlink" Target="https://www.zillow.com/homedetails/427-W-Riverside-Dr-Burbank-CA-91506/20825323_zpid/" TargetMode="External"/><Relationship Id="rId2112" Type="http://schemas.openxmlformats.org/officeDocument/2006/relationships/hyperlink" Target="https://www.zillow.com/homedetails/10448-Hebron-Ln-Los-Angeles-CA-90077/20529691_zpid/" TargetMode="External"/><Relationship Id="rId943" Type="http://schemas.openxmlformats.org/officeDocument/2006/relationships/hyperlink" Target="https://www.zillow.com/homedetails/822-S-Plymouth-Blvd-2-Los-Angeles-CA-90005/339398724_zpid/" TargetMode="External"/><Relationship Id="rId1019" Type="http://schemas.openxmlformats.org/officeDocument/2006/relationships/hyperlink" Target="https://drive.google.com/open?id=11DtmO3a4-_zlWm3dXDyxq_rZgRlZJLPp" TargetMode="External"/><Relationship Id="rId1573" Type="http://schemas.openxmlformats.org/officeDocument/2006/relationships/hyperlink" Target="https://drive.google.com/open?id=1YB4-d5iKzalu6BY8SQnp_3lrgfBx03Mb" TargetMode="External"/><Relationship Id="rId1780" Type="http://schemas.openxmlformats.org/officeDocument/2006/relationships/hyperlink" Target="https://www.zillow.com/homedetails/3319-Wrightwood-Dr-Studio-City-CA-91604/20031064_zpid/" TargetMode="External"/><Relationship Id="rId1878" Type="http://schemas.openxmlformats.org/officeDocument/2006/relationships/hyperlink" Target="https://www.zillow.com/homedetails/6740-Colgate-Ave-Los-Angeles-CA-90048/20776032_zpid/" TargetMode="External"/><Relationship Id="rId72" Type="http://schemas.openxmlformats.org/officeDocument/2006/relationships/hyperlink" Target="https://drive.google.com/open?id=19LOxbfLT395OOpkSgqGooyVIaWmio7sh" TargetMode="External"/><Relationship Id="rId803" Type="http://schemas.openxmlformats.org/officeDocument/2006/relationships/hyperlink" Target="https://drive.google.com/open?id=1lStE0Irreds8E0lvuggay7vDDFuVgUyg" TargetMode="External"/><Relationship Id="rId1226" Type="http://schemas.openxmlformats.org/officeDocument/2006/relationships/hyperlink" Target="https://drive.google.com/open?id=1TEpAXWGU8Ex9z5do9EyrYV8HLMs76hMR" TargetMode="External"/><Relationship Id="rId1433" Type="http://schemas.openxmlformats.org/officeDocument/2006/relationships/hyperlink" Target="https://www.zillow.com/homedetails/508-N-Canon-Dr-Beverly-Hills-CA-90210/20521062_zpid/?utm_campaign=iosappmessage&amp;utm_medium=referral&amp;utm_source=txtshare" TargetMode="External"/><Relationship Id="rId1640" Type="http://schemas.openxmlformats.org/officeDocument/2006/relationships/hyperlink" Target="https://drive.google.com/open?id=1zr1hIsVj2Bpsljn7maT5DSq_pux-KJDi" TargetMode="External"/><Relationship Id="rId1738" Type="http://schemas.openxmlformats.org/officeDocument/2006/relationships/hyperlink" Target="https://www.zillow.com/homedetails/11410-Dona-Pegita-Dr-Studio-City-CA-91604/20031183_zpid/" TargetMode="External"/><Relationship Id="rId1500" Type="http://schemas.openxmlformats.org/officeDocument/2006/relationships/hyperlink" Target="https://www.google.com/url?q=https://www.zillow.com/homedetails/351-S-Catalina-St-351-Los-Angeles-CA-90020/442833273_zpid/?utm_campaign%3Diosappmessage%26utm_medium%3Dreferral%26utm_source%3Dtxtshare&amp;sa=D&amp;source=editors&amp;ust=1736931393971201&amp;usg=AOvVaw1uLNsK5xWkL1hdcxkBrfc8" TargetMode="External"/><Relationship Id="rId1945" Type="http://schemas.openxmlformats.org/officeDocument/2006/relationships/hyperlink" Target="https://www.zillow.com/homedetails/10552-Andasol-Ave-Granada-Hills-CA-91344/20169028_zpid/" TargetMode="External"/><Relationship Id="rId1805" Type="http://schemas.openxmlformats.org/officeDocument/2006/relationships/hyperlink" Target="https://drive.google.com/open?id=1hn3pg8YzZeO_nsUttqVwqSe3KzAqrQBN" TargetMode="External"/><Relationship Id="rId179" Type="http://schemas.openxmlformats.org/officeDocument/2006/relationships/hyperlink" Target="https://www.zillow.com/homedetails/110-N-Barrington-Ave-Los-Angeles-CA-90049/20547175_zpid/" TargetMode="External"/><Relationship Id="rId386" Type="http://schemas.openxmlformats.org/officeDocument/2006/relationships/hyperlink" Target="https://docs.google.com/spreadsheets/d/1RXWxLqTyWvAuq8A0PgaBuWeEn_G6qTLyTZ8lzfNEaNw/htmlview" TargetMode="External"/><Relationship Id="rId593" Type="http://schemas.openxmlformats.org/officeDocument/2006/relationships/hyperlink" Target="https://drive.google.com/open?id=1Sl4o0K4RXjkhXy0afE1ZW0eZGQea16Qz" TargetMode="External"/><Relationship Id="rId2067" Type="http://schemas.openxmlformats.org/officeDocument/2006/relationships/hyperlink" Target="https://drive.google.com/open?id=14QGdTp41R5gUXFZRqelM6kz6jzhmWiLq" TargetMode="External"/><Relationship Id="rId2274" Type="http://schemas.openxmlformats.org/officeDocument/2006/relationships/hyperlink" Target="https://drive.google.com/open?id=1371QNG3j-1KX8YRxJFy9VLIhmVjpAzWa" TargetMode="External"/><Relationship Id="rId246" Type="http://schemas.openxmlformats.org/officeDocument/2006/relationships/hyperlink" Target="https://drive.google.com/open?id=1XP6fivbXUPcz0msibc26R74FE1q5PfEQ" TargetMode="External"/><Relationship Id="rId453" Type="http://schemas.openxmlformats.org/officeDocument/2006/relationships/hyperlink" Target="https://www.zillow.com/homedetails/4531-Van-Nuys-Blvd-Sherman-Oaks-CA-91403/134800501_zpid/" TargetMode="External"/><Relationship Id="rId660" Type="http://schemas.openxmlformats.org/officeDocument/2006/relationships/hyperlink" Target="https://drive.google.com/open?id=19eGBV5q3FGpuvAbDFYez3kukHfw7H3py" TargetMode="External"/><Relationship Id="rId898" Type="http://schemas.openxmlformats.org/officeDocument/2006/relationships/hyperlink" Target="https://www.zillow.com/homedetails/110-N-Barrington-Ave-Los-Angeles-CA-90049/20547175_zpid/" TargetMode="External"/><Relationship Id="rId1083" Type="http://schemas.openxmlformats.org/officeDocument/2006/relationships/hyperlink" Target="https://www.zillow.com/apartments/los-angeles-ca/726-n-van-ness-ave/ChqrC9/?utm_campaign=iosappmessage&amp;utm_medium=referral&amp;utm_source=txtshare" TargetMode="External"/><Relationship Id="rId1290" Type="http://schemas.openxmlformats.org/officeDocument/2006/relationships/hyperlink" Target="https://www.zillow.com/homedetails/629-Traction-Ave-Los-Angeles-CA-90013/2104238752_zpid/" TargetMode="External"/><Relationship Id="rId2134" Type="http://schemas.openxmlformats.org/officeDocument/2006/relationships/hyperlink" Target="https://drive.google.com/open?id=14Z8FdRLcqPkVn_Sh1-6UaGz4F3PsiMde" TargetMode="External"/><Relationship Id="rId2341" Type="http://schemas.openxmlformats.org/officeDocument/2006/relationships/hyperlink" Target="https://www.zillow.com/homedetails/1030-4th-St-D-Santa-Monica-CA-90403/447260839_zpid/" TargetMode="External"/><Relationship Id="rId106" Type="http://schemas.openxmlformats.org/officeDocument/2006/relationships/hyperlink" Target="https://docs.google.com/forms/d/e/1FAIpQLSfhIqqLvIBUYrAO6bATa04cSs58X5v2DXYZRmzjpvo8Ar106Q/viewform?pli=1&amp;fbclid=PAZXh0bgNhZW0CMTEAAaZdg1ttoA0qUYpOpTBXNJw_wqebnFAudqkwqaNomvyt-y7HHWptnTuvkr0_aem_hI2pm9MvAL242vDUapJa0Q" TargetMode="External"/><Relationship Id="rId313" Type="http://schemas.openxmlformats.org/officeDocument/2006/relationships/hyperlink" Target="https://www.zillow.com/homedetails/16754-Armstead-St-Granada-Hills-CA-91344/20110441_zpid/" TargetMode="External"/><Relationship Id="rId758" Type="http://schemas.openxmlformats.org/officeDocument/2006/relationships/hyperlink" Target="https://www.zillow.com/homedetails/359-E-Broadway-Long-Beach-CA-90802/2083979360_zpid/" TargetMode="External"/><Relationship Id="rId965" Type="http://schemas.openxmlformats.org/officeDocument/2006/relationships/hyperlink" Target="https://www.zillow.com/homedetails/208-Marine-Ave-Manhattan-Beach-CA-90266/20421873_zpid/" TargetMode="External"/><Relationship Id="rId1150" Type="http://schemas.openxmlformats.org/officeDocument/2006/relationships/hyperlink" Target="https://www.zillow.com/homedetails/1439-Cabrillo-Ave-Venice-CA-90291/20450140_zpid/?utm_source=txtshare" TargetMode="External"/><Relationship Id="rId1388" Type="http://schemas.openxmlformats.org/officeDocument/2006/relationships/hyperlink" Target="https://www.zillow.com/homedetails/4104-Huron-Ave-Culver-City-CA-90232/20432909_zpid/" TargetMode="External"/><Relationship Id="rId1595" Type="http://schemas.openxmlformats.org/officeDocument/2006/relationships/hyperlink" Target="https://drive.google.com/open?id=1OZH20QhF12HCnNIHU48VBhFAElfNGNOV" TargetMode="External"/><Relationship Id="rId94" Type="http://schemas.openxmlformats.org/officeDocument/2006/relationships/hyperlink" Target="https://www.zillow.com/homedetails/114-Pacific-Ave-Venice-CA-90291/20482017_zpid/" TargetMode="External"/><Relationship Id="rId520" Type="http://schemas.openxmlformats.org/officeDocument/2006/relationships/hyperlink" Target="https://www.zillow.com/homedetails/802-N-Edinburgh-Ave-Los-Angeles-CA-90046/441737128_zpid/" TargetMode="External"/><Relationship Id="rId618" Type="http://schemas.openxmlformats.org/officeDocument/2006/relationships/hyperlink" Target="https://www.zillow.com/homedetails/917-S-Berendo-St-401-Los-Angeles-CA-90006/2056259359_zpid/?utm_campaign=iosappmessage&amp;utm_medium=referral&amp;utm_source=txtshare" TargetMode="External"/><Relationship Id="rId825" Type="http://schemas.openxmlformats.org/officeDocument/2006/relationships/hyperlink" Target="https://www.zillow.com/homedetails/240-Howland-Canal-Ct-Venice-CA-90291/443837979_zpid/" TargetMode="External"/><Relationship Id="rId1248" Type="http://schemas.openxmlformats.org/officeDocument/2006/relationships/hyperlink" Target="https://www.zillow.com/homedetails/508-N-Canon-Dr-Beverly-Hills-CA-90210/20521062_zpid/" TargetMode="External"/><Relationship Id="rId1455" Type="http://schemas.openxmlformats.org/officeDocument/2006/relationships/hyperlink" Target="https://drive.google.com/open?id=1o_9ITaq7JSCKsi7V2m8Xy4cBbiStM8ie" TargetMode="External"/><Relationship Id="rId1662" Type="http://schemas.openxmlformats.org/officeDocument/2006/relationships/hyperlink" Target="https://drive.google.com/open?id=1G29eSZ9CSo7KlAjkIaYIuuqtPxcUUARy" TargetMode="External"/><Relationship Id="rId2201" Type="http://schemas.openxmlformats.org/officeDocument/2006/relationships/hyperlink" Target="https://www.redfin.com/CA/Los-Angeles/1140-Lemoyne-St-90026/unit-4/apartment/193530951" TargetMode="External"/><Relationship Id="rId1010" Type="http://schemas.openxmlformats.org/officeDocument/2006/relationships/hyperlink" Target="https://www.zillow.com/homedetails/1945-Glendon-Ave-FLOOR-1-ID1279-Los-Angeles-CA-90025/442340892_zpid/" TargetMode="External"/><Relationship Id="rId1108" Type="http://schemas.openxmlformats.org/officeDocument/2006/relationships/hyperlink" Target="https://drive.google.com/open?id=1plVU-eo1cNUspou9hTkTBNLrHHOqv3B1" TargetMode="External"/><Relationship Id="rId1315" Type="http://schemas.openxmlformats.org/officeDocument/2006/relationships/hyperlink" Target="https://www.zillow.com/homedetails/7901-Berger-Ave-Playa-Del-Rey-CA-90293/20384884_zpid/" TargetMode="External"/><Relationship Id="rId1967" Type="http://schemas.openxmlformats.org/officeDocument/2006/relationships/hyperlink" Target="https://www.zillow.com/homedetails/530-W-Knoll-Dr-APT-E-Los-Angeles-CA-90048/442348777_zpid/?utm_campaign=iosappmessage&amp;utm_medium=referral&amp;utm_source=txtshare" TargetMode="External"/><Relationship Id="rId1522" Type="http://schemas.openxmlformats.org/officeDocument/2006/relationships/hyperlink" Target="https://drive.google.com/open?id=16NLqvB28nY21hixUG0r34JKLvDrTKJeB" TargetMode="External"/><Relationship Id="rId21" Type="http://schemas.openxmlformats.org/officeDocument/2006/relationships/hyperlink" Target="https://www.zillow.com/homedetails/3715-Kelton-Ave-APT-3-Los-Angeles-CA-90034/2080996983_zpid/" TargetMode="External"/><Relationship Id="rId2089" Type="http://schemas.openxmlformats.org/officeDocument/2006/relationships/hyperlink" Target="https://www.zillow.com/homedetails/10633-Eastborne-Ave-APT-402-Los-Angeles-CA-90024/2099810656_zpid/" TargetMode="External"/><Relationship Id="rId2296" Type="http://schemas.openxmlformats.org/officeDocument/2006/relationships/hyperlink" Target="https://www.zillow.com/homedetails/1701-Virginia-Rd-San-Marino-CA-91108/20704993_zpid/" TargetMode="External"/><Relationship Id="rId268" Type="http://schemas.openxmlformats.org/officeDocument/2006/relationships/hyperlink" Target="https://www.zillow.com/homedetails/1966-Rangeview-Dr-Glendale-CA-91201/20821772_zpid/" TargetMode="External"/><Relationship Id="rId475" Type="http://schemas.openxmlformats.org/officeDocument/2006/relationships/hyperlink" Target="https://www.zillow.com/homedetails/9892-Beverly-Grove-Dr-Beverly-Hills-CA-90210/20523641_zpid/" TargetMode="External"/><Relationship Id="rId682" Type="http://schemas.openxmlformats.org/officeDocument/2006/relationships/hyperlink" Target="https://drive.google.com/open?id=1GCQHND3CStqFIbIbmlL_WU-U3RHF9B6i" TargetMode="External"/><Relationship Id="rId2156" Type="http://schemas.openxmlformats.org/officeDocument/2006/relationships/hyperlink" Target="https://www.zillow.com/homedetails/4152-Arlington-Ave-Los-Angeles-CA-90008/20574562_zpid/" TargetMode="External"/><Relationship Id="rId2363" Type="http://schemas.openxmlformats.org/officeDocument/2006/relationships/hyperlink" Target="https://www.bizprofile.net/ca/paramount/elijah-park-llc" TargetMode="External"/><Relationship Id="rId128" Type="http://schemas.openxmlformats.org/officeDocument/2006/relationships/hyperlink" Target="https://www.zillow.com/homedetails/6076-Hargis-St-Los-Angeles-CA-90034/20598124_zpid/" TargetMode="External"/><Relationship Id="rId335" Type="http://schemas.openxmlformats.org/officeDocument/2006/relationships/hyperlink" Target="https://www.zillow.com/homedetails/2727-El-Oeste-Dr-Hermosa-Beach-CA-90254/20416648_zpid/" TargetMode="External"/><Relationship Id="rId542" Type="http://schemas.openxmlformats.org/officeDocument/2006/relationships/hyperlink" Target="https://drive.google.com/open?id=187V0Zgo0ps-ua8lrDoBWXvh2jWL8-qrT" TargetMode="External"/><Relationship Id="rId1172" Type="http://schemas.openxmlformats.org/officeDocument/2006/relationships/hyperlink" Target="https://www.zillow.com/homedetails/600-Flower-Ave-Venice-CA-90291/2076687188_zpid/" TargetMode="External"/><Relationship Id="rId2016" Type="http://schemas.openxmlformats.org/officeDocument/2006/relationships/hyperlink" Target="https://www.zillow.com/homedetails/18730-Hatteras-St-UNIT-49-Tarzana-CA-91356/19933668_zpid/" TargetMode="External"/><Relationship Id="rId2223" Type="http://schemas.openxmlformats.org/officeDocument/2006/relationships/hyperlink" Target="https://www.zillow.com/homedetails/1445-S-Sherbourne-Dr-A-Los-Angeles-CA-90035/421015404_zpid/" TargetMode="External"/><Relationship Id="rId402" Type="http://schemas.openxmlformats.org/officeDocument/2006/relationships/hyperlink" Target="https://drive.google.com/open?id=1XXMoL6w-TiLSS2C5JukczKtdTI6Ml5XT" TargetMode="External"/><Relationship Id="rId1032" Type="http://schemas.openxmlformats.org/officeDocument/2006/relationships/hyperlink" Target="https://www.zillow.com/homedetails/5763-1-2-Clemson-St-Los-Angeles-CA-90016/20587894_zpid/" TargetMode="External"/><Relationship Id="rId1989" Type="http://schemas.openxmlformats.org/officeDocument/2006/relationships/hyperlink" Target="https://drive.google.com/open?id=1uLr8JWapWr51UaomNycpFa-jVrpTsUOc" TargetMode="External"/><Relationship Id="rId1849" Type="http://schemas.openxmlformats.org/officeDocument/2006/relationships/hyperlink" Target="https://www.zillow.com/homedetails/8875-Cynthia-St-B-West-Hollywood-CA-90069/244500425_zpid/" TargetMode="External"/><Relationship Id="rId192" Type="http://schemas.openxmlformats.org/officeDocument/2006/relationships/hyperlink" Target="https://drive.google.com/open?id=1Rv3Rhe94Must2eyv_4fipJVu_pCnwIZ5" TargetMode="External"/><Relationship Id="rId1709" Type="http://schemas.openxmlformats.org/officeDocument/2006/relationships/hyperlink" Target="https://drive.google.com/open?id=1i_A6l6Kv06ojZ9owYj3rVzD6N2z5gNF-" TargetMode="External"/><Relationship Id="rId1916" Type="http://schemas.openxmlformats.org/officeDocument/2006/relationships/hyperlink" Target="https://www.zillow.com/homedetails/10740-Moorpark-St-APT-205-North-Hollywood-CA-91602/68991353_zpid/?rtoken=00cbf238-4ba5-45ca-8065-422e12a01cb4~X1-ZUwzmpmyjxdatl_4n5nw&amp;utm_campaign=emo-propertyalertnew&amp;utm_source=email&amp;utm_term=urn:msg:2025011620411523e9a75ddc52494d&amp;utm_medium=email&amp;utm_content=forrentimage" TargetMode="External"/><Relationship Id="rId2080" Type="http://schemas.openxmlformats.org/officeDocument/2006/relationships/hyperlink" Target="https://drive.google.com/open?id=1KVp6KZaVecbjZAoqD7hWjVTy4XKFX3aK" TargetMode="External"/><Relationship Id="rId869" Type="http://schemas.openxmlformats.org/officeDocument/2006/relationships/hyperlink" Target="https://drive.google.com/open?id=1UTLbM8N6A4irbIHWeR3y03YCRdvzED8c" TargetMode="External"/><Relationship Id="rId1499" Type="http://schemas.openxmlformats.org/officeDocument/2006/relationships/hyperlink" Target="https://www.zillow.com/homedetails/11645-Montana-Ave-APT-304-Los-Angeles-CA-90049/20535996_zpid/" TargetMode="External"/><Relationship Id="rId729" Type="http://schemas.openxmlformats.org/officeDocument/2006/relationships/hyperlink" Target="https://drive.google.com/open?id=1LgXeZNdkFk38s7IUai7euxsDWk7jWYPM" TargetMode="External"/><Relationship Id="rId1359" Type="http://schemas.openxmlformats.org/officeDocument/2006/relationships/hyperlink" Target="https://www.zillow.com/homedetails/12501-Sapphire-Pl-Valley-Village-CA-91607/325797939_zpid/" TargetMode="External"/><Relationship Id="rId936" Type="http://schemas.openxmlformats.org/officeDocument/2006/relationships/hyperlink" Target="https://www.zillow.com/homedetails/256-N-Rafael-Walk-Long-Beach-CA-90803/21216243_zpid/?utm_campaign=iosappmessage&amp;utm_medium=referral&amp;utm_source=txtshare" TargetMode="External"/><Relationship Id="rId1219" Type="http://schemas.openxmlformats.org/officeDocument/2006/relationships/hyperlink" Target="https://www.zillow.com/homedetails/1017-Pearl-St-UNIT-C-Santa-Monica-CA-90405/20480338_zpid/" TargetMode="External"/><Relationship Id="rId1566" Type="http://schemas.openxmlformats.org/officeDocument/2006/relationships/hyperlink" Target="https://drive.google.com/open?id=1RRPBCfjawiWT38mpmtKbnJ1SreZqfGeW" TargetMode="External"/><Relationship Id="rId1773" Type="http://schemas.openxmlformats.org/officeDocument/2006/relationships/hyperlink" Target="https://drive.google.com/open?id=1d5d7aBpKpTsua0JHgmsRmBNOJfzVuY-e" TargetMode="External"/><Relationship Id="rId1980" Type="http://schemas.openxmlformats.org/officeDocument/2006/relationships/hyperlink" Target="https://www.zillow.com/homedetails/11177-Valley-Spring-Pl-Studio-City-CA-91602/20025421_zpid/" TargetMode="External"/><Relationship Id="rId65" Type="http://schemas.openxmlformats.org/officeDocument/2006/relationships/hyperlink" Target="https://www.zillow.com/homedetails/17845-Calle-Barcelona-Rowland-Heights-CA-91748/21479818_zpid/?utm_campaign=iosappmessage&amp;utm_medium=referral&amp;utm_source=txtshare" TargetMode="External"/><Relationship Id="rId1426" Type="http://schemas.openxmlformats.org/officeDocument/2006/relationships/hyperlink" Target="https://www.zillow.com/homedetails/527-Seaward-Rd-Corona-Del-Mar-CA-92625/25498083_zpid/" TargetMode="External"/><Relationship Id="rId1633" Type="http://schemas.openxmlformats.org/officeDocument/2006/relationships/hyperlink" Target="https://www.zillow.com/homedetails/17-Northstar-St-105-Marina-Del-Rey-CA-90292/2058141802_zpid/" TargetMode="External"/><Relationship Id="rId1840" Type="http://schemas.openxmlformats.org/officeDocument/2006/relationships/hyperlink" Target="https://drive.google.com/open?id=1G79jxYF_3OPFQNPXXdd7y9sJ4kQvFXET" TargetMode="External"/><Relationship Id="rId1700" Type="http://schemas.openxmlformats.org/officeDocument/2006/relationships/hyperlink" Target="https://www.zillow.com/homedetails/13-Glorieta-W-Irvine-CA-92620/25517522_zpid/" TargetMode="External"/><Relationship Id="rId379" Type="http://schemas.openxmlformats.org/officeDocument/2006/relationships/hyperlink" Target="https://www.zillow.com/homedetails/2070-Layton-St-Pasadena-CA-91104/20921040_zpid/" TargetMode="External"/><Relationship Id="rId586" Type="http://schemas.openxmlformats.org/officeDocument/2006/relationships/hyperlink" Target="https://www.zillow.com/homedetails/1211-Goodman-Ave-Redondo-Beach-CA-90278/20411015_zpid/?utm_campaign=iosappmessage&amp;utm_medium=referral&amp;utm_source=txtshare" TargetMode="External"/><Relationship Id="rId793" Type="http://schemas.openxmlformats.org/officeDocument/2006/relationships/hyperlink" Target="https://drive.google.com/open?id=1v6u4hcxZhdxT8reDa0oyqCAk47mpb9EP" TargetMode="External"/><Relationship Id="rId2267" Type="http://schemas.openxmlformats.org/officeDocument/2006/relationships/hyperlink" Target="https://www.zillow.com/homedetails/245-S-Allen-Ave-Pasadena-CA-91106/250338832_zpid/" TargetMode="External"/><Relationship Id="rId239" Type="http://schemas.openxmlformats.org/officeDocument/2006/relationships/hyperlink" Target="https://www.zillow.com/homedetails/1741-Stearns-Dr-Los-Angeles-CA-90035/20598494_zpid/" TargetMode="External"/><Relationship Id="rId446" Type="http://schemas.openxmlformats.org/officeDocument/2006/relationships/hyperlink" Target="https://drive.google.com/open?id=1A1_FC6R8Z1jrwzceiz61RHH5vzuEk5N5" TargetMode="External"/><Relationship Id="rId653" Type="http://schemas.openxmlformats.org/officeDocument/2006/relationships/hyperlink" Target="https://www.zillow.com/homedetails/20850-Kingsbury-St-Chatsworth-CA-91311/134988770_zpid/" TargetMode="External"/><Relationship Id="rId1076" Type="http://schemas.openxmlformats.org/officeDocument/2006/relationships/hyperlink" Target="https://www.zillow.com/homedetails/4968-Reforma-Rd-Woodland-Hills-CA-91364/19899784_zpid/" TargetMode="External"/><Relationship Id="rId1283" Type="http://schemas.openxmlformats.org/officeDocument/2006/relationships/hyperlink" Target="https://drive.google.com/open?id=1fsHQTEsaDKfKuECpN9RqtVV9Rc5eARjj" TargetMode="External"/><Relationship Id="rId1490" Type="http://schemas.openxmlformats.org/officeDocument/2006/relationships/hyperlink" Target="https://www.zillow.com/homedetails/3406-Larissa-Dr-Los-Angeles-CA-90026/2104279829_zpid/" TargetMode="External"/><Relationship Id="rId2127" Type="http://schemas.openxmlformats.org/officeDocument/2006/relationships/hyperlink" Target="https://drive.google.com/open?id=1jJIO4sap71UDmL-43UjBnjzoCWCbYH4k" TargetMode="External"/><Relationship Id="rId2334" Type="http://schemas.openxmlformats.org/officeDocument/2006/relationships/hyperlink" Target="https://drive.google.com/open?id=1-qg6xWy5GGRWduc3H2M4JIguryxNz4ys" TargetMode="External"/><Relationship Id="rId306" Type="http://schemas.openxmlformats.org/officeDocument/2006/relationships/hyperlink" Target="https://drive.google.com/open?id=1TZylGqslTVsNsSkNnM9Mp7SFtJAUebkq" TargetMode="External"/><Relationship Id="rId860" Type="http://schemas.openxmlformats.org/officeDocument/2006/relationships/hyperlink" Target="https://www.themls.com/Share/YWFmaWFkZmZp" TargetMode="External"/><Relationship Id="rId1143" Type="http://schemas.openxmlformats.org/officeDocument/2006/relationships/hyperlink" Target="https://www.zillow.com/homedetails/4504-Cedros-Ave-Sherman-Oaks-CA-91403/19983993_zpid/" TargetMode="External"/><Relationship Id="rId513" Type="http://schemas.openxmlformats.org/officeDocument/2006/relationships/hyperlink" Target="https://www.zillow.com/homedetails/1807-San-Ysidro-Dr-Beverly-Hills-CA-90210/20523504_zpid/" TargetMode="External"/><Relationship Id="rId720" Type="http://schemas.openxmlformats.org/officeDocument/2006/relationships/hyperlink" Target="https://www.zillow.com/homedetails/900-S-Orange-Grove-Blvd-APT-C-Pasadena-CA-91105/20860599_zpid/?utm_campaign=iosappmessage&amp;utm_medium=referral&amp;utm_source=txtshare" TargetMode="External"/><Relationship Id="rId1350" Type="http://schemas.openxmlformats.org/officeDocument/2006/relationships/hyperlink" Target="https://www.zillow.com/homedetails/600-N-Soto-St-APT-101-Los-Angeles-CA-90033/2095350496_zpid/?utm_campaign=iosappmessage&amp;utm_medium=referral&amp;utm_source=txtshare" TargetMode="External"/><Relationship Id="rId1003" Type="http://schemas.openxmlformats.org/officeDocument/2006/relationships/hyperlink" Target="https://www.zillow.com/homedetails/1568-Stoddard-Ave-Thousand-Oaks-CA-91360/16425862_zpid/?utm_campaign=iosappmessage&amp;utm_medium=referral&amp;utm_source=txtshare" TargetMode="External"/><Relationship Id="rId1210" Type="http://schemas.openxmlformats.org/officeDocument/2006/relationships/hyperlink" Target="https://www.zillow.com/homedetails/1812-Navy-St-Santa-Monica-CA-90405/20472397_zpid/" TargetMode="External"/><Relationship Id="rId2191" Type="http://schemas.openxmlformats.org/officeDocument/2006/relationships/hyperlink" Target="https://drive.google.com/open?id=1iuv43QqQUHCy5joFrVfdrr9UHT7A11vG" TargetMode="External"/><Relationship Id="rId163" Type="http://schemas.openxmlformats.org/officeDocument/2006/relationships/hyperlink" Target="https://drive.google.com/open?id=1bZ-470yBHTZ72KOic54bEz_XSQvlGOLK" TargetMode="External"/><Relationship Id="rId370" Type="http://schemas.openxmlformats.org/officeDocument/2006/relationships/hyperlink" Target="https://www.zillow.com/homedetails/870-Hilgard-Ave-315-Los-Angeles-CA-90024/2079769957_zpid/" TargetMode="External"/><Relationship Id="rId2051" Type="http://schemas.openxmlformats.org/officeDocument/2006/relationships/hyperlink" Target="https://drive.google.com/open?id=1qwhffyYIsJ1d_AtxxwvLfbrCA8_xJvSt" TargetMode="External"/><Relationship Id="rId230" Type="http://schemas.openxmlformats.org/officeDocument/2006/relationships/hyperlink" Target="https://www.zillow.com/homedetails/317-Westbourne-Dr-West-Hollywood-CA-90048/20517150_zpid/" TargetMode="External"/><Relationship Id="rId1677" Type="http://schemas.openxmlformats.org/officeDocument/2006/relationships/hyperlink" Target="https://drive.google.com/open?id=1UQFAVO88yuX-kti1U8S_qiokYwOXDSa5" TargetMode="External"/><Relationship Id="rId1884" Type="http://schemas.openxmlformats.org/officeDocument/2006/relationships/hyperlink" Target="https://www.zillow.com/homedetails/449-29th-St-Hermosa-Beach-CA-90254/20423433_zpid/" TargetMode="External"/><Relationship Id="rId907" Type="http://schemas.openxmlformats.org/officeDocument/2006/relationships/hyperlink" Target="https://drive.google.com/open?id=1zJVbMvCnCjeFQWMzDS-qSUUZHv6l4A6s" TargetMode="External"/><Relationship Id="rId1537" Type="http://schemas.openxmlformats.org/officeDocument/2006/relationships/hyperlink" Target="https://www.zillow.com/homedetails/18804-Nordhoff-St-Northridge-CA-91324/20178103_zpid/" TargetMode="External"/><Relationship Id="rId1744" Type="http://schemas.openxmlformats.org/officeDocument/2006/relationships/hyperlink" Target="https://www.zillow.com/homedetails/2112-E-4th-St-2112-Los-Angeles-CA-90033/443812015_zpid/" TargetMode="External"/><Relationship Id="rId1951" Type="http://schemas.openxmlformats.org/officeDocument/2006/relationships/hyperlink" Target="https://www.redfin.com/CA/West-Hollywood/1255-Hilldale-Ave-90069/home/7121595" TargetMode="External"/><Relationship Id="rId36" Type="http://schemas.openxmlformats.org/officeDocument/2006/relationships/hyperlink" Target="https://www.zillow.com/homedetails/1914-Laurel-Canyon-Blvd-Los-Angeles-CA-90046/20802462_zpid/" TargetMode="External"/><Relationship Id="rId1604" Type="http://schemas.openxmlformats.org/officeDocument/2006/relationships/hyperlink" Target="https://drive.google.com/open?id=12q5BaF0ouf7Zd_N_X1LWJoH0r38Adm4p" TargetMode="External"/><Relationship Id="rId1811" Type="http://schemas.openxmlformats.org/officeDocument/2006/relationships/hyperlink" Target="https://drive.google.com/open?id=1lzj_Vfj38C50gch2DKVxrFLox5CHxruG" TargetMode="External"/><Relationship Id="rId697" Type="http://schemas.openxmlformats.org/officeDocument/2006/relationships/hyperlink" Target="https://drive.google.com/open?id=1cB_tNkSk17E4fbHKaJt-rKdcZIm5RLnM" TargetMode="External"/><Relationship Id="rId2378" Type="http://schemas.openxmlformats.org/officeDocument/2006/relationships/hyperlink" Target="https://drive.google.com/open?id=1hTj3VhUJXstMJXq0uXzt9jtjKGkoWLP8" TargetMode="External"/><Relationship Id="rId1187" Type="http://schemas.openxmlformats.org/officeDocument/2006/relationships/hyperlink" Target="https://www.zillow.com/homedetails/2346-Selby-Ave-Los-Angeles-CA-90064/20500634_zpid/" TargetMode="External"/><Relationship Id="rId557" Type="http://schemas.openxmlformats.org/officeDocument/2006/relationships/hyperlink" Target="https://www.zillow.com/homedetails/1533-Marlay-Dr-West-Hollywood-CA-90069/20798034_zpid/" TargetMode="External"/><Relationship Id="rId764" Type="http://schemas.openxmlformats.org/officeDocument/2006/relationships/hyperlink" Target="https://drive.google.com/open?id=1LdFH1VeuzmSbUFzP0UlZWDcsS1Q1rBSg" TargetMode="External"/><Relationship Id="rId971" Type="http://schemas.openxmlformats.org/officeDocument/2006/relationships/hyperlink" Target="https://www.zillow.com/homedetails/220-Avenue-A-Redondo-Beach-CA-90277/21322400_zpid/" TargetMode="External"/><Relationship Id="rId1394" Type="http://schemas.openxmlformats.org/officeDocument/2006/relationships/hyperlink" Target="https://www.zillow.com/homedetails/120-Galleon-St-Los-Angeles-CA-90292/50894475_zpid/" TargetMode="External"/><Relationship Id="rId2238" Type="http://schemas.openxmlformats.org/officeDocument/2006/relationships/hyperlink" Target="https://drive.google.com/open?id=1NaSPvO4e_haleuOjlN_T_yObxVQdnLTw" TargetMode="External"/><Relationship Id="rId417" Type="http://schemas.openxmlformats.org/officeDocument/2006/relationships/hyperlink" Target="https://drive.google.com/open?id=1-PyMDtUe4hRGJT2g366p6gb1-Py7Pc1u" TargetMode="External"/><Relationship Id="rId624" Type="http://schemas.openxmlformats.org/officeDocument/2006/relationships/hyperlink" Target="https://www.zillow.com/homedetails/748-N-Detroit-St-Los-Angeles-CA-90046/20784322_zpid/?utm_campaign=iosappmessage&amp;utm_medium=referral&amp;utm_source=txtshare" TargetMode="External"/><Relationship Id="rId831" Type="http://schemas.openxmlformats.org/officeDocument/2006/relationships/hyperlink" Target="https://www.zillow.com/homedetails/3215-Ocean-Front-Walk-101-Marina-Del-Rey-CA-90292/51582315_zpid/" TargetMode="External"/><Relationship Id="rId1047" Type="http://schemas.openxmlformats.org/officeDocument/2006/relationships/hyperlink" Target="https://drive.google.com/open?id=1GVb4Eayir_LD-UOa61BcazUzmEnQZiiS" TargetMode="External"/><Relationship Id="rId1254" Type="http://schemas.openxmlformats.org/officeDocument/2006/relationships/hyperlink" Target="https://www.trulia.com/home/2463-treelane-ave-monrovia-ca-91016-21580804" TargetMode="External"/><Relationship Id="rId1461" Type="http://schemas.openxmlformats.org/officeDocument/2006/relationships/hyperlink" Target="https://drive.google.com/open?id=1PSZZLoE9JwLEiYeRhQAU2MWt4o0u3qJK" TargetMode="External"/><Relationship Id="rId2305" Type="http://schemas.openxmlformats.org/officeDocument/2006/relationships/hyperlink" Target="https://drive.google.com/open?id=1kVTPjggWg7Tnb2RjK1hg1Nr8NkO9iiDq" TargetMode="External"/><Relationship Id="rId1114" Type="http://schemas.openxmlformats.org/officeDocument/2006/relationships/hyperlink" Target="https://drive.google.com/open?id=1GAUvWhRRxViPYjyYU_kURE9uC5u-eWie" TargetMode="External"/><Relationship Id="rId1321" Type="http://schemas.openxmlformats.org/officeDocument/2006/relationships/hyperlink" Target="https://www.zillow.com/homedetails/9562-Center-Dr-Villa-Park-CA-92861/25420466_zpid/" TargetMode="External"/><Relationship Id="rId2095" Type="http://schemas.openxmlformats.org/officeDocument/2006/relationships/hyperlink" Target="https://www.trulia.com/home/address-not-disclosed-los-angeles-ca-90026-2081258869?cid=shr%7Capp_ios_main_phone%7Crent%7Cpdp_share" TargetMode="External"/><Relationship Id="rId274" Type="http://schemas.openxmlformats.org/officeDocument/2006/relationships/hyperlink" Target="https://www.zillow.com/homedetails/9509-Cresta-Dr-Los-Angeles-CA-90035/20493657_zpid/" TargetMode="External"/><Relationship Id="rId481" Type="http://schemas.openxmlformats.org/officeDocument/2006/relationships/hyperlink" Target="https://www.zillow.com/homedetails/13318-Mulholland-Dr-Beverly-Hills-CA-90210/20533184_zpid/" TargetMode="External"/><Relationship Id="rId2162" Type="http://schemas.openxmlformats.org/officeDocument/2006/relationships/hyperlink" Target="https://www.zillow.com/homedetails/Los-Angeles-CA-90039/20812529_zpid/?utm_campaign=iosappmessage&amp;utm_medium=referral&amp;utm_source=txtshare" TargetMode="External"/><Relationship Id="rId134" Type="http://schemas.openxmlformats.org/officeDocument/2006/relationships/hyperlink" Target="https://www.zillow.com/homedetails/1390-Rose-Ave-Venice-CA-90291/20453901_zpid/" TargetMode="External"/><Relationship Id="rId341" Type="http://schemas.openxmlformats.org/officeDocument/2006/relationships/hyperlink" Target="https://drive.google.com/open?id=1_wwFu5NROqgMuL41drhiEyyKx5irwwhi" TargetMode="External"/><Relationship Id="rId2022" Type="http://schemas.openxmlformats.org/officeDocument/2006/relationships/hyperlink" Target="https://www.zillow.com/homedetails/120-12-Galleon-St-Los-Angeles-CA-90292/50894476_zpid/?utm_campaign=iosappmessage&amp;utm_medium=referral&amp;utm_source=txtshare" TargetMode="External"/><Relationship Id="rId201" Type="http://schemas.openxmlformats.org/officeDocument/2006/relationships/hyperlink" Target="https://www.zillow.com/homedetails/8185-Mannix-Dr-Los-Angeles-CA-90046/82881919_zpid/" TargetMode="External"/><Relationship Id="rId1788" Type="http://schemas.openxmlformats.org/officeDocument/2006/relationships/hyperlink" Target="https://drive.google.com/open?id=1WUxbRI2Z78OvAqE9GeLZHvALdlXES_Ru" TargetMode="External"/><Relationship Id="rId1995" Type="http://schemas.openxmlformats.org/officeDocument/2006/relationships/hyperlink" Target="https://www.zillow.com/homedetails/10780-Andora-Ave-Chatsworth-CA-91311/2068802822_zpid/" TargetMode="External"/><Relationship Id="rId1648" Type="http://schemas.openxmlformats.org/officeDocument/2006/relationships/hyperlink" Target="https://drive.google.com/open?id=1mYHBjyyeMhkIXnoFTs_7cr_BNrjfLcqN" TargetMode="External"/><Relationship Id="rId1508" Type="http://schemas.openxmlformats.org/officeDocument/2006/relationships/hyperlink" Target="https://www.zillow.com/homedetails/14649-Addison-St-Sherman-Oaks-CA-91403/19982606_zpid/" TargetMode="External"/><Relationship Id="rId1855" Type="http://schemas.openxmlformats.org/officeDocument/2006/relationships/hyperlink" Target="https://www.zillow.com/homedetails/6241-W-6th-St-Los-Angeles-CA-90048/20776463_zpid/?utm_campaign=iosappmessage&amp;utm_medium=referral&amp;utm_source=txtshare" TargetMode="External"/><Relationship Id="rId1715" Type="http://schemas.openxmlformats.org/officeDocument/2006/relationships/hyperlink" Target="https://drive.google.com/open?id=1kwgTDqJKp8BhwcA8StY3vLhaVAeyddBO" TargetMode="External"/><Relationship Id="rId1922" Type="http://schemas.openxmlformats.org/officeDocument/2006/relationships/hyperlink" Target="https://www.zillow.com/homedetails/759-S-Beverly-Glen-Blvd-Los-Angeles-CA-90024/20526213_zpid/" TargetMode="External"/><Relationship Id="rId668" Type="http://schemas.openxmlformats.org/officeDocument/2006/relationships/hyperlink" Target="https://drive.google.com/open?id=1_KkCraSFoj1ksSCpKLxzV1ICRmhXnwoC" TargetMode="External"/><Relationship Id="rId875" Type="http://schemas.openxmlformats.org/officeDocument/2006/relationships/hyperlink" Target="https://www.zillow.com/homedetails/Woodland-Hills-CA-91367/19878327_zpid/" TargetMode="External"/><Relationship Id="rId1298" Type="http://schemas.openxmlformats.org/officeDocument/2006/relationships/hyperlink" Target="https://www.zillow.com/homedetails/406-W-Sierra-Dr-Santa-Ana-CA-92707/25456759_zpid/" TargetMode="External"/><Relationship Id="rId2349" Type="http://schemas.openxmlformats.org/officeDocument/2006/relationships/hyperlink" Target="https://drive.google.com/open?id=1qwWqmoUrhSr6BXdZtD7qEGkMglmR9mF0" TargetMode="External"/><Relationship Id="rId528" Type="http://schemas.openxmlformats.org/officeDocument/2006/relationships/hyperlink" Target="https://www.zillow.com/homedetails/2369-Jupiter-Dr-Los-Angeles-CA-90046/20801934_zpid/" TargetMode="External"/><Relationship Id="rId735" Type="http://schemas.openxmlformats.org/officeDocument/2006/relationships/hyperlink" Target="https://drive.google.com/open?id=1LpQWHFBVxG1wIoWUQ8p3xqIb5criphEn" TargetMode="External"/><Relationship Id="rId942" Type="http://schemas.openxmlformats.org/officeDocument/2006/relationships/hyperlink" Target="https://drive.google.com/open?id=1qF7J94X0s9hNLYF1yJxogCGdypC-o_oq" TargetMode="External"/><Relationship Id="rId1158" Type="http://schemas.openxmlformats.org/officeDocument/2006/relationships/hyperlink" Target="https://drive.google.com/open?id=1686Lfrn3iToWKCiR80GwCrRTByY9W-VX" TargetMode="External"/><Relationship Id="rId1365" Type="http://schemas.openxmlformats.org/officeDocument/2006/relationships/hyperlink" Target="https://www.zillow.com/homedetails/7826-Fallbrook-Ave-7826-Canoga-Park-CA-91304/2057607656_zpid/" TargetMode="External"/><Relationship Id="rId1572" Type="http://schemas.openxmlformats.org/officeDocument/2006/relationships/hyperlink" Target="https://www.trulia.com/home/705-w-hollyvale-st-azusa-ca-91702-21629171" TargetMode="External"/><Relationship Id="rId2209" Type="http://schemas.openxmlformats.org/officeDocument/2006/relationships/hyperlink" Target="https://drive.google.com/open?id=1OEP5Ftb_oOApxHh8nhQPZNlkXoi3M07l" TargetMode="External"/><Relationship Id="rId1018" Type="http://schemas.openxmlformats.org/officeDocument/2006/relationships/hyperlink" Target="https://www.zillow.com/homedetails/1707-Brockton-Ave-APT-12-Los-Angeles-CA-90025/2056214972_zpid/" TargetMode="External"/><Relationship Id="rId1225" Type="http://schemas.openxmlformats.org/officeDocument/2006/relationships/hyperlink" Target="https://www.zillow.com/homedetails/9243-Cordell-Dr-Los-Angeles-CA-90069/20534852_zpid/" TargetMode="External"/><Relationship Id="rId1432" Type="http://schemas.openxmlformats.org/officeDocument/2006/relationships/hyperlink" Target="https://www.zillow.com/homedetails/715-N-Rexford-Dr-Beverly-Hills-CA-90210/20520993_zpid/?utm_campaign=iosappmessage&amp;utm_medium=referral&amp;utm_source=txtshare" TargetMode="External"/><Relationship Id="rId71" Type="http://schemas.openxmlformats.org/officeDocument/2006/relationships/hyperlink" Target="https://www.zillow.com/homedetails/1026-E-Verdugo-Ave-Burbank-CA-91501/20054588_zpid/" TargetMode="External"/><Relationship Id="rId802" Type="http://schemas.openxmlformats.org/officeDocument/2006/relationships/hyperlink" Target="https://www.zillow.com/homedetails/3365-Tyburn-St-Los-Angeles-CA-90039/20750852_zpid/" TargetMode="External"/><Relationship Id="rId178" Type="http://schemas.openxmlformats.org/officeDocument/2006/relationships/hyperlink" Target="https://www.zillow.com/homedetails/6230-Lindenhurst-Ave-6230-Los-Angeles-CA-90048/2053399272_zpid/" TargetMode="External"/><Relationship Id="rId385" Type="http://schemas.openxmlformats.org/officeDocument/2006/relationships/hyperlink" Target="https://www.zillow.com/homedetails/446-S-Almont-Dr-Beverly-Hills-CA-90211/20513005_zpid/?utm_campaign=iosappmessage&amp;utm_medium=referral&amp;utm_source=txtshare" TargetMode="External"/><Relationship Id="rId592" Type="http://schemas.openxmlformats.org/officeDocument/2006/relationships/hyperlink" Target="https://www.zillow.com/homedetails/2666-Hutton-Dr-Beverly-Hills-CA-90210/20532893_zpid/" TargetMode="External"/><Relationship Id="rId2066" Type="http://schemas.openxmlformats.org/officeDocument/2006/relationships/hyperlink" Target="https://www.zillow.com/homedetails/4707-Libbit-Ave-Encino-CA-91436/19991540_zpid/" TargetMode="External"/><Relationship Id="rId2273" Type="http://schemas.openxmlformats.org/officeDocument/2006/relationships/hyperlink" Target="https://guests.themls.com/Listings.aspx" TargetMode="External"/><Relationship Id="rId245" Type="http://schemas.openxmlformats.org/officeDocument/2006/relationships/hyperlink" Target="https://www.zillow.com/homedetails/1533-Marlay-Dr-West-Hollywood-CA-90069/20798034_zpid/" TargetMode="External"/><Relationship Id="rId452" Type="http://schemas.openxmlformats.org/officeDocument/2006/relationships/hyperlink" Target="https://drive.google.com/open?id=1EiMJBpIvxirsExEChounTX8nZzKcL8Gy" TargetMode="External"/><Relationship Id="rId1082" Type="http://schemas.openxmlformats.org/officeDocument/2006/relationships/hyperlink" Target="https://www.zillow.com/homedetails/2181-Hillsbury-Rd-Westlake-Village-CA-91361/16492776_zpid/" TargetMode="External"/><Relationship Id="rId2133" Type="http://schemas.openxmlformats.org/officeDocument/2006/relationships/hyperlink" Target="https://www.zillow.com/homedetails/11957-Darlington-Ave-Los-Angeles-CA-90049/2071774414_zpid/?utm_campaign=iosappmessage&amp;utm_medium=referral&amp;utm_source=txtshare" TargetMode="External"/><Relationship Id="rId2340" Type="http://schemas.openxmlformats.org/officeDocument/2006/relationships/hyperlink" Target="https://drive.google.com/open?id=1K5Nv78EEQxHT97fBcqQvYuGDvmhb24Qv" TargetMode="External"/><Relationship Id="rId105" Type="http://schemas.openxmlformats.org/officeDocument/2006/relationships/hyperlink" Target="https://drive.google.com/open?id=1thNNYDPWGjbNzlPLsdv3hy90Qbh3861v" TargetMode="External"/><Relationship Id="rId312" Type="http://schemas.openxmlformats.org/officeDocument/2006/relationships/hyperlink" Target="https://drive.google.com/open?id=1xuerSwngFGX_-pO2OY9yuXAT9OjclwEh" TargetMode="External"/><Relationship Id="rId2200" Type="http://schemas.openxmlformats.org/officeDocument/2006/relationships/hyperlink" Target="https://drive.google.com/open?id=10_7aqsaYFls4A3Y-Ty9clJ03cVHUkgr8" TargetMode="External"/><Relationship Id="rId1899" Type="http://schemas.openxmlformats.org/officeDocument/2006/relationships/hyperlink" Target="https://www.zillow.com/homedetails/625-S-Burnside-Ave-625-5-Los-Angeles-CA-90036/2077200389_zpid/" TargetMode="External"/><Relationship Id="rId1759" Type="http://schemas.openxmlformats.org/officeDocument/2006/relationships/hyperlink" Target="https://www.zillow.com/homedetails/1355-N-Gardner-St-APT-203-Los-Angeles-CA-90046/2110245015_zpid/" TargetMode="External"/><Relationship Id="rId1966" Type="http://schemas.openxmlformats.org/officeDocument/2006/relationships/hyperlink" Target="https://drive.google.com/open?id=1UX8zjvID7gba4coXqrctwXPBzNfZ4D2n" TargetMode="External"/><Relationship Id="rId1619" Type="http://schemas.openxmlformats.org/officeDocument/2006/relationships/hyperlink" Target="https://www.zillow.com/homedetails/1366-Palisades-Beach-Rd-Santa-Monica-CA-90401/20484769_zpid/" TargetMode="External"/><Relationship Id="rId1826" Type="http://schemas.openxmlformats.org/officeDocument/2006/relationships/hyperlink" Target="https://drive.google.com/open?id=1KVX094PPRAmC_HXJq2E2gsQhMTeCUYQh" TargetMode="External"/><Relationship Id="rId779" Type="http://schemas.openxmlformats.org/officeDocument/2006/relationships/hyperlink" Target="https://www.zillow.com/homedetails/4643-1-2-Pickford-St-Los-Angeles-CA-90019/2096718267_zpid/" TargetMode="External"/><Relationship Id="rId986" Type="http://schemas.openxmlformats.org/officeDocument/2006/relationships/hyperlink" Target="https://www.zillow.com/homedetails/380-Trousdale-Pl-Beverly-Hills-CA-90210/20534471_zpid/" TargetMode="External"/><Relationship Id="rId639" Type="http://schemas.openxmlformats.org/officeDocument/2006/relationships/hyperlink" Target="https://drive.google.com/open?id=16JzbveeTHJy6W5UTcnWUHsH-IZw8mE7R" TargetMode="External"/><Relationship Id="rId1269" Type="http://schemas.openxmlformats.org/officeDocument/2006/relationships/hyperlink" Target="https://www.zillow.com/homedetails/Woodland-Hills-CA-91364/136709794_zpid/" TargetMode="External"/><Relationship Id="rId1476" Type="http://schemas.openxmlformats.org/officeDocument/2006/relationships/hyperlink" Target="https://www.zillow.com/homedetails/2243-Century-Hl-Los-Angeles-CA-90067/20510481_zpid/" TargetMode="External"/><Relationship Id="rId846" Type="http://schemas.openxmlformats.org/officeDocument/2006/relationships/hyperlink" Target="https://drive.google.com/open?id=1mtOIovnQcc2__4BoJWkF76gXQY7idyIT" TargetMode="External"/><Relationship Id="rId1129" Type="http://schemas.openxmlformats.org/officeDocument/2006/relationships/hyperlink" Target="https://www.zillow.com/homedetails/1070-S-Bedford-St-405A-Los-Angeles-CA-90035/443493164_zpid/?utm_campaign=iosappmessage&amp;utm_medium=referral&amp;utm_source=txtshare" TargetMode="External"/><Relationship Id="rId1683" Type="http://schemas.openxmlformats.org/officeDocument/2006/relationships/hyperlink" Target="https://www.zillow.com/homedetails/5252-Darro-Rd-Woodland-Hills-CA-91364/19942547_zpid/" TargetMode="External"/><Relationship Id="rId1890" Type="http://schemas.openxmlformats.org/officeDocument/2006/relationships/hyperlink" Target="https://www.zillow.com/homedetails/2027-1-2-N-Vermont-Ave-Los-Angeles-CA-90027/2085028200_zpid/" TargetMode="External"/><Relationship Id="rId706" Type="http://schemas.openxmlformats.org/officeDocument/2006/relationships/hyperlink" Target="https://www.zillow.com/homedetails/472-36th-St-Manhattan-Beach-CA-90266/20420178_zpid/" TargetMode="External"/><Relationship Id="rId913" Type="http://schemas.openxmlformats.org/officeDocument/2006/relationships/hyperlink" Target="https://drive.google.com/open?id=1qQzgWuWAIsmaRGaH_1Qh1MqRkXZ9k70X" TargetMode="External"/><Relationship Id="rId1336" Type="http://schemas.openxmlformats.org/officeDocument/2006/relationships/hyperlink" Target="https://drive.google.com/open?id=13Ac9zvjmXO_faQ5iR3q-NH91X-XSIEaP" TargetMode="External"/><Relationship Id="rId1543" Type="http://schemas.openxmlformats.org/officeDocument/2006/relationships/hyperlink" Target="https://www.zillow.com/homedetails/22028-Covello-St-Canoga-Park-CA-91303/19867043_zpid/" TargetMode="External"/><Relationship Id="rId1750" Type="http://schemas.openxmlformats.org/officeDocument/2006/relationships/hyperlink" Target="https://www.zillow.com/homedetails/1141-Summit-Dr-Beverly-Hills-CA-90210/135433958_zpid/" TargetMode="External"/><Relationship Id="rId42" Type="http://schemas.openxmlformats.org/officeDocument/2006/relationships/hyperlink" Target="https://www.zillow.com/homedetails/1610-S-Hayworth-Ave-Los-Angeles-CA-90035/20599960_zpid/" TargetMode="External"/><Relationship Id="rId1403" Type="http://schemas.openxmlformats.org/officeDocument/2006/relationships/hyperlink" Target="https://www.redfin.com/CA/South-El-Monte/49-Aria-St-91733/home/182335149" TargetMode="External"/><Relationship Id="rId1610" Type="http://schemas.openxmlformats.org/officeDocument/2006/relationships/hyperlink" Target="https://livemwlofts.com/floorplans/" TargetMode="External"/><Relationship Id="rId289" Type="http://schemas.openxmlformats.org/officeDocument/2006/relationships/hyperlink" Target="https://www.zillow.com/homedetails/8725-W-Lookout-Mountain-Ave-Los-Angeles-CA-90046/95669015_zpid/" TargetMode="External"/><Relationship Id="rId496" Type="http://schemas.openxmlformats.org/officeDocument/2006/relationships/hyperlink" Target="https://www.zillow.com/homedetails/22527-Cass-Ave-1-Woodland-Hills-CA-91364/443629345_zpid/" TargetMode="External"/><Relationship Id="rId2177" Type="http://schemas.openxmlformats.org/officeDocument/2006/relationships/hyperlink" Target="https://www.redfin.com/CA/Sherman-Oaks/3833-Beverly-Ridge-Dr-91423/home/4867740" TargetMode="External"/><Relationship Id="rId2384" Type="http://schemas.openxmlformats.org/officeDocument/2006/relationships/hyperlink" Target="https://www.zillow.com/homedetails/1072-Laguna-Ave-APT-9-Los-Angeles-CA-90026/2073592799_zpid/" TargetMode="External"/><Relationship Id="rId149" Type="http://schemas.openxmlformats.org/officeDocument/2006/relationships/hyperlink" Target="https://drive.google.com/open?id=1Fh3sj9aWBnq7GSLxHwrY3Uz047N6JO6f" TargetMode="External"/><Relationship Id="rId356" Type="http://schemas.openxmlformats.org/officeDocument/2006/relationships/hyperlink" Target="https://www.zillow.com/homedetails/23716-Archwood-St-West-Hills-CA-91307/340040879_zpid/" TargetMode="External"/><Relationship Id="rId563" Type="http://schemas.openxmlformats.org/officeDocument/2006/relationships/hyperlink" Target="https://drive.google.com/open?id=1o298dz6zoghusGjUOzrAdxbcFtkJrOQX" TargetMode="External"/><Relationship Id="rId770" Type="http://schemas.openxmlformats.org/officeDocument/2006/relationships/hyperlink" Target="https://www.zillow.com/homedetails/3055-Landa-St-Los-Angeles-CA-90039/20747666_zpid/?rtoken=b1891952-e094-45d9-ae50-3cab14af4087~X1-ZU14jqana78s9vt_5gnlt&amp;utm_campaign=emo-instantsavedsearch-rental&amp;utm_source=email&amp;utm_term=urn:msg:20250113143102be2199294cc2065f&amp;utm_medium=email&amp;utm_content=forrentimage&amp;sse=X1-SSx1jqpcj6xc560000000000_3wguh&amp;srp=H4sIAAAAAAAAAI2UTXObMBCGfw3HxNKCBD50Ok3aQ4+NL51ePAsWAUcfWB+O8+/LWJjiNG7FSVqed3f1smjVGSXcqjV2a4X2q89OoG26H0HYt41HLz5l5UMGoHB4MEHv3LjO8i8x+Cqcj/s7Sqt7WFNO1hR4UTDKMngc3wm8RoAD4bSgFXBCI+JM8F1k8uKeMM5yXpSMVIyWkdDGLghK2FiA83WRl0B5Vn6NVNtLL+y56WWTbhQv90eU4QIADLY3tvdvrjH2HJ2z2Rsib8fVTLkab3AtSncFmiRQN0lYo5xOAjGkJWyn8/8XVMMSU/3UBgAhE4CnGKLAxthFV4vr4ZmV+TuZDlL+UaHvPpbBv2SqTXPRpJkoUe/S3O5SpgaHtKHBoUkbGndo/YcmUfbXV7nySWJIaXhA+3Kr5Qs4W4/DL2PUVL+YjA7OG/Uknnujv1+sBKgYr2vOWdX8pHePT8djccA87F9qW29p7qw814hHxKPYbc6X0zdtjZRqvK4WqcYEm82J7g9Ds+enhnEyP9v89Tl08ef+Dfk5Hs/wBAAA" TargetMode="External"/><Relationship Id="rId1193" Type="http://schemas.openxmlformats.org/officeDocument/2006/relationships/hyperlink" Target="https://www.zillow.com/homedetails/1524-N-Sierra-Bonita-Ave-Los-Angeles-CA-90046/20794339_zpid/" TargetMode="External"/><Relationship Id="rId2037" Type="http://schemas.openxmlformats.org/officeDocument/2006/relationships/hyperlink" Target="https://drive.google.com/open?id=1cjZ0eWa51yo7Syfq0GAAXVyRmVem_eQI" TargetMode="External"/><Relationship Id="rId2244" Type="http://schemas.openxmlformats.org/officeDocument/2006/relationships/hyperlink" Target="https://drive.google.com/open?id=1rpoVzu5-CqXzWJWkOYoh13LP3G49WVD0" TargetMode="External"/><Relationship Id="rId216" Type="http://schemas.openxmlformats.org/officeDocument/2006/relationships/hyperlink" Target="https://www.zillow.com/homedetails/610-N-Stanley-Ave-Los-Angeles-CA-90036/20785234_zpid/" TargetMode="External"/><Relationship Id="rId423" Type="http://schemas.openxmlformats.org/officeDocument/2006/relationships/hyperlink" Target="https://www.zillow.com/homedetails/1405-Elkgrove-Cir-FLOOR-2-ID71-Venice-CA-90291/439767588_zpid/" TargetMode="External"/><Relationship Id="rId1053" Type="http://schemas.openxmlformats.org/officeDocument/2006/relationships/hyperlink" Target="https://drive.google.com/open?id=1_ez8C291aYqmZcTMf_JGYE1prTN8De67" TargetMode="External"/><Relationship Id="rId1260" Type="http://schemas.openxmlformats.org/officeDocument/2006/relationships/hyperlink" Target="https://www.zillow.com/homedetails/6015-Saturn-St-Los-Angeles-CA-90035/346267631_zpid/" TargetMode="External"/><Relationship Id="rId2104" Type="http://schemas.openxmlformats.org/officeDocument/2006/relationships/hyperlink" Target="https://www.zillow.com/homedetails/11921-Manor-Dr-APT-E-Hawthorne-CA-90250/2105073160_zpid/" TargetMode="External"/><Relationship Id="rId630" Type="http://schemas.openxmlformats.org/officeDocument/2006/relationships/hyperlink" Target="https://www.zillow.com/homedetails/845-N-Formosa-Ave-Los-Angeles-CA-90046/2088165910_zpid/" TargetMode="External"/><Relationship Id="rId2311" Type="http://schemas.openxmlformats.org/officeDocument/2006/relationships/hyperlink" Target="https://www.zillow.com/homedetails/3946-S-Hill-St-1-Los-Angeles-CA-90037/2053041649_zpid/" TargetMode="External"/><Relationship Id="rId1120" Type="http://schemas.openxmlformats.org/officeDocument/2006/relationships/hyperlink" Target="https://drive.google.com/open?id=1bNjMj7D-qR5LABNsqRUbkAAfr46ZINFe" TargetMode="External"/><Relationship Id="rId1937" Type="http://schemas.openxmlformats.org/officeDocument/2006/relationships/hyperlink" Target="https://www.zillow.com/homedetails/2506-Sapra-St-Thousand-Oaks-CA-91362/16483365_zpid/" TargetMode="External"/><Relationship Id="rId280" Type="http://schemas.openxmlformats.org/officeDocument/2006/relationships/hyperlink" Target="https://www.zillow.com/homedetails/20-28th-Ave-PENTHOUSE-Venice-CA-90291/442583506_zpid/" TargetMode="External"/><Relationship Id="rId140" Type="http://schemas.openxmlformats.org/officeDocument/2006/relationships/hyperlink" Target="https://drive.google.com/open?id=1vtbMaumh9nMw5CcBflUIrZCw0rhjiKB7" TargetMode="External"/><Relationship Id="rId6" Type="http://schemas.openxmlformats.org/officeDocument/2006/relationships/hyperlink" Target="https://www.zillow.com/homedetails/3512-Crestmont-Ave-Los-Angeles-CA-90026/20746365_zpid/" TargetMode="External"/><Relationship Id="rId957" Type="http://schemas.openxmlformats.org/officeDocument/2006/relationships/hyperlink" Target="https://drive.google.com/open?id=1yzeDZzMJ5jrnVlKKivqSiJZTn03DEIx7" TargetMode="External"/><Relationship Id="rId1587" Type="http://schemas.openxmlformats.org/officeDocument/2006/relationships/hyperlink" Target="https://drive.google.com/open?id=1ICzn3NVxNIk2rSvieWnVtBlXjx6oHfW4" TargetMode="External"/><Relationship Id="rId1794" Type="http://schemas.openxmlformats.org/officeDocument/2006/relationships/hyperlink" Target="https://drive.google.com/open?id=1QvV47_xoVDH9lXkUnN9x_7yC6uvKHlGn" TargetMode="External"/><Relationship Id="rId86" Type="http://schemas.openxmlformats.org/officeDocument/2006/relationships/hyperlink" Target="https://drive.google.com/open?id=1pvzkBpdeIXh2kqSpYTEzhjJ8g1t0qowR" TargetMode="External"/><Relationship Id="rId817" Type="http://schemas.openxmlformats.org/officeDocument/2006/relationships/hyperlink" Target="https://drive.google.com/open?id=1ji22KuOkeVGFM8kyjMB6lu9wOL74EkKd" TargetMode="External"/><Relationship Id="rId1447" Type="http://schemas.openxmlformats.org/officeDocument/2006/relationships/hyperlink" Target="https://www.zillow.com/homedetails/2908-Foss-Ave-Arcadia-CA-91006/20898248_zpid/" TargetMode="External"/><Relationship Id="rId1654" Type="http://schemas.openxmlformats.org/officeDocument/2006/relationships/hyperlink" Target="https://www.zillow.com/homedetails/813-N-Doheny-Dr-Beverly-Hills-CA-90210/20520038_zpid/" TargetMode="External"/><Relationship Id="rId1861" Type="http://schemas.openxmlformats.org/officeDocument/2006/relationships/hyperlink" Target="https://www.zillow.com/homedetails/2243-Century-Hl-Los-Angeles-CA-90067/20510481_zpid/" TargetMode="External"/><Relationship Id="rId1307" Type="http://schemas.openxmlformats.org/officeDocument/2006/relationships/hyperlink" Target="https://www.zillow.com/homedetails/10364-Eastborne-Ave-Los-Angeles-CA-90024/20507858_zpid/" TargetMode="External"/><Relationship Id="rId1514" Type="http://schemas.openxmlformats.org/officeDocument/2006/relationships/hyperlink" Target="https://drive.google.com/open?id=1Ew1ZJjusm-2jw__tzsTfbuhEPOz4mOGQ" TargetMode="External"/><Relationship Id="rId1721" Type="http://schemas.openxmlformats.org/officeDocument/2006/relationships/hyperlink" Target="https://drive.google.com/open?id=19_CQuJdsrrEq80XIUr7yRk_I4tWE571V" TargetMode="External"/><Relationship Id="rId13" Type="http://schemas.openxmlformats.org/officeDocument/2006/relationships/hyperlink" Target="https://drive.google.com/open?id=1zziP6iwuq3qVslEmht_f7YUJnREGjhjx" TargetMode="External"/><Relationship Id="rId2288" Type="http://schemas.openxmlformats.org/officeDocument/2006/relationships/hyperlink" Target="https://www.zillow.com/homedetails/5120-S-Garth-Ave-Los-Angeles-CA-90056/20429241_zpid/" TargetMode="External"/><Relationship Id="rId467" Type="http://schemas.openxmlformats.org/officeDocument/2006/relationships/hyperlink" Target="https://www.zillow.com/homedetails/1444-Beverwil-Dr-Los-Angeles-CA-90035/20492978_zpid/" TargetMode="External"/><Relationship Id="rId1097" Type="http://schemas.openxmlformats.org/officeDocument/2006/relationships/hyperlink" Target="https://www.redfin.com/CA/Beverly-Hills/240-El-Camino-Dr-90212/home/6808296" TargetMode="External"/><Relationship Id="rId2148" Type="http://schemas.openxmlformats.org/officeDocument/2006/relationships/hyperlink" Target="https://www.zillow.com/homedetails/3005-Haven-Way-Burbank-CA-91504/20060244_zpid/" TargetMode="External"/><Relationship Id="rId674" Type="http://schemas.openxmlformats.org/officeDocument/2006/relationships/hyperlink" Target="https://www.zillow.com/homedetails/317-N-Flores-St-Los-Angeles-CA-90048/20779077_zpid/" TargetMode="External"/><Relationship Id="rId881" Type="http://schemas.openxmlformats.org/officeDocument/2006/relationships/hyperlink" Target="https://nicholeshanfeld.com/properties/1030-somera-road-los-angeles-ca-90077-23-335971" TargetMode="External"/><Relationship Id="rId2355" Type="http://schemas.openxmlformats.org/officeDocument/2006/relationships/hyperlink" Target="https://www.zillow.com/homedetails/10445-Eastborne-Ave-APT-105-Los-Angeles-CA-90024/20507030_zpid/" TargetMode="External"/><Relationship Id="rId327" Type="http://schemas.openxmlformats.org/officeDocument/2006/relationships/hyperlink" Target="https://drive.google.com/open?id=1y-OPc2OM-z1FaGOQ2zwtAxETwo4buQtc" TargetMode="External"/><Relationship Id="rId534" Type="http://schemas.openxmlformats.org/officeDocument/2006/relationships/hyperlink" Target="https://drive.google.com/open?id=1kpfKb97MszzifZqTIjx4K42NsnfqcfEV" TargetMode="External"/><Relationship Id="rId741" Type="http://schemas.openxmlformats.org/officeDocument/2006/relationships/hyperlink" Target="https://drive.google.com/open?id=1FslmXhA4PH496wkAOraK3MngxcCae2_5" TargetMode="External"/><Relationship Id="rId1164" Type="http://schemas.openxmlformats.org/officeDocument/2006/relationships/hyperlink" Target="https://drive.google.com/open?id=1HOUn51uaVl9Ch4HKhnA-uWhtrSCdk2m8" TargetMode="External"/><Relationship Id="rId1371" Type="http://schemas.openxmlformats.org/officeDocument/2006/relationships/hyperlink" Target="https://www.zillow.com/homedetails/4322-Escondido-Dr-Malibu-CA-90265/338340541_zpid/" TargetMode="External"/><Relationship Id="rId2008" Type="http://schemas.openxmlformats.org/officeDocument/2006/relationships/hyperlink" Target="https://drive.google.com/open?id=1avqW6HhDrdhBa1_ODWwYO2JAuC9CydbE" TargetMode="External"/><Relationship Id="rId2215" Type="http://schemas.openxmlformats.org/officeDocument/2006/relationships/hyperlink" Target="https://www.zillow.com/homedetails/7744-Mary-Ellen-Ave-North-Hollywood-CA-91605/19996211_zpid/"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forms.gle/kg1FY83BuW8hXTEq8" TargetMode="External"/><Relationship Id="rId2" Type="http://schemas.openxmlformats.org/officeDocument/2006/relationships/hyperlink" Target="https://forms.gle/nW591zv4rSypQaQA7" TargetMode="External"/><Relationship Id="rId1" Type="http://schemas.openxmlformats.org/officeDocument/2006/relationships/hyperlink" Target="https://forms.gle/Zz5M74mUypXj2g458" TargetMode="External"/><Relationship Id="rId4" Type="http://schemas.openxmlformats.org/officeDocument/2006/relationships/hyperlink" Target="https://docs.google.com/document/d/1hn0IKHW4kjbthblhoEA4MaqhgIMHZALUqEUj-G55CSI/edit?tab=t.0" TargetMode="External"/></Relationships>
</file>

<file path=xl/worksheets/_rels/sheet4.xml.rels><?xml version="1.0" encoding="UTF-8" standalone="yes"?>
<Relationships xmlns="http://schemas.openxmlformats.org/package/2006/relationships"><Relationship Id="rId26" Type="http://schemas.openxmlformats.org/officeDocument/2006/relationships/hyperlink" Target="https://www.zillow.com/homedetails/14949-La-Cumbre-Dr-Pacific-Palisades-CA-90272/20540543_zpid/" TargetMode="External"/><Relationship Id="rId117" Type="http://schemas.openxmlformats.org/officeDocument/2006/relationships/hyperlink" Target="https://www.zillow.com/homedetails/2943-Virginia-Ave-Santa-Monica-CA-90404/20471162_zpid/" TargetMode="External"/><Relationship Id="rId21" Type="http://schemas.openxmlformats.org/officeDocument/2006/relationships/hyperlink" Target="https://www.zillow.com/homedetails/22731-Burbank-Blvd-Woodland-Hills-CA-91367/19878010_zpid/" TargetMode="External"/><Relationship Id="rId42" Type="http://schemas.openxmlformats.org/officeDocument/2006/relationships/hyperlink" Target="https://www.zillow.com/homedetails/1916-W-Court-St-Los-Angeles-CA-90026/20627817_zpid/" TargetMode="External"/><Relationship Id="rId47" Type="http://schemas.openxmlformats.org/officeDocument/2006/relationships/hyperlink" Target="https://www.zillow.com/homedetails/1719-Wellesley-Ave-Los-Angeles-CA-90025/20464247_zpid/" TargetMode="External"/><Relationship Id="rId63" Type="http://schemas.openxmlformats.org/officeDocument/2006/relationships/hyperlink" Target="https://www.zillow.com/homedetails/11708-Exposition-Blvd-Los-Angeles-CA-90064/20464795_zpid/?utm_campaign=iosappmessage&amp;utm_medium=referral&amp;utm_source=txtshare" TargetMode="External"/><Relationship Id="rId68" Type="http://schemas.openxmlformats.org/officeDocument/2006/relationships/hyperlink" Target="https://www.zillow.com/homedetails/Los-Angeles-CA-90046/20803208_zpid/" TargetMode="External"/><Relationship Id="rId84" Type="http://schemas.openxmlformats.org/officeDocument/2006/relationships/hyperlink" Target="https://www.zillow.com/homedetails/2229-Willetta-St-Los-Angeles-CA-90068/20804418_zpid/" TargetMode="External"/><Relationship Id="rId89" Type="http://schemas.openxmlformats.org/officeDocument/2006/relationships/hyperlink" Target="https://www.zillow.com/homedetails/1470-Blue-Jay-Way-Los-Angeles-CA-90069/20799733_zpid/" TargetMode="External"/><Relationship Id="rId112" Type="http://schemas.openxmlformats.org/officeDocument/2006/relationships/hyperlink" Target="https://www.zillow.com/homedetails/1218-E-Tujunga-Ave-Burbank-CA-91501/20816771_zpid/?utm_campaign=iosappmessage&amp;utm_medium=referral&amp;utm_source=txtshare" TargetMode="External"/><Relationship Id="rId16" Type="http://schemas.openxmlformats.org/officeDocument/2006/relationships/hyperlink" Target="https://www.zillow.com/homedetails/6439-W-86th-Pl-Los-Angeles-CA-90045/2085329619_zpid/" TargetMode="External"/><Relationship Id="rId107" Type="http://schemas.openxmlformats.org/officeDocument/2006/relationships/hyperlink" Target="https://www.zillow.com/homedetails/1851-Tamerlane-Dr-Glendale-CA-91208/20839703_zpid/?utm_campaign=iosappmessage&amp;utm_medium=referral&amp;utm_source=txtshare" TargetMode="External"/><Relationship Id="rId11" Type="http://schemas.openxmlformats.org/officeDocument/2006/relationships/hyperlink" Target="https://www.zillow.com/homedetails/3663-Edenhurst-Ave-Los-Angeles-CA-90039/20749912_zpid/" TargetMode="External"/><Relationship Id="rId32" Type="http://schemas.openxmlformats.org/officeDocument/2006/relationships/hyperlink" Target="https://www.zillow.com/homedetails/3715-Kelton-Ave-APT-3-Los-Angeles-CA-90034/2080996983_zpid/" TargetMode="External"/><Relationship Id="rId37" Type="http://schemas.openxmlformats.org/officeDocument/2006/relationships/hyperlink" Target="https://www.zillow.com/homedetails/927-N-Fairview-St-Burbank-CA-91505/20062811_zpid/" TargetMode="External"/><Relationship Id="rId53" Type="http://schemas.openxmlformats.org/officeDocument/2006/relationships/hyperlink" Target="https://www.zillow.com/homedetails/6230-Lindenhurst-Ave-6230-Los-Angeles-CA-90048/2053399272_zpid/" TargetMode="External"/><Relationship Id="rId58" Type="http://schemas.openxmlformats.org/officeDocument/2006/relationships/hyperlink" Target="https://www.zillow.com/homedetails/2119-S-West-View-St-Los-Angeles-CA-90016/20596651_zpid/" TargetMode="External"/><Relationship Id="rId74" Type="http://schemas.openxmlformats.org/officeDocument/2006/relationships/hyperlink" Target="https://www.zillow.com/homedetails/5059-Hermosa-Ave-Los-Angeles-CA-90041/2090546544_zpid/" TargetMode="External"/><Relationship Id="rId79" Type="http://schemas.openxmlformats.org/officeDocument/2006/relationships/hyperlink" Target="https://www.zillow.com/homedetails/649-N-Edinburgh-Ave-Los-Angeles-CA-90048/20786041_zpid/?utm_campaign=iosappmessage&amp;utm_medium=referral&amp;utm_source=txtshare" TargetMode="External"/><Relationship Id="rId102" Type="http://schemas.openxmlformats.org/officeDocument/2006/relationships/hyperlink" Target="https://www.zillow.com/homedetails/907-Pine-Grove-Ave-Los-Angeles-CA-90042/20769156_zpid/?utm_campaign=iosappmessage&amp;utm_medium=referral&amp;utm_source=txtshare" TargetMode="External"/><Relationship Id="rId123" Type="http://schemas.openxmlformats.org/officeDocument/2006/relationships/table" Target="../tables/table5.xml"/><Relationship Id="rId5" Type="http://schemas.openxmlformats.org/officeDocument/2006/relationships/hyperlink" Target="https://www.zillow.com/homedetails/1846-N-Alvarado-St-Los-Angeles-CA-90026/20742169_zpid/" TargetMode="External"/><Relationship Id="rId90" Type="http://schemas.openxmlformats.org/officeDocument/2006/relationships/hyperlink" Target="https://www.zillow.com/homedetails/9289-Swallow-Dr-Los-Angeles-CA-90069/20799708_zpid/" TargetMode="External"/><Relationship Id="rId95" Type="http://schemas.openxmlformats.org/officeDocument/2006/relationships/hyperlink" Target="https://www.zillow.com/homedetails/8400-Grand-View-Dr-Los-Angeles-CA-90046/20797928_zpid/" TargetMode="External"/><Relationship Id="rId22" Type="http://schemas.openxmlformats.org/officeDocument/2006/relationships/hyperlink" Target="https://www.zillow.com/homedetails/4045-Jackson-Ave-A-Culver-City-CA-90232/2080461895_zpid/" TargetMode="External"/><Relationship Id="rId27" Type="http://schemas.openxmlformats.org/officeDocument/2006/relationships/hyperlink" Target="https://www.zillow.com/homedetails/636-Acanto-St-APT-104-Los-Angeles-CA-90049/2123187503_zpid/" TargetMode="External"/><Relationship Id="rId43" Type="http://schemas.openxmlformats.org/officeDocument/2006/relationships/hyperlink" Target="https://www.zillow.com/homedetails/4188-Marcasel-Ave-Los-Angeles-CA-90066/20447597_zpid/" TargetMode="External"/><Relationship Id="rId48" Type="http://schemas.openxmlformats.org/officeDocument/2006/relationships/hyperlink" Target="https://www.zillow.com/homedetails/912-N-Vendome-St-Los-Angeles-CA-90026/2083961992_zpid/" TargetMode="External"/><Relationship Id="rId64" Type="http://schemas.openxmlformats.org/officeDocument/2006/relationships/hyperlink" Target="https://www.zillow.com/homedetails/716-Rochedale-Way-Los-Angeles-CA-90049/20560159_zpid/" TargetMode="External"/><Relationship Id="rId69" Type="http://schemas.openxmlformats.org/officeDocument/2006/relationships/hyperlink" Target="https://www.zillow.com/homedetails/1915-S-Crescent-Heights-Blvd-Los-Angeles-CA-90034/20598384_zpid/" TargetMode="External"/><Relationship Id="rId113" Type="http://schemas.openxmlformats.org/officeDocument/2006/relationships/hyperlink" Target="https://www.zillow.com/homedetails/6505-Pacific-Ave-1-Playa-Del-Rey-CA-90293/2089340224_zpid/" TargetMode="External"/><Relationship Id="rId118" Type="http://schemas.openxmlformats.org/officeDocument/2006/relationships/hyperlink" Target="https://zillow.com/homedetails/2346-Selby-Ave-Los-Angeles-CA-90064/20500634_zpid/" TargetMode="External"/><Relationship Id="rId80" Type="http://schemas.openxmlformats.org/officeDocument/2006/relationships/hyperlink" Target="https://www.zillow.com/homedetails/6105-Del-Valle-Dr-Los-Angeles-CA-90048/20609699_zpid/" TargetMode="External"/><Relationship Id="rId85" Type="http://schemas.openxmlformats.org/officeDocument/2006/relationships/hyperlink" Target="https://www.zillow.com/homedetails/7177-Pacific-View-Dr-Los-Angeles-CA-90068/20045420_zpid/" TargetMode="External"/><Relationship Id="rId12" Type="http://schemas.openxmlformats.org/officeDocument/2006/relationships/hyperlink" Target="https://www.zillow.com/homedetails/3935-Inglewood-Blvd-3935-Los-Angeles-CA-90066/401885716_zpid/" TargetMode="External"/><Relationship Id="rId17" Type="http://schemas.openxmlformats.org/officeDocument/2006/relationships/hyperlink" Target="https://www.zillow.com/homedetails/4418-S-Slauson-Ave-402-Culver-City-CA-90230/440875021_zpid/" TargetMode="External"/><Relationship Id="rId33" Type="http://schemas.openxmlformats.org/officeDocument/2006/relationships/hyperlink" Target="https://www.zillow.com/homedetails/543-Rialto-Ave-Venice-CA-90291/95643815_zpid/" TargetMode="External"/><Relationship Id="rId38" Type="http://schemas.openxmlformats.org/officeDocument/2006/relationships/hyperlink" Target="https://www.zillow.com/homedetails/20-28th-Ave-PENTHOUSE-Venice-CA-90291/442583506_zpid/" TargetMode="External"/><Relationship Id="rId59" Type="http://schemas.openxmlformats.org/officeDocument/2006/relationships/hyperlink" Target="https://www.zillow.com/homedetails/11842-Culver-Blvd-Los-Angeles-CA-90066/2123490972_zpid/?utm_source=txtshare" TargetMode="External"/><Relationship Id="rId103" Type="http://schemas.openxmlformats.org/officeDocument/2006/relationships/hyperlink" Target="https://www.zillow.com/homedetails/3711-Flora-Ave-Los-Angeles-CA-90031/20637876_zpid/?utm_campaign=iosappmessage&amp;utm_medium=referral&amp;utm_source=txtshare" TargetMode="External"/><Relationship Id="rId108" Type="http://schemas.openxmlformats.org/officeDocument/2006/relationships/hyperlink" Target="https://www.zillow.com/homedetails/4115-Camero-Ave-Los-Angeles-CA-90027/20746609_zpid/" TargetMode="External"/><Relationship Id="rId54" Type="http://schemas.openxmlformats.org/officeDocument/2006/relationships/hyperlink" Target="https://www.zillow.com/homedetails/1055-S-Hayworth-Ave-Los-Angeles-CA-90035/2055493930_zpid/" TargetMode="External"/><Relationship Id="rId70" Type="http://schemas.openxmlformats.org/officeDocument/2006/relationships/hyperlink" Target="https://www.zillow.com/homedetails/23716-Archwood-St-West-Hills-CA-91307/340040879_zpid/" TargetMode="External"/><Relationship Id="rId75" Type="http://schemas.openxmlformats.org/officeDocument/2006/relationships/hyperlink" Target="https://www.zillow.com/homedetails/1427-Columbia-Dr-Glendale-CA-91205/20847539_zpid/" TargetMode="External"/><Relationship Id="rId91" Type="http://schemas.openxmlformats.org/officeDocument/2006/relationships/hyperlink" Target="https://www.zillow.com/homedetails/3663-Edenhurst-Ave-Los-Angeles-CA-90039/20749912_zpid/" TargetMode="External"/><Relationship Id="rId96" Type="http://schemas.openxmlformats.org/officeDocument/2006/relationships/hyperlink" Target="https://www.zillow.com/homedetails/1780-S-Garth-Ave-Los-Angeles-CA-90035/20492198_zpid/" TargetMode="External"/><Relationship Id="rId1" Type="http://schemas.openxmlformats.org/officeDocument/2006/relationships/hyperlink" Target="https://forms.gle/aDNScFVJP5wRqkQX9" TargetMode="External"/><Relationship Id="rId6" Type="http://schemas.openxmlformats.org/officeDocument/2006/relationships/hyperlink" Target="https://www.zillow.com/homedetails/8429-Wiley-Post-Ave-Los-Angeles-CA-90045/20380558_zpid/" TargetMode="External"/><Relationship Id="rId23" Type="http://schemas.openxmlformats.org/officeDocument/2006/relationships/hyperlink" Target="https://www.zillow.com/homedetails/20500-Ventura-Blvd-FLOOR-3-ID681-Woodland-Hills-CA-91364/2065471166_zpid/" TargetMode="External"/><Relationship Id="rId28" Type="http://schemas.openxmlformats.org/officeDocument/2006/relationships/hyperlink" Target="https://www.zillow.com/homedetails/4865-Eldred-St-Los-Angeles-CA-90042/20763415_zpid/" TargetMode="External"/><Relationship Id="rId49" Type="http://schemas.openxmlformats.org/officeDocument/2006/relationships/hyperlink" Target="https://www.zillow.com/homedetails/1901-N-Catalina-St-Los-Angeles-CA-90027/20809909_zpid/" TargetMode="External"/><Relationship Id="rId114" Type="http://schemas.openxmlformats.org/officeDocument/2006/relationships/hyperlink" Target="https://www.zillow.com/homedetails/1670-Arboles-Dr-Glendale-CA-91207/20838671_zpid/?utm_campaign=iosappmessage&amp;utm_medium=referral&amp;utm_source=txtshare" TargetMode="External"/><Relationship Id="rId119" Type="http://schemas.openxmlformats.org/officeDocument/2006/relationships/table" Target="../tables/table1.xml"/><Relationship Id="rId44" Type="http://schemas.openxmlformats.org/officeDocument/2006/relationships/hyperlink" Target="https://www.zillow.com/homedetails/1817-W-Silver-Lake-Dr-Los-Angeles-CA-90026/2096500924_zpid/" TargetMode="External"/><Relationship Id="rId60" Type="http://schemas.openxmlformats.org/officeDocument/2006/relationships/hyperlink" Target="https://www.zillow.com/homedetails/4243-Mary-Ellen-Ave-497B9FBCD-Studio-City-CA-91604/353484968_zpid/?utm_campaign=iosappmessage&amp;utm_medium=referral&amp;utm_source=txtshare" TargetMode="External"/><Relationship Id="rId65" Type="http://schemas.openxmlformats.org/officeDocument/2006/relationships/hyperlink" Target="https://www.zillow.com/homedetails/3512-Crestmont-Ave-Los-Angeles-CA-90026/20746365_zpid/" TargetMode="External"/><Relationship Id="rId81" Type="http://schemas.openxmlformats.org/officeDocument/2006/relationships/hyperlink" Target="https://www.zillow.com/homedetails/1916-W-Court-St-Los-Angeles-CA-90026/20627817_zpid/" TargetMode="External"/><Relationship Id="rId86" Type="http://schemas.openxmlformats.org/officeDocument/2006/relationships/hyperlink" Target="https://www.zillow.com/homedetails/2309-Hollyridge-Dr-Los-Angeles-CA-90068/20807768_zpid/" TargetMode="External"/><Relationship Id="rId4" Type="http://schemas.openxmlformats.org/officeDocument/2006/relationships/hyperlink" Target="https://www.zillow.com/homedetails/4227-McLaughlin-Ave-FLOOR-3-ID136-Los-Angeles-CA-90066/439767586_zpid/" TargetMode="External"/><Relationship Id="rId9" Type="http://schemas.openxmlformats.org/officeDocument/2006/relationships/hyperlink" Target="https://www.zillow.com/homedetails/2010-Vineburn-Ave-Los-Angeles-CA-90032/20640422_zpid/" TargetMode="External"/><Relationship Id="rId13" Type="http://schemas.openxmlformats.org/officeDocument/2006/relationships/hyperlink" Target="https://www.zillow.com/homedetails/4531-Van-Nuys-Blvd-Sherman-Oaks-CA-91403/134800501_zpid/" TargetMode="External"/><Relationship Id="rId18" Type="http://schemas.openxmlformats.org/officeDocument/2006/relationships/hyperlink" Target="https://www.zillow.com/homedetails/22809-Del-Valle-St-APT-10-Woodland-Hills-CA-91364/89145149_zpid/" TargetMode="External"/><Relationship Id="rId39" Type="http://schemas.openxmlformats.org/officeDocument/2006/relationships/hyperlink" Target="https://www.zillow.com/homedetails/3055-Landa-St-Los-Angeles-CA-90039/20747666_zpid/" TargetMode="External"/><Relationship Id="rId109" Type="http://schemas.openxmlformats.org/officeDocument/2006/relationships/hyperlink" Target="https://www.zillow.com/homedetails/3113-Prospect-Ave-La-Crescenta-CA-91214/20898422_zpid/?utm_campaign=iosappmessage&amp;utm_medium=referral&amp;utm_source=txtshare" TargetMode="External"/><Relationship Id="rId34" Type="http://schemas.openxmlformats.org/officeDocument/2006/relationships/hyperlink" Target="https://www.zillow.com/homedetails/11826-Dorothy-St-APT-202-Los-Angeles-CA-90049/63090973_zpid/" TargetMode="External"/><Relationship Id="rId50" Type="http://schemas.openxmlformats.org/officeDocument/2006/relationships/hyperlink" Target="https://www.zillow.com/homedetails/3663-Edenhurst-Ave-Los-Angeles-CA-90039/20749912_zpid/" TargetMode="External"/><Relationship Id="rId55" Type="http://schemas.openxmlformats.org/officeDocument/2006/relationships/hyperlink" Target="https://www.zillow.com/homedetails/13001-13019-Montana-Ave-13011-Los-Angeles-CA-90049/443790422_zpid/" TargetMode="External"/><Relationship Id="rId76" Type="http://schemas.openxmlformats.org/officeDocument/2006/relationships/hyperlink" Target="https://www.zillow.com/homedetails/3931-Berry-Dr-Studio-City-CA-91604/20028364_zpid/" TargetMode="External"/><Relationship Id="rId97" Type="http://schemas.openxmlformats.org/officeDocument/2006/relationships/hyperlink" Target="https://www.zillow.com/homedetails/7612-Willow-Glen-Rd-Los-Angeles-CA-90046/20801864_zpid/" TargetMode="External"/><Relationship Id="rId104" Type="http://schemas.openxmlformats.org/officeDocument/2006/relationships/hyperlink" Target="https://www.zillow.com/homedetails/915-Edie-Dr-Duarte-CA-91010/58477819_zpid/?utm_campaign=iosappmessage&amp;utm_medium=referral&amp;utm_source=txtshare" TargetMode="External"/><Relationship Id="rId120" Type="http://schemas.openxmlformats.org/officeDocument/2006/relationships/table" Target="../tables/table2.xml"/><Relationship Id="rId7" Type="http://schemas.openxmlformats.org/officeDocument/2006/relationships/hyperlink" Target="https://www.zillow.com/homedetails/1104-Casiano-Rd-Los-Angeles-CA-90049/20528677_zpid/" TargetMode="External"/><Relationship Id="rId71" Type="http://schemas.openxmlformats.org/officeDocument/2006/relationships/hyperlink" Target="https://www.zillow.com/homedetails/6255-W-Olympic-Blvd-2-Los-Angeles-CA-90048/443225953_zpid/" TargetMode="External"/><Relationship Id="rId92" Type="http://schemas.openxmlformats.org/officeDocument/2006/relationships/hyperlink" Target="https://www.zillow.com/homedetails/2260-Maravilla-Dr-Los-Angeles-CA-90068/20793606_zpid/" TargetMode="External"/><Relationship Id="rId2" Type="http://schemas.openxmlformats.org/officeDocument/2006/relationships/hyperlink" Target="https://www.zillow.com/homedetails/157-S-Anita-Ave-Los-Angeles-CA-90049/20537967_zpid/" TargetMode="External"/><Relationship Id="rId29" Type="http://schemas.openxmlformats.org/officeDocument/2006/relationships/hyperlink" Target="https://www.zillow.com/homedetails/5316-Teesdale-Ave-Valley-Village-CA-91607/2053789692_zpid/" TargetMode="External"/><Relationship Id="rId24" Type="http://schemas.openxmlformats.org/officeDocument/2006/relationships/hyperlink" Target="https://www.zillow.com/homedetails/22527-Cass-Ave-1-Woodland-Hills-CA-91364/443629345_zpid/" TargetMode="External"/><Relationship Id="rId40" Type="http://schemas.openxmlformats.org/officeDocument/2006/relationships/hyperlink" Target="https://www.zillow.com/homedetails/225-Sherman-Canal-Ct-Venice-CA-90291/443839188_zpid/" TargetMode="External"/><Relationship Id="rId45" Type="http://schemas.openxmlformats.org/officeDocument/2006/relationships/hyperlink" Target="https://www.zillow.com/homedetails/1390-Rose-Ave-Venice-CA-90291/20453901_zpid/" TargetMode="External"/><Relationship Id="rId66" Type="http://schemas.openxmlformats.org/officeDocument/2006/relationships/hyperlink" Target="https://www.zillow.com/homedetails/8966-Shoreham-Dr-Los-Angeles-CA-90069/20799415_zpid/" TargetMode="External"/><Relationship Id="rId87" Type="http://schemas.openxmlformats.org/officeDocument/2006/relationships/hyperlink" Target="https://www.zillow.com/homedetails/1914-Laurel-Canyon-Blvd-Los-Angeles-CA-90046/20802462_zpid/" TargetMode="External"/><Relationship Id="rId110" Type="http://schemas.openxmlformats.org/officeDocument/2006/relationships/hyperlink" Target="https://www.zillow.com/homedetails/3055-Landa-St-Los-Angeles-CA-90039/20747666_zpid/" TargetMode="External"/><Relationship Id="rId115" Type="http://schemas.openxmlformats.org/officeDocument/2006/relationships/hyperlink" Target="https://www.zillow.com/homedetails/17845-Calle-Barcelona-Rowland-Heights-CA-91748/21479818_zpid/?utm_campaign=iosappmessage&amp;utm_medium=referral&amp;utm_source=txtshare" TargetMode="External"/><Relationship Id="rId61" Type="http://schemas.openxmlformats.org/officeDocument/2006/relationships/hyperlink" Target="https://www.zillow.com/homedetails/1741-Stearns-Dr-Los-Angeles-CA-90035/20598494_zpid/" TargetMode="External"/><Relationship Id="rId82" Type="http://schemas.openxmlformats.org/officeDocument/2006/relationships/hyperlink" Target="https://www.zillow.com/homedetails/1702-Sunset-Plaza-Dr-Los-Angeles-CA-90069/20798287_zpid/" TargetMode="External"/><Relationship Id="rId19" Type="http://schemas.openxmlformats.org/officeDocument/2006/relationships/hyperlink" Target="https://www.zillow.com/homedetails/20-28th-Ave-APT-C-Venice-CA-90291/2092186923_zpid/" TargetMode="External"/><Relationship Id="rId14" Type="http://schemas.openxmlformats.org/officeDocument/2006/relationships/hyperlink" Target="https://www.zillow.com/homedetails/518-Rialto-Ave-A-Venice-CA-90291/440956450_zpid/" TargetMode="External"/><Relationship Id="rId30" Type="http://schemas.openxmlformats.org/officeDocument/2006/relationships/hyperlink" Target="https://www.zillow.com/homedetails/6076-Hargis-St-Los-Angeles-CA-90034/20598124_zpid/" TargetMode="External"/><Relationship Id="rId35" Type="http://schemas.openxmlformats.org/officeDocument/2006/relationships/hyperlink" Target="https://www.zillow.com/homedetails/110-N-Barrington-Ave-Los-Angeles-CA-90049/20547175_zpid/" TargetMode="External"/><Relationship Id="rId56" Type="http://schemas.openxmlformats.org/officeDocument/2006/relationships/hyperlink" Target="https://www.zillow.com/homedetails/8185-Mannix-Dr-Los-Angeles-CA-90046/82881919_zpid/" TargetMode="External"/><Relationship Id="rId77" Type="http://schemas.openxmlformats.org/officeDocument/2006/relationships/hyperlink" Target="https://www.zillow.com/homedetails/1941-Glencoe-Way-Los-Angeles-CA-90068/20793801_zpid/?utm_campaign=iosappmessage&amp;utm_medium=referral&amp;utm_source=txtshare" TargetMode="External"/><Relationship Id="rId100" Type="http://schemas.openxmlformats.org/officeDocument/2006/relationships/hyperlink" Target="https://www.zillow.com/homedetails/361-Norumbega-Dr-Monrovia-CA-91016/21583767_zpid/?utm_campaign=iosappmessage&amp;utm_medium=referral&amp;utm_source=txtshare" TargetMode="External"/><Relationship Id="rId105" Type="http://schemas.openxmlformats.org/officeDocument/2006/relationships/hyperlink" Target="https://www.zillow.com/homedetails/2527-E-Cameron-Ave-West-Covina-CA-91791/21571053_zpid/?utm_campaign=iosappmessage&amp;utm_medium=referral&amp;utm_source=txtshare" TargetMode="External"/><Relationship Id="rId8" Type="http://schemas.openxmlformats.org/officeDocument/2006/relationships/hyperlink" Target="https://www.zillow.com/homedetails/11455-Segrell-Way-Culver-City-CA-90230/20438430_zpid/" TargetMode="External"/><Relationship Id="rId51" Type="http://schemas.openxmlformats.org/officeDocument/2006/relationships/hyperlink" Target="https://www.zillow.com/homedetails/3365-Tyburn-St-Los-Angeles-CA-90039/20750852_zpid/" TargetMode="External"/><Relationship Id="rId72" Type="http://schemas.openxmlformats.org/officeDocument/2006/relationships/hyperlink" Target="https://www.zillow.com/homedetails/2700-Cahuenga-Blvd-E-APT-4111-Los-Angeles-CA-90068/20804778_zpid/" TargetMode="External"/><Relationship Id="rId93" Type="http://schemas.openxmlformats.org/officeDocument/2006/relationships/hyperlink" Target="https://www.zillow.com/homedetails/1610-S-Hayworth-Ave-Los-Angeles-CA-90035/20599960_zpid/" TargetMode="External"/><Relationship Id="rId98" Type="http://schemas.openxmlformats.org/officeDocument/2006/relationships/hyperlink" Target="https://www.zillow.com/homedetails/2379-Venus-Dr-Los-Angeles-CA-90046/20802341_zpid/" TargetMode="External"/><Relationship Id="rId121" Type="http://schemas.openxmlformats.org/officeDocument/2006/relationships/table" Target="../tables/table3.xml"/><Relationship Id="rId3" Type="http://schemas.openxmlformats.org/officeDocument/2006/relationships/hyperlink" Target="https://www.zillow.com/homedetails/637-Oxford-Ave-Venice-CA-90291/20445192_zpid/" TargetMode="External"/><Relationship Id="rId25" Type="http://schemas.openxmlformats.org/officeDocument/2006/relationships/hyperlink" Target="https://www.zillow.com/homedetails/12318-W-Sunset-Blvd-Los-Angeles-CA-90049/20538275_zpid/" TargetMode="External"/><Relationship Id="rId46" Type="http://schemas.openxmlformats.org/officeDocument/2006/relationships/hyperlink" Target="https://www.zillow.com/homedetails/210-N-California-St-Burbank-CA-91505/20065843_zpid/" TargetMode="External"/><Relationship Id="rId67" Type="http://schemas.openxmlformats.org/officeDocument/2006/relationships/hyperlink" Target="https://www.zillow.com/homedetails/1923-Sunset-Plaza-Dr-Los-Angeles-CA-90069/20798097_zpid/" TargetMode="External"/><Relationship Id="rId116" Type="http://schemas.openxmlformats.org/officeDocument/2006/relationships/hyperlink" Target="https://www.zillow.com/homedetails/2950-Warwick-Ave-Los-Angeles-CA-90032/20643542_zpid/?utm_campaign=iosappmessage&amp;utm_medium=referral&amp;utm_source=txtshare" TargetMode="External"/><Relationship Id="rId20" Type="http://schemas.openxmlformats.org/officeDocument/2006/relationships/hyperlink" Target="https://www.zillow.com/homedetails/11361-Ovada-Pl-APT-2-Los-Angeles-CA-90049/2111162635_zpid/" TargetMode="External"/><Relationship Id="rId41" Type="http://schemas.openxmlformats.org/officeDocument/2006/relationships/hyperlink" Target="https://www.zillow.com/homedetails/700-Main-St-UNIT-25-Venice-CA-90291/82877585_zpid/" TargetMode="External"/><Relationship Id="rId62" Type="http://schemas.openxmlformats.org/officeDocument/2006/relationships/hyperlink" Target="https://www.zillow.com/homedetails/1812-Navy-St-Santa-Monica-CA-90405/20472397_zpid/" TargetMode="External"/><Relationship Id="rId83" Type="http://schemas.openxmlformats.org/officeDocument/2006/relationships/hyperlink" Target="https://www.zillow.com/homedetails/8405-Edwin-Dr-Los-Angeles-CA-90046/20801360_zpid/" TargetMode="External"/><Relationship Id="rId88" Type="http://schemas.openxmlformats.org/officeDocument/2006/relationships/hyperlink" Target="https://www.zillow.com/homedetails/1456-Sunset-Plaza-Dr-Los-Angeles-CA-90069/20799013_zpid/" TargetMode="External"/><Relationship Id="rId111" Type="http://schemas.openxmlformats.org/officeDocument/2006/relationships/hyperlink" Target="https://www.zillow.com/homedetails/8-Rancho-Laguna-Dr-Pomona-CA-91766/21662573_zpid/?utm_campaign=iosappmessage&amp;utm_medium=referral&amp;utm_source=txtshare" TargetMode="External"/><Relationship Id="rId15" Type="http://schemas.openxmlformats.org/officeDocument/2006/relationships/hyperlink" Target="https://www.zillow.com/homedetails/518-1-2-Rialto-Ave-B-Venice-CA-90291/440973656_zpid/" TargetMode="External"/><Relationship Id="rId36" Type="http://schemas.openxmlformats.org/officeDocument/2006/relationships/hyperlink" Target="https://www.zillow.com/homedetails/Los-Angeles-CA-90291/95551094_zpid/" TargetMode="External"/><Relationship Id="rId57" Type="http://schemas.openxmlformats.org/officeDocument/2006/relationships/hyperlink" Target="https://www.zillow.com/homedetails/3323-N-Knoll-Dr-Los-Angeles-CA-90068/20805677_zpid/" TargetMode="External"/><Relationship Id="rId106" Type="http://schemas.openxmlformats.org/officeDocument/2006/relationships/hyperlink" Target="https://www.zillow.com/homedetails/3512-Crestmont-Ave-Los-Angeles-CA-90026/20746365_zpid/" TargetMode="External"/><Relationship Id="rId10" Type="http://schemas.openxmlformats.org/officeDocument/2006/relationships/hyperlink" Target="https://www.zillow.com/homedetails/1405-Elkgrove-Cir-FLOOR-2-ID71-Venice-CA-90291/439767588_zpid/" TargetMode="External"/><Relationship Id="rId31" Type="http://schemas.openxmlformats.org/officeDocument/2006/relationships/hyperlink" Target="https://www.zillow.com/homedetails/11571-Nebraska-Ave-2-Los-Angeles-CA-90025/442366314_zpid/" TargetMode="External"/><Relationship Id="rId52" Type="http://schemas.openxmlformats.org/officeDocument/2006/relationships/hyperlink" Target="https://www.zillow.com/homedetails/3672-Jasmine-Ave-UNIT-102-Los-Angeles-CA-90034/2061496314_zpid/" TargetMode="External"/><Relationship Id="rId73" Type="http://schemas.openxmlformats.org/officeDocument/2006/relationships/hyperlink" Target="https://www.zillow.com/homedetails/3715-Kelton-Ave-APT-3-Los-Angeles-CA-90034/2080996983_zpid/" TargetMode="External"/><Relationship Id="rId78" Type="http://schemas.openxmlformats.org/officeDocument/2006/relationships/hyperlink" Target="https://www.zillow.com/homedetails/256-S-Van-Ness-Ave-Los-Angeles-CA-90004/20779975_zpid/?utm_campaign=iosappmessage&amp;utm_medium=referral&amp;utm_source=txtshare" TargetMode="External"/><Relationship Id="rId94" Type="http://schemas.openxmlformats.org/officeDocument/2006/relationships/hyperlink" Target="https://www.zillow.com/homedetails/8401-Wyndham-Rd-Los-Angeles-CA-90046/20801560_zpid/" TargetMode="External"/><Relationship Id="rId99" Type="http://schemas.openxmlformats.org/officeDocument/2006/relationships/hyperlink" Target="https://www.zillow.com/homedetails/1235-Highland-Oaks-Dr-Arcadia-CA-91006/20887520_zpid/?utm_campaign=iosappmessage&amp;utm_medium=referral&amp;utm_source=txtshare" TargetMode="External"/><Relationship Id="rId101" Type="http://schemas.openxmlformats.org/officeDocument/2006/relationships/hyperlink" Target="https://www.zillow.com/homedetails/2030-S-Chapel-Ave-Alhambra-CA-91801/442707493_zpid/?utm_campaign=iosappmessage&amp;utm_medium=referral&amp;utm_source=txtshare" TargetMode="External"/><Relationship Id="rId122"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C2667"/>
  <sheetViews>
    <sheetView workbookViewId="0">
      <pane ySplit="1" topLeftCell="A139" activePane="bottomLeft" state="frozen"/>
      <selection pane="bottomLeft" sqref="A1:XFD1"/>
    </sheetView>
  </sheetViews>
  <sheetFormatPr defaultColWidth="12.5703125" defaultRowHeight="15.75" customHeight="1"/>
  <cols>
    <col min="2" max="2" width="13.28515625" customWidth="1"/>
    <col min="4" max="4" width="14.7109375" customWidth="1"/>
    <col min="5" max="5" width="9.42578125" customWidth="1"/>
    <col min="6" max="6" width="7.7109375" customWidth="1"/>
    <col min="12" max="12" width="15.140625" customWidth="1"/>
    <col min="18" max="18" width="17.85546875" customWidth="1"/>
    <col min="20" max="20" width="13.42578125" customWidth="1"/>
  </cols>
  <sheetData>
    <row r="1" spans="1:29" ht="51">
      <c r="A1" s="5" t="s">
        <v>1</v>
      </c>
      <c r="B1" s="3" t="s">
        <v>2</v>
      </c>
      <c r="C1" s="3" t="s">
        <v>3</v>
      </c>
      <c r="D1" s="3" t="s">
        <v>4</v>
      </c>
      <c r="E1" s="7" t="s">
        <v>5</v>
      </c>
      <c r="F1" s="7" t="s">
        <v>6</v>
      </c>
      <c r="G1" s="8" t="s">
        <v>7</v>
      </c>
      <c r="H1" s="9" t="s">
        <v>8</v>
      </c>
      <c r="I1" s="10" t="s">
        <v>9</v>
      </c>
      <c r="J1" s="2" t="s">
        <v>10</v>
      </c>
      <c r="K1" s="3" t="s">
        <v>11</v>
      </c>
      <c r="L1" s="3" t="s">
        <v>12</v>
      </c>
      <c r="M1" s="3" t="s">
        <v>13</v>
      </c>
      <c r="N1" s="3" t="s">
        <v>14</v>
      </c>
      <c r="O1" s="3" t="s">
        <v>15</v>
      </c>
      <c r="P1" s="3" t="s">
        <v>16</v>
      </c>
      <c r="Q1" s="3" t="s">
        <v>17</v>
      </c>
      <c r="R1" s="3" t="s">
        <v>18</v>
      </c>
      <c r="S1" s="4" t="s">
        <v>19</v>
      </c>
      <c r="T1" s="4" t="s">
        <v>20</v>
      </c>
      <c r="U1" s="6" t="s">
        <v>21</v>
      </c>
      <c r="V1" s="6" t="s">
        <v>22</v>
      </c>
      <c r="W1" s="6"/>
      <c r="X1" s="6"/>
      <c r="Y1" s="6"/>
      <c r="Z1" s="6"/>
      <c r="AA1" s="6"/>
      <c r="AB1" s="6"/>
      <c r="AC1" s="6"/>
    </row>
    <row r="2" spans="1:29" ht="12.75">
      <c r="A2" s="5" t="s">
        <v>23</v>
      </c>
      <c r="B2" s="5">
        <v>4494010023</v>
      </c>
      <c r="C2" s="5" t="s">
        <v>24</v>
      </c>
      <c r="D2" s="5" t="s">
        <v>25</v>
      </c>
      <c r="E2" s="11" t="s">
        <v>26</v>
      </c>
      <c r="F2" s="11">
        <v>90049</v>
      </c>
      <c r="G2" s="12">
        <v>8995</v>
      </c>
      <c r="H2" s="12">
        <v>12000</v>
      </c>
      <c r="I2" s="13">
        <v>0.33407448582545857</v>
      </c>
      <c r="J2" s="14">
        <v>45667</v>
      </c>
      <c r="K2" s="5"/>
      <c r="L2" s="5" t="s">
        <v>27</v>
      </c>
      <c r="M2" s="15" t="s">
        <v>28</v>
      </c>
      <c r="N2" s="5"/>
      <c r="O2" s="5"/>
      <c r="P2" s="5"/>
      <c r="Q2" s="5" t="s">
        <v>29</v>
      </c>
      <c r="R2" s="5" t="s">
        <v>30</v>
      </c>
      <c r="S2" s="5" t="s">
        <v>31</v>
      </c>
      <c r="T2" s="16" t="s">
        <v>32</v>
      </c>
      <c r="U2" s="5" t="s">
        <v>33</v>
      </c>
      <c r="V2" s="5" t="s">
        <v>34</v>
      </c>
    </row>
    <row r="3" spans="1:29" ht="12.75">
      <c r="A3" s="5" t="s">
        <v>35</v>
      </c>
      <c r="B3" s="5">
        <v>5429020022</v>
      </c>
      <c r="C3" s="5" t="s">
        <v>36</v>
      </c>
      <c r="D3" s="5" t="s">
        <v>25</v>
      </c>
      <c r="E3" s="11" t="s">
        <v>26</v>
      </c>
      <c r="F3" s="11">
        <v>90026</v>
      </c>
      <c r="G3" s="12">
        <v>9000</v>
      </c>
      <c r="H3" s="12">
        <v>11000</v>
      </c>
      <c r="I3" s="13">
        <v>0.22222222222222221</v>
      </c>
      <c r="J3" s="14">
        <v>45668</v>
      </c>
      <c r="K3" s="5"/>
      <c r="L3" s="5" t="s">
        <v>27</v>
      </c>
      <c r="M3" s="15" t="s">
        <v>37</v>
      </c>
      <c r="N3" s="5"/>
      <c r="O3" s="5"/>
      <c r="P3" s="5" t="s">
        <v>38</v>
      </c>
      <c r="Q3" s="5" t="s">
        <v>39</v>
      </c>
      <c r="R3" s="5" t="s">
        <v>40</v>
      </c>
      <c r="S3" s="5" t="s">
        <v>41</v>
      </c>
      <c r="T3" s="16" t="s">
        <v>42</v>
      </c>
      <c r="U3" s="5" t="s">
        <v>33</v>
      </c>
      <c r="V3" s="5" t="s">
        <v>43</v>
      </c>
    </row>
    <row r="4" spans="1:29" ht="12.75">
      <c r="A4" s="5" t="s">
        <v>44</v>
      </c>
      <c r="B4" s="5">
        <v>5560025007</v>
      </c>
      <c r="C4" s="5" t="s">
        <v>45</v>
      </c>
      <c r="D4" s="5" t="s">
        <v>25</v>
      </c>
      <c r="E4" s="11" t="s">
        <v>26</v>
      </c>
      <c r="F4" s="11">
        <v>90069</v>
      </c>
      <c r="G4" s="12">
        <v>8500</v>
      </c>
      <c r="H4" s="12">
        <v>11500</v>
      </c>
      <c r="I4" s="13">
        <v>0.35294117647058826</v>
      </c>
      <c r="J4" s="14">
        <v>45666</v>
      </c>
      <c r="K4" s="5"/>
      <c r="L4" s="5" t="s">
        <v>27</v>
      </c>
      <c r="M4" s="15" t="s">
        <v>46</v>
      </c>
      <c r="N4" s="5"/>
      <c r="O4" s="5" t="s">
        <v>47</v>
      </c>
      <c r="P4" s="5" t="s">
        <v>48</v>
      </c>
      <c r="Q4" s="5"/>
      <c r="R4" s="5"/>
      <c r="S4" s="5" t="s">
        <v>49</v>
      </c>
      <c r="T4" s="16" t="s">
        <v>50</v>
      </c>
      <c r="U4" s="5" t="s">
        <v>33</v>
      </c>
      <c r="V4" s="5" t="s">
        <v>51</v>
      </c>
    </row>
    <row r="5" spans="1:29" ht="12.75">
      <c r="A5" s="5" t="s">
        <v>52</v>
      </c>
      <c r="B5" s="5">
        <v>5558002013</v>
      </c>
      <c r="C5" s="5" t="s">
        <v>53</v>
      </c>
      <c r="D5" s="5" t="s">
        <v>25</v>
      </c>
      <c r="E5" s="11" t="s">
        <v>26</v>
      </c>
      <c r="F5" s="11">
        <v>90069</v>
      </c>
      <c r="G5" s="12">
        <v>11850</v>
      </c>
      <c r="H5" s="12">
        <v>13500</v>
      </c>
      <c r="I5" s="13">
        <v>0.13924050632911392</v>
      </c>
      <c r="J5" s="14">
        <v>45667</v>
      </c>
      <c r="K5" s="5"/>
      <c r="L5" s="5" t="s">
        <v>27</v>
      </c>
      <c r="M5" s="15" t="s">
        <v>54</v>
      </c>
      <c r="N5" s="5"/>
      <c r="O5" s="5" t="s">
        <v>55</v>
      </c>
      <c r="P5" s="5" t="s">
        <v>56</v>
      </c>
      <c r="Q5" s="5"/>
      <c r="R5" s="5"/>
      <c r="S5" s="5" t="s">
        <v>57</v>
      </c>
      <c r="T5" s="16" t="s">
        <v>58</v>
      </c>
      <c r="U5" s="5" t="s">
        <v>33</v>
      </c>
      <c r="V5" s="5" t="s">
        <v>59</v>
      </c>
    </row>
    <row r="6" spans="1:29" ht="12.75">
      <c r="A6" s="5" t="s">
        <v>60</v>
      </c>
      <c r="B6" s="5" t="s">
        <v>61</v>
      </c>
      <c r="C6" s="5" t="s">
        <v>62</v>
      </c>
      <c r="D6" s="5" t="s">
        <v>25</v>
      </c>
      <c r="E6" s="11" t="s">
        <v>26</v>
      </c>
      <c r="F6" s="11">
        <v>90046</v>
      </c>
      <c r="G6" s="12">
        <v>11500</v>
      </c>
      <c r="H6" s="12">
        <v>15000</v>
      </c>
      <c r="I6" s="13">
        <v>0.30434782608695654</v>
      </c>
      <c r="J6" s="14">
        <v>45666</v>
      </c>
      <c r="K6" s="5"/>
      <c r="L6" s="5" t="s">
        <v>27</v>
      </c>
      <c r="M6" s="15" t="s">
        <v>63</v>
      </c>
      <c r="N6" s="5"/>
      <c r="O6" s="5"/>
      <c r="P6" s="5" t="s">
        <v>38</v>
      </c>
      <c r="Q6" s="5" t="s">
        <v>64</v>
      </c>
      <c r="R6" s="5" t="s">
        <v>65</v>
      </c>
      <c r="S6" s="5" t="s">
        <v>66</v>
      </c>
      <c r="T6" s="16" t="s">
        <v>67</v>
      </c>
      <c r="U6" s="5" t="s">
        <v>33</v>
      </c>
      <c r="V6" s="5" t="s">
        <v>68</v>
      </c>
    </row>
    <row r="7" spans="1:29" ht="12.75">
      <c r="A7" s="5" t="s">
        <v>69</v>
      </c>
      <c r="B7" s="5">
        <v>5066004003</v>
      </c>
      <c r="C7" s="5" t="s">
        <v>70</v>
      </c>
      <c r="D7" s="5" t="s">
        <v>25</v>
      </c>
      <c r="E7" s="11" t="s">
        <v>26</v>
      </c>
      <c r="F7" s="11">
        <v>90034</v>
      </c>
      <c r="G7" s="12">
        <v>6600</v>
      </c>
      <c r="H7" s="12">
        <v>10000</v>
      </c>
      <c r="I7" s="13">
        <v>0.51515151515151514</v>
      </c>
      <c r="J7" s="14">
        <v>45666</v>
      </c>
      <c r="K7" s="5"/>
      <c r="L7" s="5" t="s">
        <v>27</v>
      </c>
      <c r="M7" s="15" t="s">
        <v>71</v>
      </c>
      <c r="N7" s="5" t="b">
        <v>1</v>
      </c>
      <c r="O7" s="5"/>
      <c r="P7" s="5" t="s">
        <v>72</v>
      </c>
      <c r="Q7" s="5" t="s">
        <v>73</v>
      </c>
      <c r="R7" s="5" t="s">
        <v>72</v>
      </c>
      <c r="S7" s="5" t="s">
        <v>74</v>
      </c>
      <c r="T7" s="16" t="s">
        <v>75</v>
      </c>
      <c r="U7" s="5" t="s">
        <v>33</v>
      </c>
      <c r="V7" s="5" t="s">
        <v>76</v>
      </c>
    </row>
    <row r="8" spans="1:29" ht="12.75">
      <c r="A8" s="5" t="s">
        <v>77</v>
      </c>
      <c r="B8" s="5" t="s">
        <v>61</v>
      </c>
      <c r="C8" s="5" t="s">
        <v>78</v>
      </c>
      <c r="D8" s="5" t="s">
        <v>79</v>
      </c>
      <c r="E8" s="11" t="s">
        <v>26</v>
      </c>
      <c r="F8" s="11">
        <v>91307</v>
      </c>
      <c r="G8" s="12">
        <v>10500</v>
      </c>
      <c r="H8" s="12">
        <v>13000</v>
      </c>
      <c r="I8" s="13">
        <v>0.23809523809523808</v>
      </c>
      <c r="J8" s="14">
        <v>45668</v>
      </c>
      <c r="K8" s="5"/>
      <c r="L8" s="5" t="s">
        <v>27</v>
      </c>
      <c r="M8" s="15" t="s">
        <v>80</v>
      </c>
      <c r="N8" s="5"/>
      <c r="O8" s="5" t="s">
        <v>81</v>
      </c>
      <c r="P8" s="5" t="s">
        <v>82</v>
      </c>
      <c r="Q8" s="5"/>
      <c r="R8" s="5"/>
      <c r="S8" s="5" t="s">
        <v>83</v>
      </c>
      <c r="T8" s="16" t="s">
        <v>84</v>
      </c>
      <c r="U8" s="5" t="s">
        <v>33</v>
      </c>
      <c r="V8" s="5" t="s">
        <v>85</v>
      </c>
    </row>
    <row r="9" spans="1:29" ht="12.75">
      <c r="A9" s="5" t="s">
        <v>86</v>
      </c>
      <c r="B9" s="5" t="s">
        <v>61</v>
      </c>
      <c r="C9" s="5" t="s">
        <v>87</v>
      </c>
      <c r="D9" s="5" t="s">
        <v>25</v>
      </c>
      <c r="E9" s="11" t="s">
        <v>26</v>
      </c>
      <c r="F9" s="11">
        <v>90048</v>
      </c>
      <c r="G9" s="12">
        <v>5500</v>
      </c>
      <c r="H9" s="12">
        <v>15000</v>
      </c>
      <c r="I9" s="13">
        <v>1.7272727272727273</v>
      </c>
      <c r="J9" s="14">
        <v>45668</v>
      </c>
      <c r="K9" s="5"/>
      <c r="L9" s="5" t="s">
        <v>27</v>
      </c>
      <c r="M9" s="15" t="s">
        <v>88</v>
      </c>
      <c r="N9" s="5"/>
      <c r="O9" s="5" t="s">
        <v>89</v>
      </c>
      <c r="P9" s="5" t="s">
        <v>38</v>
      </c>
      <c r="Q9" s="5"/>
      <c r="R9" s="5"/>
      <c r="S9" s="5" t="s">
        <v>90</v>
      </c>
      <c r="T9" s="16" t="s">
        <v>91</v>
      </c>
      <c r="U9" s="5" t="s">
        <v>33</v>
      </c>
      <c r="V9" s="5" t="s">
        <v>92</v>
      </c>
    </row>
    <row r="10" spans="1:29" ht="12.75">
      <c r="A10" s="5" t="s">
        <v>93</v>
      </c>
      <c r="B10" s="5">
        <v>5577010114</v>
      </c>
      <c r="C10" s="5" t="s">
        <v>94</v>
      </c>
      <c r="D10" s="5" t="s">
        <v>25</v>
      </c>
      <c r="E10" s="11" t="s">
        <v>26</v>
      </c>
      <c r="F10" s="11">
        <v>90068</v>
      </c>
      <c r="G10" s="12">
        <v>3200</v>
      </c>
      <c r="H10" s="12">
        <v>3600</v>
      </c>
      <c r="I10" s="13">
        <v>0.125</v>
      </c>
      <c r="J10" s="14">
        <v>45664</v>
      </c>
      <c r="K10" s="5"/>
      <c r="L10" s="5" t="s">
        <v>27</v>
      </c>
      <c r="M10" s="15" t="s">
        <v>95</v>
      </c>
      <c r="N10" s="5"/>
      <c r="O10" s="5"/>
      <c r="P10" s="5" t="s">
        <v>96</v>
      </c>
      <c r="Q10" s="5" t="s">
        <v>97</v>
      </c>
      <c r="R10" s="5" t="s">
        <v>96</v>
      </c>
      <c r="S10" s="5" t="s">
        <v>98</v>
      </c>
      <c r="T10" s="5"/>
      <c r="U10" s="5" t="s">
        <v>33</v>
      </c>
      <c r="V10" s="5" t="s">
        <v>99</v>
      </c>
    </row>
    <row r="11" spans="1:29" ht="12.75">
      <c r="A11" s="5" t="s">
        <v>100</v>
      </c>
      <c r="B11" s="5" t="s">
        <v>61</v>
      </c>
      <c r="C11" s="5" t="s">
        <v>101</v>
      </c>
      <c r="D11" s="5" t="s">
        <v>102</v>
      </c>
      <c r="E11" s="11" t="s">
        <v>26</v>
      </c>
      <c r="F11" s="11">
        <v>90034</v>
      </c>
      <c r="G11" s="12">
        <v>3695</v>
      </c>
      <c r="H11" s="12">
        <v>4500</v>
      </c>
      <c r="I11" s="13">
        <v>0.2178619756427605</v>
      </c>
      <c r="J11" s="14">
        <v>45668</v>
      </c>
      <c r="K11" s="5"/>
      <c r="L11" s="5" t="s">
        <v>27</v>
      </c>
      <c r="M11" s="15" t="s">
        <v>103</v>
      </c>
      <c r="N11" s="5"/>
      <c r="O11" s="5" t="s">
        <v>104</v>
      </c>
      <c r="P11" s="5" t="s">
        <v>105</v>
      </c>
      <c r="Q11" s="5"/>
      <c r="R11" s="5"/>
      <c r="S11" s="5" t="s">
        <v>106</v>
      </c>
      <c r="T11" s="5" t="s">
        <v>107</v>
      </c>
      <c r="U11" s="5" t="s">
        <v>33</v>
      </c>
      <c r="V11" s="5" t="s">
        <v>108</v>
      </c>
    </row>
    <row r="12" spans="1:29" ht="12.75">
      <c r="A12" s="5" t="s">
        <v>109</v>
      </c>
      <c r="B12" s="5" t="s">
        <v>61</v>
      </c>
      <c r="C12" s="5" t="s">
        <v>110</v>
      </c>
      <c r="D12" s="5" t="s">
        <v>25</v>
      </c>
      <c r="E12" s="11" t="s">
        <v>26</v>
      </c>
      <c r="F12" s="11">
        <v>90041</v>
      </c>
      <c r="G12" s="12">
        <v>2995</v>
      </c>
      <c r="H12" s="12">
        <v>3600</v>
      </c>
      <c r="I12" s="13">
        <v>0.2020033388981636</v>
      </c>
      <c r="J12" s="14">
        <v>45665</v>
      </c>
      <c r="K12" s="5"/>
      <c r="L12" s="5" t="s">
        <v>27</v>
      </c>
      <c r="M12" s="15" t="s">
        <v>111</v>
      </c>
      <c r="N12" s="5"/>
      <c r="O12" s="5" t="s">
        <v>112</v>
      </c>
      <c r="P12" s="5" t="s">
        <v>113</v>
      </c>
      <c r="Q12" s="5"/>
      <c r="R12" s="5"/>
      <c r="S12" s="5" t="s">
        <v>114</v>
      </c>
      <c r="T12" s="5"/>
      <c r="U12" s="5" t="s">
        <v>33</v>
      </c>
      <c r="V12" s="5" t="s">
        <v>115</v>
      </c>
    </row>
    <row r="13" spans="1:29" ht="12.75">
      <c r="A13" s="5" t="s">
        <v>116</v>
      </c>
      <c r="B13" s="5">
        <v>5677025001</v>
      </c>
      <c r="C13" s="5" t="s">
        <v>117</v>
      </c>
      <c r="D13" s="5" t="s">
        <v>118</v>
      </c>
      <c r="E13" s="11" t="s">
        <v>26</v>
      </c>
      <c r="F13" s="11">
        <v>91205</v>
      </c>
      <c r="G13" s="12">
        <v>8500</v>
      </c>
      <c r="H13" s="12">
        <v>19500</v>
      </c>
      <c r="I13" s="13">
        <v>1.2941176470588236</v>
      </c>
      <c r="J13" s="14">
        <v>45669</v>
      </c>
      <c r="K13" s="5"/>
      <c r="L13" s="5" t="s">
        <v>27</v>
      </c>
      <c r="M13" s="15" t="s">
        <v>119</v>
      </c>
      <c r="N13" s="5"/>
      <c r="O13" s="5" t="s">
        <v>120</v>
      </c>
      <c r="P13" s="5"/>
      <c r="Q13" s="5" t="s">
        <v>121</v>
      </c>
      <c r="R13" s="5" t="s">
        <v>122</v>
      </c>
      <c r="S13" s="5" t="s">
        <v>123</v>
      </c>
      <c r="T13" s="5"/>
      <c r="U13" s="5" t="s">
        <v>33</v>
      </c>
      <c r="V13" s="5" t="s">
        <v>124</v>
      </c>
    </row>
    <row r="14" spans="1:29" ht="12.75">
      <c r="A14" s="5" t="s">
        <v>125</v>
      </c>
      <c r="B14" s="5">
        <v>2369037006</v>
      </c>
      <c r="C14" s="5" t="s">
        <v>126</v>
      </c>
      <c r="D14" s="5" t="s">
        <v>127</v>
      </c>
      <c r="E14" s="11" t="s">
        <v>26</v>
      </c>
      <c r="F14" s="11">
        <v>91604</v>
      </c>
      <c r="G14" s="12">
        <v>10000</v>
      </c>
      <c r="H14" s="12">
        <v>16000</v>
      </c>
      <c r="I14" s="13">
        <v>0.6</v>
      </c>
      <c r="J14" s="14">
        <v>45666</v>
      </c>
      <c r="K14" s="5"/>
      <c r="L14" s="5" t="s">
        <v>27</v>
      </c>
      <c r="M14" s="15" t="s">
        <v>128</v>
      </c>
      <c r="N14" s="5"/>
      <c r="O14" s="5" t="s">
        <v>129</v>
      </c>
      <c r="P14" s="5" t="s">
        <v>130</v>
      </c>
      <c r="Q14" s="5"/>
      <c r="R14" s="5"/>
      <c r="S14" s="5" t="s">
        <v>131</v>
      </c>
      <c r="T14" s="16" t="s">
        <v>132</v>
      </c>
      <c r="U14" s="5" t="s">
        <v>33</v>
      </c>
      <c r="V14" s="5" t="s">
        <v>133</v>
      </c>
    </row>
    <row r="15" spans="1:29" ht="12.75">
      <c r="A15" s="5" t="s">
        <v>134</v>
      </c>
      <c r="B15" s="5">
        <v>5549022024</v>
      </c>
      <c r="C15" s="5" t="s">
        <v>135</v>
      </c>
      <c r="D15" s="5" t="s">
        <v>25</v>
      </c>
      <c r="E15" s="11" t="s">
        <v>26</v>
      </c>
      <c r="F15" s="11">
        <v>90068</v>
      </c>
      <c r="G15" s="12">
        <v>8500</v>
      </c>
      <c r="H15" s="12">
        <v>12500</v>
      </c>
      <c r="I15" s="13">
        <v>0.47058823529411764</v>
      </c>
      <c r="J15" s="14">
        <v>45668</v>
      </c>
      <c r="K15" s="5"/>
      <c r="L15" s="5" t="s">
        <v>27</v>
      </c>
      <c r="M15" s="15" t="s">
        <v>136</v>
      </c>
      <c r="N15" s="5"/>
      <c r="O15" s="5"/>
      <c r="P15" s="5" t="s">
        <v>137</v>
      </c>
      <c r="Q15" s="5" t="s">
        <v>138</v>
      </c>
      <c r="R15" s="5" t="s">
        <v>137</v>
      </c>
      <c r="S15" s="5" t="s">
        <v>114</v>
      </c>
      <c r="T15" s="5"/>
      <c r="U15" s="5" t="s">
        <v>33</v>
      </c>
      <c r="V15" s="5" t="s">
        <v>139</v>
      </c>
    </row>
    <row r="16" spans="1:29" ht="12.75">
      <c r="A16" s="5" t="s">
        <v>140</v>
      </c>
      <c r="B16" s="5">
        <v>5516010001</v>
      </c>
      <c r="C16" s="5" t="s">
        <v>141</v>
      </c>
      <c r="D16" s="5" t="s">
        <v>25</v>
      </c>
      <c r="E16" s="11" t="s">
        <v>26</v>
      </c>
      <c r="F16" s="11">
        <v>90004</v>
      </c>
      <c r="G16" s="12">
        <v>8000</v>
      </c>
      <c r="H16" s="12">
        <v>10000</v>
      </c>
      <c r="I16" s="13">
        <v>0.25</v>
      </c>
      <c r="J16" s="14">
        <v>45665</v>
      </c>
      <c r="K16" s="5"/>
      <c r="L16" s="5" t="s">
        <v>27</v>
      </c>
      <c r="M16" s="15" t="s">
        <v>142</v>
      </c>
      <c r="N16" s="5"/>
      <c r="O16" s="5" t="s">
        <v>143</v>
      </c>
      <c r="P16" s="5" t="s">
        <v>144</v>
      </c>
      <c r="Q16" s="5"/>
      <c r="R16" s="5"/>
      <c r="S16" s="5" t="s">
        <v>145</v>
      </c>
      <c r="T16" s="5"/>
      <c r="U16" s="5"/>
    </row>
    <row r="17" spans="1:22" ht="12.75">
      <c r="A17" s="5" t="s">
        <v>146</v>
      </c>
      <c r="B17" s="5">
        <v>5527015009</v>
      </c>
      <c r="C17" s="5" t="s">
        <v>147</v>
      </c>
      <c r="D17" s="5" t="s">
        <v>25</v>
      </c>
      <c r="E17" s="11" t="s">
        <v>26</v>
      </c>
      <c r="F17" s="11">
        <v>90048</v>
      </c>
      <c r="G17" s="12">
        <v>24000</v>
      </c>
      <c r="H17" s="12">
        <v>35000</v>
      </c>
      <c r="I17" s="13">
        <v>0.45833333333333331</v>
      </c>
      <c r="J17" s="14">
        <v>45669</v>
      </c>
      <c r="K17" s="5"/>
      <c r="L17" s="5" t="s">
        <v>27</v>
      </c>
      <c r="M17" s="15" t="s">
        <v>148</v>
      </c>
      <c r="N17" s="5"/>
      <c r="O17" s="5" t="s">
        <v>149</v>
      </c>
      <c r="P17" s="5" t="s">
        <v>150</v>
      </c>
      <c r="Q17" s="5"/>
      <c r="R17" s="5"/>
      <c r="S17" s="5" t="s">
        <v>114</v>
      </c>
      <c r="T17" s="5"/>
      <c r="U17" s="5" t="s">
        <v>33</v>
      </c>
      <c r="V17" s="5" t="s">
        <v>151</v>
      </c>
    </row>
    <row r="18" spans="1:22" ht="12.75">
      <c r="A18" s="5" t="s">
        <v>152</v>
      </c>
      <c r="B18" s="5">
        <v>5088003052</v>
      </c>
      <c r="C18" s="5" t="s">
        <v>153</v>
      </c>
      <c r="D18" s="5" t="s">
        <v>25</v>
      </c>
      <c r="E18" s="11" t="s">
        <v>26</v>
      </c>
      <c r="F18" s="11">
        <v>90068</v>
      </c>
      <c r="G18" s="12">
        <v>8999</v>
      </c>
      <c r="H18" s="12">
        <v>12500</v>
      </c>
      <c r="I18" s="13">
        <v>0.38904322702522504</v>
      </c>
      <c r="J18" s="14">
        <v>45669</v>
      </c>
      <c r="K18" s="5"/>
      <c r="L18" s="5" t="s">
        <v>27</v>
      </c>
      <c r="M18" s="15" t="s">
        <v>154</v>
      </c>
      <c r="N18" s="5"/>
      <c r="O18" s="5" t="s">
        <v>155</v>
      </c>
      <c r="P18" s="5" t="s">
        <v>156</v>
      </c>
      <c r="Q18" s="5"/>
      <c r="R18" s="5"/>
      <c r="S18" s="5" t="s">
        <v>114</v>
      </c>
      <c r="T18" s="5"/>
      <c r="U18" s="5" t="s">
        <v>33</v>
      </c>
      <c r="V18" s="5" t="s">
        <v>157</v>
      </c>
    </row>
    <row r="19" spans="1:22" ht="12.75">
      <c r="A19" s="5" t="s">
        <v>158</v>
      </c>
      <c r="B19" s="5">
        <v>5157027044</v>
      </c>
      <c r="C19" s="5" t="s">
        <v>159</v>
      </c>
      <c r="D19" s="5" t="s">
        <v>25</v>
      </c>
      <c r="E19" s="11" t="s">
        <v>26</v>
      </c>
      <c r="F19" s="11">
        <v>90026</v>
      </c>
      <c r="G19" s="12">
        <v>9995</v>
      </c>
      <c r="H19" s="12">
        <v>14500</v>
      </c>
      <c r="I19" s="13">
        <v>0.45072536268134067</v>
      </c>
      <c r="J19" s="14">
        <v>45669</v>
      </c>
      <c r="K19" s="5"/>
      <c r="L19" s="5" t="s">
        <v>27</v>
      </c>
      <c r="M19" s="15" t="s">
        <v>160</v>
      </c>
      <c r="N19" s="5"/>
      <c r="O19" s="5" t="s">
        <v>161</v>
      </c>
      <c r="Q19" s="5"/>
      <c r="R19" s="5"/>
      <c r="S19" s="5" t="s">
        <v>114</v>
      </c>
      <c r="T19" s="5"/>
      <c r="U19" s="5" t="s">
        <v>33</v>
      </c>
      <c r="V19" s="5" t="s">
        <v>162</v>
      </c>
    </row>
    <row r="20" spans="1:22" ht="12.75">
      <c r="A20" s="5" t="s">
        <v>163</v>
      </c>
      <c r="B20" s="5">
        <v>5565040037</v>
      </c>
      <c r="C20" s="5" t="s">
        <v>164</v>
      </c>
      <c r="D20" s="5" t="s">
        <v>25</v>
      </c>
      <c r="E20" s="11" t="s">
        <v>26</v>
      </c>
      <c r="F20" s="11">
        <v>90046</v>
      </c>
      <c r="G20" s="12">
        <v>15495</v>
      </c>
      <c r="H20" s="12">
        <v>22000</v>
      </c>
      <c r="I20" s="13">
        <v>0.41981284285253306</v>
      </c>
      <c r="J20" s="14">
        <v>45666</v>
      </c>
      <c r="K20" s="5"/>
      <c r="L20" s="5" t="s">
        <v>27</v>
      </c>
      <c r="M20" s="15" t="s">
        <v>165</v>
      </c>
      <c r="N20" s="5"/>
      <c r="O20" s="5" t="s">
        <v>166</v>
      </c>
      <c r="P20" s="5" t="s">
        <v>167</v>
      </c>
      <c r="Q20" s="5"/>
      <c r="R20" s="5"/>
      <c r="S20" s="5" t="s">
        <v>114</v>
      </c>
      <c r="T20" s="5"/>
      <c r="U20" s="5" t="s">
        <v>33</v>
      </c>
      <c r="V20" s="5" t="s">
        <v>168</v>
      </c>
    </row>
    <row r="21" spans="1:22" ht="12.75">
      <c r="A21" s="5" t="s">
        <v>169</v>
      </c>
      <c r="B21" s="5">
        <v>5576015017</v>
      </c>
      <c r="C21" s="5" t="s">
        <v>170</v>
      </c>
      <c r="D21" s="5" t="s">
        <v>25</v>
      </c>
      <c r="E21" s="11" t="s">
        <v>26</v>
      </c>
      <c r="F21" s="11">
        <v>90068</v>
      </c>
      <c r="G21" s="12">
        <v>10500</v>
      </c>
      <c r="H21" s="12">
        <v>16500</v>
      </c>
      <c r="I21" s="13">
        <v>0.5714285714285714</v>
      </c>
      <c r="J21" s="14">
        <v>45669</v>
      </c>
      <c r="K21" s="5"/>
      <c r="L21" s="5" t="s">
        <v>27</v>
      </c>
      <c r="M21" s="15" t="s">
        <v>171</v>
      </c>
      <c r="N21" s="5"/>
      <c r="O21" s="5" t="s">
        <v>172</v>
      </c>
      <c r="P21" s="5" t="s">
        <v>173</v>
      </c>
      <c r="Q21" s="5"/>
      <c r="R21" s="5"/>
      <c r="S21" s="5" t="s">
        <v>114</v>
      </c>
      <c r="T21" s="5"/>
      <c r="U21" s="5" t="s">
        <v>33</v>
      </c>
      <c r="V21" s="5" t="s">
        <v>174</v>
      </c>
    </row>
    <row r="22" spans="1:22" ht="12.75">
      <c r="A22" s="5" t="s">
        <v>175</v>
      </c>
      <c r="B22" s="5">
        <v>2428010032</v>
      </c>
      <c r="C22" s="5" t="s">
        <v>176</v>
      </c>
      <c r="D22" s="5" t="s">
        <v>25</v>
      </c>
      <c r="E22" s="11" t="s">
        <v>26</v>
      </c>
      <c r="F22" s="11">
        <v>90068</v>
      </c>
      <c r="G22" s="12">
        <v>14995</v>
      </c>
      <c r="H22" s="12">
        <v>17500</v>
      </c>
      <c r="I22" s="13">
        <v>0.16705568522840947</v>
      </c>
      <c r="J22" s="14">
        <v>45668</v>
      </c>
      <c r="K22" s="5"/>
      <c r="L22" s="5" t="s">
        <v>27</v>
      </c>
      <c r="M22" s="15" t="s">
        <v>177</v>
      </c>
      <c r="N22" s="5"/>
      <c r="O22" s="5" t="s">
        <v>178</v>
      </c>
      <c r="P22" s="5" t="s">
        <v>179</v>
      </c>
      <c r="Q22" s="5"/>
      <c r="R22" s="5"/>
      <c r="S22" s="5" t="s">
        <v>114</v>
      </c>
      <c r="T22" s="5"/>
      <c r="U22" s="5" t="s">
        <v>33</v>
      </c>
      <c r="V22" s="5" t="s">
        <v>180</v>
      </c>
    </row>
    <row r="23" spans="1:22" ht="12.75">
      <c r="A23" s="5" t="s">
        <v>181</v>
      </c>
      <c r="B23" s="5">
        <v>5586018041</v>
      </c>
      <c r="C23" s="5" t="s">
        <v>182</v>
      </c>
      <c r="D23" s="5" t="s">
        <v>25</v>
      </c>
      <c r="E23" s="11" t="s">
        <v>26</v>
      </c>
      <c r="F23" s="11">
        <v>90068</v>
      </c>
      <c r="G23" s="12">
        <v>17995</v>
      </c>
      <c r="H23" s="12">
        <v>23000</v>
      </c>
      <c r="I23" s="13">
        <v>0.27813281467074186</v>
      </c>
      <c r="J23" s="14">
        <v>45667</v>
      </c>
      <c r="K23" s="5"/>
      <c r="L23" s="5" t="s">
        <v>27</v>
      </c>
      <c r="M23" s="15" t="s">
        <v>183</v>
      </c>
      <c r="N23" s="5"/>
      <c r="O23" s="5" t="s">
        <v>184</v>
      </c>
      <c r="P23" s="5" t="s">
        <v>185</v>
      </c>
      <c r="Q23" s="5"/>
      <c r="R23" s="5"/>
      <c r="S23" s="5" t="s">
        <v>114</v>
      </c>
      <c r="T23" s="5"/>
      <c r="U23" s="5" t="s">
        <v>33</v>
      </c>
      <c r="V23" s="5" t="s">
        <v>186</v>
      </c>
    </row>
    <row r="24" spans="1:22" ht="12.75">
      <c r="A24" s="5" t="s">
        <v>187</v>
      </c>
      <c r="B24" s="5">
        <v>5569036003</v>
      </c>
      <c r="C24" s="5" t="s">
        <v>188</v>
      </c>
      <c r="D24" s="5" t="s">
        <v>25</v>
      </c>
      <c r="E24" s="11" t="s">
        <v>26</v>
      </c>
      <c r="F24" s="11">
        <v>90046</v>
      </c>
      <c r="G24" s="12">
        <v>33000</v>
      </c>
      <c r="H24" s="12">
        <v>42000</v>
      </c>
      <c r="I24" s="13">
        <v>0.27272727272727271</v>
      </c>
      <c r="J24" s="14">
        <v>45667</v>
      </c>
      <c r="K24" s="5"/>
      <c r="L24" s="5" t="s">
        <v>27</v>
      </c>
      <c r="M24" s="15" t="s">
        <v>189</v>
      </c>
      <c r="N24" s="5"/>
      <c r="O24" s="5" t="s">
        <v>190</v>
      </c>
      <c r="P24" s="5" t="s">
        <v>191</v>
      </c>
      <c r="Q24" s="5"/>
      <c r="R24" s="5"/>
      <c r="S24" s="5" t="s">
        <v>192</v>
      </c>
      <c r="T24" s="5"/>
      <c r="U24" s="5" t="s">
        <v>33</v>
      </c>
      <c r="V24" s="5" t="s">
        <v>193</v>
      </c>
    </row>
    <row r="25" spans="1:22" ht="12.75">
      <c r="A25" s="5" t="s">
        <v>194</v>
      </c>
      <c r="B25" s="5">
        <v>5559013002</v>
      </c>
      <c r="C25" s="5" t="s">
        <v>195</v>
      </c>
      <c r="D25" s="5" t="s">
        <v>25</v>
      </c>
      <c r="E25" s="11" t="s">
        <v>26</v>
      </c>
      <c r="F25" s="11">
        <v>90069</v>
      </c>
      <c r="G25" s="12">
        <v>19000</v>
      </c>
      <c r="H25" s="12">
        <v>25000</v>
      </c>
      <c r="I25" s="13">
        <v>0.31578947368421051</v>
      </c>
      <c r="J25" s="14">
        <v>45668</v>
      </c>
      <c r="K25" s="5"/>
      <c r="L25" s="5" t="s">
        <v>27</v>
      </c>
      <c r="M25" s="15" t="s">
        <v>196</v>
      </c>
      <c r="N25" s="5"/>
      <c r="O25" s="5" t="s">
        <v>197</v>
      </c>
      <c r="P25" s="5"/>
      <c r="Q25" s="5"/>
      <c r="R25" s="5"/>
      <c r="S25" s="5" t="s">
        <v>114</v>
      </c>
      <c r="T25" s="5"/>
      <c r="U25" s="5" t="s">
        <v>33</v>
      </c>
      <c r="V25" s="5" t="s">
        <v>198</v>
      </c>
    </row>
    <row r="26" spans="1:22" ht="12.75">
      <c r="A26" s="5" t="s">
        <v>199</v>
      </c>
      <c r="B26" s="5">
        <v>5561010016</v>
      </c>
      <c r="C26" s="5" t="s">
        <v>200</v>
      </c>
      <c r="D26" s="5" t="s">
        <v>25</v>
      </c>
      <c r="E26" s="11" t="s">
        <v>26</v>
      </c>
      <c r="F26" s="11">
        <v>90069</v>
      </c>
      <c r="G26" s="12">
        <v>21000</v>
      </c>
      <c r="H26" s="12">
        <v>28500</v>
      </c>
      <c r="I26" s="13">
        <v>0.35714285714285715</v>
      </c>
      <c r="J26" s="14">
        <v>45665</v>
      </c>
      <c r="K26" s="5"/>
      <c r="L26" s="5" t="s">
        <v>27</v>
      </c>
      <c r="M26" s="15" t="s">
        <v>201</v>
      </c>
      <c r="N26" s="5"/>
      <c r="O26" s="5" t="s">
        <v>202</v>
      </c>
      <c r="P26" s="5" t="s">
        <v>203</v>
      </c>
      <c r="Q26" s="5"/>
      <c r="R26" s="5"/>
      <c r="S26" s="5" t="s">
        <v>114</v>
      </c>
      <c r="T26" s="5"/>
      <c r="U26" s="5" t="s">
        <v>204</v>
      </c>
    </row>
    <row r="27" spans="1:22" ht="12.75">
      <c r="A27" s="5" t="s">
        <v>205</v>
      </c>
      <c r="B27" s="5">
        <v>5561009027</v>
      </c>
      <c r="C27" s="5" t="s">
        <v>206</v>
      </c>
      <c r="D27" s="5" t="s">
        <v>25</v>
      </c>
      <c r="E27" s="11" t="s">
        <v>26</v>
      </c>
      <c r="F27" s="11">
        <v>90069</v>
      </c>
      <c r="G27" s="12">
        <v>20000</v>
      </c>
      <c r="H27" s="12">
        <v>23995</v>
      </c>
      <c r="I27" s="13">
        <v>0.19975000000000001</v>
      </c>
      <c r="J27" s="14">
        <v>45669</v>
      </c>
      <c r="K27" s="5"/>
      <c r="L27" s="5" t="s">
        <v>27</v>
      </c>
      <c r="M27" s="15" t="s">
        <v>207</v>
      </c>
      <c r="N27" s="5"/>
      <c r="O27" s="5" t="s">
        <v>208</v>
      </c>
      <c r="P27" s="5" t="s">
        <v>209</v>
      </c>
      <c r="Q27" s="5"/>
      <c r="R27" s="5"/>
      <c r="S27" s="5" t="s">
        <v>114</v>
      </c>
      <c r="T27" s="5"/>
      <c r="U27" s="5" t="s">
        <v>33</v>
      </c>
      <c r="V27" s="5" t="s">
        <v>210</v>
      </c>
    </row>
    <row r="28" spans="1:22" ht="12.75">
      <c r="A28" s="5" t="s">
        <v>211</v>
      </c>
      <c r="B28" s="5">
        <v>5435014021</v>
      </c>
      <c r="C28" s="5" t="s">
        <v>212</v>
      </c>
      <c r="D28" s="5" t="s">
        <v>25</v>
      </c>
      <c r="E28" s="11" t="s">
        <v>26</v>
      </c>
      <c r="F28" s="11">
        <v>90039</v>
      </c>
      <c r="G28" s="12">
        <v>8000</v>
      </c>
      <c r="H28" s="12">
        <v>9000</v>
      </c>
      <c r="I28" s="13">
        <v>0.125</v>
      </c>
      <c r="J28" s="14">
        <v>45666</v>
      </c>
      <c r="K28" s="5"/>
      <c r="L28" s="5" t="s">
        <v>27</v>
      </c>
      <c r="M28" s="15" t="s">
        <v>213</v>
      </c>
      <c r="N28" s="5"/>
      <c r="O28" s="5"/>
      <c r="P28" s="5"/>
      <c r="Q28" s="5" t="s">
        <v>214</v>
      </c>
      <c r="R28" s="5" t="s">
        <v>215</v>
      </c>
      <c r="S28" s="5" t="s">
        <v>114</v>
      </c>
      <c r="T28" s="5"/>
      <c r="U28" s="5" t="s">
        <v>33</v>
      </c>
      <c r="V28" s="5" t="s">
        <v>216</v>
      </c>
    </row>
    <row r="29" spans="1:22" ht="12.75">
      <c r="A29" s="5" t="s">
        <v>217</v>
      </c>
      <c r="B29" s="5">
        <v>5549013020</v>
      </c>
      <c r="C29" s="5" t="s">
        <v>218</v>
      </c>
      <c r="D29" s="5" t="s">
        <v>25</v>
      </c>
      <c r="E29" s="11" t="s">
        <v>26</v>
      </c>
      <c r="F29" s="11">
        <v>90068</v>
      </c>
      <c r="G29" s="12">
        <v>29900</v>
      </c>
      <c r="H29" s="12">
        <v>34999</v>
      </c>
      <c r="I29" s="13">
        <v>0.1705351170568562</v>
      </c>
      <c r="J29" s="14">
        <v>45666</v>
      </c>
      <c r="K29" s="5"/>
      <c r="L29" s="5" t="s">
        <v>27</v>
      </c>
      <c r="M29" s="15" t="s">
        <v>219</v>
      </c>
      <c r="N29" s="5"/>
      <c r="O29" s="5"/>
      <c r="P29" s="5"/>
      <c r="Q29" s="5" t="s">
        <v>220</v>
      </c>
      <c r="R29" s="5" t="s">
        <v>221</v>
      </c>
      <c r="S29" s="5" t="s">
        <v>114</v>
      </c>
      <c r="T29" s="5"/>
      <c r="U29" s="5" t="s">
        <v>33</v>
      </c>
      <c r="V29" s="5" t="s">
        <v>222</v>
      </c>
    </row>
    <row r="30" spans="1:22" ht="12.75">
      <c r="A30" s="5" t="s">
        <v>223</v>
      </c>
      <c r="B30" s="5">
        <v>5068020027</v>
      </c>
      <c r="C30" s="5" t="s">
        <v>224</v>
      </c>
      <c r="D30" s="5" t="s">
        <v>25</v>
      </c>
      <c r="E30" s="11" t="s">
        <v>26</v>
      </c>
      <c r="F30" s="11">
        <v>90035</v>
      </c>
      <c r="G30" s="12">
        <v>6995</v>
      </c>
      <c r="H30" s="12">
        <v>8790</v>
      </c>
      <c r="I30" s="13">
        <v>0.2566118656182988</v>
      </c>
      <c r="J30" s="14">
        <v>45667</v>
      </c>
      <c r="K30" s="5"/>
      <c r="L30" s="5" t="s">
        <v>27</v>
      </c>
      <c r="M30" s="15" t="s">
        <v>225</v>
      </c>
      <c r="N30" s="5"/>
      <c r="O30" s="5" t="s">
        <v>226</v>
      </c>
      <c r="P30" s="5" t="s">
        <v>227</v>
      </c>
      <c r="Q30" s="5"/>
      <c r="R30" s="5"/>
      <c r="S30" s="5" t="s">
        <v>114</v>
      </c>
      <c r="T30" s="5"/>
      <c r="U30" s="5" t="s">
        <v>33</v>
      </c>
      <c r="V30" s="5" t="s">
        <v>228</v>
      </c>
    </row>
    <row r="31" spans="1:22" ht="12.75">
      <c r="A31" s="5" t="s">
        <v>229</v>
      </c>
      <c r="B31" s="5">
        <v>5567007001</v>
      </c>
      <c r="C31" s="5" t="s">
        <v>230</v>
      </c>
      <c r="D31" s="5" t="s">
        <v>25</v>
      </c>
      <c r="E31" s="11" t="s">
        <v>26</v>
      </c>
      <c r="F31" s="11">
        <v>90046</v>
      </c>
      <c r="G31" s="12">
        <v>19950</v>
      </c>
      <c r="H31" s="12">
        <v>23500</v>
      </c>
      <c r="I31" s="13">
        <v>0.17794486215538846</v>
      </c>
      <c r="J31" s="14">
        <v>45667</v>
      </c>
      <c r="K31" s="5"/>
      <c r="L31" s="5" t="s">
        <v>27</v>
      </c>
      <c r="M31" s="15" t="s">
        <v>231</v>
      </c>
      <c r="N31" s="5"/>
      <c r="O31" s="5" t="s">
        <v>232</v>
      </c>
      <c r="P31" s="5" t="s">
        <v>233</v>
      </c>
      <c r="Q31" s="5"/>
      <c r="R31" s="5"/>
      <c r="S31" s="5" t="s">
        <v>114</v>
      </c>
      <c r="T31" s="5"/>
      <c r="U31" s="5" t="s">
        <v>33</v>
      </c>
      <c r="V31" s="5" t="s">
        <v>234</v>
      </c>
    </row>
    <row r="32" spans="1:22" ht="12.75">
      <c r="A32" s="5" t="s">
        <v>235</v>
      </c>
      <c r="B32" s="5">
        <v>5556021011</v>
      </c>
      <c r="C32" s="5" t="s">
        <v>236</v>
      </c>
      <c r="D32" s="5" t="s">
        <v>25</v>
      </c>
      <c r="E32" s="11" t="s">
        <v>26</v>
      </c>
      <c r="F32" s="11">
        <v>90046</v>
      </c>
      <c r="G32" s="12">
        <v>24985</v>
      </c>
      <c r="H32" s="12">
        <v>29995</v>
      </c>
      <c r="I32" s="13">
        <v>0.20052031218731239</v>
      </c>
      <c r="J32" s="14">
        <v>45666</v>
      </c>
      <c r="K32" s="5"/>
      <c r="L32" s="5" t="s">
        <v>27</v>
      </c>
      <c r="M32" s="15" t="s">
        <v>237</v>
      </c>
      <c r="N32" s="5"/>
      <c r="O32" s="5" t="s">
        <v>238</v>
      </c>
      <c r="P32" s="5" t="s">
        <v>239</v>
      </c>
      <c r="Q32" s="5"/>
      <c r="R32" s="5"/>
      <c r="S32" s="5" t="s">
        <v>114</v>
      </c>
      <c r="T32" s="5"/>
      <c r="U32" s="5" t="s">
        <v>33</v>
      </c>
    </row>
    <row r="33" spans="1:22" ht="12.75">
      <c r="A33" s="5" t="s">
        <v>240</v>
      </c>
      <c r="B33" s="5">
        <v>4303027022</v>
      </c>
      <c r="C33" s="5" t="s">
        <v>241</v>
      </c>
      <c r="D33" s="5" t="s">
        <v>25</v>
      </c>
      <c r="E33" s="11" t="s">
        <v>242</v>
      </c>
      <c r="F33" s="11">
        <v>90035</v>
      </c>
      <c r="G33" s="12">
        <v>6000</v>
      </c>
      <c r="H33" s="12">
        <v>7000</v>
      </c>
      <c r="I33" s="13">
        <v>0.16666666666666666</v>
      </c>
      <c r="J33" s="14">
        <v>45667</v>
      </c>
      <c r="K33" s="5"/>
      <c r="L33" s="5" t="s">
        <v>27</v>
      </c>
      <c r="M33" s="15" t="s">
        <v>243</v>
      </c>
      <c r="N33" s="5"/>
      <c r="O33" s="5" t="s">
        <v>244</v>
      </c>
      <c r="P33" s="5" t="s">
        <v>245</v>
      </c>
      <c r="Q33" s="5"/>
      <c r="R33" s="5"/>
      <c r="S33" s="5" t="s">
        <v>114</v>
      </c>
      <c r="T33" s="5"/>
      <c r="U33" s="5" t="s">
        <v>204</v>
      </c>
    </row>
    <row r="34" spans="1:22" ht="12.75">
      <c r="A34" s="5" t="s">
        <v>246</v>
      </c>
      <c r="B34" s="5">
        <v>5569004010</v>
      </c>
      <c r="C34" s="5" t="s">
        <v>247</v>
      </c>
      <c r="D34" s="5" t="s">
        <v>25</v>
      </c>
      <c r="E34" s="11" t="s">
        <v>26</v>
      </c>
      <c r="F34" s="11">
        <v>90046</v>
      </c>
      <c r="G34" s="12">
        <v>19485</v>
      </c>
      <c r="H34" s="12">
        <v>25495</v>
      </c>
      <c r="I34" s="13">
        <v>0.30844239158326919</v>
      </c>
      <c r="J34" s="14">
        <v>45666</v>
      </c>
      <c r="K34" s="5"/>
      <c r="L34" s="5" t="s">
        <v>27</v>
      </c>
      <c r="M34" s="15" t="s">
        <v>248</v>
      </c>
      <c r="N34" s="5"/>
      <c r="O34" s="5"/>
      <c r="P34" s="5"/>
      <c r="Q34" s="5"/>
      <c r="R34" s="5"/>
      <c r="S34" s="5" t="s">
        <v>114</v>
      </c>
      <c r="T34" s="5"/>
      <c r="U34" s="5" t="s">
        <v>33</v>
      </c>
      <c r="V34" s="5" t="s">
        <v>249</v>
      </c>
    </row>
    <row r="35" spans="1:22" ht="12.75">
      <c r="A35" s="5" t="s">
        <v>250</v>
      </c>
      <c r="B35" s="5">
        <v>5569028032</v>
      </c>
      <c r="C35" s="5" t="s">
        <v>251</v>
      </c>
      <c r="D35" s="5" t="s">
        <v>25</v>
      </c>
      <c r="E35" s="11" t="s">
        <v>26</v>
      </c>
      <c r="F35" s="11">
        <v>90046</v>
      </c>
      <c r="G35" s="12">
        <v>30000</v>
      </c>
      <c r="H35" s="12">
        <v>38000</v>
      </c>
      <c r="I35" s="13">
        <v>0.26666666666666666</v>
      </c>
      <c r="J35" s="14">
        <v>45668</v>
      </c>
      <c r="K35" s="5"/>
      <c r="L35" s="5" t="s">
        <v>27</v>
      </c>
      <c r="M35" s="15" t="s">
        <v>252</v>
      </c>
      <c r="N35" s="5"/>
      <c r="O35" s="5"/>
      <c r="P35" s="5"/>
      <c r="Q35" s="5" t="s">
        <v>253</v>
      </c>
      <c r="R35" s="5" t="s">
        <v>254</v>
      </c>
      <c r="S35" s="5" t="s">
        <v>114</v>
      </c>
      <c r="T35" s="5"/>
      <c r="U35" s="5" t="s">
        <v>33</v>
      </c>
      <c r="V35" s="5" t="s">
        <v>255</v>
      </c>
    </row>
    <row r="36" spans="1:22" ht="12.75">
      <c r="A36" s="5" t="s">
        <v>256</v>
      </c>
      <c r="B36" s="5" t="s">
        <v>30</v>
      </c>
      <c r="C36" s="5" t="s">
        <v>257</v>
      </c>
      <c r="D36" s="5" t="s">
        <v>258</v>
      </c>
      <c r="E36" s="11" t="s">
        <v>26</v>
      </c>
      <c r="F36" s="11">
        <v>91801</v>
      </c>
      <c r="G36" s="12">
        <v>4850</v>
      </c>
      <c r="H36" s="12">
        <v>5800</v>
      </c>
      <c r="I36" s="13">
        <v>0.19587628865979381</v>
      </c>
      <c r="J36" s="14">
        <v>45666</v>
      </c>
      <c r="K36" s="5"/>
      <c r="L36" s="5" t="s">
        <v>27</v>
      </c>
      <c r="M36" s="15" t="s">
        <v>259</v>
      </c>
      <c r="N36" s="5"/>
      <c r="O36" s="5"/>
      <c r="P36" s="5"/>
      <c r="Q36" s="5" t="s">
        <v>260</v>
      </c>
      <c r="R36" s="5" t="s">
        <v>261</v>
      </c>
      <c r="S36" s="5" t="s">
        <v>114</v>
      </c>
      <c r="T36" s="5" t="s">
        <v>262</v>
      </c>
      <c r="U36" s="5" t="s">
        <v>33</v>
      </c>
      <c r="V36" s="5" t="s">
        <v>263</v>
      </c>
    </row>
    <row r="37" spans="1:22" ht="12.75">
      <c r="A37" s="5" t="s">
        <v>264</v>
      </c>
      <c r="B37" s="5">
        <v>5481005027</v>
      </c>
      <c r="C37" s="5" t="s">
        <v>265</v>
      </c>
      <c r="D37" s="5" t="s">
        <v>266</v>
      </c>
      <c r="E37" s="11" t="s">
        <v>26</v>
      </c>
      <c r="F37" s="11">
        <v>90042</v>
      </c>
      <c r="G37" s="12">
        <v>5250</v>
      </c>
      <c r="H37" s="12">
        <v>5800</v>
      </c>
      <c r="I37" s="13">
        <v>0.10476190476190476</v>
      </c>
      <c r="J37" s="14">
        <v>45669</v>
      </c>
      <c r="K37" s="5"/>
      <c r="L37" s="5" t="s">
        <v>27</v>
      </c>
      <c r="M37" s="15" t="s">
        <v>267</v>
      </c>
      <c r="N37" s="5"/>
      <c r="O37" s="5"/>
      <c r="P37" s="5" t="s">
        <v>38</v>
      </c>
      <c r="Q37" s="5" t="s">
        <v>268</v>
      </c>
      <c r="R37" s="5"/>
      <c r="S37" s="5" t="s">
        <v>114</v>
      </c>
      <c r="T37" s="5" t="s">
        <v>269</v>
      </c>
      <c r="U37" s="5" t="s">
        <v>33</v>
      </c>
      <c r="V37" s="5" t="s">
        <v>270</v>
      </c>
    </row>
    <row r="38" spans="1:22" ht="12.75">
      <c r="A38" s="5" t="s">
        <v>271</v>
      </c>
      <c r="B38" s="5">
        <v>5209002017</v>
      </c>
      <c r="C38" s="5" t="s">
        <v>272</v>
      </c>
      <c r="D38" s="5" t="s">
        <v>25</v>
      </c>
      <c r="E38" s="11" t="s">
        <v>26</v>
      </c>
      <c r="F38" s="11">
        <v>90031</v>
      </c>
      <c r="G38" s="12">
        <v>4200</v>
      </c>
      <c r="H38" s="12">
        <v>5000</v>
      </c>
      <c r="I38" s="13">
        <v>0.19047619047619047</v>
      </c>
      <c r="J38" s="14">
        <v>45667</v>
      </c>
      <c r="K38" s="5"/>
      <c r="L38" s="5" t="s">
        <v>27</v>
      </c>
      <c r="M38" s="15" t="s">
        <v>273</v>
      </c>
      <c r="N38" s="5"/>
      <c r="O38" s="5"/>
      <c r="P38" s="5"/>
      <c r="Q38" s="5" t="s">
        <v>274</v>
      </c>
      <c r="R38" s="5" t="s">
        <v>275</v>
      </c>
      <c r="S38" s="5" t="s">
        <v>276</v>
      </c>
      <c r="T38" s="5" t="s">
        <v>277</v>
      </c>
      <c r="U38" s="5" t="s">
        <v>33</v>
      </c>
      <c r="V38" s="5" t="s">
        <v>278</v>
      </c>
    </row>
    <row r="39" spans="1:22" ht="12.75">
      <c r="A39" s="5" t="s">
        <v>279</v>
      </c>
      <c r="B39" s="5">
        <v>8604002065</v>
      </c>
      <c r="C39" s="5" t="s">
        <v>280</v>
      </c>
      <c r="D39" s="5" t="s">
        <v>281</v>
      </c>
      <c r="E39" s="11" t="s">
        <v>26</v>
      </c>
      <c r="F39" s="11">
        <v>91010</v>
      </c>
      <c r="G39" s="12">
        <v>9995</v>
      </c>
      <c r="H39" s="12">
        <v>11995</v>
      </c>
      <c r="I39" s="13">
        <v>0.20010005002501249</v>
      </c>
      <c r="J39" s="14">
        <v>45666</v>
      </c>
      <c r="K39" s="5"/>
      <c r="L39" s="5" t="s">
        <v>27</v>
      </c>
      <c r="M39" s="15" t="s">
        <v>282</v>
      </c>
      <c r="N39" s="5"/>
      <c r="O39" s="5" t="s">
        <v>283</v>
      </c>
      <c r="P39" s="5" t="s">
        <v>284</v>
      </c>
      <c r="Q39" s="5"/>
      <c r="R39" s="5"/>
      <c r="S39" s="5" t="s">
        <v>114</v>
      </c>
      <c r="T39" s="5" t="s">
        <v>285</v>
      </c>
      <c r="U39" s="5" t="s">
        <v>33</v>
      </c>
      <c r="V39" s="5" t="s">
        <v>286</v>
      </c>
    </row>
    <row r="40" spans="1:22" ht="12.75">
      <c r="A40" s="5" t="s">
        <v>287</v>
      </c>
      <c r="B40" s="5">
        <v>8484010014</v>
      </c>
      <c r="C40" s="5" t="s">
        <v>288</v>
      </c>
      <c r="D40" s="5" t="s">
        <v>289</v>
      </c>
      <c r="E40" s="11" t="s">
        <v>26</v>
      </c>
      <c r="F40" s="11">
        <v>91791</v>
      </c>
      <c r="G40" s="12">
        <v>2800</v>
      </c>
      <c r="H40" s="12">
        <v>5000</v>
      </c>
      <c r="I40" s="13">
        <v>0.7857142857142857</v>
      </c>
      <c r="J40" s="14">
        <v>45669</v>
      </c>
      <c r="K40" s="5"/>
      <c r="L40" s="5" t="s">
        <v>27</v>
      </c>
      <c r="M40" s="15" t="s">
        <v>290</v>
      </c>
      <c r="N40" s="5"/>
      <c r="O40" s="5" t="s">
        <v>291</v>
      </c>
      <c r="P40" s="5" t="s">
        <v>292</v>
      </c>
      <c r="Q40" s="5"/>
      <c r="R40" s="5"/>
      <c r="S40" s="5" t="s">
        <v>293</v>
      </c>
      <c r="T40" s="5" t="s">
        <v>294</v>
      </c>
      <c r="U40" s="5" t="s">
        <v>33</v>
      </c>
      <c r="V40" s="5" t="s">
        <v>295</v>
      </c>
    </row>
    <row r="41" spans="1:22" ht="12.75">
      <c r="A41" s="5" t="s">
        <v>296</v>
      </c>
      <c r="B41" s="5">
        <v>5652020023</v>
      </c>
      <c r="C41" s="5" t="s">
        <v>297</v>
      </c>
      <c r="D41" s="5" t="s">
        <v>298</v>
      </c>
      <c r="E41" s="11" t="s">
        <v>26</v>
      </c>
      <c r="F41" s="11">
        <v>91208</v>
      </c>
      <c r="G41" s="12">
        <v>11950</v>
      </c>
      <c r="H41" s="12">
        <v>13000</v>
      </c>
      <c r="I41" s="13">
        <v>8.7866108786610872E-2</v>
      </c>
      <c r="J41" s="14">
        <v>45667</v>
      </c>
      <c r="K41" s="5"/>
      <c r="L41" s="5" t="s">
        <v>27</v>
      </c>
      <c r="M41" s="15" t="s">
        <v>299</v>
      </c>
      <c r="N41" s="5"/>
      <c r="O41" s="5"/>
      <c r="P41" s="5"/>
      <c r="Q41" s="5" t="s">
        <v>300</v>
      </c>
      <c r="R41" s="5" t="s">
        <v>301</v>
      </c>
      <c r="S41" s="5" t="s">
        <v>114</v>
      </c>
      <c r="T41" s="5" t="s">
        <v>302</v>
      </c>
      <c r="U41" s="5" t="s">
        <v>33</v>
      </c>
      <c r="V41" s="5" t="s">
        <v>303</v>
      </c>
    </row>
    <row r="42" spans="1:22" ht="12.75">
      <c r="A42" s="5" t="s">
        <v>304</v>
      </c>
      <c r="B42" s="5">
        <v>5801002036</v>
      </c>
      <c r="C42" s="5" t="s">
        <v>305</v>
      </c>
      <c r="D42" s="5" t="s">
        <v>306</v>
      </c>
      <c r="E42" s="11" t="s">
        <v>26</v>
      </c>
      <c r="F42" s="11">
        <v>91214</v>
      </c>
      <c r="G42" s="12">
        <v>2000</v>
      </c>
      <c r="H42" s="12">
        <v>7000</v>
      </c>
      <c r="I42" s="13">
        <v>2.5</v>
      </c>
      <c r="J42" s="14">
        <v>45667</v>
      </c>
      <c r="K42" s="5"/>
      <c r="L42" s="5" t="s">
        <v>27</v>
      </c>
      <c r="M42" s="15" t="s">
        <v>307</v>
      </c>
      <c r="N42" s="5"/>
      <c r="O42" s="5"/>
      <c r="P42" s="5"/>
      <c r="Q42" s="5"/>
      <c r="R42" s="5"/>
      <c r="S42" s="5" t="s">
        <v>114</v>
      </c>
      <c r="T42" s="5" t="s">
        <v>308</v>
      </c>
      <c r="U42" s="5" t="s">
        <v>33</v>
      </c>
      <c r="V42" s="5" t="s">
        <v>309</v>
      </c>
    </row>
    <row r="43" spans="1:22" ht="12.75">
      <c r="A43" s="5" t="s">
        <v>310</v>
      </c>
      <c r="B43" s="5">
        <v>8704015018</v>
      </c>
      <c r="C43" s="5" t="s">
        <v>311</v>
      </c>
      <c r="D43" s="5" t="s">
        <v>312</v>
      </c>
      <c r="E43" s="11" t="s">
        <v>26</v>
      </c>
      <c r="F43" s="11">
        <v>91766</v>
      </c>
      <c r="G43" s="12">
        <v>7500</v>
      </c>
      <c r="H43" s="12">
        <v>8768</v>
      </c>
      <c r="I43" s="13">
        <v>0.16906666666666667</v>
      </c>
      <c r="J43" s="14">
        <v>45667</v>
      </c>
      <c r="K43" s="5"/>
      <c r="L43" s="5" t="s">
        <v>27</v>
      </c>
      <c r="M43" s="15" t="s">
        <v>313</v>
      </c>
      <c r="N43" s="5"/>
      <c r="O43" s="5" t="s">
        <v>314</v>
      </c>
      <c r="P43" s="5" t="s">
        <v>315</v>
      </c>
      <c r="Q43" s="5"/>
      <c r="R43" s="5"/>
      <c r="S43" s="5" t="s">
        <v>114</v>
      </c>
      <c r="T43" s="5" t="s">
        <v>316</v>
      </c>
      <c r="U43" s="5" t="s">
        <v>33</v>
      </c>
      <c r="V43" s="5" t="s">
        <v>317</v>
      </c>
    </row>
    <row r="44" spans="1:22" ht="12.75">
      <c r="A44" s="5" t="s">
        <v>318</v>
      </c>
      <c r="B44" s="5">
        <v>5608026022</v>
      </c>
      <c r="C44" s="5" t="s">
        <v>319</v>
      </c>
      <c r="D44" s="5" t="s">
        <v>320</v>
      </c>
      <c r="E44" s="11" t="s">
        <v>26</v>
      </c>
      <c r="F44" s="11">
        <v>91501</v>
      </c>
      <c r="G44" s="12">
        <v>7900</v>
      </c>
      <c r="H44" s="12">
        <v>10900</v>
      </c>
      <c r="I44" s="13">
        <v>0.379746835443038</v>
      </c>
      <c r="J44" s="14">
        <v>45666</v>
      </c>
      <c r="K44" s="5"/>
      <c r="L44" s="5" t="s">
        <v>27</v>
      </c>
      <c r="M44" s="15" t="s">
        <v>321</v>
      </c>
      <c r="N44" s="5"/>
      <c r="O44" s="5" t="s">
        <v>322</v>
      </c>
      <c r="P44" s="5" t="s">
        <v>323</v>
      </c>
      <c r="Q44" s="5"/>
      <c r="R44" s="5"/>
      <c r="S44" s="5" t="s">
        <v>324</v>
      </c>
      <c r="T44" s="5" t="s">
        <v>325</v>
      </c>
      <c r="U44" s="5" t="s">
        <v>33</v>
      </c>
      <c r="V44" s="5" t="s">
        <v>326</v>
      </c>
    </row>
    <row r="45" spans="1:22" ht="12.75">
      <c r="A45" s="5" t="s">
        <v>327</v>
      </c>
      <c r="B45" s="5">
        <v>4116002035</v>
      </c>
      <c r="C45" s="5" t="s">
        <v>328</v>
      </c>
      <c r="D45" s="5" t="s">
        <v>329</v>
      </c>
      <c r="E45" s="11" t="s">
        <v>26</v>
      </c>
      <c r="F45" s="11">
        <v>90293</v>
      </c>
      <c r="G45" s="12">
        <v>3795</v>
      </c>
      <c r="H45" s="12">
        <v>6900</v>
      </c>
      <c r="I45" s="13">
        <v>0.81818181818181823</v>
      </c>
      <c r="J45" s="14">
        <v>45666</v>
      </c>
      <c r="K45" s="5"/>
      <c r="L45" s="5" t="s">
        <v>27</v>
      </c>
      <c r="M45" s="15" t="s">
        <v>330</v>
      </c>
      <c r="N45" s="5"/>
      <c r="O45" s="5" t="s">
        <v>331</v>
      </c>
      <c r="P45" s="5" t="s">
        <v>332</v>
      </c>
      <c r="Q45" s="5"/>
      <c r="R45" s="5"/>
      <c r="S45" s="5" t="s">
        <v>333</v>
      </c>
      <c r="T45" s="5" t="s">
        <v>334</v>
      </c>
      <c r="U45" s="5" t="s">
        <v>33</v>
      </c>
      <c r="V45" s="5" t="s">
        <v>335</v>
      </c>
    </row>
    <row r="46" spans="1:22" ht="12.75">
      <c r="A46" s="5" t="s">
        <v>336</v>
      </c>
      <c r="B46" s="5">
        <v>5650001002</v>
      </c>
      <c r="C46" s="5" t="s">
        <v>337</v>
      </c>
      <c r="D46" s="5" t="s">
        <v>118</v>
      </c>
      <c r="E46" s="11" t="s">
        <v>26</v>
      </c>
      <c r="F46" s="11">
        <v>91207</v>
      </c>
      <c r="G46" s="12">
        <v>11800</v>
      </c>
      <c r="H46" s="12">
        <v>17900</v>
      </c>
      <c r="I46" s="13">
        <v>0.51694915254237284</v>
      </c>
      <c r="J46" s="14">
        <v>45666</v>
      </c>
      <c r="K46" s="5"/>
      <c r="L46" s="5" t="s">
        <v>27</v>
      </c>
      <c r="M46" s="15" t="s">
        <v>338</v>
      </c>
      <c r="N46" s="5"/>
      <c r="O46" s="5" t="s">
        <v>339</v>
      </c>
      <c r="P46" s="5" t="s">
        <v>340</v>
      </c>
      <c r="Q46" s="5"/>
      <c r="R46" s="5"/>
      <c r="S46" s="5" t="s">
        <v>114</v>
      </c>
      <c r="T46" s="5" t="s">
        <v>341</v>
      </c>
      <c r="U46" s="5" t="s">
        <v>33</v>
      </c>
      <c r="V46" s="5" t="s">
        <v>342</v>
      </c>
    </row>
    <row r="47" spans="1:22" ht="12.75">
      <c r="A47" s="5" t="s">
        <v>343</v>
      </c>
      <c r="B47" s="5">
        <v>8265045008</v>
      </c>
      <c r="C47" s="5" t="s">
        <v>344</v>
      </c>
      <c r="D47" s="5" t="s">
        <v>345</v>
      </c>
      <c r="E47" s="11" t="s">
        <v>26</v>
      </c>
      <c r="F47" s="11">
        <v>91748</v>
      </c>
      <c r="G47" s="12">
        <v>9000</v>
      </c>
      <c r="H47" s="12">
        <v>12500</v>
      </c>
      <c r="I47" s="13">
        <v>0.3888888888888889</v>
      </c>
      <c r="J47" s="14">
        <v>45667</v>
      </c>
      <c r="K47" s="5"/>
      <c r="L47" s="5" t="s">
        <v>27</v>
      </c>
      <c r="M47" s="15" t="s">
        <v>346</v>
      </c>
      <c r="N47" s="5"/>
      <c r="O47" s="5" t="s">
        <v>347</v>
      </c>
      <c r="P47" s="5" t="s">
        <v>348</v>
      </c>
      <c r="Q47" s="5"/>
      <c r="R47" s="5"/>
      <c r="S47" s="5" t="s">
        <v>114</v>
      </c>
      <c r="T47" s="5" t="s">
        <v>349</v>
      </c>
      <c r="U47" s="5" t="s">
        <v>33</v>
      </c>
      <c r="V47" s="5" t="s">
        <v>350</v>
      </c>
    </row>
    <row r="48" spans="1:22" ht="12.75">
      <c r="A48" s="5" t="s">
        <v>351</v>
      </c>
      <c r="B48" s="5">
        <v>5220022022</v>
      </c>
      <c r="C48" s="5" t="s">
        <v>352</v>
      </c>
      <c r="D48" s="5" t="s">
        <v>353</v>
      </c>
      <c r="E48" s="11" t="s">
        <v>242</v>
      </c>
      <c r="F48" s="11">
        <v>90032</v>
      </c>
      <c r="G48" s="12">
        <v>3500</v>
      </c>
      <c r="H48" s="12">
        <v>4200</v>
      </c>
      <c r="I48" s="13">
        <v>0.2</v>
      </c>
      <c r="J48" s="14">
        <v>45668</v>
      </c>
      <c r="K48" s="5"/>
      <c r="L48" s="5" t="s">
        <v>27</v>
      </c>
      <c r="M48" s="15" t="s">
        <v>354</v>
      </c>
      <c r="N48" s="5"/>
      <c r="O48" s="5"/>
      <c r="P48" s="5" t="s">
        <v>38</v>
      </c>
      <c r="Q48" s="5"/>
      <c r="R48" s="5"/>
      <c r="S48" s="5" t="s">
        <v>355</v>
      </c>
      <c r="T48" s="5"/>
      <c r="U48" s="5" t="s">
        <v>356</v>
      </c>
    </row>
    <row r="49" spans="1:22" ht="12.75">
      <c r="A49" s="5" t="s">
        <v>357</v>
      </c>
      <c r="B49" s="5">
        <v>4268021032</v>
      </c>
      <c r="C49" s="5" t="s">
        <v>358</v>
      </c>
      <c r="D49" s="5" t="s">
        <v>359</v>
      </c>
      <c r="E49" s="11" t="s">
        <v>26</v>
      </c>
      <c r="F49" s="11">
        <v>90404</v>
      </c>
      <c r="G49" s="12">
        <v>19800</v>
      </c>
      <c r="H49" s="12">
        <v>35000</v>
      </c>
      <c r="I49" s="13">
        <v>0.76767676767676762</v>
      </c>
      <c r="J49" s="14">
        <v>45669</v>
      </c>
      <c r="K49" s="5"/>
      <c r="L49" s="5" t="s">
        <v>27</v>
      </c>
      <c r="M49" s="15" t="s">
        <v>360</v>
      </c>
      <c r="N49" s="5"/>
      <c r="O49" s="5" t="s">
        <v>361</v>
      </c>
      <c r="P49" s="5" t="s">
        <v>38</v>
      </c>
      <c r="Q49" s="5"/>
      <c r="R49" s="5"/>
      <c r="S49" s="5" t="s">
        <v>362</v>
      </c>
      <c r="T49" s="16" t="s">
        <v>363</v>
      </c>
      <c r="U49" s="5" t="s">
        <v>356</v>
      </c>
    </row>
    <row r="50" spans="1:22" ht="12.75">
      <c r="A50" s="5" t="s">
        <v>364</v>
      </c>
      <c r="B50" s="5" t="s">
        <v>365</v>
      </c>
      <c r="C50" s="5" t="s">
        <v>366</v>
      </c>
      <c r="D50" s="5" t="s">
        <v>367</v>
      </c>
      <c r="E50" s="11" t="s">
        <v>26</v>
      </c>
      <c r="F50" s="11">
        <v>90069</v>
      </c>
      <c r="G50" s="12">
        <v>9500</v>
      </c>
      <c r="H50" s="12">
        <v>11995</v>
      </c>
      <c r="I50" s="13">
        <v>0.26263157894736844</v>
      </c>
      <c r="J50" s="14">
        <v>45668</v>
      </c>
      <c r="K50" s="5"/>
      <c r="L50" s="5" t="s">
        <v>27</v>
      </c>
      <c r="M50" s="15" t="s">
        <v>368</v>
      </c>
      <c r="N50" s="5"/>
      <c r="O50" s="5" t="s">
        <v>369</v>
      </c>
      <c r="P50" s="5" t="s">
        <v>370</v>
      </c>
      <c r="Q50" s="5"/>
      <c r="R50" s="5"/>
      <c r="S50" s="5" t="s">
        <v>114</v>
      </c>
      <c r="T50" s="5" t="s">
        <v>371</v>
      </c>
      <c r="U50" s="5" t="s">
        <v>356</v>
      </c>
    </row>
    <row r="51" spans="1:22" ht="12.75">
      <c r="A51" s="5" t="s">
        <v>372</v>
      </c>
      <c r="B51" s="5">
        <v>2456035010</v>
      </c>
      <c r="C51" s="5" t="s">
        <v>373</v>
      </c>
      <c r="D51" s="5" t="s">
        <v>320</v>
      </c>
      <c r="E51" s="11" t="s">
        <v>26</v>
      </c>
      <c r="F51" s="11">
        <v>91501</v>
      </c>
      <c r="G51" s="12">
        <v>7865</v>
      </c>
      <c r="H51" s="12">
        <v>8650</v>
      </c>
      <c r="I51" s="13">
        <v>9.9809281627463442E-2</v>
      </c>
      <c r="J51" s="14">
        <v>45668</v>
      </c>
      <c r="K51" s="5"/>
      <c r="L51" s="5" t="s">
        <v>27</v>
      </c>
      <c r="M51" s="15" t="s">
        <v>374</v>
      </c>
      <c r="N51" s="5"/>
      <c r="O51" s="5" t="s">
        <v>375</v>
      </c>
      <c r="P51" s="5" t="s">
        <v>340</v>
      </c>
      <c r="Q51" s="5"/>
      <c r="R51" s="5"/>
      <c r="S51" s="5" t="s">
        <v>376</v>
      </c>
      <c r="T51" s="16" t="s">
        <v>377</v>
      </c>
      <c r="U51" s="5" t="s">
        <v>356</v>
      </c>
    </row>
    <row r="52" spans="1:22" ht="12.75">
      <c r="A52" s="5" t="s">
        <v>378</v>
      </c>
      <c r="B52" s="5" t="s">
        <v>379</v>
      </c>
      <c r="C52" s="5" t="s">
        <v>62</v>
      </c>
      <c r="D52" s="5" t="s">
        <v>380</v>
      </c>
      <c r="E52" s="11" t="s">
        <v>26</v>
      </c>
      <c r="F52" s="11">
        <v>90291</v>
      </c>
      <c r="G52" s="12">
        <v>19500</v>
      </c>
      <c r="H52" s="12">
        <v>29000</v>
      </c>
      <c r="I52" s="13">
        <v>0.48717948717948717</v>
      </c>
      <c r="J52" s="14">
        <v>45669</v>
      </c>
      <c r="K52" s="5"/>
      <c r="L52" s="5" t="s">
        <v>27</v>
      </c>
      <c r="M52" s="15" t="s">
        <v>381</v>
      </c>
      <c r="N52" s="5"/>
      <c r="O52" s="5"/>
      <c r="P52" s="5"/>
      <c r="Q52" s="5" t="s">
        <v>382</v>
      </c>
      <c r="R52" s="5" t="s">
        <v>383</v>
      </c>
      <c r="S52" s="5" t="s">
        <v>384</v>
      </c>
      <c r="T52" s="16" t="s">
        <v>385</v>
      </c>
      <c r="U52" s="5" t="s">
        <v>356</v>
      </c>
    </row>
    <row r="53" spans="1:22" ht="12.75">
      <c r="A53" s="5" t="s">
        <v>386</v>
      </c>
      <c r="B53" s="5">
        <v>4378028024</v>
      </c>
      <c r="C53" s="5" t="s">
        <v>387</v>
      </c>
      <c r="D53" s="5" t="s">
        <v>25</v>
      </c>
      <c r="E53" s="11" t="s">
        <v>26</v>
      </c>
      <c r="F53" s="11">
        <v>90077</v>
      </c>
      <c r="G53" s="12">
        <v>8350</v>
      </c>
      <c r="H53" s="12">
        <v>9950</v>
      </c>
      <c r="I53" s="13">
        <v>0.19161676646706588</v>
      </c>
      <c r="J53" s="14">
        <v>45669</v>
      </c>
      <c r="K53" s="5"/>
      <c r="L53" s="5" t="s">
        <v>27</v>
      </c>
      <c r="M53" s="15" t="s">
        <v>388</v>
      </c>
      <c r="N53" s="5"/>
      <c r="O53" s="5" t="s">
        <v>389</v>
      </c>
      <c r="P53" s="5" t="s">
        <v>390</v>
      </c>
      <c r="Q53" s="5"/>
      <c r="R53" s="5"/>
      <c r="S53" s="5" t="s">
        <v>114</v>
      </c>
      <c r="T53" s="5" t="s">
        <v>391</v>
      </c>
      <c r="U53" s="5" t="s">
        <v>356</v>
      </c>
    </row>
    <row r="54" spans="1:22" ht="12.75">
      <c r="A54" s="5" t="s">
        <v>392</v>
      </c>
      <c r="B54" s="5">
        <v>4238004028</v>
      </c>
      <c r="C54" s="5" t="s">
        <v>393</v>
      </c>
      <c r="D54" s="5" t="s">
        <v>380</v>
      </c>
      <c r="E54" s="11" t="s">
        <v>26</v>
      </c>
      <c r="F54" s="11">
        <v>90291</v>
      </c>
      <c r="G54" s="12">
        <v>7200</v>
      </c>
      <c r="H54" s="12">
        <v>8500</v>
      </c>
      <c r="I54" s="13">
        <v>0.18055555555555555</v>
      </c>
      <c r="J54" s="14">
        <v>45668</v>
      </c>
      <c r="K54" s="5"/>
      <c r="L54" s="5" t="s">
        <v>27</v>
      </c>
      <c r="M54" s="15" t="s">
        <v>394</v>
      </c>
      <c r="N54" s="5"/>
      <c r="O54" s="5"/>
      <c r="P54" s="5"/>
      <c r="Q54" s="5" t="s">
        <v>395</v>
      </c>
      <c r="R54" s="5" t="s">
        <v>396</v>
      </c>
      <c r="S54" s="5" t="s">
        <v>397</v>
      </c>
      <c r="T54" s="16" t="s">
        <v>398</v>
      </c>
      <c r="U54" s="5" t="s">
        <v>33</v>
      </c>
      <c r="V54" s="5" t="s">
        <v>399</v>
      </c>
    </row>
    <row r="55" spans="1:22" ht="12.75">
      <c r="A55" s="5" t="s">
        <v>400</v>
      </c>
      <c r="B55" s="5" t="s">
        <v>30</v>
      </c>
      <c r="C55" s="5" t="s">
        <v>401</v>
      </c>
      <c r="D55" s="5" t="s">
        <v>25</v>
      </c>
      <c r="E55" s="11" t="s">
        <v>26</v>
      </c>
      <c r="F55" s="11">
        <v>90049</v>
      </c>
      <c r="G55" s="12">
        <v>2600</v>
      </c>
      <c r="H55" s="12">
        <v>3100</v>
      </c>
      <c r="I55" s="13">
        <v>0.19230769230769232</v>
      </c>
      <c r="J55" s="14">
        <v>45667</v>
      </c>
      <c r="K55" s="5"/>
      <c r="L55" s="5" t="s">
        <v>27</v>
      </c>
      <c r="M55" s="15" t="s">
        <v>402</v>
      </c>
      <c r="N55" s="5"/>
      <c r="O55" s="5" t="s">
        <v>403</v>
      </c>
      <c r="P55" s="5" t="s">
        <v>404</v>
      </c>
      <c r="Q55" s="5"/>
      <c r="R55" s="5"/>
      <c r="S55" s="5" t="s">
        <v>114</v>
      </c>
      <c r="T55" s="16" t="s">
        <v>405</v>
      </c>
      <c r="U55" s="5" t="s">
        <v>356</v>
      </c>
    </row>
    <row r="56" spans="1:22" ht="12.75">
      <c r="A56" s="5" t="s">
        <v>406</v>
      </c>
      <c r="B56" s="5">
        <v>4382011014</v>
      </c>
      <c r="C56" s="5" t="s">
        <v>407</v>
      </c>
      <c r="D56" s="5" t="s">
        <v>408</v>
      </c>
      <c r="E56" s="11" t="s">
        <v>26</v>
      </c>
      <c r="F56" s="11">
        <v>90210</v>
      </c>
      <c r="G56" s="12">
        <v>7999</v>
      </c>
      <c r="H56" s="12">
        <v>10500</v>
      </c>
      <c r="I56" s="13">
        <v>0.31266408301037629</v>
      </c>
      <c r="J56" s="14">
        <v>45669</v>
      </c>
      <c r="K56" s="5"/>
      <c r="L56" s="5" t="s">
        <v>27</v>
      </c>
      <c r="M56" s="15" t="s">
        <v>409</v>
      </c>
      <c r="N56" s="5"/>
      <c r="O56" s="5" t="s">
        <v>410</v>
      </c>
      <c r="P56" s="5" t="s">
        <v>411</v>
      </c>
      <c r="Q56" s="5"/>
      <c r="R56" s="5"/>
      <c r="S56" s="5" t="s">
        <v>114</v>
      </c>
      <c r="T56" s="5" t="s">
        <v>412</v>
      </c>
      <c r="U56" s="5" t="s">
        <v>413</v>
      </c>
      <c r="V56" s="5" t="s">
        <v>413</v>
      </c>
    </row>
    <row r="57" spans="1:22" ht="12.75">
      <c r="A57" s="5" t="s">
        <v>414</v>
      </c>
      <c r="B57" s="5">
        <v>4244019018</v>
      </c>
      <c r="C57" s="5" t="s">
        <v>415</v>
      </c>
      <c r="D57" s="5" t="s">
        <v>380</v>
      </c>
      <c r="E57" s="11" t="s">
        <v>26</v>
      </c>
      <c r="F57" s="11">
        <v>90291</v>
      </c>
      <c r="G57" s="12">
        <v>3000</v>
      </c>
      <c r="H57" s="12">
        <v>31888</v>
      </c>
      <c r="I57" s="13">
        <v>9.6293333333333333</v>
      </c>
      <c r="J57" s="14">
        <v>45669</v>
      </c>
      <c r="K57" s="5"/>
      <c r="L57" s="5" t="s">
        <v>27</v>
      </c>
      <c r="M57" s="15" t="s">
        <v>416</v>
      </c>
      <c r="N57" s="5"/>
      <c r="O57" s="5"/>
      <c r="P57" s="5"/>
      <c r="Q57" s="5" t="s">
        <v>417</v>
      </c>
      <c r="R57" s="5" t="s">
        <v>418</v>
      </c>
      <c r="S57" s="5" t="s">
        <v>419</v>
      </c>
      <c r="T57" s="16" t="s">
        <v>420</v>
      </c>
      <c r="U57" s="5" t="s">
        <v>33</v>
      </c>
    </row>
    <row r="58" spans="1:22" ht="12.75">
      <c r="A58" s="5" t="s">
        <v>421</v>
      </c>
      <c r="B58" s="5">
        <v>2182016006</v>
      </c>
      <c r="C58" s="5" t="s">
        <v>422</v>
      </c>
      <c r="D58" s="5" t="s">
        <v>423</v>
      </c>
      <c r="E58" s="11" t="s">
        <v>26</v>
      </c>
      <c r="F58" s="11">
        <v>91316</v>
      </c>
      <c r="G58" s="12">
        <v>35000</v>
      </c>
      <c r="H58" s="12">
        <v>80000</v>
      </c>
      <c r="I58" s="13">
        <v>1.2857142857142858</v>
      </c>
      <c r="J58" s="14">
        <v>45666</v>
      </c>
      <c r="K58" s="5"/>
      <c r="L58" s="5" t="s">
        <v>27</v>
      </c>
      <c r="M58" s="15" t="s">
        <v>424</v>
      </c>
      <c r="N58" s="5"/>
      <c r="O58" s="5"/>
      <c r="P58" s="5"/>
      <c r="Q58" s="5"/>
      <c r="R58" s="5"/>
      <c r="S58" s="5" t="s">
        <v>114</v>
      </c>
      <c r="T58" s="16" t="s">
        <v>425</v>
      </c>
      <c r="U58" s="5" t="s">
        <v>33</v>
      </c>
    </row>
    <row r="59" spans="1:22" ht="12.75">
      <c r="A59" s="5" t="s">
        <v>426</v>
      </c>
      <c r="B59" s="5">
        <v>5191002003</v>
      </c>
      <c r="C59" s="5" t="s">
        <v>427</v>
      </c>
      <c r="D59" s="5" t="s">
        <v>25</v>
      </c>
      <c r="E59" s="11" t="s">
        <v>26</v>
      </c>
      <c r="F59" s="11">
        <v>90023</v>
      </c>
      <c r="G59" s="12">
        <v>3500</v>
      </c>
      <c r="H59" s="12">
        <v>4000</v>
      </c>
      <c r="I59" s="13">
        <v>0.14285714285714285</v>
      </c>
      <c r="J59" s="14">
        <v>45669</v>
      </c>
      <c r="K59" s="5"/>
      <c r="L59" s="5" t="s">
        <v>27</v>
      </c>
      <c r="M59" s="15" t="s">
        <v>428</v>
      </c>
      <c r="N59" s="5"/>
      <c r="O59" s="5" t="s">
        <v>429</v>
      </c>
      <c r="P59" s="5" t="s">
        <v>430</v>
      </c>
      <c r="Q59" s="5"/>
      <c r="R59" s="5"/>
      <c r="S59" s="5" t="s">
        <v>114</v>
      </c>
      <c r="T59" s="16" t="s">
        <v>431</v>
      </c>
      <c r="U59" s="5" t="s">
        <v>33</v>
      </c>
    </row>
    <row r="60" spans="1:22" ht="12.75">
      <c r="A60" s="5" t="s">
        <v>432</v>
      </c>
      <c r="B60" s="5">
        <v>4286017023</v>
      </c>
      <c r="C60" s="5" t="s">
        <v>433</v>
      </c>
      <c r="D60" s="5" t="s">
        <v>380</v>
      </c>
      <c r="E60" s="11" t="s">
        <v>26</v>
      </c>
      <c r="F60" s="11">
        <v>90291</v>
      </c>
      <c r="G60" s="12">
        <v>8995</v>
      </c>
      <c r="H60" s="12">
        <v>11500</v>
      </c>
      <c r="I60" s="13">
        <v>0.27848804891606449</v>
      </c>
      <c r="J60" s="14">
        <v>45669</v>
      </c>
      <c r="K60" s="5"/>
      <c r="L60" s="5" t="s">
        <v>27</v>
      </c>
      <c r="M60" s="15" t="s">
        <v>434</v>
      </c>
      <c r="N60" s="5"/>
      <c r="O60" s="5" t="s">
        <v>435</v>
      </c>
      <c r="P60" s="5" t="s">
        <v>436</v>
      </c>
      <c r="Q60" s="5"/>
      <c r="R60" s="5"/>
      <c r="S60" s="5" t="s">
        <v>437</v>
      </c>
      <c r="T60" s="16" t="s">
        <v>438</v>
      </c>
      <c r="U60" s="5" t="s">
        <v>33</v>
      </c>
    </row>
    <row r="61" spans="1:22" ht="12.75">
      <c r="A61" s="5" t="s">
        <v>439</v>
      </c>
      <c r="B61" s="5">
        <v>5220022022</v>
      </c>
      <c r="C61" s="5" t="s">
        <v>352</v>
      </c>
      <c r="D61" s="5" t="s">
        <v>25</v>
      </c>
      <c r="E61" s="11" t="s">
        <v>26</v>
      </c>
      <c r="F61" s="11">
        <v>90032</v>
      </c>
      <c r="G61" s="12">
        <v>3500</v>
      </c>
      <c r="H61" s="12">
        <v>4200</v>
      </c>
      <c r="I61" s="13">
        <v>0.2</v>
      </c>
      <c r="J61" s="14">
        <v>45668</v>
      </c>
      <c r="K61" s="5"/>
      <c r="L61" s="5" t="s">
        <v>27</v>
      </c>
      <c r="M61" s="15" t="s">
        <v>440</v>
      </c>
      <c r="N61" s="5"/>
      <c r="O61" s="5"/>
      <c r="P61" s="5"/>
      <c r="Q61" s="5" t="s">
        <v>441</v>
      </c>
      <c r="R61" s="5" t="s">
        <v>442</v>
      </c>
      <c r="S61" s="5" t="s">
        <v>114</v>
      </c>
      <c r="T61" s="16" t="s">
        <v>443</v>
      </c>
      <c r="U61" s="5" t="s">
        <v>33</v>
      </c>
    </row>
    <row r="62" spans="1:22" ht="12.75">
      <c r="A62" s="5" t="s">
        <v>444</v>
      </c>
      <c r="B62" s="5">
        <v>1</v>
      </c>
      <c r="C62" s="5" t="s">
        <v>445</v>
      </c>
      <c r="D62" s="5" t="s">
        <v>25</v>
      </c>
      <c r="E62" s="11" t="s">
        <v>26</v>
      </c>
      <c r="F62" s="11">
        <v>90035</v>
      </c>
      <c r="G62" s="12">
        <v>6500</v>
      </c>
      <c r="H62" s="12">
        <v>9000</v>
      </c>
      <c r="I62" s="13">
        <v>0.38461538461538464</v>
      </c>
      <c r="J62" s="14">
        <v>45667</v>
      </c>
      <c r="K62" s="5"/>
      <c r="L62" s="5" t="s">
        <v>27</v>
      </c>
      <c r="M62" s="15" t="s">
        <v>446</v>
      </c>
      <c r="N62" s="5"/>
      <c r="O62" s="5" t="s">
        <v>447</v>
      </c>
      <c r="P62" s="5" t="s">
        <v>448</v>
      </c>
      <c r="Q62" s="5"/>
      <c r="R62" s="5"/>
      <c r="S62" s="5" t="s">
        <v>114</v>
      </c>
      <c r="T62" s="16" t="s">
        <v>449</v>
      </c>
      <c r="U62" s="5" t="s">
        <v>33</v>
      </c>
    </row>
    <row r="63" spans="1:22" ht="12.75">
      <c r="A63" s="5" t="s">
        <v>450</v>
      </c>
      <c r="B63" s="5" t="s">
        <v>365</v>
      </c>
      <c r="C63" s="5" t="s">
        <v>451</v>
      </c>
      <c r="D63" s="5" t="s">
        <v>380</v>
      </c>
      <c r="E63" s="11" t="s">
        <v>26</v>
      </c>
      <c r="F63" s="11">
        <v>90291</v>
      </c>
      <c r="G63" s="12">
        <v>6600</v>
      </c>
      <c r="H63" s="12">
        <v>7950</v>
      </c>
      <c r="I63" s="13">
        <v>0.20454545454545456</v>
      </c>
      <c r="J63" s="14">
        <v>45668</v>
      </c>
      <c r="K63" s="5"/>
      <c r="L63" s="5" t="s">
        <v>27</v>
      </c>
      <c r="M63" s="15" t="s">
        <v>452</v>
      </c>
      <c r="N63" s="5"/>
      <c r="O63" s="5"/>
      <c r="P63" s="5"/>
      <c r="Q63" s="5" t="s">
        <v>453</v>
      </c>
      <c r="R63" s="5" t="s">
        <v>454</v>
      </c>
      <c r="S63" s="5" t="s">
        <v>455</v>
      </c>
      <c r="T63" s="16" t="s">
        <v>456</v>
      </c>
      <c r="U63" s="5" t="s">
        <v>33</v>
      </c>
    </row>
    <row r="64" spans="1:22" ht="12.75">
      <c r="A64" s="5" t="s">
        <v>457</v>
      </c>
      <c r="B64" s="5">
        <v>5471017058</v>
      </c>
      <c r="C64" s="5" t="s">
        <v>458</v>
      </c>
      <c r="D64" s="5" t="s">
        <v>25</v>
      </c>
      <c r="E64" s="11" t="s">
        <v>26</v>
      </c>
      <c r="F64" s="11">
        <v>90042</v>
      </c>
      <c r="G64" s="12">
        <v>7500</v>
      </c>
      <c r="H64" s="12">
        <v>9000</v>
      </c>
      <c r="I64" s="13">
        <v>0.2</v>
      </c>
      <c r="J64" s="14">
        <v>45667</v>
      </c>
      <c r="K64" s="5"/>
      <c r="L64" s="5" t="s">
        <v>27</v>
      </c>
      <c r="M64" s="15" t="s">
        <v>459</v>
      </c>
      <c r="N64" s="5"/>
      <c r="O64" s="5" t="s">
        <v>460</v>
      </c>
      <c r="P64" s="5"/>
      <c r="Q64" s="5" t="s">
        <v>365</v>
      </c>
      <c r="R64" s="5" t="s">
        <v>365</v>
      </c>
      <c r="S64" s="5" t="s">
        <v>461</v>
      </c>
      <c r="T64" s="16" t="s">
        <v>462</v>
      </c>
      <c r="U64" s="5" t="s">
        <v>33</v>
      </c>
      <c r="V64" s="5" t="s">
        <v>463</v>
      </c>
    </row>
    <row r="65" spans="1:22" ht="12.75">
      <c r="A65" s="5" t="s">
        <v>464</v>
      </c>
      <c r="B65" s="5" t="s">
        <v>365</v>
      </c>
      <c r="C65" s="5" t="s">
        <v>465</v>
      </c>
      <c r="D65" s="5" t="s">
        <v>466</v>
      </c>
      <c r="E65" s="11" t="s">
        <v>26</v>
      </c>
      <c r="F65" s="11">
        <v>90035</v>
      </c>
      <c r="G65" s="12">
        <v>9000</v>
      </c>
      <c r="H65" s="12">
        <v>6500</v>
      </c>
      <c r="I65" s="13">
        <v>-0.27777777777777779</v>
      </c>
      <c r="J65" s="14">
        <v>45667</v>
      </c>
      <c r="K65" s="5"/>
      <c r="L65" s="5" t="s">
        <v>27</v>
      </c>
      <c r="M65" s="15" t="s">
        <v>467</v>
      </c>
      <c r="N65" s="5"/>
      <c r="O65" s="5" t="s">
        <v>447</v>
      </c>
      <c r="P65" s="5" t="s">
        <v>448</v>
      </c>
      <c r="Q65" s="5"/>
      <c r="R65" s="5"/>
      <c r="S65" s="5" t="s">
        <v>114</v>
      </c>
      <c r="T65" s="16" t="s">
        <v>468</v>
      </c>
      <c r="U65" s="5" t="s">
        <v>33</v>
      </c>
    </row>
    <row r="66" spans="1:22" ht="12.75">
      <c r="A66" s="5" t="s">
        <v>469</v>
      </c>
      <c r="B66" s="5" t="s">
        <v>365</v>
      </c>
      <c r="C66" s="5" t="s">
        <v>470</v>
      </c>
      <c r="D66" s="5" t="s">
        <v>380</v>
      </c>
      <c r="E66" s="11" t="s">
        <v>26</v>
      </c>
      <c r="F66" s="11">
        <v>90291</v>
      </c>
      <c r="G66" s="12">
        <v>11000</v>
      </c>
      <c r="H66" s="12">
        <v>15000</v>
      </c>
      <c r="I66" s="13">
        <v>0.36363636363636365</v>
      </c>
      <c r="J66" s="14">
        <v>45666</v>
      </c>
      <c r="K66" s="5"/>
      <c r="L66" s="5" t="s">
        <v>27</v>
      </c>
      <c r="M66" s="15" t="s">
        <v>471</v>
      </c>
      <c r="N66" s="5"/>
      <c r="O66" s="5" t="s">
        <v>472</v>
      </c>
      <c r="P66" s="5" t="s">
        <v>473</v>
      </c>
      <c r="Q66" s="5"/>
      <c r="R66" s="5"/>
      <c r="S66" s="5" t="s">
        <v>114</v>
      </c>
      <c r="T66" s="5" t="s">
        <v>474</v>
      </c>
      <c r="U66" s="5" t="s">
        <v>33</v>
      </c>
    </row>
    <row r="67" spans="1:22" ht="12.75">
      <c r="A67" s="5" t="s">
        <v>475</v>
      </c>
      <c r="B67" s="5">
        <v>5775027035</v>
      </c>
      <c r="C67" s="5" t="s">
        <v>476</v>
      </c>
      <c r="D67" s="5" t="s">
        <v>477</v>
      </c>
      <c r="E67" s="11" t="s">
        <v>26</v>
      </c>
      <c r="F67" s="11">
        <v>91006</v>
      </c>
      <c r="G67" s="12">
        <v>7000</v>
      </c>
      <c r="H67" s="12">
        <v>9000</v>
      </c>
      <c r="I67" s="13">
        <v>0.2857142857142857</v>
      </c>
      <c r="J67" s="14">
        <v>45666</v>
      </c>
      <c r="K67" s="5"/>
      <c r="L67" s="5" t="s">
        <v>27</v>
      </c>
      <c r="M67" s="15" t="s">
        <v>478</v>
      </c>
      <c r="N67" s="5"/>
      <c r="O67" s="5" t="s">
        <v>479</v>
      </c>
      <c r="P67" s="5" t="s">
        <v>480</v>
      </c>
      <c r="Q67" s="5"/>
      <c r="R67" s="5"/>
      <c r="S67" s="5" t="s">
        <v>114</v>
      </c>
      <c r="T67" s="16" t="s">
        <v>481</v>
      </c>
      <c r="U67" s="5" t="s">
        <v>356</v>
      </c>
    </row>
    <row r="68" spans="1:22" ht="12.75">
      <c r="A68" s="5" t="s">
        <v>482</v>
      </c>
      <c r="B68" s="5">
        <v>2346017007</v>
      </c>
      <c r="C68" s="5" t="s">
        <v>483</v>
      </c>
      <c r="D68" s="5" t="s">
        <v>25</v>
      </c>
      <c r="E68" s="11" t="s">
        <v>26</v>
      </c>
      <c r="F68" s="11">
        <v>91607</v>
      </c>
      <c r="G68" s="12">
        <v>2500</v>
      </c>
      <c r="H68" s="12">
        <v>3000</v>
      </c>
      <c r="I68" s="13">
        <v>0.2</v>
      </c>
      <c r="J68" s="14">
        <v>45666</v>
      </c>
      <c r="K68" s="5"/>
      <c r="L68" s="5" t="s">
        <v>27</v>
      </c>
      <c r="M68" s="15" t="s">
        <v>484</v>
      </c>
      <c r="N68" s="5"/>
      <c r="O68" s="5" t="s">
        <v>30</v>
      </c>
      <c r="P68" s="5"/>
      <c r="Q68" s="5" t="s">
        <v>485</v>
      </c>
      <c r="R68" s="5"/>
      <c r="S68" s="5" t="s">
        <v>486</v>
      </c>
      <c r="T68" s="16" t="s">
        <v>487</v>
      </c>
      <c r="U68" s="5" t="s">
        <v>356</v>
      </c>
    </row>
    <row r="69" spans="1:22" ht="12.75">
      <c r="A69" s="5" t="s">
        <v>488</v>
      </c>
      <c r="B69" s="5">
        <v>5085015042</v>
      </c>
      <c r="C69" s="5" t="s">
        <v>489</v>
      </c>
      <c r="D69" s="5" t="s">
        <v>25</v>
      </c>
      <c r="E69" s="11" t="s">
        <v>26</v>
      </c>
      <c r="F69" s="11">
        <v>90019</v>
      </c>
      <c r="G69" s="12">
        <v>6200</v>
      </c>
      <c r="H69" s="12">
        <v>8800</v>
      </c>
      <c r="I69" s="13">
        <v>0.41935483870967744</v>
      </c>
      <c r="J69" s="14">
        <v>45668</v>
      </c>
      <c r="K69" s="5"/>
      <c r="L69" s="5" t="s">
        <v>27</v>
      </c>
      <c r="M69" s="15" t="s">
        <v>490</v>
      </c>
      <c r="N69" s="5"/>
      <c r="O69" s="5"/>
      <c r="P69" s="5"/>
      <c r="Q69" s="5" t="s">
        <v>491</v>
      </c>
      <c r="R69" s="5" t="s">
        <v>492</v>
      </c>
      <c r="S69" s="5" t="s">
        <v>114</v>
      </c>
      <c r="T69" s="16" t="s">
        <v>493</v>
      </c>
      <c r="U69" s="5" t="s">
        <v>356</v>
      </c>
    </row>
    <row r="70" spans="1:22" ht="12.75">
      <c r="A70" s="5" t="s">
        <v>494</v>
      </c>
      <c r="B70" s="5">
        <v>4226015031</v>
      </c>
      <c r="C70" s="5" t="s">
        <v>495</v>
      </c>
      <c r="D70" s="5" t="s">
        <v>380</v>
      </c>
      <c r="E70" s="11" t="s">
        <v>26</v>
      </c>
      <c r="F70" s="11">
        <v>90291</v>
      </c>
      <c r="G70" s="12">
        <v>29995</v>
      </c>
      <c r="H70" s="12">
        <v>35000</v>
      </c>
      <c r="I70" s="13">
        <v>0.16686114352392065</v>
      </c>
      <c r="J70" s="14">
        <v>45667</v>
      </c>
      <c r="K70" s="5"/>
      <c r="L70" s="5" t="s">
        <v>27</v>
      </c>
      <c r="M70" s="15" t="s">
        <v>496</v>
      </c>
      <c r="N70" s="5"/>
      <c r="O70" s="5" t="s">
        <v>497</v>
      </c>
      <c r="P70" s="5" t="s">
        <v>498</v>
      </c>
      <c r="Q70" s="5"/>
      <c r="R70" s="5"/>
      <c r="S70" s="5" t="s">
        <v>499</v>
      </c>
      <c r="T70" s="16" t="s">
        <v>500</v>
      </c>
      <c r="U70" s="5" t="s">
        <v>356</v>
      </c>
    </row>
    <row r="71" spans="1:22" ht="12.75">
      <c r="A71" s="5" t="s">
        <v>501</v>
      </c>
      <c r="B71" s="5">
        <v>5329016004</v>
      </c>
      <c r="C71" s="5" t="s">
        <v>502</v>
      </c>
      <c r="D71" s="5" t="s">
        <v>503</v>
      </c>
      <c r="E71" s="11" t="s">
        <v>26</v>
      </c>
      <c r="F71" s="11">
        <v>91108</v>
      </c>
      <c r="G71" s="12">
        <v>10500</v>
      </c>
      <c r="H71" s="12">
        <v>11900</v>
      </c>
      <c r="I71" s="13">
        <v>0.13333333333333333</v>
      </c>
      <c r="J71" s="14">
        <v>45667</v>
      </c>
      <c r="K71" s="5"/>
      <c r="L71" s="5" t="s">
        <v>27</v>
      </c>
      <c r="M71" s="15" t="s">
        <v>504</v>
      </c>
      <c r="N71" s="5"/>
      <c r="O71" s="5" t="s">
        <v>505</v>
      </c>
      <c r="P71" s="5" t="s">
        <v>506</v>
      </c>
      <c r="Q71" s="5"/>
      <c r="R71" s="5"/>
      <c r="S71" s="5" t="s">
        <v>507</v>
      </c>
      <c r="T71" s="16" t="s">
        <v>508</v>
      </c>
      <c r="U71" s="5" t="s">
        <v>356</v>
      </c>
    </row>
    <row r="72" spans="1:22" ht="12.75">
      <c r="A72" s="5" t="s">
        <v>509</v>
      </c>
      <c r="B72" s="5">
        <v>5511013042</v>
      </c>
      <c r="C72" s="5" t="s">
        <v>510</v>
      </c>
      <c r="D72" s="5" t="s">
        <v>25</v>
      </c>
      <c r="E72" s="11" t="s">
        <v>26</v>
      </c>
      <c r="F72" s="11">
        <v>90048</v>
      </c>
      <c r="G72" s="12">
        <v>5000</v>
      </c>
      <c r="H72" s="12">
        <v>8000</v>
      </c>
      <c r="I72" s="13">
        <v>0.6</v>
      </c>
      <c r="J72" s="14">
        <v>45669</v>
      </c>
      <c r="K72" s="5"/>
      <c r="L72" s="5" t="s">
        <v>27</v>
      </c>
      <c r="M72" s="15" t="s">
        <v>511</v>
      </c>
      <c r="N72" s="5"/>
      <c r="O72" s="5" t="s">
        <v>512</v>
      </c>
      <c r="P72" s="5" t="s">
        <v>513</v>
      </c>
      <c r="Q72" s="5"/>
      <c r="R72" s="5"/>
      <c r="S72" s="5" t="s">
        <v>114</v>
      </c>
      <c r="T72" s="16" t="s">
        <v>514</v>
      </c>
      <c r="U72" s="5" t="s">
        <v>356</v>
      </c>
    </row>
    <row r="73" spans="1:22" ht="12.75">
      <c r="A73" s="5" t="s">
        <v>515</v>
      </c>
      <c r="B73" s="5" t="s">
        <v>30</v>
      </c>
      <c r="C73" s="5" t="s">
        <v>516</v>
      </c>
      <c r="D73" s="5" t="s">
        <v>408</v>
      </c>
      <c r="E73" s="11" t="s">
        <v>26</v>
      </c>
      <c r="F73" s="11">
        <v>90210</v>
      </c>
      <c r="G73" s="12">
        <v>6995</v>
      </c>
      <c r="H73" s="12">
        <v>9750</v>
      </c>
      <c r="I73" s="13">
        <v>0.39385275196568975</v>
      </c>
      <c r="J73" s="14">
        <v>45667</v>
      </c>
      <c r="K73" s="5"/>
      <c r="L73" s="5" t="s">
        <v>27</v>
      </c>
      <c r="M73" s="15" t="s">
        <v>517</v>
      </c>
      <c r="N73" s="5"/>
      <c r="O73" s="5" t="s">
        <v>518</v>
      </c>
      <c r="P73" s="5" t="s">
        <v>519</v>
      </c>
      <c r="Q73" s="5"/>
      <c r="R73" s="5"/>
      <c r="S73" s="5" t="s">
        <v>114</v>
      </c>
      <c r="T73" s="16" t="s">
        <v>520</v>
      </c>
      <c r="U73" s="5" t="s">
        <v>356</v>
      </c>
    </row>
    <row r="74" spans="1:22" ht="12.75">
      <c r="A74" s="5" t="s">
        <v>521</v>
      </c>
      <c r="B74" s="5">
        <v>5065003042</v>
      </c>
      <c r="C74" s="5" t="s">
        <v>522</v>
      </c>
      <c r="D74" s="5" t="s">
        <v>25</v>
      </c>
      <c r="E74" s="11" t="s">
        <v>26</v>
      </c>
      <c r="F74" s="11">
        <v>90034</v>
      </c>
      <c r="G74" s="12">
        <v>5000</v>
      </c>
      <c r="H74" s="12">
        <v>6000</v>
      </c>
      <c r="I74" s="13">
        <v>0.2</v>
      </c>
      <c r="J74" s="14">
        <v>45667</v>
      </c>
      <c r="K74" s="5"/>
      <c r="L74" s="5" t="s">
        <v>27</v>
      </c>
      <c r="M74" s="15" t="s">
        <v>523</v>
      </c>
      <c r="N74" s="5"/>
      <c r="O74" s="5" t="s">
        <v>365</v>
      </c>
      <c r="P74" s="5"/>
      <c r="Q74" s="5" t="s">
        <v>365</v>
      </c>
      <c r="R74" s="5" t="s">
        <v>365</v>
      </c>
      <c r="S74" s="5" t="s">
        <v>524</v>
      </c>
      <c r="T74" s="16" t="s">
        <v>525</v>
      </c>
      <c r="U74" s="5" t="s">
        <v>356</v>
      </c>
    </row>
    <row r="75" spans="1:22" ht="12.75">
      <c r="A75" s="5" t="s">
        <v>526</v>
      </c>
      <c r="B75" s="5" t="s">
        <v>365</v>
      </c>
      <c r="C75" s="5" t="s">
        <v>527</v>
      </c>
      <c r="D75" s="5" t="s">
        <v>25</v>
      </c>
      <c r="E75" s="11" t="s">
        <v>26</v>
      </c>
      <c r="F75" s="11">
        <v>90026</v>
      </c>
      <c r="G75" s="12">
        <v>4750</v>
      </c>
      <c r="H75" s="12">
        <v>6950</v>
      </c>
      <c r="I75" s="13">
        <v>0.4631578947368421</v>
      </c>
      <c r="J75" s="14">
        <v>45669</v>
      </c>
      <c r="K75" s="5"/>
      <c r="L75" s="5" t="s">
        <v>27</v>
      </c>
      <c r="M75" s="15" t="s">
        <v>528</v>
      </c>
      <c r="N75" s="5"/>
      <c r="O75" s="5" t="s">
        <v>529</v>
      </c>
      <c r="P75" s="5" t="s">
        <v>530</v>
      </c>
      <c r="Q75" s="5"/>
      <c r="R75" s="5"/>
      <c r="S75" s="5" t="s">
        <v>114</v>
      </c>
      <c r="T75" s="5" t="s">
        <v>531</v>
      </c>
      <c r="U75" s="5" t="s">
        <v>33</v>
      </c>
      <c r="V75" s="5" t="s">
        <v>532</v>
      </c>
    </row>
    <row r="76" spans="1:22" ht="12.75">
      <c r="A76" s="5" t="s">
        <v>533</v>
      </c>
      <c r="B76" s="5">
        <v>4244003028</v>
      </c>
      <c r="C76" s="5" t="s">
        <v>534</v>
      </c>
      <c r="D76" s="5" t="s">
        <v>380</v>
      </c>
      <c r="E76" s="11" t="s">
        <v>535</v>
      </c>
      <c r="F76" s="11">
        <v>90291</v>
      </c>
      <c r="G76" s="12">
        <v>11900</v>
      </c>
      <c r="H76" s="12">
        <v>18900</v>
      </c>
      <c r="I76" s="13">
        <v>0.58823529411764708</v>
      </c>
      <c r="J76" s="14">
        <v>45665</v>
      </c>
      <c r="K76" s="5"/>
      <c r="L76" s="5" t="s">
        <v>27</v>
      </c>
      <c r="M76" s="15" t="s">
        <v>536</v>
      </c>
      <c r="N76" s="5"/>
      <c r="O76" s="5" t="s">
        <v>537</v>
      </c>
      <c r="P76" s="5" t="s">
        <v>538</v>
      </c>
      <c r="Q76" s="5"/>
      <c r="R76" s="5"/>
      <c r="S76" s="5" t="s">
        <v>114</v>
      </c>
      <c r="T76" s="5" t="s">
        <v>539</v>
      </c>
      <c r="U76" s="5" t="s">
        <v>204</v>
      </c>
    </row>
    <row r="77" spans="1:22" ht="12.75">
      <c r="A77" s="5" t="s">
        <v>540</v>
      </c>
      <c r="B77" s="5">
        <v>5833028015</v>
      </c>
      <c r="C77" s="5" t="s">
        <v>541</v>
      </c>
      <c r="D77" s="5" t="s">
        <v>542</v>
      </c>
      <c r="E77" s="11" t="s">
        <v>26</v>
      </c>
      <c r="F77" s="11">
        <v>91001</v>
      </c>
      <c r="G77" s="12">
        <v>2300</v>
      </c>
      <c r="H77" s="12">
        <v>2800</v>
      </c>
      <c r="I77" s="13">
        <v>0.21739130434782608</v>
      </c>
      <c r="J77" s="14">
        <v>45660</v>
      </c>
      <c r="K77" s="5"/>
      <c r="L77" s="5" t="s">
        <v>27</v>
      </c>
      <c r="M77" s="15" t="s">
        <v>543</v>
      </c>
      <c r="N77" s="5"/>
      <c r="O77" s="5"/>
      <c r="P77" s="5"/>
      <c r="Q77" s="5" t="s">
        <v>544</v>
      </c>
      <c r="R77" s="5" t="s">
        <v>545</v>
      </c>
      <c r="S77" s="5" t="s">
        <v>546</v>
      </c>
      <c r="T77" s="16" t="s">
        <v>547</v>
      </c>
      <c r="U77" s="5" t="s">
        <v>33</v>
      </c>
      <c r="V77" s="5" t="s">
        <v>548</v>
      </c>
    </row>
    <row r="78" spans="1:22" ht="12.75">
      <c r="A78" s="5" t="s">
        <v>549</v>
      </c>
      <c r="B78" s="5" t="s">
        <v>365</v>
      </c>
      <c r="C78" s="5" t="s">
        <v>550</v>
      </c>
      <c r="D78" s="5" t="s">
        <v>408</v>
      </c>
      <c r="E78" s="11" t="s">
        <v>26</v>
      </c>
      <c r="F78" s="11">
        <v>90210</v>
      </c>
      <c r="G78" s="12">
        <v>65000</v>
      </c>
      <c r="H78" s="12">
        <v>85000</v>
      </c>
      <c r="I78" s="13">
        <v>0.30769230769230771</v>
      </c>
      <c r="J78" s="14">
        <v>45669</v>
      </c>
      <c r="K78" s="5"/>
      <c r="L78" s="5" t="s">
        <v>27</v>
      </c>
      <c r="M78" s="15" t="s">
        <v>551</v>
      </c>
      <c r="N78" s="5"/>
      <c r="O78" s="5" t="s">
        <v>552</v>
      </c>
      <c r="P78" s="5" t="s">
        <v>553</v>
      </c>
      <c r="Q78" s="5"/>
      <c r="R78" s="5"/>
      <c r="S78" s="5" t="s">
        <v>554</v>
      </c>
      <c r="T78" s="16" t="s">
        <v>555</v>
      </c>
      <c r="U78" s="5" t="s">
        <v>33</v>
      </c>
      <c r="V78" s="5" t="s">
        <v>556</v>
      </c>
    </row>
    <row r="79" spans="1:22" ht="12.75">
      <c r="A79" s="5" t="s">
        <v>557</v>
      </c>
      <c r="B79" s="5">
        <v>5754019017</v>
      </c>
      <c r="C79" s="5" t="s">
        <v>558</v>
      </c>
      <c r="D79" s="5" t="s">
        <v>559</v>
      </c>
      <c r="E79" s="11" t="s">
        <v>26</v>
      </c>
      <c r="F79" s="11">
        <v>91107</v>
      </c>
      <c r="G79" s="12">
        <v>3800</v>
      </c>
      <c r="H79" s="12">
        <v>4200</v>
      </c>
      <c r="I79" s="13">
        <v>0.10526315789473684</v>
      </c>
      <c r="J79" s="14">
        <v>45668</v>
      </c>
      <c r="K79" s="5"/>
      <c r="L79" s="5" t="s">
        <v>27</v>
      </c>
      <c r="M79" s="15" t="s">
        <v>560</v>
      </c>
      <c r="N79" s="5"/>
      <c r="O79" s="5" t="s">
        <v>561</v>
      </c>
      <c r="P79" s="5" t="s">
        <v>562</v>
      </c>
      <c r="Q79" s="5" t="s">
        <v>563</v>
      </c>
      <c r="R79" s="5" t="s">
        <v>562</v>
      </c>
      <c r="S79" s="5" t="s">
        <v>564</v>
      </c>
      <c r="T79" s="5" t="s">
        <v>565</v>
      </c>
      <c r="U79" s="5" t="s">
        <v>204</v>
      </c>
    </row>
    <row r="80" spans="1:22" ht="12.75">
      <c r="A80" s="5" t="s">
        <v>566</v>
      </c>
      <c r="B80" s="5">
        <v>5437023007</v>
      </c>
      <c r="C80" s="5" t="s">
        <v>567</v>
      </c>
      <c r="D80" s="5" t="s">
        <v>25</v>
      </c>
      <c r="E80" s="11" t="s">
        <v>26</v>
      </c>
      <c r="F80" s="11">
        <v>90039</v>
      </c>
      <c r="G80" s="12">
        <v>3800</v>
      </c>
      <c r="H80" s="12">
        <v>4500</v>
      </c>
      <c r="I80" s="13">
        <v>0.18421052631578946</v>
      </c>
      <c r="J80" s="14">
        <v>45669</v>
      </c>
      <c r="K80" s="5"/>
      <c r="L80" s="5" t="s">
        <v>27</v>
      </c>
      <c r="M80" s="15" t="s">
        <v>568</v>
      </c>
      <c r="N80" s="5"/>
      <c r="O80" s="5" t="s">
        <v>569</v>
      </c>
      <c r="P80" s="5" t="s">
        <v>570</v>
      </c>
      <c r="Q80" s="5" t="s">
        <v>571</v>
      </c>
      <c r="R80" s="5"/>
      <c r="S80" s="5" t="s">
        <v>114</v>
      </c>
      <c r="T80" s="16" t="s">
        <v>572</v>
      </c>
      <c r="U80" s="5" t="s">
        <v>33</v>
      </c>
      <c r="V80" s="5" t="s">
        <v>573</v>
      </c>
    </row>
    <row r="81" spans="1:22" ht="12.75">
      <c r="A81" s="5" t="s">
        <v>574</v>
      </c>
      <c r="B81" s="5">
        <v>7509003008</v>
      </c>
      <c r="C81" s="5" t="s">
        <v>575</v>
      </c>
      <c r="D81" s="5" t="s">
        <v>576</v>
      </c>
      <c r="E81" s="11" t="s">
        <v>26</v>
      </c>
      <c r="F81" s="11">
        <v>90277</v>
      </c>
      <c r="G81" s="12">
        <v>7500</v>
      </c>
      <c r="H81" s="12">
        <v>13000</v>
      </c>
      <c r="I81" s="13">
        <v>0.73333333333333328</v>
      </c>
      <c r="J81" s="14">
        <v>45667</v>
      </c>
      <c r="K81" s="5"/>
      <c r="L81" s="5" t="s">
        <v>27</v>
      </c>
      <c r="M81" s="15" t="s">
        <v>577</v>
      </c>
      <c r="N81" s="5"/>
      <c r="O81" s="5"/>
      <c r="P81" s="5"/>
      <c r="Q81" s="5" t="s">
        <v>578</v>
      </c>
      <c r="R81" s="5" t="s">
        <v>579</v>
      </c>
      <c r="S81" s="5" t="s">
        <v>114</v>
      </c>
      <c r="T81" s="5" t="s">
        <v>580</v>
      </c>
      <c r="U81" s="5" t="s">
        <v>204</v>
      </c>
    </row>
    <row r="82" spans="1:22" ht="12.75">
      <c r="A82" s="5" t="s">
        <v>581</v>
      </c>
      <c r="B82" s="5">
        <v>4259009026</v>
      </c>
      <c r="C82" s="5" t="s">
        <v>582</v>
      </c>
      <c r="D82" s="5" t="s">
        <v>25</v>
      </c>
      <c r="E82" s="11" t="s">
        <v>26</v>
      </c>
      <c r="F82" s="11">
        <v>90025</v>
      </c>
      <c r="G82" s="12">
        <v>8495</v>
      </c>
      <c r="H82" s="12">
        <v>14995</v>
      </c>
      <c r="I82" s="13">
        <v>0.76515597410241321</v>
      </c>
      <c r="J82" s="14">
        <v>45666</v>
      </c>
      <c r="K82" s="5"/>
      <c r="L82" s="5" t="s">
        <v>27</v>
      </c>
      <c r="M82" s="15" t="s">
        <v>583</v>
      </c>
      <c r="N82" s="5"/>
      <c r="O82" s="5"/>
      <c r="P82" s="5"/>
      <c r="Q82" s="5"/>
      <c r="R82" s="5"/>
      <c r="S82" s="5" t="s">
        <v>584</v>
      </c>
      <c r="T82" s="16" t="s">
        <v>585</v>
      </c>
      <c r="U82" s="5" t="s">
        <v>33</v>
      </c>
      <c r="V82" s="5" t="s">
        <v>586</v>
      </c>
    </row>
    <row r="83" spans="1:22" ht="12.75">
      <c r="A83" s="5" t="s">
        <v>587</v>
      </c>
      <c r="B83" s="5">
        <v>4358006027</v>
      </c>
      <c r="C83" s="5" t="s">
        <v>588</v>
      </c>
      <c r="D83" s="5" t="s">
        <v>408</v>
      </c>
      <c r="E83" s="11" t="s">
        <v>26</v>
      </c>
      <c r="F83" s="11">
        <v>90210</v>
      </c>
      <c r="G83" s="12">
        <v>41995</v>
      </c>
      <c r="H83" s="12">
        <v>50000</v>
      </c>
      <c r="I83" s="13">
        <v>0.19061793070603644</v>
      </c>
      <c r="J83" s="14">
        <v>45665</v>
      </c>
      <c r="K83" s="5"/>
      <c r="L83" s="5" t="s">
        <v>27</v>
      </c>
      <c r="M83" s="15" t="s">
        <v>589</v>
      </c>
      <c r="N83" s="5"/>
      <c r="O83" s="5" t="s">
        <v>590</v>
      </c>
      <c r="P83" s="5" t="s">
        <v>591</v>
      </c>
      <c r="Q83" s="5"/>
      <c r="R83" s="5"/>
      <c r="S83" s="5" t="s">
        <v>592</v>
      </c>
      <c r="T83" s="16" t="s">
        <v>593</v>
      </c>
      <c r="U83" s="5" t="s">
        <v>33</v>
      </c>
      <c r="V83" s="5" t="s">
        <v>594</v>
      </c>
    </row>
    <row r="84" spans="1:22" ht="12.75">
      <c r="A84" s="5" t="s">
        <v>595</v>
      </c>
      <c r="B84" s="5" t="s">
        <v>365</v>
      </c>
      <c r="C84" s="5" t="s">
        <v>596</v>
      </c>
      <c r="D84" s="5" t="s">
        <v>25</v>
      </c>
      <c r="E84" s="11" t="s">
        <v>26</v>
      </c>
      <c r="F84" s="11">
        <v>90025</v>
      </c>
      <c r="G84" s="12">
        <v>2350</v>
      </c>
      <c r="H84" s="12">
        <v>2850</v>
      </c>
      <c r="I84" s="13">
        <v>0.21276595744680851</v>
      </c>
      <c r="J84" s="14">
        <v>45667</v>
      </c>
      <c r="K84" s="5"/>
      <c r="L84" s="5" t="s">
        <v>27</v>
      </c>
      <c r="M84" s="15" t="s">
        <v>597</v>
      </c>
      <c r="N84" s="5"/>
      <c r="O84" s="5" t="s">
        <v>598</v>
      </c>
      <c r="P84" s="5" t="s">
        <v>599</v>
      </c>
      <c r="Q84" s="5" t="s">
        <v>365</v>
      </c>
      <c r="R84" s="5" t="s">
        <v>365</v>
      </c>
      <c r="S84" s="5" t="s">
        <v>600</v>
      </c>
      <c r="T84" s="16" t="s">
        <v>601</v>
      </c>
      <c r="U84" s="5" t="s">
        <v>33</v>
      </c>
      <c r="V84" s="5" t="s">
        <v>602</v>
      </c>
    </row>
    <row r="85" spans="1:22" ht="12.75">
      <c r="A85" s="5" t="s">
        <v>603</v>
      </c>
      <c r="B85" s="5" t="s">
        <v>365</v>
      </c>
      <c r="C85" s="5" t="s">
        <v>604</v>
      </c>
      <c r="D85" s="5" t="s">
        <v>605</v>
      </c>
      <c r="E85" s="11" t="s">
        <v>26</v>
      </c>
      <c r="F85" s="11">
        <v>91401</v>
      </c>
      <c r="G85" s="12">
        <v>40000</v>
      </c>
      <c r="H85" s="12">
        <v>45000</v>
      </c>
      <c r="I85" s="13">
        <v>0.125</v>
      </c>
      <c r="J85" s="14">
        <v>45667</v>
      </c>
      <c r="K85" s="5"/>
      <c r="L85" s="5" t="s">
        <v>27</v>
      </c>
      <c r="M85" s="15" t="s">
        <v>606</v>
      </c>
      <c r="N85" s="5"/>
      <c r="O85" s="5" t="s">
        <v>607</v>
      </c>
      <c r="P85" s="5" t="s">
        <v>608</v>
      </c>
      <c r="Q85" s="5"/>
      <c r="R85" s="5"/>
      <c r="S85" s="5" t="s">
        <v>609</v>
      </c>
      <c r="T85" s="16" t="s">
        <v>610</v>
      </c>
      <c r="U85" s="5" t="s">
        <v>33</v>
      </c>
      <c r="V85" s="5" t="s">
        <v>611</v>
      </c>
    </row>
    <row r="86" spans="1:22" ht="12.75">
      <c r="A86" s="5" t="s">
        <v>612</v>
      </c>
      <c r="B86" s="5" t="s">
        <v>365</v>
      </c>
      <c r="C86" s="5" t="s">
        <v>613</v>
      </c>
      <c r="D86" s="5" t="s">
        <v>25</v>
      </c>
      <c r="E86" s="11" t="s">
        <v>26</v>
      </c>
      <c r="F86" s="11">
        <v>90034</v>
      </c>
      <c r="G86" s="12">
        <v>4300</v>
      </c>
      <c r="H86" s="12">
        <v>44000</v>
      </c>
      <c r="I86" s="13">
        <v>9.2325581395348841</v>
      </c>
      <c r="J86" s="14">
        <v>45669</v>
      </c>
      <c r="K86" s="5"/>
      <c r="L86" s="5" t="s">
        <v>27</v>
      </c>
      <c r="M86" s="15" t="s">
        <v>614</v>
      </c>
      <c r="N86" s="5"/>
      <c r="O86" s="5"/>
      <c r="P86" s="5"/>
      <c r="Q86" s="5" t="s">
        <v>615</v>
      </c>
      <c r="R86" s="5" t="s">
        <v>616</v>
      </c>
      <c r="S86" s="5" t="s">
        <v>617</v>
      </c>
      <c r="T86" s="16" t="s">
        <v>618</v>
      </c>
      <c r="U86" s="5" t="s">
        <v>33</v>
      </c>
      <c r="V86" s="5" t="s">
        <v>30</v>
      </c>
    </row>
    <row r="87" spans="1:22" ht="12.75">
      <c r="A87" s="5" t="s">
        <v>619</v>
      </c>
      <c r="B87" s="5" t="s">
        <v>365</v>
      </c>
      <c r="C87" s="5" t="s">
        <v>620</v>
      </c>
      <c r="D87" s="5" t="s">
        <v>25</v>
      </c>
      <c r="E87" s="11" t="s">
        <v>26</v>
      </c>
      <c r="F87" s="11">
        <v>90026</v>
      </c>
      <c r="G87" s="12">
        <v>2500</v>
      </c>
      <c r="H87" s="12">
        <v>4500</v>
      </c>
      <c r="I87" s="13">
        <v>0.8</v>
      </c>
      <c r="J87" s="14">
        <v>45668</v>
      </c>
      <c r="K87" s="5"/>
      <c r="L87" s="5" t="s">
        <v>27</v>
      </c>
      <c r="M87" s="15" t="s">
        <v>621</v>
      </c>
      <c r="N87" s="5"/>
      <c r="O87" s="5" t="s">
        <v>622</v>
      </c>
      <c r="P87" s="5" t="s">
        <v>623</v>
      </c>
      <c r="Q87" s="5"/>
      <c r="R87" s="5"/>
      <c r="S87" s="5" t="s">
        <v>114</v>
      </c>
      <c r="T87" s="5" t="s">
        <v>624</v>
      </c>
      <c r="U87" s="5"/>
    </row>
    <row r="88" spans="1:22" ht="12.75">
      <c r="A88" s="5" t="s">
        <v>625</v>
      </c>
      <c r="B88" s="5">
        <v>5589018015</v>
      </c>
      <c r="C88" s="5" t="s">
        <v>626</v>
      </c>
      <c r="D88" s="5" t="s">
        <v>25</v>
      </c>
      <c r="E88" s="11" t="s">
        <v>26</v>
      </c>
      <c r="F88" s="11">
        <v>90027</v>
      </c>
      <c r="G88" s="12">
        <v>2340</v>
      </c>
      <c r="H88" s="12">
        <v>19500</v>
      </c>
      <c r="I88" s="13">
        <v>7.333333333333333</v>
      </c>
      <c r="J88" s="14">
        <v>45667</v>
      </c>
      <c r="K88" s="5"/>
      <c r="L88" s="5" t="s">
        <v>27</v>
      </c>
      <c r="M88" s="15" t="s">
        <v>627</v>
      </c>
      <c r="N88" s="5"/>
      <c r="O88" s="5" t="s">
        <v>628</v>
      </c>
      <c r="P88" s="5" t="s">
        <v>629</v>
      </c>
      <c r="Q88" s="5"/>
      <c r="R88" s="5"/>
      <c r="S88" s="5" t="s">
        <v>630</v>
      </c>
      <c r="T88" s="5" t="s">
        <v>631</v>
      </c>
      <c r="U88" s="5"/>
    </row>
    <row r="89" spans="1:22" ht="12.75">
      <c r="A89" s="5" t="s">
        <v>632</v>
      </c>
      <c r="B89" s="5">
        <v>5560016014</v>
      </c>
      <c r="C89" s="5" t="s">
        <v>633</v>
      </c>
      <c r="D89" s="5" t="s">
        <v>25</v>
      </c>
      <c r="E89" s="11" t="s">
        <v>26</v>
      </c>
      <c r="F89" s="11">
        <v>90069</v>
      </c>
      <c r="G89" s="12">
        <v>35000</v>
      </c>
      <c r="H89" s="12">
        <v>39950</v>
      </c>
      <c r="I89" s="13">
        <v>0.14142857142857143</v>
      </c>
      <c r="J89" s="14">
        <v>45666</v>
      </c>
      <c r="K89" s="5"/>
      <c r="L89" s="5" t="s">
        <v>27</v>
      </c>
      <c r="M89" s="15" t="s">
        <v>634</v>
      </c>
      <c r="N89" s="5"/>
      <c r="O89" s="5" t="s">
        <v>635</v>
      </c>
      <c r="P89" s="5" t="s">
        <v>636</v>
      </c>
      <c r="Q89" s="5"/>
      <c r="R89" s="5"/>
      <c r="S89" s="5" t="s">
        <v>637</v>
      </c>
      <c r="T89" s="16" t="s">
        <v>638</v>
      </c>
      <c r="U89" s="5"/>
    </row>
    <row r="90" spans="1:22" ht="12.75">
      <c r="A90" s="5" t="s">
        <v>639</v>
      </c>
      <c r="B90" s="5">
        <v>4382002013</v>
      </c>
      <c r="C90" s="5" t="s">
        <v>640</v>
      </c>
      <c r="D90" s="5" t="s">
        <v>408</v>
      </c>
      <c r="E90" s="11" t="s">
        <v>26</v>
      </c>
      <c r="F90" s="11">
        <v>90210</v>
      </c>
      <c r="G90" s="12">
        <v>29500</v>
      </c>
      <c r="H90" s="12">
        <v>39500</v>
      </c>
      <c r="I90" s="13">
        <v>0.33898305084745761</v>
      </c>
      <c r="J90" s="14">
        <v>45668</v>
      </c>
      <c r="K90" s="5"/>
      <c r="L90" s="5" t="s">
        <v>27</v>
      </c>
      <c r="M90" s="15" t="s">
        <v>641</v>
      </c>
      <c r="N90" s="5"/>
      <c r="O90" s="5" t="s">
        <v>642</v>
      </c>
      <c r="P90" s="5" t="s">
        <v>643</v>
      </c>
      <c r="Q90" s="5"/>
      <c r="R90" s="5"/>
      <c r="S90" s="5" t="s">
        <v>644</v>
      </c>
      <c r="T90" s="16" t="s">
        <v>645</v>
      </c>
      <c r="U90" s="5"/>
    </row>
    <row r="91" spans="1:22" ht="12.75">
      <c r="A91" s="5" t="s">
        <v>646</v>
      </c>
      <c r="B91" s="5" t="s">
        <v>365</v>
      </c>
      <c r="C91" s="5" t="s">
        <v>647</v>
      </c>
      <c r="D91" s="5" t="s">
        <v>25</v>
      </c>
      <c r="E91" s="11" t="s">
        <v>26</v>
      </c>
      <c r="F91" s="11">
        <v>90026</v>
      </c>
      <c r="G91" s="12">
        <v>22500</v>
      </c>
      <c r="H91" s="12">
        <v>27500</v>
      </c>
      <c r="I91" s="13">
        <v>0.22222222222222221</v>
      </c>
      <c r="J91" s="14">
        <v>45668</v>
      </c>
      <c r="K91" s="5"/>
      <c r="L91" s="5" t="s">
        <v>648</v>
      </c>
      <c r="M91" s="15" t="s">
        <v>649</v>
      </c>
      <c r="N91" s="5"/>
      <c r="O91" s="5" t="s">
        <v>650</v>
      </c>
      <c r="P91" s="5">
        <v>3104159743</v>
      </c>
      <c r="Q91" s="5" t="s">
        <v>365</v>
      </c>
      <c r="R91" s="5" t="s">
        <v>365</v>
      </c>
      <c r="S91" s="5" t="s">
        <v>651</v>
      </c>
      <c r="T91" s="16" t="s">
        <v>652</v>
      </c>
      <c r="U91" s="5"/>
    </row>
    <row r="92" spans="1:22" ht="12.75">
      <c r="A92" s="5" t="s">
        <v>653</v>
      </c>
      <c r="B92" s="5">
        <v>5435014021</v>
      </c>
      <c r="C92" s="5" t="s">
        <v>654</v>
      </c>
      <c r="D92" s="5" t="s">
        <v>25</v>
      </c>
      <c r="E92" s="11" t="s">
        <v>26</v>
      </c>
      <c r="F92" s="11">
        <v>90039</v>
      </c>
      <c r="G92" s="12">
        <v>3750</v>
      </c>
      <c r="H92" s="12">
        <v>6500</v>
      </c>
      <c r="I92" s="13">
        <v>0.73333333333333328</v>
      </c>
      <c r="J92" s="14">
        <v>45666</v>
      </c>
      <c r="K92" s="5"/>
      <c r="L92" s="5" t="s">
        <v>27</v>
      </c>
      <c r="M92" s="15" t="s">
        <v>655</v>
      </c>
      <c r="N92" s="5"/>
      <c r="O92" s="5" t="s">
        <v>656</v>
      </c>
      <c r="P92" s="5" t="s">
        <v>657</v>
      </c>
      <c r="Q92" s="5"/>
      <c r="R92" s="5"/>
      <c r="S92" s="5" t="s">
        <v>114</v>
      </c>
      <c r="T92" s="5" t="s">
        <v>658</v>
      </c>
      <c r="U92" s="5" t="s">
        <v>356</v>
      </c>
    </row>
    <row r="93" spans="1:22" ht="12.75">
      <c r="A93" s="5" t="s">
        <v>659</v>
      </c>
      <c r="B93" s="5">
        <v>4494020003</v>
      </c>
      <c r="C93" s="5" t="s">
        <v>660</v>
      </c>
      <c r="D93" s="5" t="s">
        <v>25</v>
      </c>
      <c r="E93" s="11" t="s">
        <v>26</v>
      </c>
      <c r="F93" s="11">
        <v>90049</v>
      </c>
      <c r="G93" s="12">
        <v>17995</v>
      </c>
      <c r="H93" s="12">
        <v>35995</v>
      </c>
      <c r="I93" s="13">
        <v>1.0002778549597111</v>
      </c>
      <c r="J93" s="14">
        <v>45667</v>
      </c>
      <c r="K93" s="5"/>
      <c r="L93" s="5" t="s">
        <v>27</v>
      </c>
      <c r="M93" s="15" t="s">
        <v>661</v>
      </c>
      <c r="N93" s="5"/>
      <c r="O93" s="5" t="s">
        <v>662</v>
      </c>
      <c r="P93" s="5" t="s">
        <v>663</v>
      </c>
      <c r="Q93" s="5"/>
      <c r="R93" s="5"/>
      <c r="S93" s="5" t="s">
        <v>664</v>
      </c>
      <c r="T93" s="16" t="s">
        <v>665</v>
      </c>
      <c r="U93" s="5" t="s">
        <v>356</v>
      </c>
    </row>
    <row r="94" spans="1:22" ht="12.75">
      <c r="A94" s="5" t="s">
        <v>666</v>
      </c>
      <c r="B94" s="5">
        <v>4265017048</v>
      </c>
      <c r="C94" s="5" t="s">
        <v>667</v>
      </c>
      <c r="D94" s="5" t="s">
        <v>25</v>
      </c>
      <c r="E94" s="11" t="s">
        <v>26</v>
      </c>
      <c r="F94" s="11">
        <v>90049</v>
      </c>
      <c r="G94" s="12">
        <v>5095</v>
      </c>
      <c r="H94" s="12">
        <v>6300</v>
      </c>
      <c r="I94" s="13">
        <v>0.2365063788027478</v>
      </c>
      <c r="J94" s="14">
        <v>45665</v>
      </c>
      <c r="K94" s="5"/>
      <c r="L94" s="5" t="s">
        <v>27</v>
      </c>
      <c r="M94" s="15" t="s">
        <v>668</v>
      </c>
      <c r="N94" s="5"/>
      <c r="O94" s="5" t="s">
        <v>669</v>
      </c>
      <c r="P94" s="5" t="s">
        <v>670</v>
      </c>
      <c r="Q94" s="5" t="s">
        <v>365</v>
      </c>
      <c r="R94" s="5" t="s">
        <v>365</v>
      </c>
      <c r="S94" s="5" t="s">
        <v>671</v>
      </c>
      <c r="T94" s="16" t="s">
        <v>672</v>
      </c>
      <c r="U94" s="5" t="s">
        <v>356</v>
      </c>
    </row>
    <row r="95" spans="1:22" ht="12.75">
      <c r="A95" s="5" t="s">
        <v>673</v>
      </c>
      <c r="B95" s="5" t="s">
        <v>365</v>
      </c>
      <c r="C95" s="5" t="s">
        <v>674</v>
      </c>
      <c r="D95" s="5" t="s">
        <v>25</v>
      </c>
      <c r="E95" s="11" t="s">
        <v>26</v>
      </c>
      <c r="F95" s="11">
        <v>90034</v>
      </c>
      <c r="G95" s="12">
        <v>4990</v>
      </c>
      <c r="H95" s="12">
        <v>5995</v>
      </c>
      <c r="I95" s="13">
        <v>0.20140280561122245</v>
      </c>
      <c r="J95" s="14">
        <v>45667</v>
      </c>
      <c r="K95" s="5"/>
      <c r="L95" s="5" t="s">
        <v>27</v>
      </c>
      <c r="M95" s="15" t="s">
        <v>675</v>
      </c>
      <c r="N95" s="5"/>
      <c r="O95" s="5" t="s">
        <v>676</v>
      </c>
      <c r="P95" s="5" t="s">
        <v>677</v>
      </c>
      <c r="Q95" s="5"/>
      <c r="R95" s="5"/>
      <c r="S95" s="5" t="s">
        <v>114</v>
      </c>
      <c r="T95" s="5" t="s">
        <v>678</v>
      </c>
      <c r="U95" s="5" t="s">
        <v>356</v>
      </c>
    </row>
    <row r="96" spans="1:22" ht="12.75">
      <c r="A96" s="5" t="s">
        <v>679</v>
      </c>
      <c r="B96" s="5">
        <v>4352001053</v>
      </c>
      <c r="C96" s="5" t="s">
        <v>680</v>
      </c>
      <c r="D96" s="5" t="s">
        <v>408</v>
      </c>
      <c r="E96" s="11" t="s">
        <v>26</v>
      </c>
      <c r="F96" s="11">
        <v>90210</v>
      </c>
      <c r="G96" s="12">
        <v>24000</v>
      </c>
      <c r="H96" s="12">
        <v>35000</v>
      </c>
      <c r="I96" s="13">
        <v>0.45833333333333331</v>
      </c>
      <c r="J96" s="14">
        <v>45666</v>
      </c>
      <c r="K96" s="5"/>
      <c r="L96" s="5" t="s">
        <v>27</v>
      </c>
      <c r="M96" s="15" t="s">
        <v>681</v>
      </c>
      <c r="N96" s="5"/>
      <c r="O96" s="5" t="s">
        <v>682</v>
      </c>
      <c r="P96" s="5" t="s">
        <v>683</v>
      </c>
      <c r="Q96" s="5"/>
      <c r="R96" s="5"/>
      <c r="S96" s="5" t="s">
        <v>684</v>
      </c>
      <c r="T96" s="16" t="s">
        <v>685</v>
      </c>
      <c r="U96" s="5" t="s">
        <v>356</v>
      </c>
    </row>
    <row r="97" spans="1:22" ht="12.75">
      <c r="A97" s="5" t="s">
        <v>686</v>
      </c>
      <c r="B97" s="5" t="s">
        <v>365</v>
      </c>
      <c r="C97" s="5" t="s">
        <v>687</v>
      </c>
      <c r="D97" s="5" t="s">
        <v>25</v>
      </c>
      <c r="E97" s="11" t="s">
        <v>26</v>
      </c>
      <c r="F97" s="11">
        <v>90048</v>
      </c>
      <c r="G97" s="12">
        <v>4995</v>
      </c>
      <c r="H97" s="12">
        <v>5500</v>
      </c>
      <c r="I97" s="13">
        <v>0.1011011011011011</v>
      </c>
      <c r="J97" s="14">
        <v>45669</v>
      </c>
      <c r="K97" s="5"/>
      <c r="L97" s="5" t="s">
        <v>27</v>
      </c>
      <c r="M97" s="15" t="s">
        <v>688</v>
      </c>
      <c r="N97" s="5"/>
      <c r="O97" s="5" t="s">
        <v>689</v>
      </c>
      <c r="P97" s="5" t="s">
        <v>690</v>
      </c>
      <c r="Q97" s="5"/>
      <c r="R97" s="5"/>
      <c r="S97" s="5" t="s">
        <v>691</v>
      </c>
      <c r="T97" s="5" t="s">
        <v>692</v>
      </c>
      <c r="U97" s="5" t="s">
        <v>356</v>
      </c>
    </row>
    <row r="98" spans="1:22" ht="12.75">
      <c r="A98" s="5" t="s">
        <v>693</v>
      </c>
      <c r="B98" s="5">
        <v>4429024001</v>
      </c>
      <c r="C98" s="5" t="s">
        <v>694</v>
      </c>
      <c r="D98" s="5" t="s">
        <v>25</v>
      </c>
      <c r="E98" s="11" t="s">
        <v>26</v>
      </c>
      <c r="F98" s="11">
        <v>90049</v>
      </c>
      <c r="G98" s="12">
        <v>12000</v>
      </c>
      <c r="H98" s="12">
        <v>15000</v>
      </c>
      <c r="I98" s="13">
        <v>0.25</v>
      </c>
      <c r="J98" s="14">
        <v>45667</v>
      </c>
      <c r="K98" s="5"/>
      <c r="L98" s="5" t="s">
        <v>27</v>
      </c>
      <c r="M98" s="15" t="s">
        <v>695</v>
      </c>
      <c r="N98" s="5"/>
      <c r="O98" s="5" t="s">
        <v>365</v>
      </c>
      <c r="P98" s="5"/>
      <c r="Q98" s="5" t="s">
        <v>39</v>
      </c>
      <c r="R98" s="5" t="s">
        <v>40</v>
      </c>
      <c r="S98" s="5" t="s">
        <v>696</v>
      </c>
      <c r="T98" s="16" t="s">
        <v>697</v>
      </c>
      <c r="U98" s="5" t="s">
        <v>356</v>
      </c>
    </row>
    <row r="99" spans="1:22" ht="12.75">
      <c r="A99" s="5" t="s">
        <v>698</v>
      </c>
      <c r="B99" s="5">
        <v>4362010008</v>
      </c>
      <c r="C99" s="5" t="s">
        <v>699</v>
      </c>
      <c r="D99" s="5" t="s">
        <v>25</v>
      </c>
      <c r="E99" s="11" t="s">
        <v>26</v>
      </c>
      <c r="F99" s="11">
        <v>90077</v>
      </c>
      <c r="G99" s="12">
        <v>29500</v>
      </c>
      <c r="H99" s="12">
        <v>35000</v>
      </c>
      <c r="I99" s="13">
        <v>0.1864406779661017</v>
      </c>
      <c r="J99" s="14">
        <v>45667</v>
      </c>
      <c r="K99" s="5"/>
      <c r="L99" s="5" t="s">
        <v>27</v>
      </c>
      <c r="M99" s="15" t="s">
        <v>700</v>
      </c>
      <c r="N99" s="5"/>
      <c r="O99" s="5" t="s">
        <v>701</v>
      </c>
      <c r="P99" s="5" t="s">
        <v>702</v>
      </c>
      <c r="Q99" s="5"/>
      <c r="R99" s="5"/>
      <c r="S99" s="5" t="s">
        <v>703</v>
      </c>
      <c r="T99" s="16" t="s">
        <v>704</v>
      </c>
      <c r="U99" s="5" t="s">
        <v>356</v>
      </c>
    </row>
    <row r="100" spans="1:22" ht="12.75">
      <c r="A100" s="5" t="s">
        <v>705</v>
      </c>
      <c r="B100" s="5">
        <v>5551028021</v>
      </c>
      <c r="C100" s="5" t="s">
        <v>706</v>
      </c>
      <c r="D100" s="5" t="s">
        <v>25</v>
      </c>
      <c r="E100" s="11" t="s">
        <v>26</v>
      </c>
      <c r="F100" s="11">
        <v>90046</v>
      </c>
      <c r="G100" s="12">
        <v>11500</v>
      </c>
      <c r="H100" s="12">
        <v>17000</v>
      </c>
      <c r="I100" s="13">
        <v>0.47826086956521741</v>
      </c>
      <c r="J100" s="14">
        <v>45668</v>
      </c>
      <c r="K100" s="5"/>
      <c r="L100" s="5" t="s">
        <v>27</v>
      </c>
      <c r="M100" s="15" t="s">
        <v>707</v>
      </c>
      <c r="N100" s="5"/>
      <c r="O100" s="5" t="s">
        <v>708</v>
      </c>
      <c r="P100" s="5">
        <v>3124200021</v>
      </c>
      <c r="Q100" s="5"/>
      <c r="R100" s="5"/>
      <c r="S100" s="5" t="s">
        <v>114</v>
      </c>
      <c r="T100" s="5" t="s">
        <v>709</v>
      </c>
      <c r="U100" s="5" t="s">
        <v>413</v>
      </c>
      <c r="V100" s="5" t="s">
        <v>413</v>
      </c>
    </row>
    <row r="101" spans="1:22" ht="12.75">
      <c r="A101" s="5" t="s">
        <v>710</v>
      </c>
      <c r="B101" s="5" t="s">
        <v>365</v>
      </c>
      <c r="C101" s="5" t="s">
        <v>711</v>
      </c>
      <c r="D101" s="5" t="s">
        <v>25</v>
      </c>
      <c r="E101" s="11" t="s">
        <v>26</v>
      </c>
      <c r="F101" s="11">
        <v>90035</v>
      </c>
      <c r="G101" s="12">
        <v>4900</v>
      </c>
      <c r="H101" s="12">
        <v>5500</v>
      </c>
      <c r="I101" s="13">
        <v>0.12244897959183673</v>
      </c>
      <c r="J101" s="14">
        <v>45667</v>
      </c>
      <c r="K101" s="5"/>
      <c r="L101" s="5" t="s">
        <v>27</v>
      </c>
      <c r="M101" s="15" t="s">
        <v>712</v>
      </c>
      <c r="N101" s="5"/>
      <c r="O101" s="5" t="s">
        <v>713</v>
      </c>
      <c r="P101" s="5" t="s">
        <v>714</v>
      </c>
      <c r="Q101" s="5"/>
      <c r="R101" s="5"/>
      <c r="S101" s="5" t="s">
        <v>114</v>
      </c>
      <c r="T101" s="5" t="s">
        <v>715</v>
      </c>
      <c r="U101" s="5" t="s">
        <v>33</v>
      </c>
      <c r="V101" s="5" t="s">
        <v>716</v>
      </c>
    </row>
    <row r="102" spans="1:22" ht="12.75">
      <c r="A102" s="5" t="s">
        <v>717</v>
      </c>
      <c r="B102" s="5">
        <v>4352006010</v>
      </c>
      <c r="C102" s="5" t="s">
        <v>718</v>
      </c>
      <c r="D102" s="5" t="s">
        <v>408</v>
      </c>
      <c r="E102" s="11" t="s">
        <v>26</v>
      </c>
      <c r="F102" s="11">
        <v>90210</v>
      </c>
      <c r="G102" s="12">
        <v>30000</v>
      </c>
      <c r="H102" s="12">
        <v>34950</v>
      </c>
      <c r="I102" s="13">
        <v>0.16500000000000001</v>
      </c>
      <c r="J102" s="14">
        <v>45666</v>
      </c>
      <c r="K102" s="5"/>
      <c r="L102" s="5" t="s">
        <v>27</v>
      </c>
      <c r="M102" s="15" t="s">
        <v>719</v>
      </c>
      <c r="N102" s="5"/>
      <c r="O102" s="5" t="s">
        <v>635</v>
      </c>
      <c r="P102" s="5" t="s">
        <v>636</v>
      </c>
      <c r="Q102" s="5"/>
      <c r="R102" s="5"/>
      <c r="S102" s="5" t="s">
        <v>720</v>
      </c>
      <c r="T102" s="16" t="s">
        <v>721</v>
      </c>
      <c r="U102" s="5" t="s">
        <v>33</v>
      </c>
      <c r="V102" s="5" t="s">
        <v>716</v>
      </c>
    </row>
    <row r="103" spans="1:22" ht="12.75">
      <c r="A103" s="5" t="s">
        <v>722</v>
      </c>
      <c r="B103" s="5">
        <v>2608001002</v>
      </c>
      <c r="C103" s="5" t="s">
        <v>723</v>
      </c>
      <c r="D103" s="5" t="s">
        <v>724</v>
      </c>
      <c r="E103" s="11" t="s">
        <v>26</v>
      </c>
      <c r="F103" s="11">
        <v>91344</v>
      </c>
      <c r="G103" s="12">
        <v>10000</v>
      </c>
      <c r="H103" s="12">
        <v>12500</v>
      </c>
      <c r="I103" s="13">
        <v>0.25</v>
      </c>
      <c r="J103" s="14">
        <v>45666</v>
      </c>
      <c r="K103" s="5"/>
      <c r="L103" s="5" t="s">
        <v>27</v>
      </c>
      <c r="M103" s="15" t="s">
        <v>725</v>
      </c>
      <c r="N103" s="5"/>
      <c r="O103" s="5"/>
      <c r="P103" s="5"/>
      <c r="Q103" s="5" t="s">
        <v>726</v>
      </c>
      <c r="R103" s="5" t="s">
        <v>727</v>
      </c>
      <c r="S103" s="5" t="s">
        <v>728</v>
      </c>
      <c r="T103" s="16" t="s">
        <v>729</v>
      </c>
      <c r="U103" s="5" t="s">
        <v>33</v>
      </c>
      <c r="V103" s="5" t="s">
        <v>716</v>
      </c>
    </row>
    <row r="104" spans="1:22" ht="12.75">
      <c r="A104" s="5" t="s">
        <v>730</v>
      </c>
      <c r="B104" s="5">
        <v>2283021001</v>
      </c>
      <c r="C104" s="5" t="s">
        <v>731</v>
      </c>
      <c r="D104" s="5" t="s">
        <v>732</v>
      </c>
      <c r="E104" s="11" t="s">
        <v>26</v>
      </c>
      <c r="F104" s="11">
        <v>91403</v>
      </c>
      <c r="G104" s="12">
        <v>18000</v>
      </c>
      <c r="H104" s="12">
        <v>34000</v>
      </c>
      <c r="I104" s="13">
        <v>0.88888888888888884</v>
      </c>
      <c r="J104" s="14">
        <v>45668</v>
      </c>
      <c r="K104" s="5"/>
      <c r="L104" s="5" t="s">
        <v>27</v>
      </c>
      <c r="M104" s="15" t="s">
        <v>733</v>
      </c>
      <c r="N104" s="5"/>
      <c r="O104" s="5"/>
      <c r="P104" s="5"/>
      <c r="Q104" s="5" t="s">
        <v>734</v>
      </c>
      <c r="R104" s="5" t="s">
        <v>735</v>
      </c>
      <c r="S104" s="5" t="s">
        <v>736</v>
      </c>
      <c r="T104" s="16" t="s">
        <v>737</v>
      </c>
      <c r="U104" s="5" t="s">
        <v>33</v>
      </c>
      <c r="V104" s="5" t="s">
        <v>716</v>
      </c>
    </row>
    <row r="105" spans="1:22" ht="12.75">
      <c r="A105" s="5" t="s">
        <v>738</v>
      </c>
      <c r="B105" s="5" t="s">
        <v>365</v>
      </c>
      <c r="C105" s="5" t="s">
        <v>739</v>
      </c>
      <c r="D105" s="5" t="s">
        <v>25</v>
      </c>
      <c r="E105" s="11" t="s">
        <v>26</v>
      </c>
      <c r="F105" s="11">
        <v>90049</v>
      </c>
      <c r="G105" s="12">
        <v>3595</v>
      </c>
      <c r="H105" s="12">
        <v>5495</v>
      </c>
      <c r="I105" s="13">
        <v>0.52851182197496527</v>
      </c>
      <c r="J105" s="14">
        <v>45666</v>
      </c>
      <c r="K105" s="5"/>
      <c r="L105" s="5" t="s">
        <v>27</v>
      </c>
      <c r="M105" s="15" t="s">
        <v>740</v>
      </c>
      <c r="N105" s="5"/>
      <c r="O105" s="5" t="s">
        <v>741</v>
      </c>
      <c r="P105" s="5" t="s">
        <v>742</v>
      </c>
      <c r="Q105" s="5"/>
      <c r="R105" s="5"/>
      <c r="S105" s="5" t="s">
        <v>743</v>
      </c>
      <c r="T105" s="5" t="s">
        <v>744</v>
      </c>
      <c r="U105" s="5" t="s">
        <v>33</v>
      </c>
      <c r="V105" s="5" t="s">
        <v>716</v>
      </c>
    </row>
    <row r="106" spans="1:22" ht="12.75">
      <c r="A106" s="5" t="s">
        <v>745</v>
      </c>
      <c r="B106" s="5">
        <v>2733003054</v>
      </c>
      <c r="C106" s="5" t="s">
        <v>746</v>
      </c>
      <c r="D106" s="5" t="s">
        <v>724</v>
      </c>
      <c r="E106" s="11" t="s">
        <v>26</v>
      </c>
      <c r="F106" s="11">
        <v>91344</v>
      </c>
      <c r="G106" s="12">
        <v>4250</v>
      </c>
      <c r="H106" s="12">
        <v>6000</v>
      </c>
      <c r="I106" s="13">
        <v>0.41176470588235292</v>
      </c>
      <c r="J106" s="14">
        <v>45668</v>
      </c>
      <c r="K106" s="5"/>
      <c r="L106" s="5" t="s">
        <v>27</v>
      </c>
      <c r="M106" s="15" t="s">
        <v>747</v>
      </c>
      <c r="N106" s="5"/>
      <c r="O106" s="5"/>
      <c r="P106" s="5"/>
      <c r="Q106" s="5" t="s">
        <v>748</v>
      </c>
      <c r="R106" s="5">
        <v>2135893119</v>
      </c>
      <c r="S106" s="5" t="s">
        <v>749</v>
      </c>
      <c r="T106" s="16" t="s">
        <v>750</v>
      </c>
      <c r="U106" s="5" t="s">
        <v>33</v>
      </c>
      <c r="V106" s="5" t="s">
        <v>716</v>
      </c>
    </row>
    <row r="107" spans="1:22" ht="12.75">
      <c r="A107" s="5" t="s">
        <v>751</v>
      </c>
      <c r="B107" s="5" t="s">
        <v>752</v>
      </c>
      <c r="C107" s="5" t="s">
        <v>752</v>
      </c>
      <c r="D107" s="5" t="s">
        <v>408</v>
      </c>
      <c r="E107" s="11" t="s">
        <v>26</v>
      </c>
      <c r="F107" s="11">
        <v>90210</v>
      </c>
      <c r="G107" s="12">
        <v>11800</v>
      </c>
      <c r="H107" s="12">
        <v>33950</v>
      </c>
      <c r="I107" s="13">
        <v>1.8771186440677967</v>
      </c>
      <c r="J107" s="14">
        <v>45666</v>
      </c>
      <c r="K107" s="5"/>
      <c r="L107" s="5" t="s">
        <v>27</v>
      </c>
      <c r="M107" s="15" t="s">
        <v>753</v>
      </c>
      <c r="N107" s="5"/>
      <c r="O107" s="5" t="s">
        <v>635</v>
      </c>
      <c r="P107" s="5"/>
      <c r="Q107" s="5"/>
      <c r="R107" s="5"/>
      <c r="S107" s="5" t="s">
        <v>754</v>
      </c>
      <c r="T107" s="16" t="s">
        <v>755</v>
      </c>
      <c r="U107" s="5" t="s">
        <v>33</v>
      </c>
      <c r="V107" s="5" t="s">
        <v>716</v>
      </c>
    </row>
    <row r="108" spans="1:22" ht="12.75">
      <c r="A108" s="5" t="s">
        <v>756</v>
      </c>
      <c r="B108" s="5">
        <v>5556004007</v>
      </c>
      <c r="C108" s="5" t="s">
        <v>757</v>
      </c>
      <c r="D108" s="5" t="s">
        <v>25</v>
      </c>
      <c r="E108" s="11" t="s">
        <v>26</v>
      </c>
      <c r="F108" s="11">
        <v>90046</v>
      </c>
      <c r="G108" s="12">
        <v>9500</v>
      </c>
      <c r="H108" s="12">
        <v>10500</v>
      </c>
      <c r="I108" s="13">
        <v>0.10526315789473684</v>
      </c>
      <c r="J108" s="14">
        <v>45666</v>
      </c>
      <c r="K108" s="5"/>
      <c r="L108" s="5" t="s">
        <v>27</v>
      </c>
      <c r="M108" s="15" t="s">
        <v>758</v>
      </c>
      <c r="N108" s="5"/>
      <c r="O108" s="5"/>
      <c r="P108" s="5"/>
      <c r="Q108" s="5"/>
      <c r="R108" s="5"/>
      <c r="S108" s="5" t="s">
        <v>759</v>
      </c>
      <c r="T108" s="5" t="s">
        <v>760</v>
      </c>
      <c r="U108" s="5" t="s">
        <v>33</v>
      </c>
      <c r="V108" s="5" t="s">
        <v>716</v>
      </c>
    </row>
    <row r="109" spans="1:22" ht="12.75">
      <c r="A109" s="5" t="s">
        <v>761</v>
      </c>
      <c r="B109" s="5">
        <v>2284001021</v>
      </c>
      <c r="C109" s="5" t="s">
        <v>762</v>
      </c>
      <c r="D109" s="5" t="s">
        <v>423</v>
      </c>
      <c r="E109" s="11" t="s">
        <v>26</v>
      </c>
      <c r="F109" s="11">
        <v>91436</v>
      </c>
      <c r="G109" s="12">
        <v>20000</v>
      </c>
      <c r="H109" s="12">
        <v>32000</v>
      </c>
      <c r="I109" s="13">
        <v>0.6</v>
      </c>
      <c r="J109" s="14">
        <v>45669</v>
      </c>
      <c r="K109" s="5"/>
      <c r="L109" s="5" t="s">
        <v>27</v>
      </c>
      <c r="M109" s="15" t="s">
        <v>763</v>
      </c>
      <c r="N109" s="5"/>
      <c r="O109" s="5"/>
      <c r="P109" s="5"/>
      <c r="Q109" s="5" t="s">
        <v>764</v>
      </c>
      <c r="R109" s="5" t="s">
        <v>765</v>
      </c>
      <c r="S109" s="5" t="s">
        <v>766</v>
      </c>
      <c r="T109" s="16" t="s">
        <v>767</v>
      </c>
      <c r="U109" s="5" t="s">
        <v>33</v>
      </c>
      <c r="V109" s="5" t="s">
        <v>768</v>
      </c>
    </row>
    <row r="110" spans="1:22" ht="12.75">
      <c r="A110" s="5" t="s">
        <v>769</v>
      </c>
      <c r="B110" s="5">
        <v>4287004015</v>
      </c>
      <c r="C110" s="5" t="s">
        <v>770</v>
      </c>
      <c r="D110" s="5" t="s">
        <v>359</v>
      </c>
      <c r="E110" s="11" t="s">
        <v>26</v>
      </c>
      <c r="F110" s="11">
        <v>90405</v>
      </c>
      <c r="G110" s="12">
        <v>10500</v>
      </c>
      <c r="H110" s="12">
        <v>12000</v>
      </c>
      <c r="I110" s="13">
        <v>0.14285714285714285</v>
      </c>
      <c r="J110" s="14">
        <v>45667</v>
      </c>
      <c r="K110" s="5"/>
      <c r="L110" s="5" t="s">
        <v>27</v>
      </c>
      <c r="M110" s="15" t="s">
        <v>771</v>
      </c>
      <c r="N110" s="5"/>
      <c r="O110" s="5"/>
      <c r="P110" s="5"/>
      <c r="Q110" s="5" t="s">
        <v>772</v>
      </c>
      <c r="R110" s="5" t="s">
        <v>773</v>
      </c>
      <c r="S110" s="5" t="s">
        <v>114</v>
      </c>
      <c r="T110" s="16" t="s">
        <v>774</v>
      </c>
      <c r="U110" s="5" t="s">
        <v>33</v>
      </c>
      <c r="V110" s="5" t="s">
        <v>768</v>
      </c>
    </row>
    <row r="111" spans="1:22" ht="12.75">
      <c r="A111" s="5" t="s">
        <v>775</v>
      </c>
      <c r="B111" s="5">
        <v>5062021005</v>
      </c>
      <c r="C111" s="5" t="s">
        <v>776</v>
      </c>
      <c r="D111" s="5" t="s">
        <v>25</v>
      </c>
      <c r="E111" s="11" t="s">
        <v>26</v>
      </c>
      <c r="F111" s="11">
        <v>90016</v>
      </c>
      <c r="G111" s="12">
        <v>7500</v>
      </c>
      <c r="H111" s="12">
        <v>15000</v>
      </c>
      <c r="I111" s="13">
        <v>1</v>
      </c>
      <c r="J111" s="14">
        <v>45994</v>
      </c>
      <c r="K111" s="5"/>
      <c r="L111" s="5" t="s">
        <v>27</v>
      </c>
      <c r="M111" s="15" t="s">
        <v>777</v>
      </c>
      <c r="N111" s="5"/>
      <c r="O111" s="5" t="s">
        <v>778</v>
      </c>
      <c r="P111" s="5" t="s">
        <v>779</v>
      </c>
      <c r="Q111" s="5"/>
      <c r="R111" s="5"/>
      <c r="S111" s="5" t="s">
        <v>780</v>
      </c>
      <c r="T111" s="5" t="s">
        <v>781</v>
      </c>
      <c r="U111" s="5" t="s">
        <v>33</v>
      </c>
      <c r="V111" s="5" t="s">
        <v>768</v>
      </c>
    </row>
    <row r="112" spans="1:22" ht="12.75">
      <c r="A112" s="5" t="s">
        <v>782</v>
      </c>
      <c r="B112" s="5">
        <v>4387023015</v>
      </c>
      <c r="C112" s="5" t="s">
        <v>783</v>
      </c>
      <c r="D112" s="5" t="s">
        <v>408</v>
      </c>
      <c r="E112" s="11" t="s">
        <v>26</v>
      </c>
      <c r="F112" s="11">
        <v>90210</v>
      </c>
      <c r="G112" s="12">
        <v>21000</v>
      </c>
      <c r="H112" s="12">
        <v>30000</v>
      </c>
      <c r="I112" s="13">
        <v>0.42857142857142855</v>
      </c>
      <c r="J112" s="14">
        <v>45666</v>
      </c>
      <c r="K112" s="5"/>
      <c r="L112" s="5" t="s">
        <v>27</v>
      </c>
      <c r="M112" s="15" t="s">
        <v>784</v>
      </c>
      <c r="N112" s="5"/>
      <c r="O112" s="5" t="s">
        <v>785</v>
      </c>
      <c r="P112" s="5" t="s">
        <v>786</v>
      </c>
      <c r="Q112" s="5"/>
      <c r="R112" s="5"/>
      <c r="S112" s="5" t="s">
        <v>787</v>
      </c>
      <c r="T112" s="16" t="s">
        <v>788</v>
      </c>
      <c r="U112" s="5" t="s">
        <v>33</v>
      </c>
      <c r="V112" s="5" t="s">
        <v>768</v>
      </c>
    </row>
    <row r="113" spans="1:22" ht="12.75">
      <c r="A113" s="5" t="s">
        <v>789</v>
      </c>
      <c r="B113" s="5">
        <v>4105005011</v>
      </c>
      <c r="C113" s="5" t="s">
        <v>790</v>
      </c>
      <c r="D113" s="5" t="s">
        <v>25</v>
      </c>
      <c r="E113" s="11" t="s">
        <v>26</v>
      </c>
      <c r="F113" s="11">
        <v>90045</v>
      </c>
      <c r="G113" s="12">
        <v>9999</v>
      </c>
      <c r="H113" s="12">
        <v>11999</v>
      </c>
      <c r="I113" s="13">
        <v>0.20002000200020001</v>
      </c>
      <c r="J113" s="14">
        <v>45669</v>
      </c>
      <c r="K113" s="5"/>
      <c r="L113" s="5" t="s">
        <v>27</v>
      </c>
      <c r="M113" s="15" t="s">
        <v>791</v>
      </c>
      <c r="N113" s="5"/>
      <c r="O113" s="5"/>
      <c r="P113" s="5"/>
      <c r="Q113" s="5" t="s">
        <v>792</v>
      </c>
      <c r="R113" s="5" t="s">
        <v>793</v>
      </c>
      <c r="S113" s="5" t="s">
        <v>114</v>
      </c>
      <c r="T113" s="16" t="s">
        <v>794</v>
      </c>
      <c r="U113" s="5" t="s">
        <v>33</v>
      </c>
      <c r="V113" s="5" t="s">
        <v>768</v>
      </c>
    </row>
    <row r="114" spans="1:22" ht="12.75">
      <c r="A114" s="5" t="s">
        <v>795</v>
      </c>
      <c r="B114" s="5">
        <v>5527015009</v>
      </c>
      <c r="C114" s="5" t="s">
        <v>147</v>
      </c>
      <c r="D114" s="5" t="s">
        <v>25</v>
      </c>
      <c r="E114" s="11" t="s">
        <v>26</v>
      </c>
      <c r="F114" s="11">
        <v>90048</v>
      </c>
      <c r="G114" s="12">
        <v>24000</v>
      </c>
      <c r="H114" s="12">
        <v>35000</v>
      </c>
      <c r="I114" s="13">
        <v>0.45833333333333331</v>
      </c>
      <c r="J114" s="14">
        <v>45669</v>
      </c>
      <c r="K114" s="5"/>
      <c r="L114" s="5" t="s">
        <v>27</v>
      </c>
      <c r="M114" s="15" t="s">
        <v>796</v>
      </c>
      <c r="N114" s="5"/>
      <c r="O114" s="5" t="s">
        <v>797</v>
      </c>
      <c r="P114" s="5" t="s">
        <v>150</v>
      </c>
      <c r="Q114" s="5"/>
      <c r="R114" s="5"/>
      <c r="S114" s="5" t="s">
        <v>798</v>
      </c>
      <c r="T114" s="5" t="s">
        <v>799</v>
      </c>
      <c r="U114" s="5" t="s">
        <v>33</v>
      </c>
      <c r="V114" s="5" t="s">
        <v>768</v>
      </c>
    </row>
    <row r="115" spans="1:22" ht="12.75">
      <c r="A115" s="5" t="s">
        <v>800</v>
      </c>
      <c r="B115" s="5">
        <v>4107020007</v>
      </c>
      <c r="C115" s="5" t="s">
        <v>801</v>
      </c>
      <c r="D115" s="5" t="s">
        <v>25</v>
      </c>
      <c r="E115" s="11" t="s">
        <v>26</v>
      </c>
      <c r="F115" s="11">
        <v>90045</v>
      </c>
      <c r="G115" s="12">
        <v>5400</v>
      </c>
      <c r="H115" s="12">
        <v>7000</v>
      </c>
      <c r="I115" s="13">
        <v>0.29629629629629628</v>
      </c>
      <c r="J115" s="14">
        <v>45666</v>
      </c>
      <c r="K115" s="5"/>
      <c r="L115" s="5" t="s">
        <v>27</v>
      </c>
      <c r="M115" s="15" t="s">
        <v>802</v>
      </c>
      <c r="N115" s="5"/>
      <c r="O115" s="5"/>
      <c r="P115" s="5"/>
      <c r="Q115" s="5" t="s">
        <v>803</v>
      </c>
      <c r="R115" s="5" t="s">
        <v>773</v>
      </c>
      <c r="S115" s="5" t="s">
        <v>114</v>
      </c>
      <c r="T115" s="16" t="s">
        <v>804</v>
      </c>
      <c r="U115" s="5" t="s">
        <v>33</v>
      </c>
      <c r="V115" s="5" t="s">
        <v>768</v>
      </c>
    </row>
    <row r="116" spans="1:22" ht="12.75">
      <c r="A116" s="5" t="s">
        <v>805</v>
      </c>
      <c r="B116" s="5">
        <v>5526015017</v>
      </c>
      <c r="C116" s="5" t="s">
        <v>806</v>
      </c>
      <c r="D116" s="5" t="s">
        <v>25</v>
      </c>
      <c r="E116" s="11" t="s">
        <v>26</v>
      </c>
      <c r="F116" s="11">
        <v>90036</v>
      </c>
      <c r="G116" s="12">
        <v>20000</v>
      </c>
      <c r="H116" s="12">
        <v>30000</v>
      </c>
      <c r="I116" s="13">
        <v>0.5</v>
      </c>
      <c r="J116" s="14">
        <v>45666</v>
      </c>
      <c r="K116" s="5"/>
      <c r="L116" s="5" t="s">
        <v>27</v>
      </c>
      <c r="M116" s="15" t="s">
        <v>807</v>
      </c>
      <c r="N116" s="5"/>
      <c r="O116" s="5" t="s">
        <v>682</v>
      </c>
      <c r="P116" s="5" t="s">
        <v>683</v>
      </c>
      <c r="Q116" s="5"/>
      <c r="R116" s="5"/>
      <c r="S116" s="5" t="s">
        <v>808</v>
      </c>
      <c r="T116" s="16" t="s">
        <v>809</v>
      </c>
      <c r="U116" s="5" t="s">
        <v>33</v>
      </c>
      <c r="V116" s="5" t="s">
        <v>768</v>
      </c>
    </row>
    <row r="117" spans="1:22" ht="12.75">
      <c r="A117" s="5" t="s">
        <v>810</v>
      </c>
      <c r="B117" s="5" t="s">
        <v>365</v>
      </c>
      <c r="C117" s="5" t="s">
        <v>811</v>
      </c>
      <c r="D117" s="5" t="s">
        <v>25</v>
      </c>
      <c r="E117" s="11" t="s">
        <v>26</v>
      </c>
      <c r="F117" s="11">
        <v>90067</v>
      </c>
      <c r="G117" s="12">
        <v>2945</v>
      </c>
      <c r="H117" s="12">
        <v>3680</v>
      </c>
      <c r="I117" s="13">
        <v>0.24957555178268251</v>
      </c>
      <c r="J117" s="14">
        <v>45669</v>
      </c>
      <c r="K117" s="5"/>
      <c r="L117" s="5" t="s">
        <v>27</v>
      </c>
      <c r="M117" s="15" t="s">
        <v>812</v>
      </c>
      <c r="N117" s="5"/>
      <c r="O117" s="5" t="s">
        <v>813</v>
      </c>
      <c r="P117" s="5" t="s">
        <v>814</v>
      </c>
      <c r="Q117" s="5"/>
      <c r="R117" s="5"/>
      <c r="S117" s="5" t="s">
        <v>114</v>
      </c>
      <c r="T117" s="5" t="s">
        <v>815</v>
      </c>
      <c r="U117" s="5" t="s">
        <v>33</v>
      </c>
      <c r="V117" s="5" t="s">
        <v>768</v>
      </c>
    </row>
    <row r="118" spans="1:22" ht="12.75">
      <c r="A118" s="5" t="s">
        <v>816</v>
      </c>
      <c r="B118" s="5">
        <v>4127011022</v>
      </c>
      <c r="C118" s="5" t="s">
        <v>817</v>
      </c>
      <c r="D118" s="5" t="s">
        <v>25</v>
      </c>
      <c r="E118" s="11" t="s">
        <v>26</v>
      </c>
      <c r="F118" s="11">
        <v>90045</v>
      </c>
      <c r="G118" s="12">
        <v>8000</v>
      </c>
      <c r="H118" s="12">
        <v>10000</v>
      </c>
      <c r="I118" s="13">
        <v>0.25</v>
      </c>
      <c r="J118" s="14">
        <v>45666</v>
      </c>
      <c r="K118" s="5"/>
      <c r="L118" s="5" t="s">
        <v>27</v>
      </c>
      <c r="M118" s="15" t="s">
        <v>818</v>
      </c>
      <c r="N118" s="5"/>
      <c r="O118" s="5"/>
      <c r="P118" s="5"/>
      <c r="Q118" s="5" t="s">
        <v>819</v>
      </c>
      <c r="R118" s="5" t="s">
        <v>820</v>
      </c>
      <c r="S118" s="5" t="s">
        <v>821</v>
      </c>
      <c r="T118" s="16" t="s">
        <v>822</v>
      </c>
      <c r="U118" s="5" t="s">
        <v>33</v>
      </c>
      <c r="V118" s="5" t="s">
        <v>768</v>
      </c>
    </row>
    <row r="119" spans="1:22" ht="12.75">
      <c r="A119" s="5" t="s">
        <v>823</v>
      </c>
      <c r="B119" s="5">
        <v>4332009026</v>
      </c>
      <c r="C119" s="5" t="s">
        <v>824</v>
      </c>
      <c r="D119" s="5" t="s">
        <v>408</v>
      </c>
      <c r="E119" s="11" t="s">
        <v>26</v>
      </c>
      <c r="F119" s="11">
        <v>90211</v>
      </c>
      <c r="G119" s="12">
        <v>10500</v>
      </c>
      <c r="H119" s="12">
        <v>13000</v>
      </c>
      <c r="I119" s="13">
        <v>0.23809523809523808</v>
      </c>
      <c r="J119" s="14">
        <v>45666</v>
      </c>
      <c r="K119" s="5"/>
      <c r="L119" s="5" t="s">
        <v>27</v>
      </c>
      <c r="M119" s="15" t="s">
        <v>825</v>
      </c>
      <c r="N119" s="5"/>
      <c r="O119" s="5" t="s">
        <v>826</v>
      </c>
      <c r="P119" s="5" t="s">
        <v>827</v>
      </c>
      <c r="Q119" s="5"/>
      <c r="R119" s="5"/>
      <c r="S119" s="5" t="s">
        <v>114</v>
      </c>
      <c r="T119" s="16" t="s">
        <v>828</v>
      </c>
      <c r="U119" s="5" t="s">
        <v>356</v>
      </c>
    </row>
    <row r="120" spans="1:22" ht="12.75">
      <c r="A120" s="5" t="s">
        <v>829</v>
      </c>
      <c r="B120" s="5" t="s">
        <v>365</v>
      </c>
      <c r="C120" s="5" t="s">
        <v>830</v>
      </c>
      <c r="D120" s="5" t="s">
        <v>831</v>
      </c>
      <c r="E120" s="11" t="s">
        <v>26</v>
      </c>
      <c r="F120" s="11">
        <v>91604</v>
      </c>
      <c r="G120" s="12">
        <v>3733</v>
      </c>
      <c r="H120" s="12">
        <v>3995</v>
      </c>
      <c r="I120" s="13">
        <v>7.0184837931958205E-2</v>
      </c>
      <c r="J120" s="14">
        <v>45667</v>
      </c>
      <c r="K120" s="5"/>
      <c r="L120" s="5" t="s">
        <v>27</v>
      </c>
      <c r="M120" s="15" t="s">
        <v>832</v>
      </c>
      <c r="N120" s="5"/>
      <c r="O120" s="5" t="s">
        <v>833</v>
      </c>
      <c r="P120" s="5" t="s">
        <v>834</v>
      </c>
      <c r="Q120" s="5"/>
      <c r="R120" s="5"/>
      <c r="S120" s="5" t="s">
        <v>114</v>
      </c>
      <c r="T120" s="5" t="s">
        <v>835</v>
      </c>
      <c r="U120" s="5" t="s">
        <v>356</v>
      </c>
    </row>
    <row r="121" spans="1:22" ht="12.75">
      <c r="A121" s="5" t="s">
        <v>836</v>
      </c>
      <c r="B121" s="5">
        <v>2358002020</v>
      </c>
      <c r="C121" s="5" t="s">
        <v>837</v>
      </c>
      <c r="D121" s="5" t="s">
        <v>838</v>
      </c>
      <c r="E121" s="11" t="s">
        <v>26</v>
      </c>
      <c r="F121" s="11">
        <v>91423</v>
      </c>
      <c r="G121" s="12">
        <v>15000</v>
      </c>
      <c r="H121" s="12">
        <v>19000</v>
      </c>
      <c r="I121" s="13">
        <v>0.26666666666666666</v>
      </c>
      <c r="J121" s="14">
        <v>45667</v>
      </c>
      <c r="K121" s="5"/>
      <c r="L121" s="5" t="s">
        <v>27</v>
      </c>
      <c r="M121" s="15" t="s">
        <v>839</v>
      </c>
      <c r="N121" s="5"/>
      <c r="O121" s="5" t="s">
        <v>840</v>
      </c>
      <c r="P121" s="5" t="s">
        <v>841</v>
      </c>
      <c r="Q121" s="5"/>
      <c r="R121" s="5"/>
      <c r="S121" s="5" t="s">
        <v>114</v>
      </c>
      <c r="T121" s="5" t="s">
        <v>842</v>
      </c>
      <c r="U121" s="5" t="s">
        <v>356</v>
      </c>
    </row>
    <row r="122" spans="1:22" ht="12.75">
      <c r="A122" s="5" t="s">
        <v>843</v>
      </c>
      <c r="B122" s="5" t="s">
        <v>844</v>
      </c>
      <c r="C122" s="5" t="s">
        <v>845</v>
      </c>
      <c r="D122" s="5" t="s">
        <v>25</v>
      </c>
      <c r="E122" s="11" t="s">
        <v>26</v>
      </c>
      <c r="F122" s="11">
        <v>90049</v>
      </c>
      <c r="G122" s="12">
        <v>15600</v>
      </c>
      <c r="H122" s="12">
        <v>17200</v>
      </c>
      <c r="I122" s="13">
        <v>0.10256410256410256</v>
      </c>
      <c r="J122" s="14">
        <v>45665</v>
      </c>
      <c r="K122" s="5"/>
      <c r="L122" s="5" t="s">
        <v>27</v>
      </c>
      <c r="M122" s="15" t="s">
        <v>846</v>
      </c>
      <c r="N122" s="5"/>
      <c r="O122" s="5"/>
      <c r="P122" s="5"/>
      <c r="Q122" s="5"/>
      <c r="R122" s="5"/>
      <c r="S122" s="5" t="s">
        <v>114</v>
      </c>
      <c r="T122" s="16" t="s">
        <v>847</v>
      </c>
      <c r="U122" s="5" t="s">
        <v>356</v>
      </c>
    </row>
    <row r="123" spans="1:22" ht="12.75">
      <c r="A123" s="5" t="s">
        <v>848</v>
      </c>
      <c r="B123" s="5">
        <v>4334012048</v>
      </c>
      <c r="C123" s="5" t="s">
        <v>849</v>
      </c>
      <c r="D123" s="5" t="s">
        <v>408</v>
      </c>
      <c r="E123" s="11" t="s">
        <v>26</v>
      </c>
      <c r="F123" s="11">
        <v>90211</v>
      </c>
      <c r="G123" s="12">
        <v>9500</v>
      </c>
      <c r="H123" s="12">
        <v>15500</v>
      </c>
      <c r="I123" s="13">
        <v>0.63157894736842102</v>
      </c>
      <c r="J123" s="14">
        <v>45669</v>
      </c>
      <c r="K123" s="5"/>
      <c r="L123" s="5" t="s">
        <v>27</v>
      </c>
      <c r="M123" s="15" t="s">
        <v>850</v>
      </c>
      <c r="N123" s="5"/>
      <c r="O123" s="5"/>
      <c r="P123" s="5"/>
      <c r="Q123" s="5" t="s">
        <v>851</v>
      </c>
      <c r="R123" s="5" t="s">
        <v>852</v>
      </c>
      <c r="S123" s="5" t="s">
        <v>114</v>
      </c>
      <c r="T123" s="16" t="s">
        <v>853</v>
      </c>
      <c r="U123" s="5" t="s">
        <v>356</v>
      </c>
    </row>
    <row r="124" spans="1:22" ht="12.75">
      <c r="A124" s="5" t="s">
        <v>854</v>
      </c>
      <c r="B124" s="5">
        <v>4337015047</v>
      </c>
      <c r="C124" s="5" t="s">
        <v>855</v>
      </c>
      <c r="D124" s="5" t="s">
        <v>367</v>
      </c>
      <c r="E124" s="11" t="s">
        <v>26</v>
      </c>
      <c r="F124" s="11">
        <v>90048</v>
      </c>
      <c r="G124" s="12">
        <v>27000</v>
      </c>
      <c r="H124" s="12">
        <v>30000</v>
      </c>
      <c r="I124" s="13">
        <v>0.1111111111111111</v>
      </c>
      <c r="J124" s="14">
        <v>45665</v>
      </c>
      <c r="K124" s="5"/>
      <c r="L124" s="5" t="s">
        <v>27</v>
      </c>
      <c r="M124" s="15" t="s">
        <v>856</v>
      </c>
      <c r="N124" s="5"/>
      <c r="O124" s="5"/>
      <c r="P124" s="5"/>
      <c r="Q124" s="5" t="s">
        <v>857</v>
      </c>
      <c r="R124" s="5" t="s">
        <v>858</v>
      </c>
      <c r="S124" s="5" t="s">
        <v>114</v>
      </c>
      <c r="T124" s="16" t="s">
        <v>859</v>
      </c>
      <c r="U124" s="5" t="s">
        <v>356</v>
      </c>
    </row>
    <row r="125" spans="1:22" ht="12.75">
      <c r="A125" s="5" t="s">
        <v>860</v>
      </c>
      <c r="B125" s="5" t="s">
        <v>861</v>
      </c>
      <c r="C125" s="5" t="s">
        <v>862</v>
      </c>
      <c r="D125" s="5" t="s">
        <v>25</v>
      </c>
      <c r="E125" s="11" t="s">
        <v>26</v>
      </c>
      <c r="F125" s="11">
        <v>90064</v>
      </c>
      <c r="G125" s="12">
        <v>21500</v>
      </c>
      <c r="H125" s="12">
        <v>30000</v>
      </c>
      <c r="I125" s="13">
        <v>0.39534883720930231</v>
      </c>
      <c r="J125" s="14">
        <v>45666</v>
      </c>
      <c r="K125" s="5"/>
      <c r="L125" s="5" t="s">
        <v>27</v>
      </c>
      <c r="M125" s="15" t="s">
        <v>863</v>
      </c>
      <c r="N125" s="5"/>
      <c r="O125" s="5" t="s">
        <v>864</v>
      </c>
      <c r="P125" s="5" t="s">
        <v>865</v>
      </c>
      <c r="Q125" s="5"/>
      <c r="R125" s="5"/>
      <c r="S125" s="17" t="s">
        <v>866</v>
      </c>
      <c r="T125" s="5" t="s">
        <v>867</v>
      </c>
      <c r="U125" s="5" t="s">
        <v>356</v>
      </c>
    </row>
    <row r="126" spans="1:22" ht="12.75">
      <c r="A126" s="5" t="s">
        <v>868</v>
      </c>
      <c r="B126" s="5">
        <v>4286017023</v>
      </c>
      <c r="C126" s="5" t="s">
        <v>433</v>
      </c>
      <c r="D126" s="5" t="s">
        <v>380</v>
      </c>
      <c r="E126" s="11" t="s">
        <v>26</v>
      </c>
      <c r="F126" s="11">
        <v>90291</v>
      </c>
      <c r="G126" s="12">
        <v>8995</v>
      </c>
      <c r="H126" s="12">
        <v>11500</v>
      </c>
      <c r="I126" s="13">
        <v>0.27848804891606449</v>
      </c>
      <c r="J126" s="14">
        <v>45669</v>
      </c>
      <c r="K126" s="5"/>
      <c r="L126" s="5" t="s">
        <v>27</v>
      </c>
      <c r="M126" s="15" t="s">
        <v>869</v>
      </c>
      <c r="N126" s="5"/>
      <c r="O126" s="5" t="s">
        <v>870</v>
      </c>
      <c r="P126" s="5">
        <v>3109803979</v>
      </c>
      <c r="Q126" s="5"/>
      <c r="R126" s="5"/>
      <c r="S126" s="5" t="s">
        <v>114</v>
      </c>
      <c r="T126" s="16" t="s">
        <v>871</v>
      </c>
      <c r="U126" s="5" t="s">
        <v>356</v>
      </c>
    </row>
    <row r="127" spans="1:22" ht="12.75">
      <c r="A127" s="5" t="s">
        <v>872</v>
      </c>
      <c r="B127" s="5">
        <v>4277002012</v>
      </c>
      <c r="C127" s="5" t="s">
        <v>873</v>
      </c>
      <c r="D127" s="5" t="s">
        <v>359</v>
      </c>
      <c r="E127" s="11" t="s">
        <v>26</v>
      </c>
      <c r="F127" s="11">
        <v>90403</v>
      </c>
      <c r="G127" s="12">
        <v>8750</v>
      </c>
      <c r="H127" s="12">
        <v>12500</v>
      </c>
      <c r="I127" s="13">
        <v>0.42857142857142855</v>
      </c>
      <c r="J127" s="14">
        <v>45665</v>
      </c>
      <c r="K127" s="5"/>
      <c r="L127" s="5" t="s">
        <v>27</v>
      </c>
      <c r="M127" s="15" t="s">
        <v>874</v>
      </c>
      <c r="N127" s="5"/>
      <c r="O127" s="5"/>
      <c r="P127" s="5"/>
      <c r="Q127" s="5" t="s">
        <v>875</v>
      </c>
      <c r="R127" s="5"/>
      <c r="S127" s="5" t="s">
        <v>114</v>
      </c>
      <c r="T127" s="16" t="s">
        <v>876</v>
      </c>
      <c r="U127" s="5" t="s">
        <v>356</v>
      </c>
    </row>
    <row r="128" spans="1:22" ht="12.75">
      <c r="A128" s="5" t="s">
        <v>877</v>
      </c>
      <c r="B128" s="5">
        <v>5066008031</v>
      </c>
      <c r="C128" s="5" t="s">
        <v>878</v>
      </c>
      <c r="D128" s="5" t="s">
        <v>25</v>
      </c>
      <c r="E128" s="11" t="s">
        <v>26</v>
      </c>
      <c r="F128" s="11">
        <v>90035</v>
      </c>
      <c r="G128" s="12">
        <v>14995</v>
      </c>
      <c r="H128" s="12">
        <v>14995</v>
      </c>
      <c r="I128" s="13">
        <v>0</v>
      </c>
      <c r="J128" s="14">
        <v>45669</v>
      </c>
      <c r="K128" s="5"/>
      <c r="L128" s="5" t="s">
        <v>27</v>
      </c>
      <c r="M128" s="15" t="s">
        <v>879</v>
      </c>
      <c r="N128" s="5"/>
      <c r="O128" s="5"/>
      <c r="Q128" s="5"/>
      <c r="R128" s="5"/>
      <c r="S128" s="5" t="s">
        <v>880</v>
      </c>
      <c r="T128" s="5" t="s">
        <v>881</v>
      </c>
      <c r="U128" s="5" t="s">
        <v>356</v>
      </c>
    </row>
    <row r="129" spans="1:21" ht="12.75">
      <c r="A129" s="5" t="s">
        <v>882</v>
      </c>
      <c r="B129" s="5">
        <v>5558019012</v>
      </c>
      <c r="C129" s="5" t="s">
        <v>883</v>
      </c>
      <c r="D129" s="5" t="s">
        <v>25</v>
      </c>
      <c r="E129" s="11" t="s">
        <v>26</v>
      </c>
      <c r="F129" s="11">
        <v>90069</v>
      </c>
      <c r="G129" s="12">
        <v>20000</v>
      </c>
      <c r="H129" s="12">
        <v>26000</v>
      </c>
      <c r="I129" s="13">
        <v>0.3</v>
      </c>
      <c r="J129" s="14">
        <v>45665</v>
      </c>
      <c r="K129" s="5"/>
      <c r="L129" s="5" t="s">
        <v>27</v>
      </c>
      <c r="M129" s="15" t="s">
        <v>884</v>
      </c>
      <c r="N129" s="5"/>
      <c r="O129" s="5" t="s">
        <v>885</v>
      </c>
      <c r="P129" s="5" t="s">
        <v>886</v>
      </c>
      <c r="Q129" s="5"/>
      <c r="R129" s="5"/>
      <c r="S129" s="5" t="s">
        <v>114</v>
      </c>
      <c r="T129" s="16" t="s">
        <v>887</v>
      </c>
      <c r="U129" s="5" t="s">
        <v>356</v>
      </c>
    </row>
    <row r="130" spans="1:21" ht="12.75">
      <c r="A130" s="5" t="s">
        <v>888</v>
      </c>
      <c r="B130" s="5">
        <v>4239017002</v>
      </c>
      <c r="C130" s="5" t="s">
        <v>889</v>
      </c>
      <c r="D130" s="5" t="s">
        <v>380</v>
      </c>
      <c r="E130" s="11" t="s">
        <v>26</v>
      </c>
      <c r="F130" s="11">
        <v>90291</v>
      </c>
      <c r="G130" s="12">
        <v>8459</v>
      </c>
      <c r="H130" s="12">
        <v>11000</v>
      </c>
      <c r="I130" s="13">
        <v>0.30039011703511054</v>
      </c>
      <c r="J130" s="14">
        <v>45669</v>
      </c>
      <c r="K130" s="5"/>
      <c r="L130" s="5" t="s">
        <v>27</v>
      </c>
      <c r="M130" s="15" t="s">
        <v>890</v>
      </c>
      <c r="N130" s="5"/>
      <c r="O130" s="5"/>
      <c r="P130" s="5"/>
      <c r="Q130" s="5" t="s">
        <v>891</v>
      </c>
      <c r="R130" s="5" t="s">
        <v>892</v>
      </c>
      <c r="S130" s="5" t="s">
        <v>114</v>
      </c>
      <c r="T130" s="16" t="s">
        <v>893</v>
      </c>
      <c r="U130" s="5" t="s">
        <v>356</v>
      </c>
    </row>
    <row r="131" spans="1:21" ht="12.75">
      <c r="A131" s="5" t="s">
        <v>894</v>
      </c>
      <c r="B131" s="5">
        <v>5556031008</v>
      </c>
      <c r="C131" s="5" t="s">
        <v>895</v>
      </c>
      <c r="D131" s="5" t="s">
        <v>367</v>
      </c>
      <c r="E131" s="11" t="s">
        <v>26</v>
      </c>
      <c r="F131" s="11">
        <v>90069</v>
      </c>
      <c r="G131" s="12">
        <v>26000</v>
      </c>
      <c r="H131" s="12">
        <v>30000</v>
      </c>
      <c r="I131" s="13">
        <v>0.15384615384615385</v>
      </c>
      <c r="J131" s="14">
        <v>45666</v>
      </c>
      <c r="K131" s="5"/>
      <c r="L131" s="5" t="s">
        <v>27</v>
      </c>
      <c r="M131" s="15" t="s">
        <v>896</v>
      </c>
      <c r="N131" s="5"/>
      <c r="O131" s="5" t="s">
        <v>897</v>
      </c>
      <c r="P131" s="5" t="s">
        <v>898</v>
      </c>
      <c r="Q131" s="5"/>
      <c r="R131" s="5"/>
      <c r="S131" s="5" t="s">
        <v>114</v>
      </c>
      <c r="T131" s="16" t="s">
        <v>899</v>
      </c>
      <c r="U131" s="5" t="s">
        <v>356</v>
      </c>
    </row>
    <row r="132" spans="1:21" ht="12.75">
      <c r="A132" s="5" t="s">
        <v>900</v>
      </c>
      <c r="B132" s="5">
        <v>4229011016</v>
      </c>
      <c r="C132" s="5" t="s">
        <v>901</v>
      </c>
      <c r="D132" s="5" t="s">
        <v>380</v>
      </c>
      <c r="E132" s="11" t="s">
        <v>26</v>
      </c>
      <c r="F132" s="11">
        <v>90291</v>
      </c>
      <c r="G132" s="12">
        <v>7250</v>
      </c>
      <c r="H132" s="12">
        <v>7995</v>
      </c>
      <c r="I132" s="13">
        <v>0.10275862068965518</v>
      </c>
      <c r="J132" s="14" t="s">
        <v>902</v>
      </c>
      <c r="K132" s="5"/>
      <c r="L132" s="5" t="s">
        <v>27</v>
      </c>
      <c r="M132" s="15" t="s">
        <v>903</v>
      </c>
      <c r="N132" s="5"/>
      <c r="O132" s="5"/>
      <c r="Q132" s="5"/>
      <c r="R132" s="5"/>
      <c r="S132" s="5" t="s">
        <v>114</v>
      </c>
      <c r="T132" s="5" t="s">
        <v>904</v>
      </c>
      <c r="U132" s="5" t="s">
        <v>356</v>
      </c>
    </row>
    <row r="133" spans="1:21" ht="12.75">
      <c r="A133" s="5" t="s">
        <v>905</v>
      </c>
      <c r="B133" s="5">
        <v>5550004003</v>
      </c>
      <c r="C133" s="5" t="s">
        <v>906</v>
      </c>
      <c r="D133" s="5" t="s">
        <v>25</v>
      </c>
      <c r="E133" s="11" t="s">
        <v>26</v>
      </c>
      <c r="F133" s="11">
        <v>90046</v>
      </c>
      <c r="G133" s="12">
        <v>8900</v>
      </c>
      <c r="H133" s="12">
        <v>10500</v>
      </c>
      <c r="I133" s="13">
        <v>0.1797752808988764</v>
      </c>
      <c r="J133" s="14">
        <v>45668</v>
      </c>
      <c r="K133" s="5"/>
      <c r="L133" s="5" t="s">
        <v>27</v>
      </c>
      <c r="M133" s="15" t="s">
        <v>907</v>
      </c>
      <c r="N133" s="5"/>
      <c r="O133" s="5" t="s">
        <v>908</v>
      </c>
      <c r="P133" s="5" t="s">
        <v>909</v>
      </c>
      <c r="Q133" s="5"/>
      <c r="R133" s="5"/>
      <c r="S133" s="5" t="s">
        <v>114</v>
      </c>
      <c r="T133" s="16" t="s">
        <v>910</v>
      </c>
      <c r="U133" s="5" t="s">
        <v>356</v>
      </c>
    </row>
    <row r="134" spans="1:21" ht="12.75">
      <c r="A134" s="5" t="s">
        <v>911</v>
      </c>
      <c r="B134" s="5">
        <v>5549022024</v>
      </c>
      <c r="C134" s="5" t="s">
        <v>912</v>
      </c>
      <c r="D134" s="5" t="s">
        <v>25</v>
      </c>
      <c r="E134" s="11" t="s">
        <v>26</v>
      </c>
      <c r="F134" s="11">
        <v>90068</v>
      </c>
      <c r="G134" s="12">
        <v>8500</v>
      </c>
      <c r="H134" s="12">
        <v>12500</v>
      </c>
      <c r="I134" s="13">
        <v>0.47058823529411764</v>
      </c>
      <c r="J134" s="14">
        <v>45668</v>
      </c>
      <c r="K134" s="5"/>
      <c r="L134" s="5" t="s">
        <v>27</v>
      </c>
      <c r="M134" s="15" t="s">
        <v>913</v>
      </c>
      <c r="N134" s="5"/>
      <c r="O134" s="5" t="s">
        <v>138</v>
      </c>
      <c r="P134" s="5" t="s">
        <v>137</v>
      </c>
      <c r="Q134" s="5"/>
      <c r="R134" s="5"/>
      <c r="S134" s="5" t="s">
        <v>114</v>
      </c>
      <c r="T134" s="5" t="s">
        <v>914</v>
      </c>
      <c r="U134" s="5" t="s">
        <v>356</v>
      </c>
    </row>
    <row r="135" spans="1:21" ht="12.75">
      <c r="A135" s="5" t="s">
        <v>915</v>
      </c>
      <c r="B135" s="5">
        <v>2381029002</v>
      </c>
      <c r="C135" s="5" t="s">
        <v>916</v>
      </c>
      <c r="D135" s="5" t="s">
        <v>25</v>
      </c>
      <c r="E135" s="11" t="s">
        <v>26</v>
      </c>
      <c r="F135" s="11">
        <v>90047</v>
      </c>
      <c r="G135" s="12">
        <v>15900</v>
      </c>
      <c r="H135" s="12">
        <v>20000</v>
      </c>
      <c r="I135" s="13">
        <v>0.25786163522012578</v>
      </c>
      <c r="J135" s="14">
        <v>45669</v>
      </c>
      <c r="K135" s="5"/>
      <c r="L135" s="5" t="s">
        <v>27</v>
      </c>
      <c r="M135" s="15" t="s">
        <v>917</v>
      </c>
      <c r="N135" s="5"/>
      <c r="O135" s="5"/>
      <c r="P135" s="5"/>
      <c r="Q135" s="5" t="s">
        <v>918</v>
      </c>
      <c r="R135" s="5">
        <v>4242331575</v>
      </c>
      <c r="S135" s="5" t="s">
        <v>114</v>
      </c>
      <c r="T135" s="5" t="s">
        <v>919</v>
      </c>
      <c r="U135" s="5" t="s">
        <v>356</v>
      </c>
    </row>
    <row r="136" spans="1:21" ht="12.75">
      <c r="A136" s="5" t="s">
        <v>920</v>
      </c>
      <c r="B136" s="5" t="s">
        <v>365</v>
      </c>
      <c r="C136" s="5" t="s">
        <v>921</v>
      </c>
      <c r="D136" s="5" t="s">
        <v>25</v>
      </c>
      <c r="E136" s="11" t="s">
        <v>26</v>
      </c>
      <c r="F136" s="11">
        <v>90066</v>
      </c>
      <c r="G136" s="12">
        <v>3700</v>
      </c>
      <c r="H136" s="12">
        <v>4080</v>
      </c>
      <c r="I136" s="13">
        <v>0.10270270270270271</v>
      </c>
      <c r="J136" s="14" t="s">
        <v>902</v>
      </c>
      <c r="K136" s="5"/>
      <c r="L136" s="5" t="s">
        <v>27</v>
      </c>
      <c r="M136" s="15" t="s">
        <v>922</v>
      </c>
      <c r="N136" s="5"/>
      <c r="O136" s="5" t="s">
        <v>923</v>
      </c>
      <c r="P136" s="5" t="s">
        <v>924</v>
      </c>
      <c r="Q136" s="5"/>
      <c r="R136" s="5"/>
      <c r="S136" s="5" t="s">
        <v>114</v>
      </c>
      <c r="T136" s="5" t="s">
        <v>925</v>
      </c>
      <c r="U136" s="5" t="s">
        <v>356</v>
      </c>
    </row>
    <row r="137" spans="1:21" ht="12.75">
      <c r="A137" s="5" t="s">
        <v>926</v>
      </c>
      <c r="B137" s="5">
        <v>5420002024</v>
      </c>
      <c r="C137" s="5" t="s">
        <v>927</v>
      </c>
      <c r="D137" s="5" t="s">
        <v>25</v>
      </c>
      <c r="E137" s="11" t="s">
        <v>26</v>
      </c>
      <c r="F137" s="11">
        <v>90026</v>
      </c>
      <c r="G137" s="12">
        <v>4495</v>
      </c>
      <c r="H137" s="12">
        <v>4995</v>
      </c>
      <c r="I137" s="13">
        <v>0.11123470522803114</v>
      </c>
      <c r="J137" s="14" t="s">
        <v>928</v>
      </c>
      <c r="K137" s="5"/>
      <c r="L137" s="5" t="s">
        <v>27</v>
      </c>
      <c r="M137" s="15" t="s">
        <v>929</v>
      </c>
      <c r="N137" s="5"/>
      <c r="O137" s="5"/>
      <c r="P137" s="5"/>
      <c r="Q137" s="5"/>
      <c r="R137" s="5"/>
      <c r="S137" s="5" t="s">
        <v>114</v>
      </c>
      <c r="T137" s="5" t="s">
        <v>930</v>
      </c>
      <c r="U137" s="5" t="s">
        <v>356</v>
      </c>
    </row>
    <row r="138" spans="1:21" ht="12.75">
      <c r="A138" s="5" t="s">
        <v>931</v>
      </c>
      <c r="B138" s="5" t="s">
        <v>365</v>
      </c>
      <c r="C138" s="5" t="s">
        <v>932</v>
      </c>
      <c r="D138" s="5" t="s">
        <v>933</v>
      </c>
      <c r="E138" s="11" t="s">
        <v>26</v>
      </c>
      <c r="F138" s="11">
        <v>91607</v>
      </c>
      <c r="G138" s="12">
        <v>12950</v>
      </c>
      <c r="H138" s="12">
        <v>15995</v>
      </c>
      <c r="I138" s="13">
        <v>0.23513513513513515</v>
      </c>
      <c r="J138" s="14">
        <v>45667</v>
      </c>
      <c r="K138" s="5"/>
      <c r="L138" s="5" t="s">
        <v>27</v>
      </c>
      <c r="M138" s="15" t="s">
        <v>934</v>
      </c>
      <c r="N138" s="5"/>
      <c r="O138" s="5" t="s">
        <v>935</v>
      </c>
      <c r="P138" s="5" t="s">
        <v>936</v>
      </c>
      <c r="Q138" s="5"/>
      <c r="R138" s="5"/>
      <c r="S138" s="5" t="s">
        <v>114</v>
      </c>
      <c r="T138" s="5" t="s">
        <v>937</v>
      </c>
      <c r="U138" s="5" t="s">
        <v>356</v>
      </c>
    </row>
    <row r="139" spans="1:21" ht="12.75">
      <c r="A139" s="5" t="s">
        <v>938</v>
      </c>
      <c r="B139" s="5">
        <v>4383023013</v>
      </c>
      <c r="C139" s="5" t="s">
        <v>939</v>
      </c>
      <c r="D139" s="5" t="s">
        <v>408</v>
      </c>
      <c r="E139" s="11" t="s">
        <v>26</v>
      </c>
      <c r="F139" s="11">
        <v>90210</v>
      </c>
      <c r="G139" s="12">
        <v>18000</v>
      </c>
      <c r="H139" s="12">
        <v>25000</v>
      </c>
      <c r="I139" s="13">
        <v>0.3888888888888889</v>
      </c>
      <c r="J139" s="14">
        <v>45668</v>
      </c>
      <c r="K139" s="5"/>
      <c r="L139" s="5" t="s">
        <v>27</v>
      </c>
      <c r="M139" s="15" t="s">
        <v>940</v>
      </c>
      <c r="N139" s="5"/>
      <c r="O139" s="5" t="s">
        <v>941</v>
      </c>
      <c r="P139" s="5" t="s">
        <v>942</v>
      </c>
      <c r="Q139" s="5"/>
      <c r="R139" s="5"/>
      <c r="S139" s="5" t="s">
        <v>114</v>
      </c>
      <c r="T139" s="16" t="s">
        <v>943</v>
      </c>
      <c r="U139" s="5" t="s">
        <v>356</v>
      </c>
    </row>
    <row r="140" spans="1:21" ht="12.75">
      <c r="A140" s="5" t="s">
        <v>944</v>
      </c>
      <c r="B140" s="5">
        <v>4107020007</v>
      </c>
      <c r="C140" s="5" t="s">
        <v>801</v>
      </c>
      <c r="D140" s="5" t="s">
        <v>25</v>
      </c>
      <c r="E140" s="11" t="s">
        <v>26</v>
      </c>
      <c r="F140" s="11">
        <v>90045</v>
      </c>
      <c r="G140" s="12">
        <v>5400</v>
      </c>
      <c r="H140" s="12">
        <v>6000</v>
      </c>
      <c r="I140" s="13">
        <v>0.1111111111111111</v>
      </c>
      <c r="J140" s="14" t="s">
        <v>902</v>
      </c>
      <c r="K140" s="5"/>
      <c r="L140" s="5" t="s">
        <v>27</v>
      </c>
      <c r="M140" s="15" t="s">
        <v>945</v>
      </c>
      <c r="N140" s="5"/>
      <c r="O140" s="5"/>
      <c r="Q140" s="5"/>
      <c r="R140" s="5"/>
      <c r="S140" s="5" t="s">
        <v>114</v>
      </c>
      <c r="T140" s="5" t="s">
        <v>946</v>
      </c>
      <c r="U140" s="5" t="s">
        <v>356</v>
      </c>
    </row>
    <row r="141" spans="1:21" ht="12.75">
      <c r="A141" s="5" t="s">
        <v>947</v>
      </c>
      <c r="B141" s="5">
        <v>5434016015</v>
      </c>
      <c r="C141" s="5" t="s">
        <v>948</v>
      </c>
      <c r="D141" s="5" t="s">
        <v>25</v>
      </c>
      <c r="E141" s="11" t="s">
        <v>26</v>
      </c>
      <c r="F141" s="11">
        <v>90027</v>
      </c>
      <c r="G141" s="12">
        <v>19000</v>
      </c>
      <c r="H141" s="12">
        <v>25000</v>
      </c>
      <c r="I141" s="13">
        <v>0.31578947368421051</v>
      </c>
      <c r="J141" s="14">
        <v>45669</v>
      </c>
      <c r="K141" s="5"/>
      <c r="L141" s="5" t="s">
        <v>27</v>
      </c>
      <c r="M141" s="15" t="s">
        <v>949</v>
      </c>
      <c r="N141" s="5"/>
      <c r="O141" s="5" t="s">
        <v>950</v>
      </c>
      <c r="P141" s="5" t="s">
        <v>951</v>
      </c>
      <c r="Q141" s="5"/>
      <c r="R141" s="5"/>
      <c r="S141" s="5" t="s">
        <v>114</v>
      </c>
      <c r="T141" s="16" t="s">
        <v>952</v>
      </c>
      <c r="U141" s="5" t="s">
        <v>356</v>
      </c>
    </row>
    <row r="142" spans="1:21" ht="12.75">
      <c r="A142" s="5" t="s">
        <v>953</v>
      </c>
      <c r="B142" s="5" t="s">
        <v>365</v>
      </c>
      <c r="C142" s="5" t="s">
        <v>954</v>
      </c>
      <c r="D142" s="5" t="s">
        <v>320</v>
      </c>
      <c r="E142" s="11" t="s">
        <v>26</v>
      </c>
      <c r="F142" s="11">
        <v>91504</v>
      </c>
      <c r="G142" s="12">
        <v>17900</v>
      </c>
      <c r="H142" s="12">
        <v>20950</v>
      </c>
      <c r="I142" s="13">
        <v>0.17039106145251395</v>
      </c>
      <c r="J142" s="14">
        <v>45669</v>
      </c>
      <c r="K142" s="5"/>
      <c r="L142" s="5" t="s">
        <v>27</v>
      </c>
      <c r="M142" s="15" t="s">
        <v>955</v>
      </c>
      <c r="N142" s="5"/>
      <c r="O142" s="5"/>
      <c r="P142" s="5"/>
      <c r="Q142" s="5" t="s">
        <v>956</v>
      </c>
      <c r="R142" s="5" t="s">
        <v>957</v>
      </c>
      <c r="S142" s="5" t="s">
        <v>114</v>
      </c>
      <c r="T142" s="5" t="s">
        <v>958</v>
      </c>
      <c r="U142" s="5" t="s">
        <v>356</v>
      </c>
    </row>
    <row r="143" spans="1:21" ht="12.75">
      <c r="A143" s="5" t="s">
        <v>959</v>
      </c>
      <c r="B143" s="5">
        <v>2280012027</v>
      </c>
      <c r="C143" s="5" t="s">
        <v>960</v>
      </c>
      <c r="D143" s="5" t="s">
        <v>732</v>
      </c>
      <c r="E143" s="11" t="s">
        <v>26</v>
      </c>
      <c r="F143" s="11">
        <v>91403</v>
      </c>
      <c r="G143" s="12">
        <v>8500</v>
      </c>
      <c r="H143" s="12">
        <v>9500</v>
      </c>
      <c r="I143" s="13">
        <v>0.11764705882352941</v>
      </c>
      <c r="J143" s="14">
        <v>45665</v>
      </c>
      <c r="K143" s="5"/>
      <c r="L143" s="5" t="s">
        <v>27</v>
      </c>
      <c r="M143" s="15" t="s">
        <v>961</v>
      </c>
      <c r="N143" s="5"/>
      <c r="O143" s="5" t="s">
        <v>962</v>
      </c>
      <c r="P143" s="5" t="s">
        <v>963</v>
      </c>
      <c r="Q143" s="5"/>
      <c r="R143" s="5"/>
      <c r="S143" s="5" t="s">
        <v>114</v>
      </c>
      <c r="T143" s="5" t="s">
        <v>964</v>
      </c>
      <c r="U143" s="5" t="s">
        <v>356</v>
      </c>
    </row>
    <row r="144" spans="1:21" ht="12.75">
      <c r="A144" s="5" t="s">
        <v>965</v>
      </c>
      <c r="B144" s="5">
        <v>4369001018</v>
      </c>
      <c r="C144" s="5" t="s">
        <v>966</v>
      </c>
      <c r="D144" s="5" t="s">
        <v>967</v>
      </c>
      <c r="E144" s="11" t="s">
        <v>26</v>
      </c>
      <c r="F144" s="11">
        <v>90049</v>
      </c>
      <c r="G144" s="12">
        <v>40000</v>
      </c>
      <c r="H144" s="12">
        <v>45000</v>
      </c>
      <c r="I144" s="13">
        <v>0.125</v>
      </c>
      <c r="J144" s="14">
        <v>45668</v>
      </c>
      <c r="K144" s="5"/>
      <c r="L144" s="5" t="s">
        <v>27</v>
      </c>
      <c r="M144" s="15" t="s">
        <v>968</v>
      </c>
      <c r="N144" s="5"/>
      <c r="O144" s="5" t="s">
        <v>941</v>
      </c>
      <c r="P144" s="5" t="s">
        <v>942</v>
      </c>
      <c r="Q144" s="5"/>
      <c r="R144" s="5"/>
      <c r="S144" s="5" t="s">
        <v>114</v>
      </c>
      <c r="T144" s="16" t="s">
        <v>969</v>
      </c>
      <c r="U144" s="5" t="s">
        <v>356</v>
      </c>
    </row>
    <row r="145" spans="1:21" ht="12.75">
      <c r="A145" s="5" t="s">
        <v>970</v>
      </c>
      <c r="B145" s="5">
        <v>5620008002</v>
      </c>
      <c r="C145" s="5" t="s">
        <v>971</v>
      </c>
      <c r="D145" s="5" t="s">
        <v>118</v>
      </c>
      <c r="E145" s="11" t="s">
        <v>26</v>
      </c>
      <c r="F145" s="11">
        <v>91201</v>
      </c>
      <c r="G145" s="12">
        <v>6300</v>
      </c>
      <c r="H145" s="12">
        <v>11500</v>
      </c>
      <c r="I145" s="13">
        <v>0.82539682539682535</v>
      </c>
      <c r="J145" s="14">
        <v>45661</v>
      </c>
      <c r="K145" s="5"/>
      <c r="L145" s="5" t="s">
        <v>27</v>
      </c>
      <c r="M145" s="15" t="s">
        <v>972</v>
      </c>
      <c r="N145" s="5"/>
      <c r="O145" s="5" t="s">
        <v>973</v>
      </c>
      <c r="P145" s="5" t="s">
        <v>974</v>
      </c>
      <c r="Q145" s="5"/>
      <c r="R145" s="5"/>
      <c r="S145" s="5" t="s">
        <v>975</v>
      </c>
      <c r="T145" s="16" t="s">
        <v>976</v>
      </c>
      <c r="U145" s="5" t="s">
        <v>356</v>
      </c>
    </row>
    <row r="146" spans="1:21" ht="12.75">
      <c r="A146" s="5" t="s">
        <v>977</v>
      </c>
      <c r="B146" s="5">
        <v>4377015003</v>
      </c>
      <c r="C146" s="5" t="s">
        <v>978</v>
      </c>
      <c r="D146" s="5" t="s">
        <v>25</v>
      </c>
      <c r="E146" s="11" t="s">
        <v>26</v>
      </c>
      <c r="F146" s="11">
        <v>90077</v>
      </c>
      <c r="G146" s="12">
        <v>14500</v>
      </c>
      <c r="H146" s="12">
        <v>18900</v>
      </c>
      <c r="I146" s="13">
        <v>0.30344827586206896</v>
      </c>
      <c r="J146" s="14">
        <v>45670</v>
      </c>
      <c r="K146" s="5"/>
      <c r="L146" s="5" t="s">
        <v>27</v>
      </c>
      <c r="M146" s="15" t="s">
        <v>979</v>
      </c>
      <c r="N146" s="5"/>
      <c r="O146" s="5" t="s">
        <v>980</v>
      </c>
      <c r="P146" s="5" t="s">
        <v>981</v>
      </c>
      <c r="Q146" s="5"/>
      <c r="R146" s="5"/>
      <c r="S146" s="5" t="s">
        <v>982</v>
      </c>
      <c r="T146" s="5" t="s">
        <v>983</v>
      </c>
      <c r="U146" s="5" t="s">
        <v>356</v>
      </c>
    </row>
    <row r="147" spans="1:21" ht="12.75">
      <c r="A147" s="5" t="s">
        <v>984</v>
      </c>
      <c r="B147" s="5">
        <v>5819008023</v>
      </c>
      <c r="C147" s="5" t="s">
        <v>985</v>
      </c>
      <c r="D147" s="5" t="s">
        <v>986</v>
      </c>
      <c r="E147" s="11" t="s">
        <v>26</v>
      </c>
      <c r="F147" s="11">
        <v>91011</v>
      </c>
      <c r="G147" s="12">
        <v>6200</v>
      </c>
      <c r="H147" s="12">
        <v>7600</v>
      </c>
      <c r="I147" s="13">
        <v>0.22580645161290322</v>
      </c>
      <c r="J147" s="14">
        <v>45669</v>
      </c>
      <c r="K147" s="5"/>
      <c r="L147" s="5" t="s">
        <v>27</v>
      </c>
      <c r="M147" s="15" t="s">
        <v>987</v>
      </c>
      <c r="N147" s="5"/>
      <c r="O147" s="5" t="s">
        <v>988</v>
      </c>
      <c r="P147" s="5" t="s">
        <v>989</v>
      </c>
      <c r="Q147" s="5"/>
      <c r="R147" s="5"/>
      <c r="S147" s="5" t="s">
        <v>114</v>
      </c>
      <c r="T147" s="5" t="s">
        <v>990</v>
      </c>
      <c r="U147" s="5" t="s">
        <v>356</v>
      </c>
    </row>
    <row r="148" spans="1:21" ht="12.75">
      <c r="A148" s="5" t="s">
        <v>991</v>
      </c>
      <c r="B148" s="5" t="s">
        <v>365</v>
      </c>
      <c r="C148" s="5" t="s">
        <v>992</v>
      </c>
      <c r="D148" s="5" t="s">
        <v>25</v>
      </c>
      <c r="E148" s="11" t="s">
        <v>26</v>
      </c>
      <c r="F148" s="11">
        <v>90291</v>
      </c>
      <c r="G148" s="12">
        <v>6250</v>
      </c>
      <c r="H148" s="12">
        <v>8000</v>
      </c>
      <c r="I148" s="13">
        <v>0.28000000000000003</v>
      </c>
      <c r="J148" s="14">
        <v>45909</v>
      </c>
      <c r="K148" s="5"/>
      <c r="L148" s="5" t="s">
        <v>27</v>
      </c>
      <c r="M148" s="15" t="s">
        <v>993</v>
      </c>
      <c r="N148" s="5"/>
      <c r="O148" s="5" t="s">
        <v>994</v>
      </c>
      <c r="P148" s="5" t="s">
        <v>995</v>
      </c>
      <c r="Q148" s="5" t="s">
        <v>365</v>
      </c>
      <c r="R148" s="5" t="s">
        <v>365</v>
      </c>
      <c r="S148" s="5" t="s">
        <v>996</v>
      </c>
      <c r="T148" s="16" t="s">
        <v>997</v>
      </c>
      <c r="U148" s="5" t="s">
        <v>356</v>
      </c>
    </row>
    <row r="149" spans="1:21" ht="12.75">
      <c r="A149" s="5" t="s">
        <v>998</v>
      </c>
      <c r="B149" s="5">
        <v>4306027020</v>
      </c>
      <c r="C149" s="5" t="s">
        <v>999</v>
      </c>
      <c r="D149" s="5" t="s">
        <v>25</v>
      </c>
      <c r="E149" s="11" t="s">
        <v>26</v>
      </c>
      <c r="F149" s="11">
        <v>90035</v>
      </c>
      <c r="G149" s="12">
        <v>13500</v>
      </c>
      <c r="H149" s="12">
        <v>17000</v>
      </c>
      <c r="I149" s="13">
        <v>0.25925925925925924</v>
      </c>
      <c r="J149" s="14">
        <v>45666</v>
      </c>
      <c r="K149" s="5"/>
      <c r="L149" s="5" t="s">
        <v>27</v>
      </c>
      <c r="M149" s="15" t="s">
        <v>1000</v>
      </c>
      <c r="N149" s="5"/>
      <c r="O149" s="5" t="s">
        <v>1001</v>
      </c>
      <c r="P149" s="5" t="s">
        <v>1002</v>
      </c>
      <c r="Q149" s="5"/>
      <c r="R149" s="5"/>
      <c r="S149" s="5" t="s">
        <v>114</v>
      </c>
      <c r="T149" s="16" t="s">
        <v>1003</v>
      </c>
      <c r="U149" s="5" t="s">
        <v>356</v>
      </c>
    </row>
    <row r="150" spans="1:21" ht="12.75">
      <c r="A150" s="5" t="s">
        <v>1004</v>
      </c>
      <c r="B150" s="5">
        <v>2477027012</v>
      </c>
      <c r="C150" s="5" t="s">
        <v>1005</v>
      </c>
      <c r="D150" s="5" t="s">
        <v>320</v>
      </c>
      <c r="E150" s="11" t="s">
        <v>26</v>
      </c>
      <c r="F150" s="11">
        <v>91505</v>
      </c>
      <c r="G150" s="12">
        <v>14950</v>
      </c>
      <c r="H150" s="12">
        <v>19750</v>
      </c>
      <c r="I150" s="13">
        <v>0.32107023411371238</v>
      </c>
      <c r="J150" s="14">
        <v>45665</v>
      </c>
      <c r="K150" s="5"/>
      <c r="L150" s="5" t="s">
        <v>27</v>
      </c>
      <c r="M150" s="15" t="s">
        <v>1006</v>
      </c>
      <c r="N150" s="5"/>
      <c r="O150" s="5" t="s">
        <v>365</v>
      </c>
      <c r="P150" s="5"/>
      <c r="Q150" s="5" t="s">
        <v>365</v>
      </c>
      <c r="R150" s="5" t="s">
        <v>365</v>
      </c>
      <c r="S150" s="5" t="s">
        <v>1007</v>
      </c>
      <c r="T150" s="16" t="s">
        <v>1008</v>
      </c>
      <c r="U150" s="5" t="s">
        <v>356</v>
      </c>
    </row>
    <row r="151" spans="1:21" ht="12.75">
      <c r="A151" s="5" t="s">
        <v>1009</v>
      </c>
      <c r="B151" s="5" t="s">
        <v>365</v>
      </c>
      <c r="C151" s="5" t="s">
        <v>1010</v>
      </c>
      <c r="D151" s="5" t="s">
        <v>380</v>
      </c>
      <c r="E151" s="11" t="s">
        <v>26</v>
      </c>
      <c r="F151" s="11">
        <v>90291</v>
      </c>
      <c r="G151" s="12">
        <v>9000</v>
      </c>
      <c r="H151" s="12">
        <v>9895</v>
      </c>
      <c r="I151" s="13">
        <v>9.9444444444444446E-2</v>
      </c>
      <c r="J151" s="14">
        <v>45669</v>
      </c>
      <c r="K151" s="5"/>
      <c r="L151" s="5" t="s">
        <v>27</v>
      </c>
      <c r="M151" s="15" t="s">
        <v>1011</v>
      </c>
      <c r="N151" s="5"/>
      <c r="O151" s="5" t="s">
        <v>1012</v>
      </c>
      <c r="P151" s="5" t="s">
        <v>1013</v>
      </c>
      <c r="Q151" s="5" t="s">
        <v>365</v>
      </c>
      <c r="R151" s="5" t="s">
        <v>365</v>
      </c>
      <c r="S151" s="5" t="s">
        <v>1014</v>
      </c>
      <c r="T151" s="16" t="s">
        <v>1015</v>
      </c>
      <c r="U151" s="5" t="s">
        <v>356</v>
      </c>
    </row>
    <row r="152" spans="1:21" ht="12.75">
      <c r="A152" s="5" t="s">
        <v>1016</v>
      </c>
      <c r="B152" s="5" t="s">
        <v>1017</v>
      </c>
      <c r="C152" s="5" t="s">
        <v>1018</v>
      </c>
      <c r="D152" s="5" t="s">
        <v>380</v>
      </c>
      <c r="E152" s="11" t="s">
        <v>26</v>
      </c>
      <c r="F152" s="11">
        <v>90291</v>
      </c>
      <c r="G152" s="12">
        <v>11500</v>
      </c>
      <c r="H152" s="12">
        <v>16000</v>
      </c>
      <c r="I152" s="13">
        <v>0.39130434782608697</v>
      </c>
      <c r="J152" s="14">
        <v>45669</v>
      </c>
      <c r="K152" s="5"/>
      <c r="L152" s="5" t="s">
        <v>27</v>
      </c>
      <c r="M152" s="15" t="s">
        <v>1019</v>
      </c>
      <c r="N152" s="5"/>
      <c r="O152" s="5" t="s">
        <v>1020</v>
      </c>
      <c r="Q152" s="5"/>
      <c r="R152" s="5"/>
      <c r="S152" s="5" t="s">
        <v>114</v>
      </c>
      <c r="T152" s="5" t="s">
        <v>1021</v>
      </c>
      <c r="U152" s="5" t="s">
        <v>356</v>
      </c>
    </row>
    <row r="153" spans="1:21" ht="12.75">
      <c r="A153" s="5" t="s">
        <v>1022</v>
      </c>
      <c r="B153" s="5" t="s">
        <v>1023</v>
      </c>
      <c r="C153" s="5" t="s">
        <v>1024</v>
      </c>
      <c r="D153" s="5" t="s">
        <v>25</v>
      </c>
      <c r="E153" s="11" t="s">
        <v>26</v>
      </c>
      <c r="F153" s="11">
        <v>90049</v>
      </c>
      <c r="G153" s="12">
        <v>29500</v>
      </c>
      <c r="H153" s="12">
        <v>30000</v>
      </c>
      <c r="I153" s="13">
        <v>1.6949152542372881E-2</v>
      </c>
      <c r="J153" s="14">
        <v>45669</v>
      </c>
      <c r="K153" s="5"/>
      <c r="L153" s="5" t="s">
        <v>648</v>
      </c>
      <c r="M153" s="15" t="s">
        <v>1025</v>
      </c>
      <c r="N153" s="5"/>
      <c r="O153" s="5" t="s">
        <v>1026</v>
      </c>
      <c r="P153" s="5" t="s">
        <v>1027</v>
      </c>
      <c r="Q153" s="5" t="s">
        <v>365</v>
      </c>
      <c r="R153" s="5"/>
      <c r="S153" s="5" t="s">
        <v>1028</v>
      </c>
      <c r="T153" s="16" t="s">
        <v>1029</v>
      </c>
      <c r="U153" s="5" t="s">
        <v>356</v>
      </c>
    </row>
    <row r="154" spans="1:21" ht="12.75">
      <c r="A154" s="5" t="s">
        <v>1030</v>
      </c>
      <c r="B154" s="5">
        <v>5437023007</v>
      </c>
      <c r="C154" s="5" t="s">
        <v>567</v>
      </c>
      <c r="D154" s="5" t="s">
        <v>353</v>
      </c>
      <c r="E154" s="11" t="s">
        <v>26</v>
      </c>
      <c r="F154" s="11">
        <v>90039</v>
      </c>
      <c r="G154" s="12">
        <v>3800</v>
      </c>
      <c r="H154" s="12">
        <v>4500</v>
      </c>
      <c r="I154" s="13">
        <v>0.18421052631578946</v>
      </c>
      <c r="J154" s="14">
        <v>45669</v>
      </c>
      <c r="K154" s="5"/>
      <c r="L154" s="5" t="s">
        <v>27</v>
      </c>
      <c r="M154" s="15" t="s">
        <v>1031</v>
      </c>
      <c r="N154" s="5"/>
      <c r="O154" s="5" t="s">
        <v>569</v>
      </c>
      <c r="P154" s="5" t="s">
        <v>1032</v>
      </c>
      <c r="Q154" s="5" t="s">
        <v>1033</v>
      </c>
      <c r="R154" s="5"/>
      <c r="S154" s="5" t="s">
        <v>114</v>
      </c>
      <c r="T154" s="5" t="s">
        <v>1034</v>
      </c>
      <c r="U154" s="5" t="s">
        <v>1035</v>
      </c>
    </row>
    <row r="155" spans="1:21" ht="12.75">
      <c r="A155" s="5" t="s">
        <v>1036</v>
      </c>
      <c r="B155" s="5">
        <v>5677025001</v>
      </c>
      <c r="C155" s="5" t="s">
        <v>1037</v>
      </c>
      <c r="D155" s="5" t="s">
        <v>118</v>
      </c>
      <c r="E155" s="11" t="s">
        <v>26</v>
      </c>
      <c r="F155" s="11">
        <v>91205</v>
      </c>
      <c r="G155" s="12">
        <v>8500</v>
      </c>
      <c r="H155" s="12">
        <v>19500</v>
      </c>
      <c r="I155" s="13">
        <v>1.2941176470588236</v>
      </c>
      <c r="J155" s="14">
        <v>45670</v>
      </c>
      <c r="K155" s="5"/>
      <c r="L155" s="5" t="s">
        <v>27</v>
      </c>
      <c r="M155" s="15" t="s">
        <v>1038</v>
      </c>
      <c r="N155" s="5"/>
      <c r="O155" s="5"/>
      <c r="P155" s="5"/>
      <c r="Q155" s="5" t="s">
        <v>1039</v>
      </c>
      <c r="R155" s="5" t="s">
        <v>1040</v>
      </c>
      <c r="S155" s="5" t="s">
        <v>114</v>
      </c>
      <c r="T155" s="5" t="s">
        <v>1041</v>
      </c>
      <c r="U155" s="5" t="s">
        <v>356</v>
      </c>
    </row>
    <row r="156" spans="1:21" ht="12.75">
      <c r="A156" s="5" t="s">
        <v>1042</v>
      </c>
      <c r="B156" s="5">
        <v>4281009063</v>
      </c>
      <c r="C156" s="5" t="s">
        <v>1043</v>
      </c>
      <c r="D156" s="5" t="s">
        <v>359</v>
      </c>
      <c r="E156" s="11" t="s">
        <v>26</v>
      </c>
      <c r="F156" s="11">
        <v>90403</v>
      </c>
      <c r="G156" s="12">
        <v>3500</v>
      </c>
      <c r="H156" s="12">
        <v>4450</v>
      </c>
      <c r="I156" s="13">
        <v>0.27142857142857141</v>
      </c>
      <c r="J156" s="14">
        <v>45663</v>
      </c>
      <c r="K156" s="5"/>
      <c r="L156" s="5" t="s">
        <v>27</v>
      </c>
      <c r="M156" s="15" t="s">
        <v>1044</v>
      </c>
      <c r="N156" s="5"/>
      <c r="O156" s="5" t="s">
        <v>1045</v>
      </c>
      <c r="P156" s="5" t="s">
        <v>1046</v>
      </c>
      <c r="Q156" s="5"/>
      <c r="R156" s="5"/>
      <c r="S156" s="5" t="s">
        <v>114</v>
      </c>
      <c r="T156" s="16" t="s">
        <v>1047</v>
      </c>
      <c r="U156" s="5" t="s">
        <v>356</v>
      </c>
    </row>
    <row r="157" spans="1:21" ht="12.75">
      <c r="A157" s="5" t="s">
        <v>1048</v>
      </c>
      <c r="B157" s="5">
        <v>4176013017</v>
      </c>
      <c r="C157" s="5" t="s">
        <v>1049</v>
      </c>
      <c r="D157" s="5" t="s">
        <v>1050</v>
      </c>
      <c r="E157" s="11" t="s">
        <v>26</v>
      </c>
      <c r="F157" s="11">
        <v>90266</v>
      </c>
      <c r="G157" s="12">
        <v>8250</v>
      </c>
      <c r="H157" s="12">
        <v>18000</v>
      </c>
      <c r="I157" s="13">
        <v>1.1818181818181819</v>
      </c>
      <c r="J157" s="14">
        <v>45669</v>
      </c>
      <c r="K157" s="5"/>
      <c r="L157" s="5" t="s">
        <v>27</v>
      </c>
      <c r="M157" s="15" t="s">
        <v>1051</v>
      </c>
      <c r="N157" s="5"/>
      <c r="O157" s="5" t="s">
        <v>1052</v>
      </c>
      <c r="P157" s="5"/>
      <c r="Q157" s="5" t="s">
        <v>1053</v>
      </c>
      <c r="R157" s="5" t="s">
        <v>1054</v>
      </c>
      <c r="S157" s="5" t="s">
        <v>1055</v>
      </c>
      <c r="T157" s="16" t="s">
        <v>1056</v>
      </c>
      <c r="U157" s="5" t="s">
        <v>356</v>
      </c>
    </row>
    <row r="158" spans="1:21" ht="12.75">
      <c r="A158" s="5" t="s">
        <v>1057</v>
      </c>
      <c r="B158" s="5">
        <v>2456035010</v>
      </c>
      <c r="C158" s="5" t="s">
        <v>373</v>
      </c>
      <c r="D158" s="5" t="s">
        <v>320</v>
      </c>
      <c r="E158" s="11" t="s">
        <v>26</v>
      </c>
      <c r="F158" s="11">
        <v>91501</v>
      </c>
      <c r="G158" s="12">
        <v>7865</v>
      </c>
      <c r="H158" s="12">
        <v>12000</v>
      </c>
      <c r="I158" s="13">
        <v>0.52574698029243483</v>
      </c>
      <c r="J158" s="14">
        <v>45666</v>
      </c>
      <c r="K158" s="5"/>
      <c r="L158" s="5" t="s">
        <v>27</v>
      </c>
      <c r="M158" s="15" t="s">
        <v>1058</v>
      </c>
      <c r="N158" s="5"/>
      <c r="O158" s="5" t="s">
        <v>375</v>
      </c>
      <c r="P158" s="5" t="s">
        <v>340</v>
      </c>
      <c r="Q158" s="5"/>
      <c r="R158" s="5"/>
      <c r="S158" s="5" t="s">
        <v>1059</v>
      </c>
      <c r="T158" s="5" t="s">
        <v>1060</v>
      </c>
      <c r="U158" s="5" t="s">
        <v>356</v>
      </c>
    </row>
    <row r="159" spans="1:21" ht="12.75">
      <c r="A159" s="5" t="s">
        <v>1061</v>
      </c>
      <c r="B159" s="5" t="s">
        <v>30</v>
      </c>
      <c r="C159" s="5" t="s">
        <v>1062</v>
      </c>
      <c r="D159" s="5" t="s">
        <v>25</v>
      </c>
      <c r="E159" s="11" t="s">
        <v>26</v>
      </c>
      <c r="F159" s="11">
        <v>90049</v>
      </c>
      <c r="G159" s="12">
        <v>5500</v>
      </c>
      <c r="H159" s="12">
        <v>7000</v>
      </c>
      <c r="I159" s="13">
        <v>0.27272727272727271</v>
      </c>
      <c r="J159" s="14">
        <v>45669</v>
      </c>
      <c r="K159" s="5"/>
      <c r="L159" s="5" t="s">
        <v>27</v>
      </c>
      <c r="M159" s="15" t="s">
        <v>1063</v>
      </c>
      <c r="N159" s="5"/>
      <c r="O159" s="5"/>
      <c r="P159" s="5"/>
      <c r="Q159" s="5" t="s">
        <v>1064</v>
      </c>
      <c r="R159" s="5" t="s">
        <v>1065</v>
      </c>
      <c r="S159" s="5" t="s">
        <v>114</v>
      </c>
      <c r="T159" s="16" t="s">
        <v>1066</v>
      </c>
      <c r="U159" s="5" t="s">
        <v>356</v>
      </c>
    </row>
    <row r="160" spans="1:21" ht="12.75">
      <c r="A160" s="5" t="s">
        <v>1067</v>
      </c>
      <c r="B160" s="5">
        <v>4228016039</v>
      </c>
      <c r="C160" s="5" t="s">
        <v>1068</v>
      </c>
      <c r="D160" s="5" t="s">
        <v>380</v>
      </c>
      <c r="E160" s="11" t="s">
        <v>26</v>
      </c>
      <c r="F160" s="11">
        <v>90291</v>
      </c>
      <c r="G160" s="12">
        <v>20000</v>
      </c>
      <c r="H160" s="12">
        <v>29500</v>
      </c>
      <c r="I160" s="13">
        <v>0.47499999999999998</v>
      </c>
      <c r="J160" s="14">
        <v>45666</v>
      </c>
      <c r="K160" s="5"/>
      <c r="L160" s="5" t="s">
        <v>27</v>
      </c>
      <c r="M160" s="15" t="s">
        <v>1069</v>
      </c>
      <c r="N160" s="5"/>
      <c r="O160" s="5" t="s">
        <v>1070</v>
      </c>
      <c r="P160" s="5" t="s">
        <v>1071</v>
      </c>
      <c r="Q160" s="5"/>
      <c r="R160" s="5"/>
      <c r="S160" s="5" t="s">
        <v>1072</v>
      </c>
      <c r="T160" s="16" t="s">
        <v>1073</v>
      </c>
      <c r="U160" s="5" t="s">
        <v>356</v>
      </c>
    </row>
    <row r="161" spans="1:22" ht="12.75">
      <c r="A161" s="5" t="s">
        <v>1074</v>
      </c>
      <c r="B161" s="5">
        <v>4320003072</v>
      </c>
      <c r="C161" s="5" t="s">
        <v>1075</v>
      </c>
      <c r="D161" s="5" t="s">
        <v>25</v>
      </c>
      <c r="E161" s="11" t="s">
        <v>26</v>
      </c>
      <c r="F161" s="11">
        <v>90064</v>
      </c>
      <c r="G161" s="12">
        <v>4500</v>
      </c>
      <c r="H161" s="12">
        <v>7500</v>
      </c>
      <c r="I161" s="13">
        <v>0.66666666666666663</v>
      </c>
      <c r="J161" s="14">
        <v>45663</v>
      </c>
      <c r="K161" s="5"/>
      <c r="L161" s="5" t="s">
        <v>27</v>
      </c>
      <c r="M161" s="15" t="s">
        <v>1076</v>
      </c>
      <c r="N161" s="5"/>
      <c r="O161" s="5" t="s">
        <v>1077</v>
      </c>
      <c r="P161" s="5" t="s">
        <v>1078</v>
      </c>
      <c r="Q161" s="5"/>
      <c r="R161" s="5"/>
      <c r="S161" s="5" t="s">
        <v>114</v>
      </c>
      <c r="T161" s="16" t="s">
        <v>1079</v>
      </c>
      <c r="U161" s="5" t="s">
        <v>356</v>
      </c>
    </row>
    <row r="162" spans="1:22" ht="12.75">
      <c r="A162" s="5" t="s">
        <v>1080</v>
      </c>
      <c r="B162" s="5">
        <v>7554005014</v>
      </c>
      <c r="C162" s="5" t="s">
        <v>1081</v>
      </c>
      <c r="D162" s="5" t="s">
        <v>1082</v>
      </c>
      <c r="E162" s="11" t="s">
        <v>26</v>
      </c>
      <c r="F162" s="11">
        <v>90274</v>
      </c>
      <c r="G162" s="12">
        <v>9500</v>
      </c>
      <c r="H162" s="12">
        <v>10500</v>
      </c>
      <c r="I162" s="13">
        <v>0.10526315789473684</v>
      </c>
      <c r="J162" s="14">
        <v>45668</v>
      </c>
      <c r="K162" s="5"/>
      <c r="L162" s="5" t="s">
        <v>27</v>
      </c>
      <c r="M162" s="15" t="s">
        <v>1083</v>
      </c>
      <c r="N162" s="5"/>
      <c r="O162" s="5" t="s">
        <v>1084</v>
      </c>
      <c r="P162" s="5" t="s">
        <v>1085</v>
      </c>
      <c r="Q162" s="5"/>
      <c r="R162" s="5"/>
      <c r="S162" s="5" t="s">
        <v>1086</v>
      </c>
      <c r="T162" s="5" t="s">
        <v>1087</v>
      </c>
      <c r="U162" s="5" t="s">
        <v>356</v>
      </c>
    </row>
    <row r="163" spans="1:22" ht="12.75">
      <c r="A163" s="5" t="s">
        <v>1088</v>
      </c>
      <c r="B163" s="5">
        <v>5576015017</v>
      </c>
      <c r="C163" s="5" t="s">
        <v>1089</v>
      </c>
      <c r="D163" s="5" t="s">
        <v>1090</v>
      </c>
      <c r="E163" s="11" t="s">
        <v>26</v>
      </c>
      <c r="F163" s="11">
        <v>90068</v>
      </c>
      <c r="G163" s="12">
        <v>10500</v>
      </c>
      <c r="H163" s="12">
        <v>16500</v>
      </c>
      <c r="I163" s="13">
        <v>0.5714285714285714</v>
      </c>
      <c r="J163" s="14">
        <v>45669</v>
      </c>
      <c r="K163" s="5"/>
      <c r="L163" s="5" t="s">
        <v>27</v>
      </c>
      <c r="M163" s="15" t="s">
        <v>1091</v>
      </c>
      <c r="N163" s="5"/>
      <c r="O163" s="5" t="s">
        <v>1092</v>
      </c>
      <c r="P163" s="5" t="s">
        <v>173</v>
      </c>
      <c r="Q163" s="5"/>
      <c r="R163" s="5"/>
      <c r="S163" s="5" t="s">
        <v>114</v>
      </c>
      <c r="T163" s="5" t="s">
        <v>1093</v>
      </c>
      <c r="U163" s="5" t="s">
        <v>356</v>
      </c>
    </row>
    <row r="164" spans="1:22" ht="12.75">
      <c r="A164" s="5" t="s">
        <v>1094</v>
      </c>
      <c r="B164" s="5" t="s">
        <v>365</v>
      </c>
      <c r="C164" s="5" t="s">
        <v>1095</v>
      </c>
      <c r="D164" s="5" t="s">
        <v>1096</v>
      </c>
      <c r="E164" s="11" t="s">
        <v>26</v>
      </c>
      <c r="F164" s="11">
        <v>90254</v>
      </c>
      <c r="G164" s="12">
        <v>7400</v>
      </c>
      <c r="H164" s="12">
        <v>8900</v>
      </c>
      <c r="I164" s="13">
        <v>0.20270270270270271</v>
      </c>
      <c r="J164" s="14">
        <v>45665</v>
      </c>
      <c r="K164" s="5"/>
      <c r="L164" s="5" t="s">
        <v>27</v>
      </c>
      <c r="M164" s="15" t="s">
        <v>1097</v>
      </c>
      <c r="N164" s="5"/>
      <c r="O164" s="5" t="s">
        <v>1084</v>
      </c>
      <c r="P164" s="5" t="s">
        <v>1098</v>
      </c>
      <c r="Q164" s="5"/>
      <c r="R164" s="5"/>
      <c r="S164" s="5" t="s">
        <v>114</v>
      </c>
      <c r="T164" s="5" t="s">
        <v>1099</v>
      </c>
      <c r="U164" s="5" t="s">
        <v>356</v>
      </c>
    </row>
    <row r="165" spans="1:22" ht="12.75">
      <c r="A165" s="5" t="s">
        <v>1100</v>
      </c>
      <c r="B165" s="5" t="s">
        <v>365</v>
      </c>
      <c r="C165" s="5" t="s">
        <v>1101</v>
      </c>
      <c r="D165" s="5" t="s">
        <v>25</v>
      </c>
      <c r="E165" s="11" t="s">
        <v>26</v>
      </c>
      <c r="F165" s="11">
        <v>90064</v>
      </c>
      <c r="G165" s="12">
        <v>8000</v>
      </c>
      <c r="H165" s="12">
        <v>8900</v>
      </c>
      <c r="I165" s="13">
        <v>0.1125</v>
      </c>
      <c r="J165" s="14">
        <v>45666</v>
      </c>
      <c r="K165" s="5"/>
      <c r="L165" s="5" t="s">
        <v>27</v>
      </c>
      <c r="M165" s="15" t="s">
        <v>1102</v>
      </c>
      <c r="N165" s="5"/>
      <c r="O165" s="5"/>
      <c r="P165" s="5"/>
      <c r="Q165" s="5" t="s">
        <v>1103</v>
      </c>
      <c r="R165" s="5" t="s">
        <v>1104</v>
      </c>
      <c r="S165" s="5" t="s">
        <v>1105</v>
      </c>
      <c r="T165" s="16" t="s">
        <v>1106</v>
      </c>
      <c r="U165" s="5" t="s">
        <v>356</v>
      </c>
    </row>
    <row r="166" spans="1:22" ht="12.75">
      <c r="A166" s="5" t="s">
        <v>1107</v>
      </c>
      <c r="B166" s="5" t="s">
        <v>365</v>
      </c>
      <c r="C166" s="5" t="s">
        <v>1108</v>
      </c>
      <c r="D166" s="5" t="s">
        <v>1109</v>
      </c>
      <c r="E166" s="11" t="s">
        <v>26</v>
      </c>
      <c r="F166" s="11">
        <v>90266</v>
      </c>
      <c r="G166" s="12">
        <v>7900</v>
      </c>
      <c r="H166" s="12">
        <v>8900</v>
      </c>
      <c r="I166" s="13">
        <v>0.12658227848101267</v>
      </c>
      <c r="J166" s="14">
        <v>45667</v>
      </c>
      <c r="K166" s="5"/>
      <c r="L166" s="5" t="s">
        <v>27</v>
      </c>
      <c r="M166" s="15" t="s">
        <v>1110</v>
      </c>
      <c r="N166" s="5"/>
      <c r="O166" s="5" t="s">
        <v>1084</v>
      </c>
      <c r="P166" s="5" t="s">
        <v>1111</v>
      </c>
      <c r="Q166" s="5"/>
      <c r="R166" s="5"/>
      <c r="S166" s="5" t="s">
        <v>114</v>
      </c>
      <c r="T166" s="5" t="s">
        <v>1112</v>
      </c>
      <c r="U166" s="5" t="s">
        <v>356</v>
      </c>
    </row>
    <row r="167" spans="1:22" ht="12.75">
      <c r="A167" s="5" t="s">
        <v>1113</v>
      </c>
      <c r="B167" s="5" t="s">
        <v>365</v>
      </c>
      <c r="C167" s="5" t="s">
        <v>1114</v>
      </c>
      <c r="D167" s="5" t="s">
        <v>380</v>
      </c>
      <c r="E167" s="11" t="s">
        <v>26</v>
      </c>
      <c r="F167" s="11">
        <v>90291</v>
      </c>
      <c r="G167" s="12">
        <v>10000</v>
      </c>
      <c r="H167" s="12">
        <v>19000</v>
      </c>
      <c r="I167" s="13">
        <v>0.9</v>
      </c>
      <c r="J167" s="14">
        <v>45669</v>
      </c>
      <c r="K167" s="5"/>
      <c r="L167" s="5" t="s">
        <v>27</v>
      </c>
      <c r="M167" s="15" t="s">
        <v>1115</v>
      </c>
      <c r="N167" s="5"/>
      <c r="O167" s="5" t="s">
        <v>1116</v>
      </c>
      <c r="P167" s="5" t="s">
        <v>1117</v>
      </c>
      <c r="Q167" s="5"/>
      <c r="R167" s="5"/>
      <c r="S167" s="5" t="s">
        <v>1118</v>
      </c>
      <c r="T167" s="16" t="s">
        <v>1119</v>
      </c>
      <c r="U167" s="5" t="s">
        <v>356</v>
      </c>
    </row>
    <row r="168" spans="1:22" ht="12.75">
      <c r="A168" s="5" t="s">
        <v>1120</v>
      </c>
      <c r="B168" s="5">
        <v>5481005027</v>
      </c>
      <c r="C168" s="5" t="s">
        <v>265</v>
      </c>
      <c r="D168" s="5" t="s">
        <v>25</v>
      </c>
      <c r="E168" s="11" t="s">
        <v>26</v>
      </c>
      <c r="F168" s="11">
        <v>90042</v>
      </c>
      <c r="G168" s="12">
        <v>5250</v>
      </c>
      <c r="H168" s="12">
        <v>5800</v>
      </c>
      <c r="I168" s="13">
        <v>0.10476190476190476</v>
      </c>
      <c r="J168" s="14">
        <v>45669</v>
      </c>
      <c r="K168" s="5"/>
      <c r="L168" s="5" t="s">
        <v>27</v>
      </c>
      <c r="M168" s="15" t="s">
        <v>1121</v>
      </c>
      <c r="N168" s="5"/>
      <c r="O168" s="5" t="s">
        <v>268</v>
      </c>
      <c r="P168" s="17" t="s">
        <v>1122</v>
      </c>
      <c r="Q168" s="5" t="s">
        <v>268</v>
      </c>
      <c r="R168" s="17" t="s">
        <v>1122</v>
      </c>
      <c r="S168" s="5" t="s">
        <v>1123</v>
      </c>
      <c r="T168" s="5" t="s">
        <v>1124</v>
      </c>
      <c r="U168" s="5" t="s">
        <v>33</v>
      </c>
      <c r="V168" s="5" t="s">
        <v>1125</v>
      </c>
    </row>
    <row r="169" spans="1:22" ht="12.75">
      <c r="A169" s="5" t="s">
        <v>1126</v>
      </c>
      <c r="B169" s="5" t="s">
        <v>365</v>
      </c>
      <c r="C169" s="5" t="s">
        <v>1127</v>
      </c>
      <c r="D169" s="5" t="s">
        <v>1128</v>
      </c>
      <c r="E169" s="11" t="s">
        <v>26</v>
      </c>
      <c r="F169" s="11">
        <v>91504</v>
      </c>
      <c r="G169" s="12">
        <v>17900</v>
      </c>
      <c r="H169" s="12">
        <v>20950</v>
      </c>
      <c r="I169" s="13">
        <v>0.17039106145251395</v>
      </c>
      <c r="J169" s="14">
        <v>45669</v>
      </c>
      <c r="K169" s="5"/>
      <c r="L169" s="5" t="s">
        <v>27</v>
      </c>
      <c r="M169" s="15" t="s">
        <v>1129</v>
      </c>
      <c r="O169" s="5"/>
      <c r="P169" s="5"/>
      <c r="Q169" s="5" t="s">
        <v>956</v>
      </c>
      <c r="R169" s="5" t="s">
        <v>957</v>
      </c>
      <c r="S169" s="5" t="s">
        <v>114</v>
      </c>
      <c r="T169" s="5" t="s">
        <v>1130</v>
      </c>
      <c r="U169" s="5" t="s">
        <v>204</v>
      </c>
    </row>
    <row r="170" spans="1:22" ht="12.75">
      <c r="A170" s="5" t="s">
        <v>1131</v>
      </c>
      <c r="B170" s="5">
        <v>7503004033</v>
      </c>
      <c r="C170" s="5" t="s">
        <v>1132</v>
      </c>
      <c r="D170" s="5" t="s">
        <v>576</v>
      </c>
      <c r="E170" s="11" t="s">
        <v>26</v>
      </c>
      <c r="F170" s="11">
        <v>90277</v>
      </c>
      <c r="G170" s="12">
        <v>7320</v>
      </c>
      <c r="H170" s="12">
        <v>8820</v>
      </c>
      <c r="I170" s="13">
        <v>0.20491803278688525</v>
      </c>
      <c r="J170" s="14">
        <v>45669</v>
      </c>
      <c r="K170" s="5"/>
      <c r="L170" s="5" t="s">
        <v>27</v>
      </c>
      <c r="M170" s="15" t="s">
        <v>1133</v>
      </c>
      <c r="N170" s="5"/>
      <c r="O170" s="5"/>
      <c r="P170" s="5"/>
      <c r="Q170" s="5" t="s">
        <v>1134</v>
      </c>
      <c r="R170" s="5" t="s">
        <v>1135</v>
      </c>
      <c r="S170" s="5" t="s">
        <v>114</v>
      </c>
      <c r="T170" s="5" t="s">
        <v>1136</v>
      </c>
      <c r="U170" s="5" t="s">
        <v>204</v>
      </c>
    </row>
    <row r="171" spans="1:22" ht="12.75">
      <c r="A171" s="5" t="s">
        <v>1137</v>
      </c>
      <c r="B171" s="5">
        <v>4169035007</v>
      </c>
      <c r="C171" s="5" t="s">
        <v>1138</v>
      </c>
      <c r="D171" s="5" t="s">
        <v>1096</v>
      </c>
      <c r="E171" s="11" t="s">
        <v>26</v>
      </c>
      <c r="F171" s="11">
        <v>90254</v>
      </c>
      <c r="G171" s="12">
        <v>9900</v>
      </c>
      <c r="H171" s="12">
        <v>10890</v>
      </c>
      <c r="I171" s="13">
        <v>0.1</v>
      </c>
      <c r="J171" s="14">
        <v>45667</v>
      </c>
      <c r="K171" s="5"/>
      <c r="L171" s="5" t="s">
        <v>27</v>
      </c>
      <c r="M171" s="15" t="s">
        <v>1139</v>
      </c>
      <c r="N171" s="5"/>
      <c r="O171" s="5" t="s">
        <v>1140</v>
      </c>
      <c r="P171" s="5" t="s">
        <v>1141</v>
      </c>
      <c r="Q171" s="5"/>
      <c r="R171" s="5"/>
      <c r="S171" s="5" t="s">
        <v>114</v>
      </c>
      <c r="T171" s="5" t="s">
        <v>1142</v>
      </c>
      <c r="U171" s="5" t="s">
        <v>204</v>
      </c>
    </row>
    <row r="172" spans="1:22" ht="12.75">
      <c r="A172" s="5" t="s">
        <v>1143</v>
      </c>
      <c r="B172" s="5">
        <v>4175013024</v>
      </c>
      <c r="C172" s="5" t="s">
        <v>1144</v>
      </c>
      <c r="D172" s="5" t="s">
        <v>1109</v>
      </c>
      <c r="E172" s="11" t="s">
        <v>26</v>
      </c>
      <c r="F172" s="11">
        <v>90266</v>
      </c>
      <c r="G172" s="12">
        <v>4500</v>
      </c>
      <c r="H172" s="12">
        <v>12500</v>
      </c>
      <c r="I172" s="13">
        <v>1.7777777777777777</v>
      </c>
      <c r="J172" s="14">
        <v>45670</v>
      </c>
      <c r="K172" s="5"/>
      <c r="L172" s="5" t="s">
        <v>27</v>
      </c>
      <c r="M172" s="15" t="s">
        <v>1145</v>
      </c>
      <c r="N172" s="5"/>
      <c r="O172" s="5"/>
      <c r="P172" s="5"/>
      <c r="Q172" s="5" t="s">
        <v>1146</v>
      </c>
      <c r="R172" s="5" t="s">
        <v>1147</v>
      </c>
      <c r="S172" s="5" t="s">
        <v>1118</v>
      </c>
      <c r="T172" s="16" t="s">
        <v>1148</v>
      </c>
      <c r="U172" s="5" t="s">
        <v>204</v>
      </c>
    </row>
    <row r="173" spans="1:22" ht="12.75">
      <c r="A173" s="5" t="s">
        <v>1149</v>
      </c>
      <c r="B173" s="5">
        <v>5560024013</v>
      </c>
      <c r="C173" s="5" t="s">
        <v>1150</v>
      </c>
      <c r="D173" s="5" t="s">
        <v>353</v>
      </c>
      <c r="E173" s="11" t="s">
        <v>26</v>
      </c>
      <c r="F173" s="11">
        <v>90069</v>
      </c>
      <c r="G173" s="12">
        <v>24500</v>
      </c>
      <c r="H173" s="12">
        <v>50000</v>
      </c>
      <c r="I173" s="13">
        <v>1.0408163265306123</v>
      </c>
      <c r="J173" s="14">
        <v>45670</v>
      </c>
      <c r="K173" s="5"/>
      <c r="L173" s="5" t="s">
        <v>27</v>
      </c>
      <c r="M173" s="15" t="s">
        <v>1151</v>
      </c>
      <c r="N173" s="5"/>
      <c r="O173" s="5" t="s">
        <v>1152</v>
      </c>
      <c r="P173" s="5" t="s">
        <v>1153</v>
      </c>
      <c r="Q173" s="5"/>
      <c r="R173" s="5"/>
      <c r="S173" s="5" t="s">
        <v>1154</v>
      </c>
      <c r="T173" s="5" t="s">
        <v>1155</v>
      </c>
      <c r="U173" s="5" t="s">
        <v>33</v>
      </c>
      <c r="V173" s="5" t="s">
        <v>1125</v>
      </c>
    </row>
    <row r="174" spans="1:22" ht="12.75">
      <c r="A174" s="5" t="s">
        <v>1156</v>
      </c>
      <c r="B174" s="5">
        <v>4181035018</v>
      </c>
      <c r="C174" s="5" t="s">
        <v>1157</v>
      </c>
      <c r="D174" s="5" t="s">
        <v>1096</v>
      </c>
      <c r="E174" s="11" t="s">
        <v>26</v>
      </c>
      <c r="F174" s="11">
        <v>90254</v>
      </c>
      <c r="G174" s="12">
        <v>16000</v>
      </c>
      <c r="H174" s="12">
        <v>22000</v>
      </c>
      <c r="I174" s="13">
        <v>0.375</v>
      </c>
      <c r="J174" s="14">
        <v>45669</v>
      </c>
      <c r="K174" s="5"/>
      <c r="L174" s="5" t="s">
        <v>27</v>
      </c>
      <c r="M174" s="15" t="s">
        <v>1158</v>
      </c>
      <c r="N174" s="5"/>
      <c r="O174" s="5" t="s">
        <v>1159</v>
      </c>
      <c r="P174" s="5" t="s">
        <v>1160</v>
      </c>
      <c r="Q174" s="5"/>
      <c r="R174" s="5"/>
      <c r="S174" s="5" t="s">
        <v>1072</v>
      </c>
      <c r="T174" s="5" t="s">
        <v>1161</v>
      </c>
      <c r="U174" s="5" t="s">
        <v>204</v>
      </c>
    </row>
    <row r="175" spans="1:22" ht="12.75">
      <c r="A175" s="5" t="s">
        <v>1162</v>
      </c>
      <c r="B175" s="5">
        <v>4365004017</v>
      </c>
      <c r="C175" s="5" t="s">
        <v>1163</v>
      </c>
      <c r="D175" s="5" t="s">
        <v>25</v>
      </c>
      <c r="E175" s="11" t="s">
        <v>26</v>
      </c>
      <c r="F175" s="11">
        <v>90049</v>
      </c>
      <c r="G175" s="12">
        <v>11999</v>
      </c>
      <c r="H175" s="12">
        <v>25999</v>
      </c>
      <c r="I175" s="13">
        <v>1.166763896991416</v>
      </c>
      <c r="J175" s="14">
        <v>45669</v>
      </c>
      <c r="K175" s="5"/>
      <c r="L175" s="5" t="s">
        <v>27</v>
      </c>
      <c r="M175" s="15" t="s">
        <v>1164</v>
      </c>
      <c r="N175" s="5"/>
      <c r="O175" s="5"/>
      <c r="P175" s="5"/>
      <c r="Q175" s="5" t="s">
        <v>1165</v>
      </c>
      <c r="R175" s="5" t="s">
        <v>1166</v>
      </c>
      <c r="S175" s="5" t="s">
        <v>114</v>
      </c>
      <c r="T175" s="16" t="s">
        <v>1167</v>
      </c>
      <c r="U175" s="5" t="s">
        <v>33</v>
      </c>
      <c r="V175" s="5" t="s">
        <v>1125</v>
      </c>
    </row>
    <row r="176" spans="1:22" ht="12.75">
      <c r="A176" s="5" t="s">
        <v>1168</v>
      </c>
      <c r="B176" s="5">
        <v>4178006020</v>
      </c>
      <c r="C176" s="5" t="s">
        <v>1169</v>
      </c>
      <c r="D176" s="5" t="s">
        <v>1109</v>
      </c>
      <c r="E176" s="11" t="s">
        <v>26</v>
      </c>
      <c r="F176" s="11">
        <v>90266</v>
      </c>
      <c r="G176" s="12">
        <v>10000</v>
      </c>
      <c r="H176" s="12">
        <v>19700</v>
      </c>
      <c r="I176" s="13">
        <v>0.97</v>
      </c>
      <c r="J176" s="14">
        <v>45669</v>
      </c>
      <c r="K176" s="5"/>
      <c r="L176" s="5" t="s">
        <v>27</v>
      </c>
      <c r="M176" s="15" t="s">
        <v>1170</v>
      </c>
      <c r="N176" s="5"/>
      <c r="O176" s="5"/>
      <c r="P176" s="5"/>
      <c r="Q176" s="5" t="s">
        <v>1171</v>
      </c>
      <c r="R176" s="5"/>
      <c r="S176" s="5" t="s">
        <v>114</v>
      </c>
      <c r="T176" s="5" t="s">
        <v>1172</v>
      </c>
      <c r="U176" s="5" t="s">
        <v>204</v>
      </c>
    </row>
    <row r="177" spans="1:22" ht="12.75">
      <c r="A177" s="5" t="s">
        <v>1173</v>
      </c>
      <c r="B177" s="5">
        <v>4171035018</v>
      </c>
      <c r="C177" s="5" t="s">
        <v>1174</v>
      </c>
      <c r="D177" s="5" t="s">
        <v>1109</v>
      </c>
      <c r="E177" s="11" t="s">
        <v>26</v>
      </c>
      <c r="F177" s="11">
        <v>90266</v>
      </c>
      <c r="G177" s="12">
        <v>12500</v>
      </c>
      <c r="H177" s="12">
        <v>23000</v>
      </c>
      <c r="I177" s="13">
        <v>0.84</v>
      </c>
      <c r="J177" s="14">
        <v>45669</v>
      </c>
      <c r="K177" s="5"/>
      <c r="L177" s="5" t="s">
        <v>27</v>
      </c>
      <c r="M177" s="15" t="s">
        <v>1175</v>
      </c>
      <c r="N177" s="5"/>
      <c r="O177" s="5" t="s">
        <v>1176</v>
      </c>
      <c r="P177" s="5" t="s">
        <v>1177</v>
      </c>
      <c r="Q177" s="5"/>
      <c r="R177" s="5"/>
      <c r="S177" s="5" t="s">
        <v>114</v>
      </c>
      <c r="T177" s="5" t="s">
        <v>1178</v>
      </c>
      <c r="U177" s="5" t="s">
        <v>413</v>
      </c>
      <c r="V177" s="5" t="s">
        <v>413</v>
      </c>
    </row>
    <row r="178" spans="1:22" ht="12.75">
      <c r="A178" s="5" t="s">
        <v>1179</v>
      </c>
      <c r="B178" s="5">
        <v>4216030008</v>
      </c>
      <c r="C178" s="5" t="s">
        <v>1180</v>
      </c>
      <c r="D178" s="5" t="s">
        <v>1181</v>
      </c>
      <c r="E178" s="11" t="s">
        <v>26</v>
      </c>
      <c r="F178" s="11">
        <v>90230</v>
      </c>
      <c r="G178" s="12">
        <v>4200</v>
      </c>
      <c r="H178" s="12">
        <v>5500</v>
      </c>
      <c r="I178" s="13">
        <v>0.30952380952380953</v>
      </c>
      <c r="J178" s="14">
        <v>45670</v>
      </c>
      <c r="K178" s="5"/>
      <c r="L178" s="5" t="s">
        <v>27</v>
      </c>
      <c r="M178" s="15" t="s">
        <v>1182</v>
      </c>
      <c r="N178" s="5"/>
      <c r="O178" s="5" t="s">
        <v>1183</v>
      </c>
      <c r="P178" s="5"/>
      <c r="Q178" s="5"/>
      <c r="R178" s="5"/>
      <c r="S178" s="5" t="s">
        <v>114</v>
      </c>
      <c r="T178" s="16" t="s">
        <v>1184</v>
      </c>
      <c r="U178" s="5" t="s">
        <v>33</v>
      </c>
      <c r="V178" s="5" t="s">
        <v>30</v>
      </c>
    </row>
    <row r="179" spans="1:22" ht="12.75">
      <c r="A179" s="5" t="s">
        <v>1185</v>
      </c>
      <c r="B179" s="5">
        <v>2480012011</v>
      </c>
      <c r="C179" s="5" t="s">
        <v>1186</v>
      </c>
      <c r="D179" s="5" t="s">
        <v>320</v>
      </c>
      <c r="E179" s="11" t="s">
        <v>26</v>
      </c>
      <c r="F179" s="11">
        <v>91505</v>
      </c>
      <c r="G179" s="12">
        <v>3200</v>
      </c>
      <c r="H179" s="12">
        <v>3600</v>
      </c>
      <c r="I179" s="13">
        <v>0.125</v>
      </c>
      <c r="J179" s="14">
        <v>45666</v>
      </c>
      <c r="K179" s="5"/>
      <c r="L179" s="5" t="s">
        <v>27</v>
      </c>
      <c r="M179" s="15" t="s">
        <v>1187</v>
      </c>
      <c r="N179" s="5"/>
      <c r="O179" s="5" t="s">
        <v>1188</v>
      </c>
      <c r="P179" s="5" t="s">
        <v>1189</v>
      </c>
      <c r="Q179" s="5" t="s">
        <v>1190</v>
      </c>
      <c r="R179" s="5" t="s">
        <v>1189</v>
      </c>
      <c r="S179" s="5" t="s">
        <v>1191</v>
      </c>
      <c r="T179" s="16" t="s">
        <v>1192</v>
      </c>
      <c r="U179" s="5" t="s">
        <v>33</v>
      </c>
      <c r="V179" s="5" t="s">
        <v>30</v>
      </c>
    </row>
    <row r="180" spans="1:22" ht="12.75">
      <c r="A180" s="5" t="s">
        <v>1193</v>
      </c>
      <c r="B180" s="5">
        <v>2381029002</v>
      </c>
      <c r="C180" s="5" t="s">
        <v>916</v>
      </c>
      <c r="D180" s="5" t="s">
        <v>25</v>
      </c>
      <c r="E180" s="11" t="s">
        <v>26</v>
      </c>
      <c r="F180" s="11">
        <v>90046</v>
      </c>
      <c r="G180" s="12">
        <v>15900</v>
      </c>
      <c r="H180" s="12">
        <v>20000</v>
      </c>
      <c r="I180" s="13">
        <v>0.25786163522012578</v>
      </c>
      <c r="J180" s="14">
        <v>45670</v>
      </c>
      <c r="K180" s="5"/>
      <c r="L180" s="5" t="s">
        <v>27</v>
      </c>
      <c r="M180" s="15" t="s">
        <v>1194</v>
      </c>
      <c r="N180" s="5"/>
      <c r="O180" s="5"/>
      <c r="P180" s="5"/>
      <c r="Q180" s="5" t="s">
        <v>918</v>
      </c>
      <c r="R180" s="5" t="s">
        <v>1195</v>
      </c>
      <c r="S180" s="5" t="s">
        <v>1196</v>
      </c>
      <c r="T180" s="16" t="s">
        <v>1197</v>
      </c>
      <c r="U180" s="5" t="s">
        <v>33</v>
      </c>
      <c r="V180" s="5" t="s">
        <v>30</v>
      </c>
    </row>
    <row r="181" spans="1:22" ht="12.75">
      <c r="A181" s="5" t="s">
        <v>1198</v>
      </c>
      <c r="B181" s="5">
        <v>4337014045</v>
      </c>
      <c r="C181" s="5" t="s">
        <v>1199</v>
      </c>
      <c r="D181" s="5" t="s">
        <v>367</v>
      </c>
      <c r="E181" s="11" t="s">
        <v>26</v>
      </c>
      <c r="F181" s="11">
        <v>90069</v>
      </c>
      <c r="G181" s="12">
        <v>17000</v>
      </c>
      <c r="H181" s="12">
        <v>18500</v>
      </c>
      <c r="I181" s="13">
        <v>8.8235294117647065E-2</v>
      </c>
      <c r="J181" s="14">
        <v>45668</v>
      </c>
      <c r="K181" s="5"/>
      <c r="L181" s="5" t="s">
        <v>27</v>
      </c>
      <c r="M181" s="15" t="s">
        <v>1200</v>
      </c>
      <c r="N181" s="5"/>
      <c r="O181" s="5" t="s">
        <v>1201</v>
      </c>
      <c r="P181" s="5" t="s">
        <v>1202</v>
      </c>
      <c r="Q181" s="5"/>
      <c r="R181" s="5"/>
      <c r="S181" s="5" t="s">
        <v>114</v>
      </c>
      <c r="T181" s="16" t="s">
        <v>1203</v>
      </c>
      <c r="U181" s="5" t="s">
        <v>33</v>
      </c>
      <c r="V181" s="5" t="s">
        <v>30</v>
      </c>
    </row>
    <row r="182" spans="1:22" ht="12.75">
      <c r="A182" s="5" t="s">
        <v>1204</v>
      </c>
      <c r="B182" s="5">
        <v>5711012026</v>
      </c>
      <c r="C182" s="5" t="s">
        <v>1205</v>
      </c>
      <c r="D182" s="5" t="s">
        <v>559</v>
      </c>
      <c r="E182" s="11" t="s">
        <v>26</v>
      </c>
      <c r="F182" s="11">
        <v>91103</v>
      </c>
      <c r="G182" s="12">
        <v>3750</v>
      </c>
      <c r="H182" s="12">
        <v>4200</v>
      </c>
      <c r="I182" s="13">
        <v>0.12</v>
      </c>
      <c r="J182" s="14">
        <v>45669</v>
      </c>
      <c r="K182" s="5"/>
      <c r="L182" s="5" t="s">
        <v>27</v>
      </c>
      <c r="M182" s="15" t="s">
        <v>1206</v>
      </c>
      <c r="N182" s="5"/>
      <c r="O182" s="5" t="s">
        <v>1207</v>
      </c>
      <c r="P182" s="5" t="s">
        <v>1208</v>
      </c>
      <c r="Q182" s="5"/>
      <c r="R182" s="5"/>
      <c r="S182" s="5" t="s">
        <v>1209</v>
      </c>
      <c r="T182" s="5" t="s">
        <v>1210</v>
      </c>
      <c r="U182" s="5" t="s">
        <v>33</v>
      </c>
      <c r="V182" s="5" t="s">
        <v>30</v>
      </c>
    </row>
    <row r="183" spans="1:22" ht="12.75">
      <c r="A183" s="5" t="s">
        <v>1211</v>
      </c>
      <c r="B183" s="5">
        <v>5559009004</v>
      </c>
      <c r="C183" s="5" t="s">
        <v>1212</v>
      </c>
      <c r="D183" s="5" t="s">
        <v>25</v>
      </c>
      <c r="E183" s="11" t="s">
        <v>26</v>
      </c>
      <c r="F183" s="11">
        <v>90069</v>
      </c>
      <c r="G183" s="12">
        <v>17400</v>
      </c>
      <c r="H183" s="12">
        <v>18500</v>
      </c>
      <c r="I183" s="13">
        <v>6.3218390804597707E-2</v>
      </c>
      <c r="J183" s="14">
        <v>45668</v>
      </c>
      <c r="K183" s="5"/>
      <c r="L183" s="5" t="s">
        <v>27</v>
      </c>
      <c r="M183" s="15" t="s">
        <v>1213</v>
      </c>
      <c r="N183" s="5"/>
      <c r="O183" s="5" t="s">
        <v>1214</v>
      </c>
      <c r="P183" s="5" t="s">
        <v>1215</v>
      </c>
      <c r="Q183" s="5"/>
      <c r="R183" s="5"/>
      <c r="S183" s="5" t="s">
        <v>1072</v>
      </c>
      <c r="T183" s="16" t="s">
        <v>1216</v>
      </c>
      <c r="U183" s="5" t="s">
        <v>33</v>
      </c>
      <c r="V183" s="5" t="s">
        <v>30</v>
      </c>
    </row>
    <row r="184" spans="1:22" ht="12.75">
      <c r="A184" s="5" t="s">
        <v>1217</v>
      </c>
      <c r="B184" s="5">
        <v>5558014002</v>
      </c>
      <c r="C184" s="5" t="s">
        <v>1218</v>
      </c>
      <c r="D184" s="5" t="s">
        <v>25</v>
      </c>
      <c r="E184" s="11" t="s">
        <v>26</v>
      </c>
      <c r="F184" s="11">
        <v>90069</v>
      </c>
      <c r="G184" s="12">
        <v>35000</v>
      </c>
      <c r="H184" s="12">
        <v>50000</v>
      </c>
      <c r="I184" s="13">
        <v>0.42857142857142855</v>
      </c>
      <c r="J184" s="14">
        <v>45667</v>
      </c>
      <c r="K184" s="5"/>
      <c r="L184" s="5" t="s">
        <v>27</v>
      </c>
      <c r="M184" s="15" t="s">
        <v>1219</v>
      </c>
      <c r="N184" s="5"/>
      <c r="O184" s="5" t="s">
        <v>1220</v>
      </c>
      <c r="P184" s="5" t="s">
        <v>1221</v>
      </c>
      <c r="Q184" s="5"/>
      <c r="R184" s="5"/>
      <c r="S184" s="5" t="s">
        <v>114</v>
      </c>
      <c r="T184" s="16" t="s">
        <v>1222</v>
      </c>
      <c r="U184" s="5" t="s">
        <v>33</v>
      </c>
      <c r="V184" s="5" t="s">
        <v>30</v>
      </c>
    </row>
    <row r="185" spans="1:22" ht="12.75">
      <c r="A185" s="5" t="s">
        <v>1223</v>
      </c>
      <c r="B185" s="5">
        <v>4345034007</v>
      </c>
      <c r="C185" s="5" t="s">
        <v>1224</v>
      </c>
      <c r="D185" s="5" t="s">
        <v>408</v>
      </c>
      <c r="E185" s="11" t="s">
        <v>26</v>
      </c>
      <c r="F185" s="11">
        <v>90210</v>
      </c>
      <c r="G185" s="12">
        <v>29000</v>
      </c>
      <c r="H185" s="12">
        <v>67500</v>
      </c>
      <c r="I185" s="13">
        <v>1.3275862068965518</v>
      </c>
      <c r="J185" s="14">
        <v>45669</v>
      </c>
      <c r="K185" s="5"/>
      <c r="L185" s="5" t="s">
        <v>27</v>
      </c>
      <c r="M185" s="15" t="s">
        <v>1225</v>
      </c>
      <c r="N185" s="5"/>
      <c r="O185" s="5" t="s">
        <v>1226</v>
      </c>
      <c r="P185" s="5" t="s">
        <v>1227</v>
      </c>
      <c r="Q185" s="5"/>
      <c r="R185" s="5"/>
      <c r="S185" s="5" t="s">
        <v>1228</v>
      </c>
      <c r="T185" s="16" t="s">
        <v>1229</v>
      </c>
      <c r="U185" s="5" t="s">
        <v>33</v>
      </c>
      <c r="V185" s="5" t="s">
        <v>30</v>
      </c>
    </row>
    <row r="186" spans="1:22" ht="12.75">
      <c r="A186" s="5" t="s">
        <v>1230</v>
      </c>
      <c r="B186" s="5" t="s">
        <v>365</v>
      </c>
      <c r="C186" s="5" t="s">
        <v>1231</v>
      </c>
      <c r="D186" s="5" t="s">
        <v>367</v>
      </c>
      <c r="E186" s="11" t="s">
        <v>26</v>
      </c>
      <c r="F186" s="11">
        <v>90069</v>
      </c>
      <c r="G186" s="12">
        <v>6240</v>
      </c>
      <c r="H186" s="12">
        <v>7000</v>
      </c>
      <c r="I186" s="13">
        <v>0.12179487179487179</v>
      </c>
      <c r="J186" s="14">
        <v>45669</v>
      </c>
      <c r="K186" s="5"/>
      <c r="L186" s="5" t="s">
        <v>27</v>
      </c>
      <c r="M186" s="15" t="s">
        <v>1232</v>
      </c>
      <c r="N186" s="5"/>
      <c r="O186" s="5" t="s">
        <v>1233</v>
      </c>
      <c r="P186" s="5" t="s">
        <v>1234</v>
      </c>
      <c r="Q186" s="5"/>
      <c r="R186" s="5"/>
      <c r="S186" s="5" t="s">
        <v>1235</v>
      </c>
      <c r="T186" s="5" t="s">
        <v>1236</v>
      </c>
      <c r="U186" s="5" t="s">
        <v>33</v>
      </c>
      <c r="V186" s="5" t="s">
        <v>30</v>
      </c>
    </row>
    <row r="187" spans="1:22" ht="12.75">
      <c r="A187" s="5" t="s">
        <v>1237</v>
      </c>
      <c r="B187" s="5" t="s">
        <v>861</v>
      </c>
      <c r="C187" s="5" t="s">
        <v>1238</v>
      </c>
      <c r="D187" s="5" t="s">
        <v>25</v>
      </c>
      <c r="E187" s="11" t="s">
        <v>26</v>
      </c>
      <c r="F187" s="11">
        <v>90057</v>
      </c>
      <c r="G187" s="12">
        <v>2395</v>
      </c>
      <c r="H187" s="12">
        <v>3295</v>
      </c>
      <c r="I187" s="13">
        <v>0.37578288100208768</v>
      </c>
      <c r="J187" s="14">
        <v>45666</v>
      </c>
      <c r="K187" s="5"/>
      <c r="L187" s="5" t="s">
        <v>27</v>
      </c>
      <c r="M187" s="15" t="s">
        <v>1239</v>
      </c>
      <c r="N187" s="5"/>
      <c r="O187" s="5"/>
      <c r="Q187" s="5"/>
      <c r="R187" s="5"/>
      <c r="S187" s="5" t="s">
        <v>1240</v>
      </c>
      <c r="T187" s="16" t="s">
        <v>1241</v>
      </c>
      <c r="U187" s="5" t="s">
        <v>33</v>
      </c>
      <c r="V187" s="5" t="s">
        <v>30</v>
      </c>
    </row>
    <row r="188" spans="1:22" ht="12.75">
      <c r="A188" s="5" t="s">
        <v>1242</v>
      </c>
      <c r="B188" s="5">
        <v>5852008029</v>
      </c>
      <c r="C188" s="5" t="s">
        <v>1243</v>
      </c>
      <c r="D188" s="5" t="s">
        <v>559</v>
      </c>
      <c r="E188" s="11" t="s">
        <v>26</v>
      </c>
      <c r="F188" s="11">
        <v>91104</v>
      </c>
      <c r="G188" s="12">
        <v>3100</v>
      </c>
      <c r="H188" s="12">
        <v>3500</v>
      </c>
      <c r="I188" s="13">
        <v>0.12903225806451613</v>
      </c>
      <c r="J188" s="14">
        <v>45667</v>
      </c>
      <c r="K188" s="5"/>
      <c r="L188" s="5" t="s">
        <v>27</v>
      </c>
      <c r="M188" s="15" t="s">
        <v>1244</v>
      </c>
      <c r="N188" s="5"/>
      <c r="P188" s="5"/>
      <c r="Q188" s="5" t="s">
        <v>1245</v>
      </c>
      <c r="R188" s="5" t="s">
        <v>1246</v>
      </c>
      <c r="S188" s="5" t="s">
        <v>114</v>
      </c>
      <c r="T188" s="5" t="s">
        <v>1247</v>
      </c>
      <c r="U188" s="5" t="s">
        <v>356</v>
      </c>
    </row>
    <row r="189" spans="1:22" ht="12.75">
      <c r="A189" s="5" t="s">
        <v>1248</v>
      </c>
      <c r="B189" s="5">
        <v>2163017019</v>
      </c>
      <c r="C189" s="5" t="s">
        <v>1249</v>
      </c>
      <c r="D189" s="5" t="s">
        <v>1250</v>
      </c>
      <c r="E189" s="11" t="s">
        <v>26</v>
      </c>
      <c r="F189" s="11">
        <v>91356</v>
      </c>
      <c r="G189" s="12">
        <v>17000</v>
      </c>
      <c r="H189" s="12">
        <v>20000</v>
      </c>
      <c r="I189" s="13">
        <v>0.17647058823529413</v>
      </c>
      <c r="J189" s="14">
        <v>45666</v>
      </c>
      <c r="K189" s="5"/>
      <c r="L189" s="5" t="s">
        <v>27</v>
      </c>
      <c r="M189" s="15" t="s">
        <v>1251</v>
      </c>
      <c r="O189" s="5"/>
      <c r="P189" s="5"/>
      <c r="Q189" s="5" t="s">
        <v>1252</v>
      </c>
      <c r="R189" s="5" t="s">
        <v>1253</v>
      </c>
      <c r="S189" s="5" t="s">
        <v>114</v>
      </c>
      <c r="T189" s="16" t="s">
        <v>1254</v>
      </c>
      <c r="U189" s="5" t="s">
        <v>356</v>
      </c>
    </row>
    <row r="190" spans="1:22" ht="12.75">
      <c r="A190" s="5" t="s">
        <v>1255</v>
      </c>
      <c r="B190" s="5" t="s">
        <v>861</v>
      </c>
      <c r="C190" s="5" t="s">
        <v>1256</v>
      </c>
      <c r="D190" s="5" t="s">
        <v>102</v>
      </c>
      <c r="E190" s="11" t="s">
        <v>26</v>
      </c>
      <c r="F190" s="11">
        <v>90029</v>
      </c>
      <c r="G190" s="12">
        <v>2832</v>
      </c>
      <c r="H190" s="12">
        <v>3245</v>
      </c>
      <c r="I190" s="13">
        <v>0.14583333333333334</v>
      </c>
      <c r="J190" s="14">
        <v>45667</v>
      </c>
      <c r="K190" s="5"/>
      <c r="L190" s="5" t="s">
        <v>27</v>
      </c>
      <c r="M190" s="15" t="s">
        <v>1257</v>
      </c>
      <c r="N190" s="5"/>
      <c r="O190" s="5"/>
      <c r="P190" s="5"/>
      <c r="Q190" s="5"/>
      <c r="R190" s="5"/>
      <c r="S190" s="5" t="s">
        <v>1258</v>
      </c>
      <c r="T190" s="16" t="s">
        <v>1259</v>
      </c>
      <c r="U190" s="5" t="s">
        <v>356</v>
      </c>
    </row>
    <row r="191" spans="1:22" ht="12.75">
      <c r="A191" s="5" t="s">
        <v>1260</v>
      </c>
      <c r="B191" s="5">
        <v>4332009026</v>
      </c>
      <c r="C191" s="5" t="s">
        <v>1261</v>
      </c>
      <c r="D191" s="5" t="s">
        <v>1262</v>
      </c>
      <c r="E191" s="11" t="s">
        <v>26</v>
      </c>
      <c r="F191" s="11">
        <v>90211</v>
      </c>
      <c r="G191" s="12">
        <v>11000</v>
      </c>
      <c r="H191" s="12">
        <v>13000</v>
      </c>
      <c r="I191" s="13">
        <v>0.18181818181818182</v>
      </c>
      <c r="J191" s="14">
        <v>45666</v>
      </c>
      <c r="K191" s="5"/>
      <c r="L191" s="5" t="s">
        <v>27</v>
      </c>
      <c r="M191" s="15" t="s">
        <v>1263</v>
      </c>
      <c r="N191" s="5"/>
      <c r="O191" s="5" t="s">
        <v>1264</v>
      </c>
      <c r="P191" s="5">
        <v>2136687520</v>
      </c>
      <c r="Q191" s="5"/>
      <c r="R191" s="5"/>
      <c r="S191" s="5" t="s">
        <v>114</v>
      </c>
      <c r="T191" s="5" t="s">
        <v>1265</v>
      </c>
      <c r="U191" s="5" t="s">
        <v>356</v>
      </c>
    </row>
    <row r="192" spans="1:22" ht="12.75">
      <c r="A192" s="5" t="s">
        <v>1266</v>
      </c>
      <c r="B192" s="5">
        <v>4358014024</v>
      </c>
      <c r="C192" s="5" t="s">
        <v>1267</v>
      </c>
      <c r="D192" s="5" t="s">
        <v>1262</v>
      </c>
      <c r="E192" s="11" t="s">
        <v>26</v>
      </c>
      <c r="F192" s="11">
        <v>90210</v>
      </c>
      <c r="G192" s="12">
        <v>13950</v>
      </c>
      <c r="H192" s="12">
        <v>18000</v>
      </c>
      <c r="I192" s="13">
        <v>0.29032258064516131</v>
      </c>
      <c r="J192" s="14">
        <v>45670</v>
      </c>
      <c r="K192" s="5"/>
      <c r="L192" s="5" t="s">
        <v>27</v>
      </c>
      <c r="M192" s="15" t="s">
        <v>1268</v>
      </c>
      <c r="N192" s="5"/>
      <c r="O192" s="5" t="s">
        <v>1269</v>
      </c>
      <c r="P192" s="5"/>
      <c r="Q192" s="5" t="s">
        <v>1270</v>
      </c>
      <c r="R192" s="5"/>
      <c r="S192" s="5" t="s">
        <v>114</v>
      </c>
      <c r="T192" s="5" t="s">
        <v>1271</v>
      </c>
      <c r="U192" s="5" t="s">
        <v>356</v>
      </c>
    </row>
    <row r="193" spans="1:22" ht="12.75">
      <c r="A193" s="5" t="s">
        <v>1272</v>
      </c>
      <c r="B193" s="5">
        <v>4358014024</v>
      </c>
      <c r="C193" s="5" t="s">
        <v>1273</v>
      </c>
      <c r="D193" s="5" t="s">
        <v>408</v>
      </c>
      <c r="E193" s="11" t="s">
        <v>26</v>
      </c>
      <c r="F193" s="11">
        <v>90210</v>
      </c>
      <c r="G193" s="12">
        <v>13950</v>
      </c>
      <c r="H193" s="12">
        <v>18000</v>
      </c>
      <c r="I193" s="13">
        <v>0.29032258064516131</v>
      </c>
      <c r="J193" s="14">
        <v>45670</v>
      </c>
      <c r="K193" s="5"/>
      <c r="L193" s="5" t="s">
        <v>27</v>
      </c>
      <c r="M193" s="15" t="s">
        <v>1274</v>
      </c>
      <c r="N193" s="5"/>
      <c r="O193" s="5" t="s">
        <v>1270</v>
      </c>
      <c r="P193" s="5"/>
      <c r="Q193" s="5"/>
      <c r="R193" s="5"/>
      <c r="S193" s="5" t="s">
        <v>1275</v>
      </c>
      <c r="T193" s="16" t="s">
        <v>1276</v>
      </c>
      <c r="U193" s="5" t="s">
        <v>356</v>
      </c>
    </row>
    <row r="194" spans="1:22" ht="12.75">
      <c r="A194" s="5" t="s">
        <v>1277</v>
      </c>
      <c r="B194" s="5">
        <v>2423040017</v>
      </c>
      <c r="C194" s="5" t="s">
        <v>1278</v>
      </c>
      <c r="D194" s="5" t="s">
        <v>1279</v>
      </c>
      <c r="E194" s="11" t="s">
        <v>26</v>
      </c>
      <c r="F194" s="11">
        <v>91602</v>
      </c>
      <c r="G194" s="12">
        <v>3980</v>
      </c>
      <c r="H194" s="12">
        <v>4800</v>
      </c>
      <c r="I194" s="13">
        <v>0.20603015075376885</v>
      </c>
      <c r="J194" s="14">
        <v>45667</v>
      </c>
      <c r="K194" s="5"/>
      <c r="L194" s="5" t="s">
        <v>27</v>
      </c>
      <c r="M194" s="15" t="s">
        <v>1280</v>
      </c>
      <c r="N194" s="5"/>
      <c r="O194" s="5" t="s">
        <v>1281</v>
      </c>
      <c r="P194" s="5" t="s">
        <v>1282</v>
      </c>
      <c r="Q194" s="5"/>
      <c r="R194" s="5"/>
      <c r="S194" s="5" t="s">
        <v>1283</v>
      </c>
      <c r="T194" s="5" t="s">
        <v>1284</v>
      </c>
      <c r="U194" s="5" t="s">
        <v>356</v>
      </c>
    </row>
    <row r="195" spans="1:22" ht="12.75">
      <c r="A195" s="5" t="s">
        <v>1285</v>
      </c>
      <c r="B195" s="5">
        <v>2279026021</v>
      </c>
      <c r="C195" s="5" t="s">
        <v>1286</v>
      </c>
      <c r="D195" s="5" t="s">
        <v>25</v>
      </c>
      <c r="E195" s="11" t="s">
        <v>26</v>
      </c>
      <c r="F195" s="11">
        <v>90077</v>
      </c>
      <c r="G195" s="12">
        <v>58500</v>
      </c>
      <c r="H195" s="12">
        <v>70000</v>
      </c>
      <c r="I195" s="13">
        <v>0.19658119658119658</v>
      </c>
      <c r="J195" s="14">
        <v>45668</v>
      </c>
      <c r="K195" s="5"/>
      <c r="L195" s="5" t="s">
        <v>27</v>
      </c>
      <c r="M195" s="15" t="s">
        <v>1287</v>
      </c>
      <c r="N195" s="5"/>
      <c r="O195" s="5" t="s">
        <v>1288</v>
      </c>
      <c r="P195" s="5" t="s">
        <v>1289</v>
      </c>
      <c r="Q195" s="5"/>
      <c r="R195" s="5"/>
      <c r="S195" s="5" t="s">
        <v>1072</v>
      </c>
      <c r="T195" s="16" t="s">
        <v>1290</v>
      </c>
      <c r="U195" s="5" t="s">
        <v>356</v>
      </c>
    </row>
    <row r="196" spans="1:22" ht="12.75">
      <c r="A196" s="5" t="s">
        <v>1291</v>
      </c>
      <c r="B196" s="5">
        <v>4210018031</v>
      </c>
      <c r="C196" s="5" t="s">
        <v>1292</v>
      </c>
      <c r="D196" s="5" t="s">
        <v>1181</v>
      </c>
      <c r="E196" s="11" t="s">
        <v>26</v>
      </c>
      <c r="F196" s="11">
        <v>90230</v>
      </c>
      <c r="G196" s="12">
        <v>4200</v>
      </c>
      <c r="H196" s="12">
        <v>5000</v>
      </c>
      <c r="I196" s="13">
        <v>0.19047619047619047</v>
      </c>
      <c r="J196" s="14">
        <v>45666</v>
      </c>
      <c r="K196" s="5"/>
      <c r="L196" s="5" t="s">
        <v>27</v>
      </c>
      <c r="M196" s="15" t="s">
        <v>1293</v>
      </c>
      <c r="N196" s="5"/>
      <c r="O196" s="5" t="s">
        <v>1294</v>
      </c>
      <c r="P196" s="5" t="s">
        <v>1295</v>
      </c>
      <c r="Q196" s="5"/>
      <c r="R196" s="5"/>
      <c r="S196" s="5" t="s">
        <v>114</v>
      </c>
      <c r="T196" s="16" t="s">
        <v>1296</v>
      </c>
      <c r="U196" s="5" t="s">
        <v>356</v>
      </c>
    </row>
    <row r="197" spans="1:22" ht="12.75">
      <c r="A197" s="5" t="s">
        <v>1297</v>
      </c>
      <c r="B197" s="5" t="s">
        <v>365</v>
      </c>
      <c r="C197" s="5" t="s">
        <v>1298</v>
      </c>
      <c r="D197" s="5" t="s">
        <v>25</v>
      </c>
      <c r="E197" s="11" t="s">
        <v>26</v>
      </c>
      <c r="F197" s="11">
        <v>90045</v>
      </c>
      <c r="G197" s="12">
        <v>25000</v>
      </c>
      <c r="H197" s="12">
        <v>33333</v>
      </c>
      <c r="I197" s="13">
        <v>0.33332000000000001</v>
      </c>
      <c r="J197" s="14">
        <v>45665</v>
      </c>
      <c r="K197" s="5"/>
      <c r="L197" s="5" t="s">
        <v>27</v>
      </c>
      <c r="M197" s="15" t="s">
        <v>1299</v>
      </c>
      <c r="N197" s="5"/>
      <c r="O197" s="5" t="s">
        <v>1300</v>
      </c>
      <c r="P197" s="5" t="s">
        <v>1301</v>
      </c>
      <c r="Q197" s="5"/>
      <c r="R197" s="5"/>
      <c r="S197" s="5" t="s">
        <v>114</v>
      </c>
      <c r="T197" s="16" t="s">
        <v>1302</v>
      </c>
      <c r="U197" s="5" t="s">
        <v>356</v>
      </c>
    </row>
    <row r="198" spans="1:22" ht="12.75">
      <c r="A198" s="5" t="s">
        <v>1303</v>
      </c>
      <c r="B198" s="5" t="s">
        <v>1304</v>
      </c>
      <c r="C198" s="5" t="s">
        <v>1305</v>
      </c>
      <c r="D198" s="5" t="s">
        <v>25</v>
      </c>
      <c r="E198" s="11" t="s">
        <v>26</v>
      </c>
      <c r="F198" s="11">
        <v>90049</v>
      </c>
      <c r="G198" s="12">
        <v>9500</v>
      </c>
      <c r="H198" s="12">
        <v>12500</v>
      </c>
      <c r="I198" s="13">
        <v>0.31578947368421051</v>
      </c>
      <c r="J198" s="14">
        <v>45669</v>
      </c>
      <c r="K198" s="5"/>
      <c r="L198" s="5" t="s">
        <v>27</v>
      </c>
      <c r="M198" s="15" t="s">
        <v>1306</v>
      </c>
      <c r="N198" s="5"/>
      <c r="O198" s="5"/>
      <c r="P198" s="5"/>
      <c r="Q198" s="5" t="s">
        <v>1307</v>
      </c>
      <c r="R198" s="5" t="s">
        <v>1308</v>
      </c>
      <c r="S198" s="5" t="s">
        <v>1309</v>
      </c>
      <c r="T198" s="5" t="s">
        <v>1310</v>
      </c>
      <c r="U198" s="5" t="s">
        <v>356</v>
      </c>
    </row>
    <row r="199" spans="1:22" ht="12.75">
      <c r="A199" s="5" t="s">
        <v>1311</v>
      </c>
      <c r="B199" s="5">
        <v>4249023015</v>
      </c>
      <c r="C199" s="5" t="s">
        <v>1312</v>
      </c>
      <c r="D199" s="5" t="s">
        <v>25</v>
      </c>
      <c r="E199" s="11" t="s">
        <v>26</v>
      </c>
      <c r="F199" s="11">
        <v>90066</v>
      </c>
      <c r="G199" s="12">
        <v>8000</v>
      </c>
      <c r="H199" s="12">
        <v>24000</v>
      </c>
      <c r="I199" s="13">
        <v>2</v>
      </c>
      <c r="J199" s="14">
        <v>44954</v>
      </c>
      <c r="K199" s="5"/>
      <c r="L199" s="5" t="s">
        <v>27</v>
      </c>
      <c r="M199" s="15" t="s">
        <v>1313</v>
      </c>
      <c r="N199" s="5"/>
      <c r="O199" s="5" t="s">
        <v>1314</v>
      </c>
      <c r="P199" s="5" t="s">
        <v>1315</v>
      </c>
      <c r="Q199" s="5"/>
      <c r="R199" s="5"/>
      <c r="S199" s="5" t="s">
        <v>114</v>
      </c>
      <c r="T199" s="16" t="s">
        <v>1316</v>
      </c>
      <c r="U199" s="5" t="s">
        <v>356</v>
      </c>
    </row>
    <row r="200" spans="1:22" ht="12.75">
      <c r="A200" s="5" t="s">
        <v>1317</v>
      </c>
      <c r="B200" s="5">
        <v>4216022014</v>
      </c>
      <c r="C200" s="5" t="s">
        <v>1318</v>
      </c>
      <c r="D200" s="5" t="s">
        <v>1181</v>
      </c>
      <c r="E200" s="11" t="s">
        <v>26</v>
      </c>
      <c r="F200" s="11">
        <v>90230</v>
      </c>
      <c r="G200" s="12">
        <v>8950</v>
      </c>
      <c r="H200" s="12">
        <v>9970</v>
      </c>
      <c r="I200" s="13">
        <v>0.11396648044692738</v>
      </c>
      <c r="J200" s="14" t="s">
        <v>928</v>
      </c>
      <c r="K200" s="5"/>
      <c r="L200" s="5" t="s">
        <v>27</v>
      </c>
      <c r="M200" s="15" t="s">
        <v>1319</v>
      </c>
      <c r="N200" s="5"/>
      <c r="O200" s="5" t="s">
        <v>1320</v>
      </c>
      <c r="P200" s="5" t="s">
        <v>1321</v>
      </c>
      <c r="Q200" s="5"/>
      <c r="R200" s="5"/>
      <c r="S200" s="5" t="s">
        <v>114</v>
      </c>
      <c r="T200" s="5" t="s">
        <v>1322</v>
      </c>
      <c r="U200" s="5" t="s">
        <v>356</v>
      </c>
    </row>
    <row r="201" spans="1:22" ht="12.75">
      <c r="A201" s="5" t="s">
        <v>1323</v>
      </c>
      <c r="B201" s="5">
        <v>5563001012</v>
      </c>
      <c r="C201" s="5" t="s">
        <v>1324</v>
      </c>
      <c r="D201" s="5" t="s">
        <v>1325</v>
      </c>
      <c r="E201" s="11" t="s">
        <v>26</v>
      </c>
      <c r="F201" s="11">
        <v>91602</v>
      </c>
      <c r="G201" s="12">
        <v>10950</v>
      </c>
      <c r="H201" s="12">
        <v>12950</v>
      </c>
      <c r="I201" s="13">
        <v>0.18264840182648401</v>
      </c>
      <c r="J201" s="14">
        <v>45668</v>
      </c>
      <c r="K201" s="5"/>
      <c r="L201" s="5" t="s">
        <v>27</v>
      </c>
      <c r="M201" s="15" t="s">
        <v>1326</v>
      </c>
      <c r="N201" s="5"/>
      <c r="O201" s="5" t="s">
        <v>1327</v>
      </c>
      <c r="P201" s="5" t="s">
        <v>1328</v>
      </c>
      <c r="Q201" s="5"/>
      <c r="R201" s="5"/>
      <c r="S201" s="5" t="s">
        <v>1329</v>
      </c>
      <c r="T201" s="16" t="s">
        <v>1330</v>
      </c>
      <c r="U201" s="5" t="s">
        <v>356</v>
      </c>
    </row>
    <row r="202" spans="1:22" ht="12.75">
      <c r="A202" s="5" t="s">
        <v>1331</v>
      </c>
      <c r="B202" s="5" t="s">
        <v>1332</v>
      </c>
      <c r="C202" s="5" t="s">
        <v>1101</v>
      </c>
      <c r="D202" s="5" t="s">
        <v>266</v>
      </c>
      <c r="E202" s="11" t="s">
        <v>26</v>
      </c>
      <c r="F202" s="11">
        <v>90064</v>
      </c>
      <c r="G202" s="12">
        <v>8000</v>
      </c>
      <c r="H202" s="12">
        <v>8900</v>
      </c>
      <c r="I202" s="13">
        <v>0.1125</v>
      </c>
      <c r="J202" s="14">
        <v>45666</v>
      </c>
      <c r="K202" s="5"/>
      <c r="L202" s="5" t="s">
        <v>27</v>
      </c>
      <c r="M202" s="15" t="s">
        <v>1333</v>
      </c>
      <c r="N202" s="5"/>
      <c r="O202" s="5"/>
      <c r="P202" s="5"/>
      <c r="Q202" s="5" t="s">
        <v>1103</v>
      </c>
      <c r="R202" s="5">
        <v>8186322411</v>
      </c>
      <c r="S202" s="5" t="s">
        <v>1334</v>
      </c>
      <c r="T202" s="5" t="s">
        <v>1335</v>
      </c>
      <c r="U202" s="5" t="s">
        <v>356</v>
      </c>
    </row>
    <row r="203" spans="1:22" ht="12.75">
      <c r="A203" s="5" t="s">
        <v>1336</v>
      </c>
      <c r="B203" s="5">
        <v>4244010003</v>
      </c>
      <c r="C203" s="5" t="s">
        <v>1337</v>
      </c>
      <c r="D203" s="5" t="s">
        <v>25</v>
      </c>
      <c r="E203" s="11" t="s">
        <v>26</v>
      </c>
      <c r="F203" s="11">
        <v>90066</v>
      </c>
      <c r="G203" s="12">
        <v>16750</v>
      </c>
      <c r="H203" s="12">
        <v>28000</v>
      </c>
      <c r="I203" s="13">
        <v>0.67164179104477617</v>
      </c>
      <c r="J203" s="14">
        <v>45668</v>
      </c>
      <c r="K203" s="5"/>
      <c r="L203" s="5" t="s">
        <v>648</v>
      </c>
      <c r="M203" s="15" t="s">
        <v>1338</v>
      </c>
      <c r="N203" s="5"/>
      <c r="O203" s="5" t="s">
        <v>1339</v>
      </c>
      <c r="P203" s="5" t="s">
        <v>1340</v>
      </c>
      <c r="Q203" s="5" t="s">
        <v>30</v>
      </c>
      <c r="R203" s="5" t="s">
        <v>30</v>
      </c>
      <c r="S203" s="5" t="s">
        <v>1341</v>
      </c>
      <c r="T203" s="16" t="s">
        <v>1342</v>
      </c>
      <c r="U203" s="5" t="s">
        <v>356</v>
      </c>
    </row>
    <row r="204" spans="1:22" ht="12.75">
      <c r="A204" s="5" t="s">
        <v>1343</v>
      </c>
      <c r="B204" s="5">
        <v>5215016011</v>
      </c>
      <c r="C204" s="5" t="s">
        <v>1344</v>
      </c>
      <c r="D204" s="5" t="s">
        <v>25</v>
      </c>
      <c r="E204" s="11" t="s">
        <v>26</v>
      </c>
      <c r="F204" s="11">
        <v>90032</v>
      </c>
      <c r="G204" s="12">
        <v>3395</v>
      </c>
      <c r="H204" s="12">
        <v>3800</v>
      </c>
      <c r="I204" s="13">
        <v>0.11929307805596466</v>
      </c>
      <c r="J204" s="14" t="s">
        <v>1345</v>
      </c>
      <c r="K204" s="5"/>
      <c r="L204" s="5" t="s">
        <v>27</v>
      </c>
      <c r="M204" s="15" t="s">
        <v>1346</v>
      </c>
      <c r="N204" s="5"/>
      <c r="O204" s="5" t="s">
        <v>1347</v>
      </c>
      <c r="P204" s="5" t="s">
        <v>1348</v>
      </c>
      <c r="Q204" s="5"/>
      <c r="R204" s="5"/>
      <c r="S204" s="5" t="s">
        <v>114</v>
      </c>
      <c r="T204" s="5" t="s">
        <v>1349</v>
      </c>
      <c r="U204" s="5" t="s">
        <v>356</v>
      </c>
    </row>
    <row r="205" spans="1:22" ht="12.75">
      <c r="A205" s="5" t="s">
        <v>1350</v>
      </c>
      <c r="B205" s="5" t="s">
        <v>365</v>
      </c>
      <c r="C205" s="5" t="s">
        <v>1351</v>
      </c>
      <c r="D205" s="5" t="s">
        <v>380</v>
      </c>
      <c r="E205" s="11" t="s">
        <v>26</v>
      </c>
      <c r="F205" s="11">
        <v>90291</v>
      </c>
      <c r="G205" s="12">
        <v>3910</v>
      </c>
      <c r="H205" s="12">
        <v>4390</v>
      </c>
      <c r="I205" s="13">
        <v>0.12276214833759591</v>
      </c>
      <c r="J205" s="14">
        <v>45667</v>
      </c>
      <c r="K205" s="5"/>
      <c r="L205" s="5" t="s">
        <v>27</v>
      </c>
      <c r="M205" s="15" t="s">
        <v>1352</v>
      </c>
      <c r="N205" s="5"/>
      <c r="O205" s="5" t="s">
        <v>1353</v>
      </c>
      <c r="P205" s="5" t="s">
        <v>1354</v>
      </c>
      <c r="Q205" s="5"/>
      <c r="R205" s="5"/>
      <c r="S205" s="5" t="s">
        <v>114</v>
      </c>
      <c r="T205" s="5" t="s">
        <v>1355</v>
      </c>
      <c r="U205" s="5" t="s">
        <v>356</v>
      </c>
    </row>
    <row r="206" spans="1:22" ht="12.75">
      <c r="A206" s="5" t="s">
        <v>1356</v>
      </c>
      <c r="B206" s="5">
        <v>4392017016</v>
      </c>
      <c r="C206" s="5" t="s">
        <v>1357</v>
      </c>
      <c r="D206" s="5" t="s">
        <v>102</v>
      </c>
      <c r="E206" s="11" t="s">
        <v>26</v>
      </c>
      <c r="F206" s="11">
        <v>90069</v>
      </c>
      <c r="G206" s="12">
        <v>10000</v>
      </c>
      <c r="H206" s="12">
        <v>14000</v>
      </c>
      <c r="I206" s="13">
        <v>0.4</v>
      </c>
      <c r="J206" s="14">
        <v>45670</v>
      </c>
      <c r="K206" s="5"/>
      <c r="L206" s="5" t="s">
        <v>27</v>
      </c>
      <c r="M206" s="15" t="s">
        <v>1358</v>
      </c>
      <c r="N206" s="5"/>
      <c r="O206" s="5" t="s">
        <v>1359</v>
      </c>
      <c r="P206" s="5" t="s">
        <v>1360</v>
      </c>
      <c r="Q206" s="5"/>
      <c r="R206" s="5"/>
      <c r="S206" s="5" t="s">
        <v>1361</v>
      </c>
      <c r="T206" s="16" t="s">
        <v>1362</v>
      </c>
      <c r="U206" s="5" t="s">
        <v>356</v>
      </c>
    </row>
    <row r="207" spans="1:22" ht="12.75">
      <c r="A207" s="5" t="s">
        <v>1363</v>
      </c>
      <c r="B207" s="5">
        <v>4352006014</v>
      </c>
      <c r="C207" s="5" t="s">
        <v>1364</v>
      </c>
      <c r="D207" s="5" t="s">
        <v>408</v>
      </c>
      <c r="E207" s="11" t="s">
        <v>26</v>
      </c>
      <c r="F207" s="11">
        <v>90210</v>
      </c>
      <c r="G207" s="12">
        <v>1</v>
      </c>
      <c r="H207" s="12">
        <v>65000</v>
      </c>
      <c r="I207" s="13">
        <v>64999</v>
      </c>
      <c r="J207" s="14">
        <v>45667</v>
      </c>
      <c r="K207" s="5"/>
      <c r="L207" s="5" t="s">
        <v>27</v>
      </c>
      <c r="M207" s="15" t="s">
        <v>1365</v>
      </c>
      <c r="N207" s="5"/>
      <c r="O207" s="5" t="s">
        <v>1366</v>
      </c>
      <c r="P207" s="5" t="s">
        <v>1367</v>
      </c>
      <c r="Q207" s="5"/>
      <c r="R207" s="5"/>
      <c r="S207" s="5" t="s">
        <v>114</v>
      </c>
      <c r="T207" s="16" t="s">
        <v>1368</v>
      </c>
      <c r="U207" s="5" t="s">
        <v>356</v>
      </c>
    </row>
    <row r="208" spans="1:22" ht="12.75">
      <c r="A208" s="5" t="s">
        <v>1369</v>
      </c>
      <c r="B208" s="5" t="s">
        <v>365</v>
      </c>
      <c r="C208" s="5" t="s">
        <v>811</v>
      </c>
      <c r="D208" s="5" t="s">
        <v>25</v>
      </c>
      <c r="E208" s="11" t="s">
        <v>26</v>
      </c>
      <c r="F208" s="11">
        <v>90066</v>
      </c>
      <c r="G208" s="12">
        <v>2945</v>
      </c>
      <c r="H208" s="12">
        <v>3680</v>
      </c>
      <c r="I208" s="13">
        <v>0.24957555178268251</v>
      </c>
      <c r="J208" s="14">
        <v>45669</v>
      </c>
      <c r="K208" s="5"/>
      <c r="L208" s="5" t="s">
        <v>27</v>
      </c>
      <c r="M208" s="15" t="s">
        <v>1370</v>
      </c>
      <c r="N208" s="5"/>
      <c r="O208" s="5" t="s">
        <v>813</v>
      </c>
      <c r="P208" s="5" t="s">
        <v>814</v>
      </c>
      <c r="Q208" s="5"/>
      <c r="R208" s="5"/>
      <c r="S208" s="5" t="s">
        <v>114</v>
      </c>
      <c r="T208" s="16" t="s">
        <v>1371</v>
      </c>
      <c r="U208" s="5" t="s">
        <v>33</v>
      </c>
      <c r="V208" s="5" t="s">
        <v>1372</v>
      </c>
    </row>
    <row r="209" spans="1:22" ht="12.75">
      <c r="A209" s="5" t="s">
        <v>1373</v>
      </c>
      <c r="B209" s="5">
        <v>5549013020</v>
      </c>
      <c r="C209" s="5" t="s">
        <v>1374</v>
      </c>
      <c r="D209" s="5" t="s">
        <v>25</v>
      </c>
      <c r="E209" s="11" t="s">
        <v>26</v>
      </c>
      <c r="F209" s="11">
        <v>90068</v>
      </c>
      <c r="G209" s="12">
        <v>29900</v>
      </c>
      <c r="H209" s="12">
        <v>34999</v>
      </c>
      <c r="I209" s="13">
        <v>0.1705351170568562</v>
      </c>
      <c r="J209" s="14">
        <v>45668</v>
      </c>
      <c r="K209" s="5"/>
      <c r="L209" s="5" t="s">
        <v>27</v>
      </c>
      <c r="M209" s="15" t="s">
        <v>1375</v>
      </c>
      <c r="O209" s="5"/>
      <c r="P209" s="5"/>
      <c r="Q209" s="5" t="s">
        <v>220</v>
      </c>
      <c r="R209" s="5" t="s">
        <v>1376</v>
      </c>
      <c r="S209" s="5" t="s">
        <v>114</v>
      </c>
      <c r="T209" s="16" t="s">
        <v>1377</v>
      </c>
      <c r="U209" s="5" t="s">
        <v>33</v>
      </c>
      <c r="V209" s="5" t="s">
        <v>1372</v>
      </c>
    </row>
    <row r="210" spans="1:22" ht="12.75">
      <c r="A210" s="5" t="s">
        <v>1378</v>
      </c>
      <c r="B210" s="5" t="s">
        <v>365</v>
      </c>
      <c r="C210" s="5" t="s">
        <v>1379</v>
      </c>
      <c r="D210" s="5" t="s">
        <v>25</v>
      </c>
      <c r="E210" s="11" t="s">
        <v>26</v>
      </c>
      <c r="F210" s="11">
        <v>90066</v>
      </c>
      <c r="G210" s="12">
        <v>3999</v>
      </c>
      <c r="H210" s="12">
        <v>4500</v>
      </c>
      <c r="I210" s="13">
        <v>0.12528132033008252</v>
      </c>
      <c r="J210" s="14">
        <v>45664</v>
      </c>
      <c r="K210" s="5"/>
      <c r="L210" s="5" t="s">
        <v>27</v>
      </c>
      <c r="M210" s="15" t="s">
        <v>1380</v>
      </c>
      <c r="O210" s="5"/>
      <c r="P210" s="5"/>
      <c r="Q210" s="5" t="s">
        <v>300</v>
      </c>
      <c r="R210" s="5" t="s">
        <v>1381</v>
      </c>
      <c r="S210" s="5" t="s">
        <v>114</v>
      </c>
      <c r="T210" s="5" t="s">
        <v>1382</v>
      </c>
      <c r="U210" s="5" t="s">
        <v>33</v>
      </c>
      <c r="V210" s="5" t="s">
        <v>1372</v>
      </c>
    </row>
    <row r="211" spans="1:22" ht="12.75">
      <c r="A211" s="5" t="s">
        <v>1383</v>
      </c>
      <c r="B211" s="5">
        <v>4233014037</v>
      </c>
      <c r="C211" s="5" t="s">
        <v>1384</v>
      </c>
      <c r="D211" s="5" t="s">
        <v>25</v>
      </c>
      <c r="E211" s="11" t="s">
        <v>26</v>
      </c>
      <c r="F211" s="11">
        <v>90066</v>
      </c>
      <c r="G211" s="12">
        <v>8955</v>
      </c>
      <c r="H211" s="12">
        <v>9000</v>
      </c>
      <c r="I211" s="13">
        <v>5.0251256281407036E-3</v>
      </c>
      <c r="J211" s="14">
        <v>45669</v>
      </c>
      <c r="K211" s="5"/>
      <c r="L211" s="5" t="s">
        <v>27</v>
      </c>
      <c r="M211" s="15" t="s">
        <v>1385</v>
      </c>
      <c r="N211" s="5"/>
      <c r="O211" s="5" t="s">
        <v>1386</v>
      </c>
      <c r="P211" s="5" t="s">
        <v>1387</v>
      </c>
      <c r="Q211" s="5"/>
      <c r="R211" s="5"/>
      <c r="S211" s="5" t="s">
        <v>1388</v>
      </c>
      <c r="T211" s="16" t="s">
        <v>1389</v>
      </c>
      <c r="U211" s="5" t="s">
        <v>204</v>
      </c>
    </row>
    <row r="212" spans="1:22" ht="12.75">
      <c r="A212" s="5" t="s">
        <v>1390</v>
      </c>
      <c r="B212" s="5">
        <v>2265011027</v>
      </c>
      <c r="C212" s="5" t="s">
        <v>1391</v>
      </c>
      <c r="D212" s="5" t="s">
        <v>25</v>
      </c>
      <c r="E212" s="11" t="s">
        <v>26</v>
      </c>
      <c r="F212" s="11">
        <v>91403</v>
      </c>
      <c r="G212" s="12">
        <v>3500</v>
      </c>
      <c r="H212" s="12">
        <v>3950</v>
      </c>
      <c r="I212" s="13">
        <v>0.12857142857142856</v>
      </c>
      <c r="J212" s="14">
        <v>45667</v>
      </c>
      <c r="K212" s="5"/>
      <c r="L212" s="5" t="s">
        <v>27</v>
      </c>
      <c r="M212" s="15" t="s">
        <v>1392</v>
      </c>
      <c r="N212" s="5"/>
      <c r="O212" s="5" t="s">
        <v>1393</v>
      </c>
      <c r="P212" s="5" t="s">
        <v>1013</v>
      </c>
      <c r="Q212" s="5"/>
      <c r="R212" s="5"/>
      <c r="S212" s="5" t="s">
        <v>114</v>
      </c>
      <c r="T212" s="5" t="s">
        <v>1394</v>
      </c>
      <c r="U212" s="5" t="s">
        <v>33</v>
      </c>
      <c r="V212" s="5" t="s">
        <v>1372</v>
      </c>
    </row>
    <row r="213" spans="1:22" ht="12.75">
      <c r="A213" s="5" t="s">
        <v>1395</v>
      </c>
      <c r="B213" s="5">
        <v>4309006023</v>
      </c>
      <c r="C213" s="5" t="s">
        <v>1396</v>
      </c>
      <c r="D213" s="5" t="s">
        <v>1397</v>
      </c>
      <c r="E213" s="11" t="s">
        <v>26</v>
      </c>
      <c r="F213" s="11">
        <v>90034</v>
      </c>
      <c r="G213" s="12">
        <v>6300</v>
      </c>
      <c r="H213" s="12">
        <v>12500</v>
      </c>
      <c r="I213" s="13">
        <v>0.98412698412698407</v>
      </c>
      <c r="J213" s="14">
        <v>45668</v>
      </c>
      <c r="K213" s="5"/>
      <c r="L213" s="5" t="s">
        <v>27</v>
      </c>
      <c r="M213" s="15" t="s">
        <v>1398</v>
      </c>
      <c r="N213" s="5"/>
      <c r="O213" s="5" t="s">
        <v>1399</v>
      </c>
      <c r="P213" s="5" t="s">
        <v>1400</v>
      </c>
      <c r="Q213" s="5"/>
      <c r="R213" s="5"/>
      <c r="S213" s="5" t="s">
        <v>114</v>
      </c>
      <c r="T213" s="16" t="s">
        <v>1401</v>
      </c>
      <c r="U213" s="5" t="s">
        <v>33</v>
      </c>
      <c r="V213" s="5" t="s">
        <v>1372</v>
      </c>
    </row>
    <row r="214" spans="1:22" ht="12.75">
      <c r="A214" s="5" t="s">
        <v>1402</v>
      </c>
      <c r="B214" s="5">
        <v>4286009124</v>
      </c>
      <c r="C214" s="5" t="s">
        <v>1403</v>
      </c>
      <c r="D214" s="5" t="s">
        <v>380</v>
      </c>
      <c r="E214" s="11" t="s">
        <v>26</v>
      </c>
      <c r="F214" s="11">
        <v>90291</v>
      </c>
      <c r="G214" s="12">
        <v>11000</v>
      </c>
      <c r="H214" s="12">
        <v>15000</v>
      </c>
      <c r="I214" s="13">
        <v>0.36363636363636365</v>
      </c>
      <c r="J214" s="14">
        <v>45667</v>
      </c>
      <c r="K214" s="5"/>
      <c r="L214" s="5" t="s">
        <v>27</v>
      </c>
      <c r="M214" s="15" t="s">
        <v>1404</v>
      </c>
      <c r="N214" s="5"/>
      <c r="O214" s="5" t="s">
        <v>1405</v>
      </c>
      <c r="P214" s="5" t="s">
        <v>1406</v>
      </c>
      <c r="Q214" s="5"/>
      <c r="R214" s="5"/>
      <c r="S214" s="5" t="s">
        <v>1407</v>
      </c>
      <c r="T214" s="16" t="s">
        <v>1408</v>
      </c>
      <c r="U214" s="5" t="s">
        <v>33</v>
      </c>
      <c r="V214" s="5" t="s">
        <v>1372</v>
      </c>
    </row>
    <row r="215" spans="1:22" ht="12.75">
      <c r="A215" s="5" t="s">
        <v>1409</v>
      </c>
      <c r="B215" s="5">
        <v>5089016026</v>
      </c>
      <c r="C215" s="5" t="s">
        <v>1410</v>
      </c>
      <c r="D215" s="5" t="s">
        <v>25</v>
      </c>
      <c r="E215" s="11" t="s">
        <v>26</v>
      </c>
      <c r="F215" s="11">
        <v>90036</v>
      </c>
      <c r="G215" s="12">
        <v>17995</v>
      </c>
      <c r="H215" s="12">
        <v>19950</v>
      </c>
      <c r="I215" s="13">
        <v>0.10864128924701306</v>
      </c>
      <c r="J215" s="14">
        <v>45667</v>
      </c>
      <c r="K215" s="5"/>
      <c r="L215" s="5" t="s">
        <v>27</v>
      </c>
      <c r="M215" s="15" t="s">
        <v>1411</v>
      </c>
      <c r="N215" s="5"/>
      <c r="O215" s="5" t="s">
        <v>1412</v>
      </c>
      <c r="P215" s="5" t="s">
        <v>1413</v>
      </c>
      <c r="Q215" s="5"/>
      <c r="R215" s="5"/>
      <c r="S215" s="5" t="s">
        <v>1414</v>
      </c>
      <c r="T215" s="5" t="s">
        <v>1415</v>
      </c>
      <c r="U215" s="5" t="s">
        <v>33</v>
      </c>
      <c r="V215" s="5" t="s">
        <v>1372</v>
      </c>
    </row>
    <row r="216" spans="1:22" ht="12.75">
      <c r="A216" s="5" t="s">
        <v>1416</v>
      </c>
      <c r="B216" s="5">
        <v>4116014007</v>
      </c>
      <c r="C216" s="5" t="s">
        <v>1417</v>
      </c>
      <c r="D216" s="5" t="s">
        <v>329</v>
      </c>
      <c r="E216" s="11" t="s">
        <v>26</v>
      </c>
      <c r="F216" s="11">
        <v>90293</v>
      </c>
      <c r="G216" s="12">
        <v>2795</v>
      </c>
      <c r="H216" s="12">
        <v>12000</v>
      </c>
      <c r="I216" s="13">
        <v>3.2933810375670842</v>
      </c>
      <c r="J216" s="14">
        <v>45668</v>
      </c>
      <c r="K216" s="5"/>
      <c r="L216" s="5" t="s">
        <v>27</v>
      </c>
      <c r="M216" s="15" t="s">
        <v>1418</v>
      </c>
      <c r="N216" s="5"/>
      <c r="O216" s="5" t="s">
        <v>1419</v>
      </c>
      <c r="P216" s="5" t="s">
        <v>1420</v>
      </c>
      <c r="Q216" s="5"/>
      <c r="R216" s="5"/>
      <c r="S216" s="5" t="s">
        <v>1421</v>
      </c>
      <c r="T216" s="16" t="s">
        <v>1422</v>
      </c>
      <c r="U216" s="5" t="s">
        <v>33</v>
      </c>
      <c r="V216" s="5" t="s">
        <v>1372</v>
      </c>
    </row>
    <row r="217" spans="1:22" ht="12.75">
      <c r="A217" s="5" t="s">
        <v>1423</v>
      </c>
      <c r="B217" s="5">
        <v>4238016019</v>
      </c>
      <c r="C217" s="5" t="s">
        <v>1424</v>
      </c>
      <c r="D217" s="5" t="s">
        <v>380</v>
      </c>
      <c r="E217" s="11" t="s">
        <v>26</v>
      </c>
      <c r="F217" s="11">
        <v>90291</v>
      </c>
      <c r="G217" s="12">
        <v>4500</v>
      </c>
      <c r="H217" s="12">
        <v>5100</v>
      </c>
      <c r="I217" s="13">
        <v>0.13333333333333333</v>
      </c>
      <c r="J217" s="14">
        <v>45667</v>
      </c>
      <c r="K217" s="5"/>
      <c r="L217" s="5" t="s">
        <v>27</v>
      </c>
      <c r="M217" s="15" t="s">
        <v>1425</v>
      </c>
      <c r="N217" s="5"/>
      <c r="O217" s="5"/>
      <c r="Q217" s="5"/>
      <c r="R217" s="5"/>
      <c r="S217" s="5" t="s">
        <v>114</v>
      </c>
      <c r="T217" s="5" t="s">
        <v>1426</v>
      </c>
      <c r="U217" s="5" t="s">
        <v>33</v>
      </c>
      <c r="V217" s="5" t="s">
        <v>1372</v>
      </c>
    </row>
    <row r="218" spans="1:22" ht="12.75">
      <c r="A218" s="5" t="s">
        <v>1427</v>
      </c>
      <c r="B218" s="5">
        <v>2416020015</v>
      </c>
      <c r="C218" s="5" t="s">
        <v>1428</v>
      </c>
      <c r="D218" s="5" t="s">
        <v>1325</v>
      </c>
      <c r="E218" s="11" t="s">
        <v>26</v>
      </c>
      <c r="F218" s="11">
        <v>91601</v>
      </c>
      <c r="G218" s="12">
        <v>4500</v>
      </c>
      <c r="H218" s="12">
        <v>7000</v>
      </c>
      <c r="I218" s="13">
        <v>0.55555555555555558</v>
      </c>
      <c r="J218" s="14">
        <v>45665</v>
      </c>
      <c r="K218" s="5"/>
      <c r="L218" s="5" t="s">
        <v>27</v>
      </c>
      <c r="M218" s="15" t="s">
        <v>1429</v>
      </c>
      <c r="N218" s="5"/>
      <c r="O218" s="5" t="s">
        <v>1430</v>
      </c>
      <c r="P218" s="5" t="s">
        <v>1431</v>
      </c>
      <c r="Q218" s="5"/>
      <c r="R218" s="5"/>
      <c r="S218" s="5" t="s">
        <v>114</v>
      </c>
      <c r="T218" s="16" t="s">
        <v>1432</v>
      </c>
      <c r="U218" s="5" t="s">
        <v>356</v>
      </c>
    </row>
    <row r="219" spans="1:22" ht="12.75">
      <c r="A219" s="5" t="s">
        <v>1433</v>
      </c>
      <c r="B219" s="5">
        <v>2182007006</v>
      </c>
      <c r="C219" s="5" t="s">
        <v>1434</v>
      </c>
      <c r="D219" s="5" t="s">
        <v>423</v>
      </c>
      <c r="E219" s="11" t="s">
        <v>26</v>
      </c>
      <c r="F219" s="11">
        <v>91316</v>
      </c>
      <c r="G219" s="12">
        <v>6750</v>
      </c>
      <c r="H219" s="12">
        <v>18480</v>
      </c>
      <c r="I219" s="13">
        <v>1.7377777777777779</v>
      </c>
      <c r="J219" s="14">
        <v>45670</v>
      </c>
      <c r="K219" s="5"/>
      <c r="L219" s="5" t="s">
        <v>27</v>
      </c>
      <c r="M219" s="15" t="s">
        <v>1435</v>
      </c>
      <c r="N219" s="5"/>
      <c r="O219" s="5" t="s">
        <v>1436</v>
      </c>
      <c r="P219" s="5" t="s">
        <v>1437</v>
      </c>
      <c r="Q219" s="5"/>
      <c r="R219" s="5"/>
      <c r="S219" s="5" t="s">
        <v>1072</v>
      </c>
      <c r="T219" s="5" t="s">
        <v>1438</v>
      </c>
      <c r="U219" s="5" t="s">
        <v>356</v>
      </c>
    </row>
    <row r="220" spans="1:22" ht="12.75">
      <c r="A220" s="5" t="s">
        <v>1439</v>
      </c>
      <c r="B220" s="5" t="s">
        <v>365</v>
      </c>
      <c r="C220" s="5" t="s">
        <v>1440</v>
      </c>
      <c r="D220" s="5" t="s">
        <v>380</v>
      </c>
      <c r="E220" s="11" t="s">
        <v>26</v>
      </c>
      <c r="F220" s="11">
        <v>90291</v>
      </c>
      <c r="G220" s="12">
        <v>3500</v>
      </c>
      <c r="H220" s="12">
        <v>4000</v>
      </c>
      <c r="I220" s="13">
        <v>0.14285714285714285</v>
      </c>
      <c r="J220" s="14">
        <v>45666</v>
      </c>
      <c r="K220" s="5"/>
      <c r="L220" s="5" t="s">
        <v>27</v>
      </c>
      <c r="M220" s="15" t="s">
        <v>1441</v>
      </c>
      <c r="N220" s="5"/>
      <c r="O220" s="5" t="s">
        <v>1393</v>
      </c>
      <c r="P220" s="5" t="s">
        <v>1013</v>
      </c>
      <c r="Q220" s="5"/>
      <c r="R220" s="5"/>
      <c r="S220" s="5" t="s">
        <v>1072</v>
      </c>
      <c r="T220" s="5" t="s">
        <v>1442</v>
      </c>
      <c r="U220" s="5" t="s">
        <v>356</v>
      </c>
    </row>
    <row r="221" spans="1:22" ht="12.75">
      <c r="A221" s="5" t="s">
        <v>1443</v>
      </c>
      <c r="B221" s="5" t="s">
        <v>365</v>
      </c>
      <c r="C221" s="5" t="s">
        <v>1444</v>
      </c>
      <c r="D221" s="5" t="s">
        <v>1445</v>
      </c>
      <c r="E221" s="11" t="s">
        <v>26</v>
      </c>
      <c r="F221" s="11">
        <v>91364</v>
      </c>
      <c r="G221" s="12">
        <v>14000</v>
      </c>
      <c r="H221" s="12">
        <v>17000</v>
      </c>
      <c r="I221" s="13">
        <v>0.21428571428571427</v>
      </c>
      <c r="J221" s="14">
        <v>45665</v>
      </c>
      <c r="K221" s="5"/>
      <c r="L221" s="5" t="s">
        <v>27</v>
      </c>
      <c r="M221" s="15" t="s">
        <v>1446</v>
      </c>
      <c r="N221" s="5"/>
      <c r="O221" s="5"/>
      <c r="P221" s="5"/>
      <c r="Q221" s="5"/>
      <c r="R221" s="5"/>
      <c r="S221" s="5" t="s">
        <v>1447</v>
      </c>
      <c r="T221" s="5" t="s">
        <v>1448</v>
      </c>
      <c r="U221" s="5" t="s">
        <v>356</v>
      </c>
    </row>
    <row r="222" spans="1:22" ht="12.75">
      <c r="A222" s="5" t="s">
        <v>1449</v>
      </c>
      <c r="B222" s="5">
        <v>4385004019</v>
      </c>
      <c r="C222" s="5" t="s">
        <v>1450</v>
      </c>
      <c r="D222" s="5" t="s">
        <v>408</v>
      </c>
      <c r="E222" s="11" t="s">
        <v>26</v>
      </c>
      <c r="F222" s="11">
        <v>90210</v>
      </c>
      <c r="G222" s="12">
        <v>49850</v>
      </c>
      <c r="H222" s="12">
        <v>59850</v>
      </c>
      <c r="I222" s="13">
        <v>0.20060180541624875</v>
      </c>
      <c r="J222" s="14">
        <v>45670</v>
      </c>
      <c r="K222" s="5"/>
      <c r="L222" s="5" t="s">
        <v>27</v>
      </c>
      <c r="M222" s="15" t="s">
        <v>1451</v>
      </c>
      <c r="N222" s="5"/>
      <c r="O222" s="5" t="s">
        <v>1452</v>
      </c>
      <c r="P222" s="5"/>
      <c r="Q222" s="5" t="s">
        <v>1453</v>
      </c>
      <c r="R222" s="5" t="s">
        <v>1454</v>
      </c>
      <c r="S222" s="5" t="s">
        <v>1455</v>
      </c>
      <c r="T222" s="16" t="s">
        <v>1456</v>
      </c>
      <c r="U222" s="5" t="s">
        <v>356</v>
      </c>
    </row>
    <row r="223" spans="1:22" ht="12.75">
      <c r="A223" s="5" t="s">
        <v>1457</v>
      </c>
      <c r="B223" s="5" t="s">
        <v>1458</v>
      </c>
      <c r="C223" s="5" t="s">
        <v>1459</v>
      </c>
      <c r="D223" s="5" t="s">
        <v>25</v>
      </c>
      <c r="E223" s="11" t="s">
        <v>26</v>
      </c>
      <c r="F223" s="11">
        <v>90049</v>
      </c>
      <c r="G223" s="12">
        <v>3100</v>
      </c>
      <c r="H223" s="12">
        <v>3600</v>
      </c>
      <c r="I223" s="13">
        <v>0.16129032258064516</v>
      </c>
      <c r="J223" s="14">
        <v>45667</v>
      </c>
      <c r="K223" s="5"/>
      <c r="L223" s="5" t="s">
        <v>27</v>
      </c>
      <c r="M223" s="15" t="s">
        <v>1460</v>
      </c>
      <c r="N223" s="5"/>
      <c r="O223" s="5" t="s">
        <v>1461</v>
      </c>
      <c r="P223" s="5" t="s">
        <v>1462</v>
      </c>
      <c r="Q223" s="5"/>
      <c r="R223" s="5"/>
      <c r="S223" s="5" t="s">
        <v>114</v>
      </c>
      <c r="T223" s="5" t="s">
        <v>1463</v>
      </c>
      <c r="U223" s="5" t="s">
        <v>356</v>
      </c>
    </row>
    <row r="224" spans="1:22" ht="12.75">
      <c r="A224" s="5" t="s">
        <v>1464</v>
      </c>
      <c r="B224" s="5" t="s">
        <v>365</v>
      </c>
      <c r="C224" s="5" t="s">
        <v>1465</v>
      </c>
      <c r="D224" s="5" t="s">
        <v>1466</v>
      </c>
      <c r="E224" s="11" t="s">
        <v>26</v>
      </c>
      <c r="F224" s="11">
        <v>90292</v>
      </c>
      <c r="G224" s="12">
        <v>6250</v>
      </c>
      <c r="H224" s="12">
        <v>7000</v>
      </c>
      <c r="I224" s="13">
        <v>0.12</v>
      </c>
      <c r="J224" s="14">
        <v>45668</v>
      </c>
      <c r="K224" s="5"/>
      <c r="L224" s="5" t="s">
        <v>27</v>
      </c>
      <c r="M224" s="15" t="s">
        <v>1467</v>
      </c>
      <c r="N224" s="5"/>
      <c r="O224" s="5"/>
      <c r="P224" s="5"/>
      <c r="Q224" s="5" t="s">
        <v>1468</v>
      </c>
      <c r="R224" s="5"/>
      <c r="S224" s="5" t="s">
        <v>114</v>
      </c>
      <c r="T224" s="5" t="s">
        <v>1469</v>
      </c>
      <c r="U224" s="5" t="s">
        <v>356</v>
      </c>
    </row>
    <row r="225" spans="1:21" ht="12.75">
      <c r="A225" s="5" t="s">
        <v>1470</v>
      </c>
      <c r="B225" s="5" t="s">
        <v>1471</v>
      </c>
      <c r="C225" s="5" t="s">
        <v>1472</v>
      </c>
      <c r="D225" s="5" t="s">
        <v>25</v>
      </c>
      <c r="E225" s="11" t="s">
        <v>26</v>
      </c>
      <c r="F225" s="11">
        <v>91367</v>
      </c>
      <c r="G225" s="12">
        <v>1625</v>
      </c>
      <c r="H225" s="12">
        <v>1895</v>
      </c>
      <c r="I225" s="13">
        <v>0.16615384615384615</v>
      </c>
      <c r="J225" s="14" t="s">
        <v>928</v>
      </c>
      <c r="K225" s="5"/>
      <c r="L225" s="5" t="s">
        <v>27</v>
      </c>
      <c r="M225" s="15" t="s">
        <v>1473</v>
      </c>
      <c r="N225" s="5"/>
      <c r="O225" s="5" t="s">
        <v>1474</v>
      </c>
      <c r="P225" s="5" t="s">
        <v>1475</v>
      </c>
      <c r="Q225" s="5"/>
      <c r="R225" s="5"/>
      <c r="S225" s="5" t="s">
        <v>114</v>
      </c>
      <c r="T225" s="5" t="s">
        <v>1476</v>
      </c>
      <c r="U225" s="5" t="s">
        <v>356</v>
      </c>
    </row>
    <row r="226" spans="1:21" ht="12.75">
      <c r="A226" s="5" t="s">
        <v>1477</v>
      </c>
      <c r="B226" s="5">
        <v>4388016030</v>
      </c>
      <c r="C226" s="5" t="s">
        <v>1478</v>
      </c>
      <c r="D226" s="5" t="s">
        <v>408</v>
      </c>
      <c r="E226" s="11" t="s">
        <v>26</v>
      </c>
      <c r="F226" s="11">
        <v>90210</v>
      </c>
      <c r="G226" s="12">
        <v>42000</v>
      </c>
      <c r="H226" s="12">
        <v>50000</v>
      </c>
      <c r="I226" s="13">
        <v>0.19047619047619047</v>
      </c>
      <c r="J226" s="14">
        <v>45667</v>
      </c>
      <c r="K226" s="5"/>
      <c r="L226" s="5" t="s">
        <v>27</v>
      </c>
      <c r="M226" s="15" t="s">
        <v>1479</v>
      </c>
      <c r="N226" s="5"/>
      <c r="O226" s="5" t="s">
        <v>1480</v>
      </c>
      <c r="P226" s="5" t="s">
        <v>1481</v>
      </c>
      <c r="Q226" s="5"/>
      <c r="R226" s="5"/>
      <c r="S226" s="5" t="s">
        <v>114</v>
      </c>
      <c r="T226" s="5" t="s">
        <v>1482</v>
      </c>
      <c r="U226" s="5" t="s">
        <v>356</v>
      </c>
    </row>
    <row r="227" spans="1:21" ht="12.75">
      <c r="A227" s="5" t="s">
        <v>1483</v>
      </c>
      <c r="B227" s="5">
        <v>4004013018</v>
      </c>
      <c r="C227" s="5" t="s">
        <v>1484</v>
      </c>
      <c r="D227" s="5" t="s">
        <v>25</v>
      </c>
      <c r="E227" s="11" t="s">
        <v>26</v>
      </c>
      <c r="F227" s="11">
        <v>90043</v>
      </c>
      <c r="G227" s="12">
        <v>1</v>
      </c>
      <c r="H227" s="12">
        <v>13000</v>
      </c>
      <c r="I227" s="13">
        <v>12999</v>
      </c>
      <c r="J227" s="14">
        <v>45667</v>
      </c>
      <c r="K227" s="5"/>
      <c r="L227" s="5" t="s">
        <v>27</v>
      </c>
      <c r="M227" s="15" t="s">
        <v>1485</v>
      </c>
      <c r="N227" s="5"/>
      <c r="O227" s="5" t="s">
        <v>1486</v>
      </c>
      <c r="P227" s="5" t="s">
        <v>1487</v>
      </c>
      <c r="Q227" s="5"/>
      <c r="R227" s="5"/>
      <c r="S227" s="5" t="s">
        <v>1414</v>
      </c>
      <c r="T227" s="16" t="s">
        <v>1488</v>
      </c>
      <c r="U227" s="5" t="s">
        <v>356</v>
      </c>
    </row>
    <row r="228" spans="1:21" ht="12.75">
      <c r="A228" s="5" t="s">
        <v>1489</v>
      </c>
      <c r="B228" s="5">
        <v>2153032002</v>
      </c>
      <c r="C228" s="5" t="s">
        <v>1490</v>
      </c>
      <c r="D228" s="5" t="s">
        <v>1250</v>
      </c>
      <c r="E228" s="11" t="s">
        <v>26</v>
      </c>
      <c r="F228" s="11">
        <v>91356</v>
      </c>
      <c r="G228" s="12">
        <v>4800</v>
      </c>
      <c r="H228" s="12">
        <v>26000</v>
      </c>
      <c r="I228" s="13">
        <v>4.416666666666667</v>
      </c>
      <c r="J228" s="14">
        <v>45669</v>
      </c>
      <c r="K228" s="5"/>
      <c r="L228" s="5" t="s">
        <v>27</v>
      </c>
      <c r="M228" s="15" t="s">
        <v>1491</v>
      </c>
      <c r="N228" s="5"/>
      <c r="O228" s="5" t="s">
        <v>1492</v>
      </c>
      <c r="P228" s="5" t="s">
        <v>1493</v>
      </c>
      <c r="Q228" s="5"/>
      <c r="R228" s="5"/>
      <c r="S228" s="5" t="s">
        <v>1494</v>
      </c>
      <c r="T228" s="5" t="s">
        <v>1495</v>
      </c>
      <c r="U228" s="5"/>
    </row>
    <row r="229" spans="1:21" ht="12.75">
      <c r="A229" s="5" t="s">
        <v>1496</v>
      </c>
      <c r="B229" s="5" t="s">
        <v>1497</v>
      </c>
      <c r="C229" s="5" t="s">
        <v>1498</v>
      </c>
      <c r="D229" s="5" t="s">
        <v>1181</v>
      </c>
      <c r="E229" s="11" t="s">
        <v>26</v>
      </c>
      <c r="F229" s="11">
        <v>90232</v>
      </c>
      <c r="G229" s="12">
        <v>5950</v>
      </c>
      <c r="H229" s="12">
        <v>8950</v>
      </c>
      <c r="I229" s="13">
        <v>0.50420168067226889</v>
      </c>
      <c r="J229" s="14">
        <v>45668</v>
      </c>
      <c r="K229" s="5"/>
      <c r="L229" s="5" t="s">
        <v>27</v>
      </c>
      <c r="M229" s="15" t="s">
        <v>1499</v>
      </c>
      <c r="N229" s="5"/>
      <c r="O229" s="5" t="s">
        <v>1500</v>
      </c>
      <c r="P229" s="5" t="s">
        <v>1501</v>
      </c>
      <c r="Q229" s="5"/>
      <c r="R229" s="5"/>
      <c r="S229" s="5" t="s">
        <v>1502</v>
      </c>
      <c r="T229" s="5" t="s">
        <v>1503</v>
      </c>
      <c r="U229" s="5"/>
    </row>
    <row r="230" spans="1:21" ht="12.75">
      <c r="A230" s="5" t="s">
        <v>1504</v>
      </c>
      <c r="B230" s="5">
        <v>5569015062</v>
      </c>
      <c r="C230" s="5" t="s">
        <v>1505</v>
      </c>
      <c r="D230" s="5" t="s">
        <v>25</v>
      </c>
      <c r="E230" s="11" t="s">
        <v>26</v>
      </c>
      <c r="F230" s="11">
        <v>90046</v>
      </c>
      <c r="G230" s="12">
        <v>20000</v>
      </c>
      <c r="H230" s="12">
        <v>26000</v>
      </c>
      <c r="I230" s="13">
        <v>0.3</v>
      </c>
      <c r="J230" s="14">
        <v>45665</v>
      </c>
      <c r="K230" s="5"/>
      <c r="L230" s="5" t="s">
        <v>27</v>
      </c>
      <c r="M230" s="15" t="s">
        <v>1506</v>
      </c>
      <c r="N230" s="5"/>
      <c r="O230" s="5" t="s">
        <v>1507</v>
      </c>
      <c r="P230" s="5" t="s">
        <v>1508</v>
      </c>
      <c r="Q230" s="5"/>
      <c r="R230" s="5"/>
      <c r="S230" s="5" t="s">
        <v>1509</v>
      </c>
      <c r="T230" s="16" t="s">
        <v>1510</v>
      </c>
      <c r="U230" s="5"/>
    </row>
    <row r="231" spans="1:21" ht="12.75">
      <c r="A231" s="5" t="s">
        <v>1511</v>
      </c>
      <c r="B231" s="5" t="s">
        <v>365</v>
      </c>
      <c r="C231" s="5" t="s">
        <v>62</v>
      </c>
      <c r="D231" s="5" t="s">
        <v>732</v>
      </c>
      <c r="E231" s="11" t="s">
        <v>26</v>
      </c>
      <c r="F231" s="11">
        <v>91423</v>
      </c>
      <c r="G231" s="12">
        <v>18500</v>
      </c>
      <c r="H231" s="12">
        <v>25000</v>
      </c>
      <c r="I231" s="13">
        <v>0.35135135135135137</v>
      </c>
      <c r="J231" s="14">
        <v>45668</v>
      </c>
      <c r="K231" s="5"/>
      <c r="L231" s="5" t="s">
        <v>27</v>
      </c>
      <c r="M231" s="15" t="s">
        <v>1512</v>
      </c>
      <c r="N231" s="5"/>
      <c r="O231" s="5" t="s">
        <v>1513</v>
      </c>
      <c r="P231" s="5" t="s">
        <v>1514</v>
      </c>
      <c r="Q231" s="5"/>
      <c r="R231" s="5"/>
      <c r="S231" s="5" t="s">
        <v>1515</v>
      </c>
      <c r="T231" s="16" t="s">
        <v>1516</v>
      </c>
      <c r="U231" s="5"/>
    </row>
    <row r="232" spans="1:21" ht="12.75">
      <c r="A232" s="5" t="s">
        <v>1517</v>
      </c>
      <c r="B232" s="5">
        <v>4492009037</v>
      </c>
      <c r="C232" s="5" t="s">
        <v>1518</v>
      </c>
      <c r="D232" s="5" t="s">
        <v>25</v>
      </c>
      <c r="E232" s="11" t="s">
        <v>26</v>
      </c>
      <c r="F232" s="11">
        <v>90049</v>
      </c>
      <c r="G232" s="12">
        <v>16950</v>
      </c>
      <c r="H232" s="12">
        <v>24995</v>
      </c>
      <c r="I232" s="13">
        <v>0.47463126843657816</v>
      </c>
      <c r="J232" s="14">
        <v>45668</v>
      </c>
      <c r="K232" s="5"/>
      <c r="L232" s="5" t="s">
        <v>27</v>
      </c>
      <c r="M232" s="15" t="s">
        <v>1519</v>
      </c>
      <c r="N232" s="5"/>
      <c r="O232" s="5" t="s">
        <v>1520</v>
      </c>
      <c r="Q232" s="5"/>
      <c r="R232" s="5"/>
      <c r="S232" s="5" t="s">
        <v>1521</v>
      </c>
      <c r="T232" s="5" t="s">
        <v>1522</v>
      </c>
      <c r="U232" s="5"/>
    </row>
    <row r="233" spans="1:21" ht="12.75">
      <c r="A233" s="5" t="s">
        <v>1523</v>
      </c>
      <c r="B233" s="5">
        <v>4356009006</v>
      </c>
      <c r="C233" s="5" t="s">
        <v>1524</v>
      </c>
      <c r="D233" s="5" t="s">
        <v>408</v>
      </c>
      <c r="E233" s="11" t="s">
        <v>26</v>
      </c>
      <c r="F233" s="11">
        <v>90210</v>
      </c>
      <c r="G233" s="12">
        <v>19500</v>
      </c>
      <c r="H233" s="12">
        <v>25000</v>
      </c>
      <c r="I233" s="13">
        <v>0.28205128205128205</v>
      </c>
      <c r="J233" s="14">
        <v>45666</v>
      </c>
      <c r="K233" s="5"/>
      <c r="L233" s="5" t="s">
        <v>27</v>
      </c>
      <c r="M233" s="15" t="s">
        <v>1525</v>
      </c>
      <c r="N233" s="5"/>
      <c r="O233" s="5" t="s">
        <v>1526</v>
      </c>
      <c r="P233" s="5" t="s">
        <v>1527</v>
      </c>
      <c r="Q233" s="5"/>
      <c r="R233" s="5"/>
      <c r="S233" s="5" t="s">
        <v>1528</v>
      </c>
      <c r="T233" s="16" t="s">
        <v>1529</v>
      </c>
      <c r="U233" s="5"/>
    </row>
    <row r="234" spans="1:21" ht="12.75">
      <c r="A234" s="5" t="s">
        <v>1530</v>
      </c>
      <c r="B234" s="5">
        <v>4378032012</v>
      </c>
      <c r="C234" s="5" t="s">
        <v>1531</v>
      </c>
      <c r="D234" s="5" t="s">
        <v>25</v>
      </c>
      <c r="E234" s="11" t="s">
        <v>26</v>
      </c>
      <c r="F234" s="11">
        <v>90077</v>
      </c>
      <c r="G234" s="12">
        <v>19000</v>
      </c>
      <c r="H234" s="12">
        <v>25000</v>
      </c>
      <c r="I234" s="13">
        <v>0.31578947368421051</v>
      </c>
      <c r="J234" s="14">
        <v>45669</v>
      </c>
      <c r="K234" s="5"/>
      <c r="L234" s="5" t="s">
        <v>27</v>
      </c>
      <c r="M234" s="15" t="s">
        <v>1532</v>
      </c>
      <c r="N234" s="5"/>
      <c r="O234" s="5" t="s">
        <v>1533</v>
      </c>
      <c r="P234" s="5" t="s">
        <v>1534</v>
      </c>
      <c r="Q234" s="5"/>
      <c r="R234" s="5"/>
      <c r="S234" s="5" t="s">
        <v>1535</v>
      </c>
      <c r="T234" s="16" t="s">
        <v>1536</v>
      </c>
      <c r="U234" s="5"/>
    </row>
    <row r="235" spans="1:21" ht="12.75">
      <c r="A235" s="5" t="s">
        <v>1537</v>
      </c>
      <c r="B235" s="5">
        <v>4429011034</v>
      </c>
      <c r="C235" s="5" t="s">
        <v>1538</v>
      </c>
      <c r="D235" s="5" t="s">
        <v>1397</v>
      </c>
      <c r="E235" s="11" t="s">
        <v>26</v>
      </c>
      <c r="F235" s="11">
        <v>90049</v>
      </c>
      <c r="G235" s="12">
        <v>9500</v>
      </c>
      <c r="H235" s="12">
        <v>50000</v>
      </c>
      <c r="I235" s="13">
        <v>4.2631578947368425</v>
      </c>
      <c r="J235" s="14">
        <v>45668</v>
      </c>
      <c r="K235" s="5"/>
      <c r="L235" s="5" t="s">
        <v>27</v>
      </c>
      <c r="M235" s="15" t="s">
        <v>1539</v>
      </c>
      <c r="N235" s="5"/>
      <c r="O235" s="5" t="s">
        <v>1540</v>
      </c>
      <c r="P235" s="5" t="s">
        <v>1541</v>
      </c>
      <c r="Q235" s="5"/>
      <c r="R235" s="5"/>
      <c r="S235" s="5" t="s">
        <v>1542</v>
      </c>
      <c r="T235" s="16" t="s">
        <v>1543</v>
      </c>
      <c r="U235" s="5"/>
    </row>
    <row r="236" spans="1:21" ht="12.75">
      <c r="A236" s="5" t="s">
        <v>1544</v>
      </c>
      <c r="B236" s="5" t="s">
        <v>365</v>
      </c>
      <c r="C236" s="5" t="s">
        <v>1545</v>
      </c>
      <c r="D236" s="5" t="s">
        <v>25</v>
      </c>
      <c r="E236" s="11" t="s">
        <v>26</v>
      </c>
      <c r="F236" s="11">
        <v>90046</v>
      </c>
      <c r="G236" s="12">
        <v>4500</v>
      </c>
      <c r="H236" s="12">
        <v>4999</v>
      </c>
      <c r="I236" s="13">
        <v>0.11088888888888888</v>
      </c>
      <c r="J236" s="14">
        <v>45667</v>
      </c>
      <c r="K236" s="5"/>
      <c r="L236" s="5" t="s">
        <v>27</v>
      </c>
      <c r="M236" s="15" t="s">
        <v>1546</v>
      </c>
      <c r="N236" s="5"/>
      <c r="O236" s="5" t="s">
        <v>1547</v>
      </c>
      <c r="P236" s="5" t="s">
        <v>1548</v>
      </c>
      <c r="Q236" s="5"/>
      <c r="R236" s="5"/>
      <c r="S236" s="5" t="s">
        <v>114</v>
      </c>
      <c r="T236" s="5" t="s">
        <v>1549</v>
      </c>
      <c r="U236" s="5"/>
    </row>
    <row r="237" spans="1:21" ht="12.75">
      <c r="A237" s="5" t="s">
        <v>1550</v>
      </c>
      <c r="B237" s="5">
        <v>4239017002</v>
      </c>
      <c r="C237" s="5" t="s">
        <v>889</v>
      </c>
      <c r="D237" s="5" t="s">
        <v>380</v>
      </c>
      <c r="E237" s="11" t="s">
        <v>26</v>
      </c>
      <c r="F237" s="11">
        <v>90291</v>
      </c>
      <c r="G237" s="12">
        <v>8459</v>
      </c>
      <c r="H237" s="12">
        <v>11000</v>
      </c>
      <c r="I237" s="13">
        <v>0.30039011703511054</v>
      </c>
      <c r="J237" s="14">
        <v>45669</v>
      </c>
      <c r="K237" s="5"/>
      <c r="L237" s="5" t="s">
        <v>27</v>
      </c>
      <c r="M237" s="15" t="s">
        <v>1551</v>
      </c>
      <c r="N237" s="5"/>
      <c r="O237" s="5" t="s">
        <v>891</v>
      </c>
      <c r="P237" s="5" t="s">
        <v>1552</v>
      </c>
      <c r="Q237" s="5"/>
      <c r="R237" s="5"/>
      <c r="S237" s="5" t="s">
        <v>1553</v>
      </c>
      <c r="T237" s="16" t="s">
        <v>1554</v>
      </c>
      <c r="U237" s="5"/>
    </row>
    <row r="238" spans="1:21" ht="12.75">
      <c r="A238" s="5" t="s">
        <v>1555</v>
      </c>
      <c r="B238" s="5">
        <v>4494022015</v>
      </c>
      <c r="C238" s="5" t="s">
        <v>1556</v>
      </c>
      <c r="D238" s="5" t="s">
        <v>25</v>
      </c>
      <c r="E238" s="11" t="s">
        <v>26</v>
      </c>
      <c r="F238" s="11">
        <v>90049</v>
      </c>
      <c r="G238" s="12">
        <v>20970</v>
      </c>
      <c r="H238" s="12">
        <v>24995</v>
      </c>
      <c r="I238" s="13">
        <v>0.19194086790653314</v>
      </c>
      <c r="J238" s="14">
        <v>45670</v>
      </c>
      <c r="K238" s="5"/>
      <c r="L238" s="5" t="s">
        <v>27</v>
      </c>
      <c r="M238" s="15" t="s">
        <v>1557</v>
      </c>
      <c r="N238" s="5"/>
      <c r="O238" s="5" t="s">
        <v>1558</v>
      </c>
      <c r="P238" s="5" t="s">
        <v>1559</v>
      </c>
      <c r="Q238" s="5"/>
      <c r="R238" s="5"/>
      <c r="S238" s="5" t="s">
        <v>1560</v>
      </c>
      <c r="T238" s="16" t="s">
        <v>1561</v>
      </c>
      <c r="U238" s="5"/>
    </row>
    <row r="239" spans="1:21" ht="12.75">
      <c r="A239" s="5" t="s">
        <v>1562</v>
      </c>
      <c r="B239" s="5">
        <v>5569008011</v>
      </c>
      <c r="C239" s="5" t="s">
        <v>1563</v>
      </c>
      <c r="D239" s="5" t="s">
        <v>25</v>
      </c>
      <c r="E239" s="11" t="s">
        <v>26</v>
      </c>
      <c r="F239" s="11">
        <v>90046</v>
      </c>
      <c r="G239" s="12">
        <v>18500</v>
      </c>
      <c r="H239" s="12">
        <v>23500</v>
      </c>
      <c r="I239" s="13">
        <v>0.27027027027027029</v>
      </c>
      <c r="J239" s="14">
        <v>45669</v>
      </c>
      <c r="K239" s="5"/>
      <c r="L239" s="5" t="s">
        <v>27</v>
      </c>
      <c r="M239" s="15" t="s">
        <v>1564</v>
      </c>
      <c r="N239" s="5"/>
      <c r="O239" s="5" t="s">
        <v>1565</v>
      </c>
      <c r="P239" s="5" t="s">
        <v>209</v>
      </c>
      <c r="Q239" s="5"/>
      <c r="R239" s="5"/>
      <c r="S239" s="5" t="s">
        <v>1566</v>
      </c>
      <c r="T239" s="16" t="s">
        <v>1567</v>
      </c>
      <c r="U239" s="5"/>
    </row>
    <row r="240" spans="1:21" ht="12.75">
      <c r="A240" s="5" t="s">
        <v>1568</v>
      </c>
      <c r="B240" s="5">
        <v>5638019021</v>
      </c>
      <c r="C240" s="5" t="s">
        <v>1569</v>
      </c>
      <c r="D240" s="5" t="s">
        <v>118</v>
      </c>
      <c r="E240" s="11" t="s">
        <v>26</v>
      </c>
      <c r="F240" s="11">
        <v>91203</v>
      </c>
      <c r="G240" s="12">
        <v>3200</v>
      </c>
      <c r="H240" s="12">
        <v>5500</v>
      </c>
      <c r="I240" s="13">
        <v>0.71875</v>
      </c>
      <c r="J240" s="14">
        <v>45665</v>
      </c>
      <c r="K240" s="5"/>
      <c r="L240" s="5" t="s">
        <v>27</v>
      </c>
      <c r="M240" s="15" t="s">
        <v>1570</v>
      </c>
      <c r="N240" s="5"/>
      <c r="O240" s="5" t="s">
        <v>1571</v>
      </c>
      <c r="P240" s="5" t="s">
        <v>1572</v>
      </c>
      <c r="Q240" s="5"/>
      <c r="R240" s="5"/>
      <c r="S240" s="5" t="s">
        <v>1573</v>
      </c>
      <c r="T240" s="5" t="s">
        <v>1574</v>
      </c>
      <c r="U240" s="5"/>
    </row>
    <row r="241" spans="1:22" ht="12.75">
      <c r="A241" s="5" t="s">
        <v>1575</v>
      </c>
      <c r="B241" s="5">
        <v>4327004003</v>
      </c>
      <c r="C241" s="5" t="s">
        <v>1576</v>
      </c>
      <c r="D241" s="5" t="s">
        <v>25</v>
      </c>
      <c r="E241" s="11" t="s">
        <v>26</v>
      </c>
      <c r="F241" s="11">
        <v>90024</v>
      </c>
      <c r="G241" s="12">
        <v>12000</v>
      </c>
      <c r="H241" s="12">
        <v>22000</v>
      </c>
      <c r="I241" s="13">
        <v>0.83333333333333337</v>
      </c>
      <c r="J241" s="14">
        <v>45666</v>
      </c>
      <c r="K241" s="5"/>
      <c r="L241" s="5" t="s">
        <v>27</v>
      </c>
      <c r="M241" s="15" t="s">
        <v>1577</v>
      </c>
      <c r="N241" s="5"/>
      <c r="O241" s="5" t="s">
        <v>1001</v>
      </c>
      <c r="P241" s="5" t="s">
        <v>1002</v>
      </c>
      <c r="Q241" s="5"/>
      <c r="R241" s="5"/>
      <c r="S241" s="5" t="s">
        <v>1578</v>
      </c>
      <c r="T241" s="16" t="s">
        <v>1579</v>
      </c>
      <c r="U241" s="5"/>
    </row>
    <row r="242" spans="1:22" ht="12.75">
      <c r="A242" s="5" t="s">
        <v>1580</v>
      </c>
      <c r="B242" s="5" t="s">
        <v>365</v>
      </c>
      <c r="C242" s="5" t="s">
        <v>1581</v>
      </c>
      <c r="D242" s="5" t="s">
        <v>25</v>
      </c>
      <c r="E242" s="11" t="s">
        <v>26</v>
      </c>
      <c r="F242" s="11">
        <v>90013</v>
      </c>
      <c r="G242" s="12">
        <v>4140</v>
      </c>
      <c r="H242" s="12">
        <v>5400</v>
      </c>
      <c r="I242" s="13">
        <v>0.30434782608695654</v>
      </c>
      <c r="J242" s="14">
        <v>45667</v>
      </c>
      <c r="K242" s="5"/>
      <c r="L242" s="5" t="s">
        <v>27</v>
      </c>
      <c r="M242" s="15" t="s">
        <v>1582</v>
      </c>
      <c r="N242" s="5"/>
      <c r="O242" s="5" t="s">
        <v>1583</v>
      </c>
      <c r="P242" s="5" t="s">
        <v>1584</v>
      </c>
      <c r="Q242" s="5"/>
      <c r="R242" s="5"/>
      <c r="S242" s="5" t="s">
        <v>1585</v>
      </c>
      <c r="T242" s="5" t="s">
        <v>1586</v>
      </c>
      <c r="U242" s="5"/>
    </row>
    <row r="243" spans="1:22" ht="12.75">
      <c r="A243" s="5" t="s">
        <v>1587</v>
      </c>
      <c r="B243" s="5" t="s">
        <v>365</v>
      </c>
      <c r="C243" s="5" t="s">
        <v>1588</v>
      </c>
      <c r="D243" s="5" t="s">
        <v>380</v>
      </c>
      <c r="E243" s="11" t="s">
        <v>26</v>
      </c>
      <c r="F243" s="11">
        <v>90291</v>
      </c>
      <c r="G243" s="12">
        <v>17995</v>
      </c>
      <c r="H243" s="12">
        <v>26500</v>
      </c>
      <c r="I243" s="13">
        <v>0.47263128646846347</v>
      </c>
      <c r="J243" s="14">
        <v>45669</v>
      </c>
      <c r="K243" s="5"/>
      <c r="L243" s="5" t="s">
        <v>27</v>
      </c>
      <c r="M243" s="15" t="s">
        <v>1589</v>
      </c>
      <c r="N243" s="5"/>
      <c r="O243" s="5" t="s">
        <v>1590</v>
      </c>
      <c r="P243" s="5" t="s">
        <v>1591</v>
      </c>
      <c r="Q243" s="5"/>
      <c r="R243" s="5"/>
      <c r="S243" s="5" t="s">
        <v>1592</v>
      </c>
      <c r="T243" s="5" t="s">
        <v>1593</v>
      </c>
      <c r="U243" s="5"/>
    </row>
    <row r="244" spans="1:22" ht="12.75">
      <c r="A244" s="5" t="s">
        <v>1594</v>
      </c>
      <c r="B244" s="5">
        <v>4305024009</v>
      </c>
      <c r="C244" s="5" t="s">
        <v>1595</v>
      </c>
      <c r="D244" s="5" t="s">
        <v>25</v>
      </c>
      <c r="E244" s="11" t="s">
        <v>26</v>
      </c>
      <c r="F244" s="11">
        <v>90035</v>
      </c>
      <c r="G244" s="12">
        <v>17995</v>
      </c>
      <c r="H244" s="12">
        <v>19995</v>
      </c>
      <c r="I244" s="13">
        <v>0.11114198388441233</v>
      </c>
      <c r="J244" s="14">
        <v>45667</v>
      </c>
      <c r="K244" s="5"/>
      <c r="L244" s="5" t="s">
        <v>27</v>
      </c>
      <c r="M244" s="15" t="s">
        <v>1596</v>
      </c>
      <c r="N244" s="5"/>
      <c r="O244" s="5" t="s">
        <v>1597</v>
      </c>
      <c r="P244" s="5" t="s">
        <v>1598</v>
      </c>
      <c r="Q244" s="5"/>
      <c r="R244" s="5"/>
      <c r="S244" s="5" t="s">
        <v>1599</v>
      </c>
      <c r="T244" s="16" t="s">
        <v>1600</v>
      </c>
      <c r="U244" s="5" t="s">
        <v>33</v>
      </c>
      <c r="V244" s="5" t="s">
        <v>1601</v>
      </c>
    </row>
    <row r="245" spans="1:22" ht="12.75">
      <c r="A245" s="5" t="s">
        <v>1602</v>
      </c>
      <c r="B245" s="5">
        <v>5068022035</v>
      </c>
      <c r="C245" s="5" t="s">
        <v>1603</v>
      </c>
      <c r="D245" s="5" t="s">
        <v>25</v>
      </c>
      <c r="E245" s="11" t="s">
        <v>26</v>
      </c>
      <c r="F245" s="11">
        <v>90019</v>
      </c>
      <c r="G245" s="12">
        <v>15000</v>
      </c>
      <c r="H245" s="12">
        <v>19995</v>
      </c>
      <c r="I245" s="13">
        <v>0.33300000000000002</v>
      </c>
      <c r="J245" s="14">
        <v>45666</v>
      </c>
      <c r="K245" s="5"/>
      <c r="L245" s="5" t="s">
        <v>27</v>
      </c>
      <c r="M245" s="15" t="s">
        <v>1604</v>
      </c>
      <c r="N245" s="5"/>
      <c r="O245" s="5" t="s">
        <v>1605</v>
      </c>
      <c r="P245" s="5" t="s">
        <v>1606</v>
      </c>
      <c r="Q245" s="5"/>
      <c r="R245" s="5"/>
      <c r="S245" s="5" t="s">
        <v>1607</v>
      </c>
      <c r="T245" s="16" t="s">
        <v>1608</v>
      </c>
      <c r="U245" s="5" t="s">
        <v>33</v>
      </c>
      <c r="V245" s="5" t="s">
        <v>1601</v>
      </c>
    </row>
    <row r="246" spans="1:22" ht="12.75">
      <c r="A246" s="5" t="s">
        <v>1609</v>
      </c>
      <c r="B246" s="5">
        <v>4303013046</v>
      </c>
      <c r="C246" s="5" t="s">
        <v>1610</v>
      </c>
      <c r="D246" s="5" t="s">
        <v>25</v>
      </c>
      <c r="E246" s="11" t="s">
        <v>26</v>
      </c>
      <c r="F246" s="11">
        <v>90035</v>
      </c>
      <c r="G246" s="12">
        <v>14995</v>
      </c>
      <c r="H246" s="12">
        <v>19995</v>
      </c>
      <c r="I246" s="13">
        <v>0.33344448149383127</v>
      </c>
      <c r="J246" s="14">
        <v>45665</v>
      </c>
      <c r="K246" s="5"/>
      <c r="L246" s="5" t="s">
        <v>27</v>
      </c>
      <c r="M246" s="15" t="s">
        <v>1611</v>
      </c>
      <c r="N246" s="5"/>
      <c r="O246" s="5" t="s">
        <v>1612</v>
      </c>
      <c r="P246" s="5" t="s">
        <v>1613</v>
      </c>
      <c r="Q246" s="5"/>
      <c r="R246" s="5"/>
      <c r="S246" s="5" t="s">
        <v>1614</v>
      </c>
      <c r="T246" s="16" t="s">
        <v>1615</v>
      </c>
      <c r="U246" s="5" t="s">
        <v>33</v>
      </c>
      <c r="V246" s="5" t="s">
        <v>1601</v>
      </c>
    </row>
    <row r="247" spans="1:22" ht="12.75">
      <c r="A247" s="5" t="s">
        <v>1616</v>
      </c>
      <c r="B247" s="5">
        <v>5429020022</v>
      </c>
      <c r="C247" s="5" t="s">
        <v>36</v>
      </c>
      <c r="D247" s="5" t="s">
        <v>25</v>
      </c>
      <c r="E247" s="11" t="s">
        <v>26</v>
      </c>
      <c r="F247" s="11">
        <v>90026</v>
      </c>
      <c r="G247" s="12">
        <v>9000</v>
      </c>
      <c r="H247" s="12">
        <v>11000</v>
      </c>
      <c r="I247" s="13">
        <v>0.22222222222222221</v>
      </c>
      <c r="J247" s="14">
        <v>45668</v>
      </c>
      <c r="K247" s="5"/>
      <c r="L247" s="5" t="s">
        <v>27</v>
      </c>
      <c r="M247" s="15" t="s">
        <v>1617</v>
      </c>
      <c r="N247" s="5"/>
      <c r="O247" s="5" t="s">
        <v>39</v>
      </c>
      <c r="P247" s="5" t="s">
        <v>40</v>
      </c>
      <c r="Q247" s="5"/>
      <c r="R247" s="5"/>
      <c r="S247" s="5" t="s">
        <v>1618</v>
      </c>
      <c r="T247" s="5" t="s">
        <v>1619</v>
      </c>
      <c r="U247" s="5" t="s">
        <v>33</v>
      </c>
      <c r="V247" s="5" t="s">
        <v>1601</v>
      </c>
    </row>
    <row r="248" spans="1:22" ht="12.75">
      <c r="A248" s="5" t="s">
        <v>1620</v>
      </c>
      <c r="B248" s="5">
        <v>2779034003</v>
      </c>
      <c r="C248" s="5" t="s">
        <v>1621</v>
      </c>
      <c r="D248" s="5" t="s">
        <v>1622</v>
      </c>
      <c r="E248" s="11" t="s">
        <v>26</v>
      </c>
      <c r="F248" s="11">
        <v>91304</v>
      </c>
      <c r="G248" s="12">
        <v>5500</v>
      </c>
      <c r="H248" s="12">
        <v>7000</v>
      </c>
      <c r="I248" s="13">
        <v>0.27272727272727271</v>
      </c>
      <c r="J248" s="14">
        <v>45669</v>
      </c>
      <c r="K248" s="5"/>
      <c r="L248" s="5" t="s">
        <v>27</v>
      </c>
      <c r="M248" s="15" t="s">
        <v>1623</v>
      </c>
      <c r="N248" s="5"/>
      <c r="O248" s="5"/>
      <c r="P248" s="5"/>
      <c r="Q248" s="5" t="s">
        <v>1624</v>
      </c>
      <c r="R248" s="5" t="s">
        <v>1625</v>
      </c>
      <c r="S248" s="5" t="s">
        <v>114</v>
      </c>
      <c r="T248" s="5" t="s">
        <v>1626</v>
      </c>
      <c r="U248" s="5" t="s">
        <v>33</v>
      </c>
      <c r="V248" s="5" t="s">
        <v>1601</v>
      </c>
    </row>
    <row r="249" spans="1:22" ht="12.75">
      <c r="A249" s="5" t="s">
        <v>1627</v>
      </c>
      <c r="B249" s="5" t="s">
        <v>365</v>
      </c>
      <c r="C249" s="5" t="s">
        <v>1628</v>
      </c>
      <c r="D249" s="5" t="s">
        <v>1629</v>
      </c>
      <c r="E249" s="11" t="s">
        <v>26</v>
      </c>
      <c r="F249" s="11">
        <v>91306</v>
      </c>
      <c r="G249" s="12">
        <v>5500</v>
      </c>
      <c r="H249" s="12">
        <v>7500</v>
      </c>
      <c r="I249" s="13">
        <v>0.36363636363636365</v>
      </c>
      <c r="J249" s="14">
        <v>45669</v>
      </c>
      <c r="K249" s="5"/>
      <c r="L249" s="5" t="s">
        <v>27</v>
      </c>
      <c r="M249" s="15" t="s">
        <v>1630</v>
      </c>
      <c r="N249" s="5"/>
      <c r="O249" s="5"/>
      <c r="P249" s="5"/>
      <c r="Q249" s="5" t="s">
        <v>1631</v>
      </c>
      <c r="R249" s="5" t="s">
        <v>1632</v>
      </c>
      <c r="S249" s="5" t="s">
        <v>114</v>
      </c>
      <c r="T249" s="5" t="s">
        <v>1633</v>
      </c>
      <c r="U249" s="5" t="s">
        <v>356</v>
      </c>
    </row>
    <row r="250" spans="1:22" ht="12.75">
      <c r="A250" s="5" t="s">
        <v>1634</v>
      </c>
      <c r="B250" s="5" t="s">
        <v>861</v>
      </c>
      <c r="C250" s="5" t="s">
        <v>1635</v>
      </c>
      <c r="D250" s="5" t="s">
        <v>1636</v>
      </c>
      <c r="E250" s="11" t="s">
        <v>26</v>
      </c>
      <c r="F250" s="11">
        <v>91335</v>
      </c>
      <c r="G250" s="12">
        <v>1675</v>
      </c>
      <c r="H250" s="12">
        <v>2078</v>
      </c>
      <c r="I250" s="13">
        <v>0.24059701492537314</v>
      </c>
      <c r="J250" s="14">
        <v>45669</v>
      </c>
      <c r="K250" s="5"/>
      <c r="L250" s="5" t="s">
        <v>27</v>
      </c>
      <c r="M250" s="15" t="s">
        <v>1637</v>
      </c>
      <c r="N250" s="5"/>
      <c r="O250" s="5" t="s">
        <v>1638</v>
      </c>
      <c r="P250" s="5" t="s">
        <v>1639</v>
      </c>
      <c r="Q250" s="5"/>
      <c r="R250" s="5"/>
      <c r="S250" s="5" t="s">
        <v>1640</v>
      </c>
      <c r="T250" s="16" t="s">
        <v>1641</v>
      </c>
      <c r="U250" s="5" t="s">
        <v>356</v>
      </c>
    </row>
    <row r="251" spans="1:22" ht="12.75">
      <c r="A251" s="5" t="s">
        <v>1642</v>
      </c>
      <c r="B251" s="5">
        <v>5423021011</v>
      </c>
      <c r="C251" s="5" t="s">
        <v>1643</v>
      </c>
      <c r="D251" s="5" t="s">
        <v>25</v>
      </c>
      <c r="E251" s="11" t="s">
        <v>26</v>
      </c>
      <c r="F251" s="11">
        <v>90026</v>
      </c>
      <c r="G251" s="12">
        <v>3500</v>
      </c>
      <c r="H251" s="12">
        <v>4500</v>
      </c>
      <c r="I251" s="13">
        <v>0.2857142857142857</v>
      </c>
      <c r="J251" s="14">
        <v>45668</v>
      </c>
      <c r="K251" s="5"/>
      <c r="L251" s="5" t="s">
        <v>27</v>
      </c>
      <c r="M251" s="15" t="s">
        <v>1644</v>
      </c>
      <c r="N251" s="5"/>
      <c r="O251" s="5" t="s">
        <v>1645</v>
      </c>
      <c r="P251" s="5" t="s">
        <v>1646</v>
      </c>
      <c r="Q251" s="5"/>
      <c r="R251" s="5"/>
      <c r="S251" s="5" t="s">
        <v>114</v>
      </c>
      <c r="T251" s="5" t="s">
        <v>1647</v>
      </c>
      <c r="U251" s="5" t="s">
        <v>356</v>
      </c>
    </row>
    <row r="252" spans="1:22" ht="12.75">
      <c r="A252" s="5" t="s">
        <v>1648</v>
      </c>
      <c r="B252" s="5" t="s">
        <v>861</v>
      </c>
      <c r="C252" s="5" t="s">
        <v>1649</v>
      </c>
      <c r="D252" s="5" t="s">
        <v>102</v>
      </c>
      <c r="E252" s="11" t="s">
        <v>26</v>
      </c>
      <c r="F252" s="11">
        <v>90028</v>
      </c>
      <c r="G252" s="12">
        <v>1850</v>
      </c>
      <c r="H252" s="12">
        <v>2095</v>
      </c>
      <c r="I252" s="13">
        <v>0.13243243243243244</v>
      </c>
      <c r="J252" s="14">
        <v>45667</v>
      </c>
      <c r="K252" s="5"/>
      <c r="L252" s="5" t="s">
        <v>27</v>
      </c>
      <c r="M252" s="15" t="s">
        <v>1650</v>
      </c>
      <c r="N252" s="5"/>
      <c r="O252" s="5" t="s">
        <v>1651</v>
      </c>
      <c r="P252" s="5" t="s">
        <v>1652</v>
      </c>
      <c r="Q252" s="5"/>
      <c r="R252" s="5"/>
      <c r="S252" s="5" t="s">
        <v>1653</v>
      </c>
      <c r="T252" s="16" t="s">
        <v>1654</v>
      </c>
      <c r="U252" s="5" t="s">
        <v>356</v>
      </c>
    </row>
    <row r="253" spans="1:22" ht="12.75">
      <c r="A253" s="5" t="s">
        <v>1655</v>
      </c>
      <c r="B253" s="5" t="s">
        <v>365</v>
      </c>
      <c r="C253" s="5" t="s">
        <v>1656</v>
      </c>
      <c r="D253" s="5" t="s">
        <v>1657</v>
      </c>
      <c r="E253" s="11" t="s">
        <v>26</v>
      </c>
      <c r="F253" s="11">
        <v>90803</v>
      </c>
      <c r="G253" s="12">
        <v>3500</v>
      </c>
      <c r="H253" s="12">
        <v>7800</v>
      </c>
      <c r="I253" s="13">
        <v>1.2285714285714286</v>
      </c>
      <c r="J253" s="14">
        <v>45670</v>
      </c>
      <c r="K253" s="5"/>
      <c r="L253" s="5" t="s">
        <v>27</v>
      </c>
      <c r="M253" s="15" t="s">
        <v>1658</v>
      </c>
      <c r="N253" s="5"/>
      <c r="O253" s="5" t="s">
        <v>1659</v>
      </c>
      <c r="P253" s="5" t="s">
        <v>1660</v>
      </c>
      <c r="Q253" s="5"/>
      <c r="R253" s="5"/>
      <c r="S253" s="5" t="s">
        <v>114</v>
      </c>
      <c r="T253" s="5" t="s">
        <v>1661</v>
      </c>
      <c r="U253" s="5" t="s">
        <v>356</v>
      </c>
    </row>
    <row r="254" spans="1:22" ht="12.75">
      <c r="A254" s="5" t="s">
        <v>1662</v>
      </c>
      <c r="B254" s="5">
        <v>4187022001</v>
      </c>
      <c r="C254" s="5" t="s">
        <v>1663</v>
      </c>
      <c r="D254" s="5" t="s">
        <v>1096</v>
      </c>
      <c r="E254" s="11" t="s">
        <v>26</v>
      </c>
      <c r="F254" s="11">
        <v>90254</v>
      </c>
      <c r="G254" s="12">
        <v>6500</v>
      </c>
      <c r="H254" s="12">
        <v>8500</v>
      </c>
      <c r="I254" s="13">
        <v>0.30769230769230771</v>
      </c>
      <c r="J254" s="14">
        <v>45669</v>
      </c>
      <c r="K254" s="5"/>
      <c r="L254" s="5" t="s">
        <v>27</v>
      </c>
      <c r="M254" s="15" t="s">
        <v>1664</v>
      </c>
      <c r="N254" s="5"/>
      <c r="O254" s="5"/>
      <c r="P254" s="5"/>
      <c r="Q254" s="5" t="s">
        <v>1665</v>
      </c>
      <c r="R254" s="5" t="s">
        <v>1666</v>
      </c>
      <c r="S254" s="5" t="s">
        <v>114</v>
      </c>
      <c r="T254" s="5" t="s">
        <v>1667</v>
      </c>
      <c r="U254" s="5" t="s">
        <v>356</v>
      </c>
    </row>
    <row r="255" spans="1:22" ht="12.75">
      <c r="A255" s="5" t="s">
        <v>1668</v>
      </c>
      <c r="B255" s="5">
        <v>4220004040</v>
      </c>
      <c r="C255" s="5" t="s">
        <v>1669</v>
      </c>
      <c r="D255" s="5" t="s">
        <v>25</v>
      </c>
      <c r="E255" s="11" t="s">
        <v>26</v>
      </c>
      <c r="F255" s="11">
        <v>90230</v>
      </c>
      <c r="G255" s="12">
        <v>5200</v>
      </c>
      <c r="H255" s="12">
        <v>7200</v>
      </c>
      <c r="I255" s="13">
        <v>0.38461538461538464</v>
      </c>
      <c r="J255" s="14">
        <v>45669</v>
      </c>
      <c r="K255" s="5"/>
      <c r="L255" s="5" t="s">
        <v>27</v>
      </c>
      <c r="M255" s="15" t="s">
        <v>1670</v>
      </c>
      <c r="N255" s="5"/>
      <c r="O255" s="5"/>
      <c r="P255" s="5"/>
      <c r="Q255" s="5" t="s">
        <v>1671</v>
      </c>
      <c r="R255" s="5" t="s">
        <v>1672</v>
      </c>
      <c r="S255" s="5" t="s">
        <v>114</v>
      </c>
      <c r="T255" s="5" t="s">
        <v>1673</v>
      </c>
      <c r="U255" s="5" t="s">
        <v>356</v>
      </c>
    </row>
    <row r="256" spans="1:22" ht="12.75">
      <c r="A256" s="5" t="s">
        <v>1674</v>
      </c>
      <c r="B256" s="5" t="s">
        <v>365</v>
      </c>
      <c r="C256" s="5" t="s">
        <v>1675</v>
      </c>
      <c r="D256" s="5" t="s">
        <v>1096</v>
      </c>
      <c r="E256" s="11" t="s">
        <v>26</v>
      </c>
      <c r="F256" s="11">
        <v>90254</v>
      </c>
      <c r="G256" s="12">
        <v>5100</v>
      </c>
      <c r="H256" s="12">
        <v>6000</v>
      </c>
      <c r="I256" s="13">
        <v>0.17647058823529413</v>
      </c>
      <c r="J256" s="14">
        <v>45667</v>
      </c>
      <c r="K256" s="5"/>
      <c r="L256" s="5" t="s">
        <v>27</v>
      </c>
      <c r="M256" s="15" t="s">
        <v>1676</v>
      </c>
      <c r="N256" s="5"/>
      <c r="O256" s="5" t="s">
        <v>1677</v>
      </c>
      <c r="P256" s="5" t="s">
        <v>1678</v>
      </c>
      <c r="Q256" s="5"/>
      <c r="R256" s="5"/>
      <c r="S256" s="5" t="s">
        <v>114</v>
      </c>
      <c r="T256" s="16" t="s">
        <v>1679</v>
      </c>
      <c r="U256" s="5" t="s">
        <v>356</v>
      </c>
    </row>
    <row r="257" spans="1:21" ht="12.75">
      <c r="A257" s="5" t="s">
        <v>1680</v>
      </c>
      <c r="B257" s="5" t="s">
        <v>365</v>
      </c>
      <c r="C257" s="5" t="s">
        <v>1681</v>
      </c>
      <c r="D257" s="5" t="s">
        <v>1682</v>
      </c>
      <c r="E257" s="11" t="s">
        <v>26</v>
      </c>
      <c r="F257" s="11">
        <v>90210</v>
      </c>
      <c r="G257" s="12">
        <v>65000</v>
      </c>
      <c r="H257" s="12">
        <v>75000</v>
      </c>
      <c r="I257" s="13">
        <v>0.15384615384615385</v>
      </c>
      <c r="J257" s="14">
        <v>45667</v>
      </c>
      <c r="K257" s="5"/>
      <c r="L257" s="5" t="s">
        <v>27</v>
      </c>
      <c r="M257" s="15" t="s">
        <v>1683</v>
      </c>
      <c r="N257" s="5"/>
      <c r="O257" s="5" t="s">
        <v>1684</v>
      </c>
      <c r="P257" s="5" t="s">
        <v>1684</v>
      </c>
      <c r="Q257" s="5"/>
      <c r="R257" s="5"/>
      <c r="S257" s="5" t="s">
        <v>1685</v>
      </c>
      <c r="T257" s="16" t="s">
        <v>1686</v>
      </c>
      <c r="U257" s="5" t="s">
        <v>356</v>
      </c>
    </row>
    <row r="258" spans="1:21" ht="12.75">
      <c r="A258" s="5" t="s">
        <v>1687</v>
      </c>
      <c r="B258" s="5">
        <v>4384031034</v>
      </c>
      <c r="C258" s="5" t="s">
        <v>1688</v>
      </c>
      <c r="D258" s="5" t="s">
        <v>408</v>
      </c>
      <c r="E258" s="11" t="s">
        <v>26</v>
      </c>
      <c r="F258" s="11">
        <v>90210</v>
      </c>
      <c r="G258" s="12">
        <v>25000</v>
      </c>
      <c r="H258" s="12">
        <v>45000</v>
      </c>
      <c r="I258" s="13">
        <v>0.8</v>
      </c>
      <c r="J258" s="14">
        <v>45667</v>
      </c>
      <c r="K258" s="5"/>
      <c r="L258" s="5" t="s">
        <v>27</v>
      </c>
      <c r="M258" s="15" t="s">
        <v>1689</v>
      </c>
      <c r="N258" s="5"/>
      <c r="O258" s="5" t="s">
        <v>1690</v>
      </c>
      <c r="P258" s="5" t="s">
        <v>1691</v>
      </c>
      <c r="Q258" s="5"/>
      <c r="R258" s="5"/>
      <c r="S258" s="5" t="s">
        <v>114</v>
      </c>
      <c r="T258" s="16" t="s">
        <v>1692</v>
      </c>
      <c r="U258" s="5" t="s">
        <v>356</v>
      </c>
    </row>
    <row r="259" spans="1:21" ht="12.75">
      <c r="A259" s="5" t="s">
        <v>1693</v>
      </c>
      <c r="B259" s="5">
        <v>5048008049</v>
      </c>
      <c r="C259" s="5" t="s">
        <v>1694</v>
      </c>
      <c r="D259" s="5" t="s">
        <v>25</v>
      </c>
      <c r="E259" s="11" t="s">
        <v>26</v>
      </c>
      <c r="F259" s="11">
        <v>90016</v>
      </c>
      <c r="G259" s="12">
        <v>6930</v>
      </c>
      <c r="H259" s="12">
        <v>14500</v>
      </c>
      <c r="I259" s="13">
        <v>1.0923520923520924</v>
      </c>
      <c r="J259" s="14">
        <v>45670</v>
      </c>
      <c r="K259" s="5"/>
      <c r="L259" s="5" t="s">
        <v>27</v>
      </c>
      <c r="M259" s="15" t="s">
        <v>1695</v>
      </c>
      <c r="N259" s="5"/>
      <c r="O259" s="5"/>
      <c r="P259" s="5"/>
      <c r="Q259" s="5" t="s">
        <v>1696</v>
      </c>
      <c r="R259" s="5" t="s">
        <v>1697</v>
      </c>
      <c r="S259" s="5" t="s">
        <v>1698</v>
      </c>
      <c r="T259" s="5" t="s">
        <v>1699</v>
      </c>
      <c r="U259" s="5" t="s">
        <v>356</v>
      </c>
    </row>
    <row r="260" spans="1:21" ht="12.75">
      <c r="A260" s="5" t="s">
        <v>1700</v>
      </c>
      <c r="B260" s="5">
        <v>4229014069</v>
      </c>
      <c r="C260" s="5" t="s">
        <v>1701</v>
      </c>
      <c r="D260" s="5" t="s">
        <v>1702</v>
      </c>
      <c r="E260" s="11" t="s">
        <v>26</v>
      </c>
      <c r="F260" s="11">
        <v>90292</v>
      </c>
      <c r="G260" s="12">
        <v>9900</v>
      </c>
      <c r="H260" s="12">
        <v>12900</v>
      </c>
      <c r="I260" s="13">
        <v>0.30303030303030304</v>
      </c>
      <c r="J260" s="14">
        <v>45668</v>
      </c>
      <c r="K260" s="5"/>
      <c r="L260" s="5" t="s">
        <v>27</v>
      </c>
      <c r="M260" s="15" t="s">
        <v>1703</v>
      </c>
      <c r="N260" s="5"/>
      <c r="O260" s="5"/>
      <c r="P260" s="5"/>
      <c r="Q260" s="5" t="s">
        <v>1704</v>
      </c>
      <c r="R260" s="5" t="s">
        <v>1705</v>
      </c>
      <c r="S260" s="5" t="s">
        <v>114</v>
      </c>
      <c r="T260" s="16" t="s">
        <v>1706</v>
      </c>
      <c r="U260" s="5" t="s">
        <v>356</v>
      </c>
    </row>
    <row r="261" spans="1:21" ht="12.75">
      <c r="A261" s="5" t="s">
        <v>1707</v>
      </c>
      <c r="B261" s="5">
        <v>4408005008</v>
      </c>
      <c r="C261" s="5" t="s">
        <v>1708</v>
      </c>
      <c r="D261" s="5" t="s">
        <v>1709</v>
      </c>
      <c r="E261" s="11" t="s">
        <v>26</v>
      </c>
      <c r="F261" s="11">
        <v>90272</v>
      </c>
      <c r="G261" s="12">
        <v>40000</v>
      </c>
      <c r="H261" s="12">
        <v>49500</v>
      </c>
      <c r="I261" s="13">
        <v>0.23749999999999999</v>
      </c>
      <c r="J261" s="14">
        <v>45667</v>
      </c>
      <c r="K261" s="5"/>
      <c r="L261" s="5" t="s">
        <v>27</v>
      </c>
      <c r="M261" s="15" t="s">
        <v>1710</v>
      </c>
      <c r="N261" s="5"/>
      <c r="O261" s="5" t="s">
        <v>1711</v>
      </c>
      <c r="P261" s="5" t="s">
        <v>1712</v>
      </c>
      <c r="Q261" s="5"/>
      <c r="R261" s="5"/>
      <c r="S261" s="5" t="s">
        <v>1713</v>
      </c>
      <c r="T261" s="16" t="s">
        <v>1714</v>
      </c>
      <c r="U261" s="5" t="s">
        <v>356</v>
      </c>
    </row>
    <row r="262" spans="1:21" ht="12.75">
      <c r="A262" s="5" t="s">
        <v>1715</v>
      </c>
      <c r="B262" s="5">
        <v>5711009034</v>
      </c>
      <c r="C262" s="5" t="s">
        <v>1716</v>
      </c>
      <c r="D262" s="5" t="s">
        <v>559</v>
      </c>
      <c r="E262" s="11" t="s">
        <v>26</v>
      </c>
      <c r="F262" s="11">
        <v>91103</v>
      </c>
      <c r="G262" s="12">
        <v>3095</v>
      </c>
      <c r="H262" s="12">
        <v>3995</v>
      </c>
      <c r="I262" s="13">
        <v>0.29079159935379645</v>
      </c>
      <c r="J262" s="14">
        <v>45669</v>
      </c>
      <c r="K262" s="5"/>
      <c r="L262" s="5" t="s">
        <v>27</v>
      </c>
      <c r="M262" s="15" t="s">
        <v>1717</v>
      </c>
      <c r="N262" s="5"/>
      <c r="O262" s="5" t="s">
        <v>1718</v>
      </c>
      <c r="P262" s="5" t="s">
        <v>1719</v>
      </c>
      <c r="Q262" s="5"/>
      <c r="R262" s="5"/>
      <c r="S262" s="5" t="s">
        <v>114</v>
      </c>
      <c r="T262" s="5" t="s">
        <v>1720</v>
      </c>
      <c r="U262" s="5" t="s">
        <v>356</v>
      </c>
    </row>
    <row r="263" spans="1:21" ht="12.75">
      <c r="A263" s="5" t="s">
        <v>1721</v>
      </c>
      <c r="B263" s="5">
        <v>4368011012</v>
      </c>
      <c r="C263" s="5" t="s">
        <v>1305</v>
      </c>
      <c r="D263" s="5" t="s">
        <v>25</v>
      </c>
      <c r="E263" s="11" t="s">
        <v>26</v>
      </c>
      <c r="F263" s="11">
        <v>90049</v>
      </c>
      <c r="G263" s="12">
        <v>8950</v>
      </c>
      <c r="H263" s="12">
        <v>12500</v>
      </c>
      <c r="I263" s="13">
        <v>0.39664804469273746</v>
      </c>
      <c r="J263" s="14">
        <v>45669</v>
      </c>
      <c r="K263" s="5"/>
      <c r="L263" s="5" t="s">
        <v>27</v>
      </c>
      <c r="M263" s="15" t="s">
        <v>1722</v>
      </c>
      <c r="N263" s="5"/>
      <c r="P263" s="5"/>
      <c r="Q263" s="5" t="s">
        <v>1307</v>
      </c>
      <c r="R263" s="5" t="s">
        <v>1308</v>
      </c>
      <c r="S263" s="5" t="s">
        <v>114</v>
      </c>
      <c r="T263" s="16" t="s">
        <v>1723</v>
      </c>
      <c r="U263" s="5" t="s">
        <v>356</v>
      </c>
    </row>
    <row r="264" spans="1:21" ht="12.75">
      <c r="A264" s="5" t="s">
        <v>1724</v>
      </c>
      <c r="B264" s="5">
        <v>5766006019</v>
      </c>
      <c r="C264" s="5" t="s">
        <v>1725</v>
      </c>
      <c r="D264" s="5" t="s">
        <v>477</v>
      </c>
      <c r="E264" s="11" t="s">
        <v>26</v>
      </c>
      <c r="F264" s="11">
        <v>91006</v>
      </c>
      <c r="G264" s="12">
        <v>4500</v>
      </c>
      <c r="H264" s="12">
        <v>5900</v>
      </c>
      <c r="I264" s="13">
        <v>0.31111111111111112</v>
      </c>
      <c r="J264" s="14">
        <v>45669</v>
      </c>
      <c r="K264" s="5"/>
      <c r="L264" s="5" t="s">
        <v>27</v>
      </c>
      <c r="M264" s="15" t="s">
        <v>1726</v>
      </c>
      <c r="N264" s="5"/>
      <c r="O264" s="5"/>
      <c r="P264" s="5"/>
      <c r="Q264" s="5" t="s">
        <v>1727</v>
      </c>
      <c r="R264" s="5" t="s">
        <v>1728</v>
      </c>
      <c r="S264" s="5" t="s">
        <v>114</v>
      </c>
      <c r="T264" s="5" t="s">
        <v>1729</v>
      </c>
      <c r="U264" s="5" t="s">
        <v>356</v>
      </c>
    </row>
    <row r="265" spans="1:21" ht="12.75">
      <c r="A265" s="5" t="s">
        <v>1730</v>
      </c>
      <c r="B265" s="5" t="s">
        <v>365</v>
      </c>
      <c r="C265" s="5" t="s">
        <v>1731</v>
      </c>
      <c r="D265" s="5" t="s">
        <v>576</v>
      </c>
      <c r="E265" s="11" t="s">
        <v>26</v>
      </c>
      <c r="F265" s="11">
        <v>90278</v>
      </c>
      <c r="G265" s="12">
        <v>7400</v>
      </c>
      <c r="H265" s="12">
        <v>8200</v>
      </c>
      <c r="I265" s="13">
        <v>0.10810810810810811</v>
      </c>
      <c r="J265" s="14">
        <v>45669</v>
      </c>
      <c r="K265" s="5"/>
      <c r="L265" s="5" t="s">
        <v>1732</v>
      </c>
      <c r="M265" s="15" t="s">
        <v>1733</v>
      </c>
      <c r="N265" s="5"/>
      <c r="O265" s="5" t="s">
        <v>1734</v>
      </c>
      <c r="Q265" s="5"/>
      <c r="R265" s="5"/>
      <c r="S265" s="5" t="s">
        <v>114</v>
      </c>
      <c r="T265" s="16" t="s">
        <v>1735</v>
      </c>
      <c r="U265" s="5" t="s">
        <v>356</v>
      </c>
    </row>
    <row r="266" spans="1:21" ht="12.75">
      <c r="A266" s="5" t="s">
        <v>1736</v>
      </c>
      <c r="B266" s="5" t="s">
        <v>365</v>
      </c>
      <c r="C266" s="5" t="s">
        <v>1737</v>
      </c>
      <c r="D266" s="5" t="s">
        <v>1109</v>
      </c>
      <c r="E266" s="11" t="s">
        <v>26</v>
      </c>
      <c r="F266" s="11">
        <v>90266</v>
      </c>
      <c r="G266" s="12">
        <v>25000</v>
      </c>
      <c r="H266" s="12">
        <v>35000</v>
      </c>
      <c r="I266" s="13">
        <v>0.4</v>
      </c>
      <c r="J266" s="14">
        <v>45668</v>
      </c>
      <c r="K266" s="5"/>
      <c r="L266" s="5" t="s">
        <v>1732</v>
      </c>
      <c r="M266" s="15" t="s">
        <v>1738</v>
      </c>
      <c r="N266" s="5"/>
      <c r="O266" s="5" t="s">
        <v>1739</v>
      </c>
      <c r="Q266" s="5"/>
      <c r="R266" s="5"/>
      <c r="S266" s="5" t="s">
        <v>114</v>
      </c>
      <c r="T266" s="16" t="s">
        <v>1740</v>
      </c>
      <c r="U266" s="5" t="s">
        <v>356</v>
      </c>
    </row>
    <row r="267" spans="1:21" ht="12.75">
      <c r="A267" s="5" t="s">
        <v>1741</v>
      </c>
      <c r="B267" s="5">
        <v>4116014007</v>
      </c>
      <c r="C267" s="5" t="s">
        <v>1742</v>
      </c>
      <c r="D267" s="5" t="s">
        <v>1743</v>
      </c>
      <c r="E267" s="11" t="s">
        <v>26</v>
      </c>
      <c r="F267" s="11">
        <v>90293</v>
      </c>
      <c r="G267" s="12">
        <v>4000</v>
      </c>
      <c r="H267" s="12">
        <v>12000</v>
      </c>
      <c r="I267" s="13">
        <v>2</v>
      </c>
      <c r="J267" s="14">
        <v>45668</v>
      </c>
      <c r="K267" s="5"/>
      <c r="L267" s="5" t="s">
        <v>27</v>
      </c>
      <c r="M267" s="15" t="s">
        <v>1744</v>
      </c>
      <c r="N267" s="5"/>
      <c r="O267" s="5" t="s">
        <v>1745</v>
      </c>
      <c r="P267" s="5">
        <v>3109224626</v>
      </c>
      <c r="Q267" s="5"/>
      <c r="R267" s="5"/>
      <c r="S267" s="5" t="s">
        <v>1228</v>
      </c>
      <c r="T267" s="5" t="s">
        <v>1746</v>
      </c>
      <c r="U267" s="5" t="s">
        <v>356</v>
      </c>
    </row>
    <row r="268" spans="1:21" ht="12.75">
      <c r="A268" s="5" t="s">
        <v>1747</v>
      </c>
      <c r="B268" s="5" t="s">
        <v>365</v>
      </c>
      <c r="C268" s="5" t="s">
        <v>1748</v>
      </c>
      <c r="D268" s="5" t="s">
        <v>353</v>
      </c>
      <c r="E268" s="11" t="s">
        <v>26</v>
      </c>
      <c r="F268" s="11">
        <v>90006</v>
      </c>
      <c r="G268" s="12">
        <v>3200</v>
      </c>
      <c r="H268" s="12">
        <v>5400</v>
      </c>
      <c r="I268" s="13">
        <v>0.6875</v>
      </c>
      <c r="J268" s="14">
        <v>45668</v>
      </c>
      <c r="K268" s="5"/>
      <c r="L268" s="5" t="s">
        <v>27</v>
      </c>
      <c r="M268" s="15" t="s">
        <v>1749</v>
      </c>
      <c r="N268" s="5"/>
      <c r="O268" s="5" t="s">
        <v>1750</v>
      </c>
      <c r="P268" s="5" t="s">
        <v>1751</v>
      </c>
      <c r="Q268" s="5"/>
      <c r="R268" s="5"/>
      <c r="S268" s="5" t="s">
        <v>114</v>
      </c>
      <c r="T268" s="16" t="s">
        <v>1752</v>
      </c>
      <c r="U268" s="5" t="s">
        <v>356</v>
      </c>
    </row>
    <row r="269" spans="1:21" ht="12.75">
      <c r="A269" s="5" t="s">
        <v>1753</v>
      </c>
      <c r="B269" s="5" t="s">
        <v>365</v>
      </c>
      <c r="C269" s="5" t="s">
        <v>1754</v>
      </c>
      <c r="D269" s="5" t="s">
        <v>353</v>
      </c>
      <c r="E269" s="11" t="s">
        <v>26</v>
      </c>
      <c r="F269" s="11">
        <v>90005</v>
      </c>
      <c r="G269" s="12">
        <v>5200</v>
      </c>
      <c r="H269" s="12">
        <v>5800</v>
      </c>
      <c r="I269" s="13">
        <v>0.11538461538461539</v>
      </c>
      <c r="J269" s="14">
        <v>45670</v>
      </c>
      <c r="K269" s="5"/>
      <c r="L269" s="5" t="s">
        <v>27</v>
      </c>
      <c r="M269" s="15" t="s">
        <v>1755</v>
      </c>
      <c r="N269" s="5"/>
      <c r="O269" s="5"/>
      <c r="P269" s="5"/>
      <c r="Q269" s="5" t="s">
        <v>1756</v>
      </c>
      <c r="R269" s="5" t="s">
        <v>1757</v>
      </c>
      <c r="S269" s="5" t="s">
        <v>114</v>
      </c>
      <c r="T269" s="16" t="s">
        <v>1758</v>
      </c>
      <c r="U269" s="5" t="s">
        <v>356</v>
      </c>
    </row>
    <row r="270" spans="1:21" ht="12.75">
      <c r="A270" s="5" t="s">
        <v>1759</v>
      </c>
      <c r="B270" s="5" t="s">
        <v>365</v>
      </c>
      <c r="C270" s="5" t="s">
        <v>1760</v>
      </c>
      <c r="D270" s="5" t="s">
        <v>25</v>
      </c>
      <c r="E270" s="11" t="s">
        <v>26</v>
      </c>
      <c r="F270" s="11">
        <v>90048</v>
      </c>
      <c r="G270" s="12">
        <v>2500</v>
      </c>
      <c r="H270" s="12">
        <v>3500</v>
      </c>
      <c r="I270" s="13">
        <v>0.4</v>
      </c>
      <c r="J270" s="14">
        <v>45669</v>
      </c>
      <c r="K270" s="5"/>
      <c r="L270" s="5" t="s">
        <v>27</v>
      </c>
      <c r="M270" s="15" t="s">
        <v>1761</v>
      </c>
      <c r="N270" s="5"/>
      <c r="O270" s="5"/>
      <c r="P270" s="5"/>
      <c r="Q270" s="5" t="s">
        <v>1762</v>
      </c>
      <c r="R270" s="5" t="s">
        <v>1763</v>
      </c>
      <c r="S270" s="5" t="s">
        <v>114</v>
      </c>
      <c r="T270" s="16" t="s">
        <v>1764</v>
      </c>
      <c r="U270" s="5" t="s">
        <v>356</v>
      </c>
    </row>
    <row r="271" spans="1:21" ht="12.75">
      <c r="A271" s="5" t="s">
        <v>1765</v>
      </c>
      <c r="B271" s="5">
        <v>5525009014</v>
      </c>
      <c r="C271" s="5" t="s">
        <v>1766</v>
      </c>
      <c r="D271" s="5" t="s">
        <v>25</v>
      </c>
      <c r="E271" s="11" t="s">
        <v>26</v>
      </c>
      <c r="F271" s="11">
        <v>90046</v>
      </c>
      <c r="G271" s="12">
        <v>18000</v>
      </c>
      <c r="H271" s="12">
        <v>30000</v>
      </c>
      <c r="I271" s="13">
        <v>0.66666666666666663</v>
      </c>
      <c r="J271" s="14">
        <v>45667</v>
      </c>
      <c r="K271" s="5"/>
      <c r="L271" s="5" t="s">
        <v>27</v>
      </c>
      <c r="M271" s="15" t="s">
        <v>1767</v>
      </c>
      <c r="N271" s="5"/>
      <c r="O271" s="5" t="s">
        <v>1768</v>
      </c>
      <c r="P271" s="5" t="s">
        <v>1769</v>
      </c>
      <c r="Q271" s="5"/>
      <c r="R271" s="5"/>
      <c r="S271" s="5" t="s">
        <v>1072</v>
      </c>
      <c r="T271" s="16" t="s">
        <v>1770</v>
      </c>
      <c r="U271" s="5" t="s">
        <v>356</v>
      </c>
    </row>
    <row r="272" spans="1:21" ht="12.75">
      <c r="A272" s="5" t="s">
        <v>1771</v>
      </c>
      <c r="B272" s="5" t="s">
        <v>365</v>
      </c>
      <c r="C272" s="5" t="s">
        <v>1772</v>
      </c>
      <c r="D272" s="5" t="s">
        <v>25</v>
      </c>
      <c r="E272" s="11" t="s">
        <v>26</v>
      </c>
      <c r="F272" s="11">
        <v>90046</v>
      </c>
      <c r="G272" s="12">
        <v>2850</v>
      </c>
      <c r="H272" s="12">
        <v>5995</v>
      </c>
      <c r="I272" s="13">
        <v>1.1035087719298247</v>
      </c>
      <c r="J272" s="14">
        <v>45669</v>
      </c>
      <c r="K272" s="5"/>
      <c r="L272" s="5" t="s">
        <v>27</v>
      </c>
      <c r="M272" s="15" t="s">
        <v>1773</v>
      </c>
      <c r="N272" s="5"/>
      <c r="O272" s="5" t="s">
        <v>1774</v>
      </c>
      <c r="P272" s="5" t="s">
        <v>1775</v>
      </c>
      <c r="Q272" s="5"/>
      <c r="R272" s="5"/>
      <c r="S272" s="5" t="s">
        <v>1414</v>
      </c>
      <c r="T272" s="16" t="s">
        <v>1776</v>
      </c>
      <c r="U272" s="5" t="s">
        <v>356</v>
      </c>
    </row>
    <row r="273" spans="1:21" ht="12.75">
      <c r="A273" s="5" t="s">
        <v>1777</v>
      </c>
      <c r="B273" s="5">
        <v>5556031008</v>
      </c>
      <c r="C273" s="5" t="s">
        <v>1778</v>
      </c>
      <c r="D273" s="5" t="s">
        <v>367</v>
      </c>
      <c r="E273" s="11" t="s">
        <v>26</v>
      </c>
      <c r="F273" s="11">
        <v>90069</v>
      </c>
      <c r="G273" s="12">
        <v>26000</v>
      </c>
      <c r="H273" s="12">
        <v>30000</v>
      </c>
      <c r="I273" s="13">
        <v>0.15384615384615385</v>
      </c>
      <c r="J273" s="14">
        <v>45666</v>
      </c>
      <c r="K273" s="5"/>
      <c r="L273" s="5" t="s">
        <v>27</v>
      </c>
      <c r="M273" s="15" t="s">
        <v>1779</v>
      </c>
      <c r="N273" s="5"/>
      <c r="O273" s="5" t="s">
        <v>1780</v>
      </c>
      <c r="P273" s="5">
        <v>3104642321</v>
      </c>
      <c r="Q273" s="5"/>
      <c r="R273" s="5"/>
      <c r="S273" s="5" t="s">
        <v>1781</v>
      </c>
      <c r="T273" s="16" t="s">
        <v>1782</v>
      </c>
      <c r="U273" s="5" t="s">
        <v>356</v>
      </c>
    </row>
    <row r="274" spans="1:21" ht="12.75">
      <c r="A274" s="5" t="s">
        <v>1783</v>
      </c>
      <c r="B274" s="5" t="s">
        <v>365</v>
      </c>
      <c r="C274" s="5" t="s">
        <v>1498</v>
      </c>
      <c r="D274" s="5" t="s">
        <v>1709</v>
      </c>
      <c r="E274" s="11" t="s">
        <v>26</v>
      </c>
      <c r="F274" s="11">
        <v>90272</v>
      </c>
      <c r="G274" s="12">
        <v>8900</v>
      </c>
      <c r="H274" s="12">
        <v>18500</v>
      </c>
      <c r="I274" s="13">
        <v>1.0786516853932584</v>
      </c>
      <c r="J274" s="14">
        <v>45670</v>
      </c>
      <c r="K274" s="5"/>
      <c r="L274" s="5" t="s">
        <v>27</v>
      </c>
      <c r="M274" s="15" t="s">
        <v>1784</v>
      </c>
      <c r="N274" s="5"/>
      <c r="O274" s="5"/>
      <c r="P274" s="5"/>
      <c r="Q274" s="5" t="s">
        <v>1785</v>
      </c>
      <c r="R274" s="5">
        <v>2135616952</v>
      </c>
      <c r="S274" s="5" t="s">
        <v>1786</v>
      </c>
      <c r="T274" s="16" t="s">
        <v>1787</v>
      </c>
      <c r="U274" s="5" t="s">
        <v>356</v>
      </c>
    </row>
    <row r="275" spans="1:21" ht="12.75">
      <c r="A275" s="5" t="s">
        <v>1788</v>
      </c>
      <c r="B275" s="5" t="s">
        <v>365</v>
      </c>
      <c r="C275" s="5" t="s">
        <v>1789</v>
      </c>
      <c r="D275" s="5" t="s">
        <v>1445</v>
      </c>
      <c r="E275" s="11" t="s">
        <v>26</v>
      </c>
      <c r="F275" s="11">
        <v>91367</v>
      </c>
      <c r="G275" s="12">
        <v>3900</v>
      </c>
      <c r="H275" s="12">
        <v>5900</v>
      </c>
      <c r="I275" s="13">
        <v>0.51282051282051277</v>
      </c>
      <c r="J275" s="14">
        <v>45670</v>
      </c>
      <c r="K275" s="5"/>
      <c r="L275" s="5" t="s">
        <v>27</v>
      </c>
      <c r="M275" s="15" t="s">
        <v>1790</v>
      </c>
      <c r="N275" s="5"/>
      <c r="O275" s="5" t="s">
        <v>1791</v>
      </c>
      <c r="P275" s="5" t="s">
        <v>1792</v>
      </c>
      <c r="Q275" s="5"/>
      <c r="R275" s="5"/>
      <c r="S275" s="5" t="s">
        <v>114</v>
      </c>
      <c r="T275" s="5" t="s">
        <v>1793</v>
      </c>
      <c r="U275" s="5" t="s">
        <v>356</v>
      </c>
    </row>
    <row r="276" spans="1:21" ht="12.75">
      <c r="A276" s="5" t="s">
        <v>1794</v>
      </c>
      <c r="B276" s="5">
        <v>7156014016</v>
      </c>
      <c r="C276" s="5" t="s">
        <v>1795</v>
      </c>
      <c r="D276" s="5" t="s">
        <v>1796</v>
      </c>
      <c r="E276" s="11" t="s">
        <v>26</v>
      </c>
      <c r="F276" s="11">
        <v>90712</v>
      </c>
      <c r="G276" s="12">
        <v>7900</v>
      </c>
      <c r="H276" s="12">
        <v>8900</v>
      </c>
      <c r="I276" s="13">
        <v>0.12658227848101267</v>
      </c>
      <c r="J276" s="14">
        <v>45668</v>
      </c>
      <c r="K276" s="5"/>
      <c r="L276" s="5" t="s">
        <v>27</v>
      </c>
      <c r="M276" s="15" t="s">
        <v>1797</v>
      </c>
      <c r="O276" s="5"/>
      <c r="P276" s="5"/>
      <c r="Q276" s="5" t="s">
        <v>1798</v>
      </c>
      <c r="R276" s="5">
        <v>5624000833</v>
      </c>
      <c r="S276" s="5" t="s">
        <v>1799</v>
      </c>
      <c r="T276" s="5" t="s">
        <v>1800</v>
      </c>
      <c r="U276" s="5" t="s">
        <v>356</v>
      </c>
    </row>
    <row r="277" spans="1:21" ht="12.75">
      <c r="A277" s="5" t="s">
        <v>1801</v>
      </c>
      <c r="B277" s="5">
        <v>4357015003</v>
      </c>
      <c r="C277" s="5" t="s">
        <v>1802</v>
      </c>
      <c r="D277" s="5" t="s">
        <v>408</v>
      </c>
      <c r="E277" s="11" t="s">
        <v>26</v>
      </c>
      <c r="F277" s="11">
        <v>90210</v>
      </c>
      <c r="G277" s="12">
        <v>15750</v>
      </c>
      <c r="H277" s="12">
        <v>24995</v>
      </c>
      <c r="I277" s="13">
        <v>0.58698412698412694</v>
      </c>
      <c r="J277" s="14">
        <v>45670</v>
      </c>
      <c r="K277" s="5"/>
      <c r="L277" s="5" t="s">
        <v>27</v>
      </c>
      <c r="M277" s="15" t="s">
        <v>1803</v>
      </c>
      <c r="N277" s="5"/>
      <c r="O277" s="5" t="s">
        <v>1804</v>
      </c>
      <c r="P277" s="5" t="s">
        <v>1805</v>
      </c>
      <c r="Q277" s="5"/>
      <c r="R277" s="5"/>
      <c r="S277" s="5" t="s">
        <v>1806</v>
      </c>
      <c r="T277" s="16" t="s">
        <v>1807</v>
      </c>
      <c r="U277" s="5" t="s">
        <v>356</v>
      </c>
    </row>
    <row r="278" spans="1:21" ht="12.75">
      <c r="A278" s="5" t="s">
        <v>1808</v>
      </c>
      <c r="B278" s="5" t="s">
        <v>365</v>
      </c>
      <c r="C278" s="5" t="s">
        <v>1531</v>
      </c>
      <c r="D278" s="5" t="s">
        <v>25</v>
      </c>
      <c r="E278" s="11" t="s">
        <v>26</v>
      </c>
      <c r="F278" s="11">
        <v>90077</v>
      </c>
      <c r="G278" s="12">
        <v>19000</v>
      </c>
      <c r="H278" s="12">
        <v>25000</v>
      </c>
      <c r="I278" s="13">
        <v>0.31578947368421051</v>
      </c>
      <c r="J278" s="14">
        <v>45670</v>
      </c>
      <c r="K278" s="5"/>
      <c r="L278" s="5" t="s">
        <v>648</v>
      </c>
      <c r="M278" s="15" t="s">
        <v>1809</v>
      </c>
      <c r="N278" s="5"/>
      <c r="O278" s="5"/>
      <c r="Q278" s="5"/>
      <c r="R278" s="5"/>
      <c r="S278" s="5" t="s">
        <v>1810</v>
      </c>
      <c r="T278" s="16" t="s">
        <v>1811</v>
      </c>
      <c r="U278" s="5" t="s">
        <v>356</v>
      </c>
    </row>
    <row r="279" spans="1:21" ht="12.75">
      <c r="A279" s="5" t="s">
        <v>1812</v>
      </c>
      <c r="B279" s="5" t="s">
        <v>365</v>
      </c>
      <c r="C279" s="5" t="s">
        <v>1813</v>
      </c>
      <c r="D279" s="5" t="s">
        <v>25</v>
      </c>
      <c r="E279" s="11" t="s">
        <v>26</v>
      </c>
      <c r="F279" s="11">
        <v>90026</v>
      </c>
      <c r="G279" s="12">
        <v>4500</v>
      </c>
      <c r="H279" s="12">
        <v>5500</v>
      </c>
      <c r="I279" s="13">
        <v>0.22222222222222221</v>
      </c>
      <c r="J279" s="14">
        <v>45304</v>
      </c>
      <c r="K279" s="5"/>
      <c r="L279" s="5" t="s">
        <v>27</v>
      </c>
      <c r="M279" s="15" t="s">
        <v>1814</v>
      </c>
      <c r="N279" s="5"/>
      <c r="O279" s="5" t="s">
        <v>1815</v>
      </c>
      <c r="P279" s="5">
        <v>3107807375</v>
      </c>
      <c r="Q279" s="5" t="s">
        <v>1815</v>
      </c>
      <c r="R279" s="5">
        <v>3107807375</v>
      </c>
      <c r="S279" s="5" t="s">
        <v>1816</v>
      </c>
      <c r="T279" s="5" t="s">
        <v>1817</v>
      </c>
      <c r="U279" s="5"/>
    </row>
    <row r="280" spans="1:21" ht="12.75">
      <c r="A280" s="5" t="s">
        <v>1818</v>
      </c>
      <c r="B280" s="5">
        <v>4178006020</v>
      </c>
      <c r="C280" s="5" t="s">
        <v>1819</v>
      </c>
      <c r="D280" s="5" t="s">
        <v>1109</v>
      </c>
      <c r="E280" s="11" t="s">
        <v>26</v>
      </c>
      <c r="F280" s="11">
        <v>90266</v>
      </c>
      <c r="G280" s="12">
        <v>10000</v>
      </c>
      <c r="H280" s="12">
        <v>19700</v>
      </c>
      <c r="I280" s="13">
        <v>0.97</v>
      </c>
      <c r="J280" s="14">
        <v>45669</v>
      </c>
      <c r="K280" s="5"/>
      <c r="L280" s="5" t="s">
        <v>27</v>
      </c>
      <c r="M280" s="15" t="s">
        <v>1820</v>
      </c>
      <c r="N280" s="5"/>
      <c r="O280" s="5"/>
      <c r="P280" s="5"/>
      <c r="Q280" s="5" t="s">
        <v>1821</v>
      </c>
      <c r="R280" s="5"/>
      <c r="S280" s="5" t="s">
        <v>114</v>
      </c>
      <c r="T280" s="5" t="s">
        <v>1822</v>
      </c>
      <c r="U280" s="5"/>
    </row>
    <row r="281" spans="1:21" ht="12.75">
      <c r="A281" s="5" t="s">
        <v>1823</v>
      </c>
      <c r="B281" s="5">
        <v>2706011050</v>
      </c>
      <c r="C281" s="5" t="s">
        <v>1824</v>
      </c>
      <c r="D281" s="5" t="s">
        <v>1825</v>
      </c>
      <c r="E281" s="11" t="s">
        <v>26</v>
      </c>
      <c r="F281" s="11">
        <v>91311</v>
      </c>
      <c r="G281" s="12">
        <v>1800</v>
      </c>
      <c r="H281" s="12">
        <v>4500</v>
      </c>
      <c r="I281" s="13">
        <v>1.5</v>
      </c>
      <c r="J281" s="14">
        <v>45666</v>
      </c>
      <c r="K281" s="5"/>
      <c r="L281" s="5" t="s">
        <v>27</v>
      </c>
      <c r="M281" s="15" t="s">
        <v>1826</v>
      </c>
      <c r="N281" s="5"/>
      <c r="O281" s="5" t="s">
        <v>1827</v>
      </c>
      <c r="P281" s="5" t="s">
        <v>1828</v>
      </c>
      <c r="Q281" s="5"/>
      <c r="R281" s="5"/>
      <c r="S281" s="5" t="s">
        <v>1829</v>
      </c>
      <c r="T281" s="5" t="s">
        <v>1830</v>
      </c>
      <c r="U281" s="5"/>
    </row>
    <row r="282" spans="1:21" ht="12.75">
      <c r="A282" s="5" t="s">
        <v>1831</v>
      </c>
      <c r="B282" s="5">
        <v>2010006011</v>
      </c>
      <c r="C282" s="5" t="s">
        <v>1832</v>
      </c>
      <c r="D282" s="5" t="s">
        <v>79</v>
      </c>
      <c r="E282" s="11" t="s">
        <v>26</v>
      </c>
      <c r="F282" s="11">
        <v>91304</v>
      </c>
      <c r="G282" s="12">
        <v>14000</v>
      </c>
      <c r="H282" s="12">
        <v>19900</v>
      </c>
      <c r="I282" s="13">
        <v>0.42142857142857143</v>
      </c>
      <c r="J282" s="14">
        <v>45665</v>
      </c>
      <c r="K282" s="5"/>
      <c r="L282" s="5" t="s">
        <v>27</v>
      </c>
      <c r="M282" s="15" t="s">
        <v>1833</v>
      </c>
      <c r="N282" s="5" t="b">
        <v>0</v>
      </c>
      <c r="O282" s="5" t="s">
        <v>1834</v>
      </c>
      <c r="P282" s="5" t="s">
        <v>1835</v>
      </c>
      <c r="Q282" s="5"/>
      <c r="R282" s="5"/>
      <c r="S282" s="5" t="s">
        <v>1836</v>
      </c>
      <c r="T282" s="5" t="s">
        <v>1837</v>
      </c>
      <c r="U282" s="5"/>
    </row>
    <row r="283" spans="1:21" ht="12.75">
      <c r="A283" s="5" t="s">
        <v>1838</v>
      </c>
      <c r="B283" s="5">
        <v>1880191225</v>
      </c>
      <c r="C283" s="5" t="s">
        <v>1839</v>
      </c>
      <c r="D283" s="5" t="s">
        <v>1840</v>
      </c>
      <c r="E283" s="11" t="s">
        <v>26</v>
      </c>
      <c r="F283" s="11">
        <v>93035</v>
      </c>
      <c r="G283" s="12">
        <v>9000</v>
      </c>
      <c r="H283" s="12">
        <v>13000</v>
      </c>
      <c r="I283" s="13">
        <v>0.44444444444444442</v>
      </c>
      <c r="J283" s="14">
        <v>45667</v>
      </c>
      <c r="K283" s="5"/>
      <c r="L283" s="5" t="s">
        <v>27</v>
      </c>
      <c r="M283" s="15" t="s">
        <v>1841</v>
      </c>
      <c r="N283" s="5" t="b">
        <v>0</v>
      </c>
      <c r="O283" s="5" t="s">
        <v>1842</v>
      </c>
      <c r="P283" s="5" t="s">
        <v>1843</v>
      </c>
      <c r="Q283" s="5" t="s">
        <v>1844</v>
      </c>
      <c r="R283" s="5"/>
      <c r="S283" s="5" t="s">
        <v>1845</v>
      </c>
      <c r="T283" s="16" t="s">
        <v>1846</v>
      </c>
      <c r="U283" s="5"/>
    </row>
    <row r="284" spans="1:21" ht="12.75">
      <c r="A284" s="5" t="s">
        <v>1847</v>
      </c>
      <c r="B284" s="5">
        <v>2021004017</v>
      </c>
      <c r="C284" s="5" t="s">
        <v>1848</v>
      </c>
      <c r="D284" s="5" t="s">
        <v>79</v>
      </c>
      <c r="E284" s="11" t="s">
        <v>26</v>
      </c>
      <c r="F284" s="11">
        <v>91307</v>
      </c>
      <c r="G284" s="12">
        <v>3995</v>
      </c>
      <c r="H284" s="12">
        <v>4900</v>
      </c>
      <c r="I284" s="13">
        <v>0.22653316645807259</v>
      </c>
      <c r="J284" s="14">
        <v>45665</v>
      </c>
      <c r="K284" s="5"/>
      <c r="L284" s="5" t="s">
        <v>27</v>
      </c>
      <c r="M284" s="15" t="s">
        <v>1849</v>
      </c>
      <c r="N284" s="5" t="b">
        <v>0</v>
      </c>
      <c r="O284" s="5" t="s">
        <v>1850</v>
      </c>
      <c r="P284" s="5">
        <v>3233752974</v>
      </c>
      <c r="Q284" s="5"/>
      <c r="R284" s="5"/>
      <c r="S284" s="5" t="s">
        <v>114</v>
      </c>
      <c r="T284" s="5" t="s">
        <v>1851</v>
      </c>
      <c r="U284" s="5"/>
    </row>
    <row r="285" spans="1:21" ht="12.75">
      <c r="A285" s="5" t="s">
        <v>1852</v>
      </c>
      <c r="B285" s="5">
        <v>2021022020</v>
      </c>
      <c r="C285" s="5" t="s">
        <v>1853</v>
      </c>
      <c r="D285" s="5" t="s">
        <v>79</v>
      </c>
      <c r="E285" s="11" t="s">
        <v>26</v>
      </c>
      <c r="F285" s="11">
        <v>91307</v>
      </c>
      <c r="G285" s="12">
        <v>5300</v>
      </c>
      <c r="H285" s="12">
        <v>7000</v>
      </c>
      <c r="I285" s="13">
        <v>0.32075471698113206</v>
      </c>
      <c r="J285" s="14">
        <v>45665</v>
      </c>
      <c r="K285" s="5"/>
      <c r="L285" s="5" t="s">
        <v>27</v>
      </c>
      <c r="M285" s="15" t="s">
        <v>1854</v>
      </c>
      <c r="N285" s="5" t="b">
        <v>0</v>
      </c>
      <c r="O285" s="5" t="s">
        <v>1855</v>
      </c>
      <c r="P285" s="5" t="s">
        <v>1856</v>
      </c>
      <c r="Q285" s="5"/>
      <c r="R285" s="5"/>
      <c r="S285" s="5" t="s">
        <v>114</v>
      </c>
      <c r="T285" s="5" t="s">
        <v>1857</v>
      </c>
      <c r="U285" s="5"/>
    </row>
    <row r="286" spans="1:21" ht="12.75">
      <c r="A286" s="5" t="s">
        <v>1858</v>
      </c>
      <c r="B286" s="5">
        <v>4387029012</v>
      </c>
      <c r="C286" s="5" t="s">
        <v>1859</v>
      </c>
      <c r="D286" s="5" t="s">
        <v>408</v>
      </c>
      <c r="E286" s="11" t="s">
        <v>26</v>
      </c>
      <c r="F286" s="11">
        <v>90210</v>
      </c>
      <c r="G286" s="12">
        <v>8500</v>
      </c>
      <c r="H286" s="12">
        <v>15000</v>
      </c>
      <c r="I286" s="13">
        <v>0.76470588235294112</v>
      </c>
      <c r="J286" s="14">
        <v>45669</v>
      </c>
      <c r="K286" s="5"/>
      <c r="L286" s="5" t="s">
        <v>27</v>
      </c>
      <c r="M286" s="15" t="s">
        <v>1860</v>
      </c>
      <c r="N286" s="5" t="b">
        <v>0</v>
      </c>
      <c r="O286" s="5" t="s">
        <v>1861</v>
      </c>
      <c r="P286" s="5" t="s">
        <v>1862</v>
      </c>
      <c r="Q286" s="5"/>
      <c r="R286" s="5"/>
      <c r="S286" s="5" t="s">
        <v>114</v>
      </c>
      <c r="T286" s="16" t="s">
        <v>1863</v>
      </c>
      <c r="U286" s="5"/>
    </row>
    <row r="287" spans="1:21" ht="12.75">
      <c r="A287" s="5" t="s">
        <v>1864</v>
      </c>
      <c r="B287" s="5">
        <v>5215015017</v>
      </c>
      <c r="C287" s="5" t="s">
        <v>1865</v>
      </c>
      <c r="D287" s="5" t="s">
        <v>25</v>
      </c>
      <c r="E287" s="11" t="s">
        <v>26</v>
      </c>
      <c r="F287" s="11">
        <v>90032</v>
      </c>
      <c r="G287" s="12">
        <v>4995</v>
      </c>
      <c r="H287" s="12">
        <v>5995</v>
      </c>
      <c r="I287" s="13">
        <v>0.20020020020020021</v>
      </c>
      <c r="J287" s="14">
        <v>45669</v>
      </c>
      <c r="K287" s="5"/>
      <c r="L287" s="5" t="s">
        <v>27</v>
      </c>
      <c r="M287" s="15" t="s">
        <v>1866</v>
      </c>
      <c r="N287" s="5" t="b">
        <v>0</v>
      </c>
      <c r="O287" s="5" t="s">
        <v>1867</v>
      </c>
      <c r="P287" s="5" t="s">
        <v>1868</v>
      </c>
      <c r="Q287" s="5"/>
      <c r="R287" s="5"/>
      <c r="S287" s="5" t="s">
        <v>114</v>
      </c>
      <c r="T287" s="16" t="s">
        <v>1869</v>
      </c>
      <c r="U287" s="5" t="s">
        <v>356</v>
      </c>
    </row>
    <row r="288" spans="1:21" ht="12.75">
      <c r="A288" s="5" t="s">
        <v>1870</v>
      </c>
      <c r="B288" s="5">
        <v>4286025001</v>
      </c>
      <c r="C288" s="5" t="s">
        <v>1871</v>
      </c>
      <c r="D288" s="5" t="s">
        <v>380</v>
      </c>
      <c r="E288" s="11" t="s">
        <v>26</v>
      </c>
      <c r="F288" s="11">
        <v>90291</v>
      </c>
      <c r="G288" s="12">
        <v>7995</v>
      </c>
      <c r="H288" s="12">
        <v>30000</v>
      </c>
      <c r="I288" s="13">
        <v>2.75234521575985</v>
      </c>
      <c r="J288" s="14">
        <v>45670</v>
      </c>
      <c r="K288" s="5"/>
      <c r="L288" s="5" t="s">
        <v>27</v>
      </c>
      <c r="M288" s="15" t="s">
        <v>1872</v>
      </c>
      <c r="N288" s="5" t="b">
        <v>0</v>
      </c>
      <c r="O288" s="5" t="s">
        <v>1873</v>
      </c>
      <c r="P288" s="5" t="s">
        <v>1874</v>
      </c>
      <c r="Q288" s="5"/>
      <c r="R288" s="5"/>
      <c r="S288" s="5" t="s">
        <v>1875</v>
      </c>
      <c r="T288" s="16" t="s">
        <v>1876</v>
      </c>
      <c r="U288" s="5" t="s">
        <v>356</v>
      </c>
    </row>
    <row r="289" spans="1:21" ht="12.75">
      <c r="A289" s="5" t="s">
        <v>1877</v>
      </c>
      <c r="B289" s="5">
        <v>5514010050</v>
      </c>
      <c r="C289" s="5" t="s">
        <v>1878</v>
      </c>
      <c r="D289" s="5" t="s">
        <v>1879</v>
      </c>
      <c r="E289" s="11" t="s">
        <v>26</v>
      </c>
      <c r="F289" s="11">
        <v>90048</v>
      </c>
      <c r="G289" s="12">
        <v>14000</v>
      </c>
      <c r="H289" s="12">
        <v>25000</v>
      </c>
      <c r="I289" s="13">
        <v>0.7857142857142857</v>
      </c>
      <c r="J289" s="14">
        <v>45670</v>
      </c>
      <c r="K289" s="5"/>
      <c r="L289" s="5" t="s">
        <v>27</v>
      </c>
      <c r="M289" s="15" t="s">
        <v>1880</v>
      </c>
      <c r="N289" s="5" t="b">
        <v>0</v>
      </c>
      <c r="O289" s="5"/>
      <c r="Q289" s="5"/>
      <c r="R289" s="5"/>
      <c r="S289" s="5" t="s">
        <v>1881</v>
      </c>
      <c r="T289" s="16" t="s">
        <v>1882</v>
      </c>
      <c r="U289" s="5" t="s">
        <v>356</v>
      </c>
    </row>
    <row r="290" spans="1:21" ht="12.75">
      <c r="A290" s="5" t="s">
        <v>1883</v>
      </c>
      <c r="B290" s="5">
        <v>2013030032</v>
      </c>
      <c r="C290" s="5" t="s">
        <v>1884</v>
      </c>
      <c r="D290" s="5" t="s">
        <v>79</v>
      </c>
      <c r="E290" s="11" t="s">
        <v>26</v>
      </c>
      <c r="F290" s="11">
        <v>91304</v>
      </c>
      <c r="G290" s="12">
        <v>9000</v>
      </c>
      <c r="H290" s="12">
        <v>10000</v>
      </c>
      <c r="I290" s="13">
        <v>0.1111111111111111</v>
      </c>
      <c r="J290" s="14">
        <v>45665</v>
      </c>
      <c r="K290" s="5"/>
      <c r="L290" s="5" t="s">
        <v>27</v>
      </c>
      <c r="M290" s="15" t="s">
        <v>1885</v>
      </c>
      <c r="N290" s="5" t="b">
        <v>0</v>
      </c>
      <c r="O290" s="5" t="s">
        <v>1886</v>
      </c>
      <c r="P290" s="5" t="s">
        <v>1887</v>
      </c>
      <c r="Q290" s="5"/>
      <c r="R290" s="5"/>
      <c r="S290" s="5" t="s">
        <v>1888</v>
      </c>
      <c r="T290" s="5" t="s">
        <v>1889</v>
      </c>
      <c r="U290" s="5" t="s">
        <v>356</v>
      </c>
    </row>
    <row r="291" spans="1:21" ht="12.75">
      <c r="A291" s="5" t="s">
        <v>1890</v>
      </c>
      <c r="B291" s="5">
        <v>5556015005</v>
      </c>
      <c r="C291" s="5" t="s">
        <v>1891</v>
      </c>
      <c r="D291" s="5" t="s">
        <v>25</v>
      </c>
      <c r="E291" s="11" t="s">
        <v>26</v>
      </c>
      <c r="F291" s="11">
        <v>90069</v>
      </c>
      <c r="G291" s="12">
        <v>50000</v>
      </c>
      <c r="H291" s="12">
        <v>59900</v>
      </c>
      <c r="I291" s="13">
        <v>0.19800000000000001</v>
      </c>
      <c r="J291" s="14">
        <v>45304</v>
      </c>
      <c r="K291" s="5"/>
      <c r="L291" s="5" t="s">
        <v>27</v>
      </c>
      <c r="M291" s="15" t="s">
        <v>1892</v>
      </c>
      <c r="N291" s="5" t="b">
        <v>0</v>
      </c>
      <c r="O291" s="5" t="s">
        <v>1893</v>
      </c>
      <c r="P291" s="5" t="s">
        <v>1894</v>
      </c>
      <c r="Q291" s="5"/>
      <c r="R291" s="5"/>
      <c r="S291" s="5" t="s">
        <v>114</v>
      </c>
      <c r="T291" s="16" t="s">
        <v>1895</v>
      </c>
      <c r="U291" s="5" t="s">
        <v>356</v>
      </c>
    </row>
    <row r="292" spans="1:21" ht="12.75">
      <c r="A292" s="5" t="s">
        <v>1896</v>
      </c>
      <c r="B292" s="5" t="s">
        <v>861</v>
      </c>
      <c r="C292" s="5" t="s">
        <v>1897</v>
      </c>
      <c r="D292" s="5" t="s">
        <v>1898</v>
      </c>
      <c r="E292" s="11" t="s">
        <v>26</v>
      </c>
      <c r="F292" s="11">
        <v>91770</v>
      </c>
      <c r="G292" s="12">
        <v>2100</v>
      </c>
      <c r="H292" s="12">
        <v>4000</v>
      </c>
      <c r="I292" s="13">
        <v>0.90476190476190477</v>
      </c>
      <c r="J292" s="14">
        <v>45667</v>
      </c>
      <c r="K292" s="5"/>
      <c r="L292" s="5" t="s">
        <v>27</v>
      </c>
      <c r="M292" s="15" t="s">
        <v>1899</v>
      </c>
      <c r="N292" s="5" t="b">
        <v>0</v>
      </c>
      <c r="O292" s="5" t="s">
        <v>1900</v>
      </c>
      <c r="P292" s="5" t="s">
        <v>1901</v>
      </c>
      <c r="Q292" s="5"/>
      <c r="R292" s="5"/>
      <c r="S292" s="5" t="s">
        <v>1902</v>
      </c>
      <c r="T292" s="16" t="s">
        <v>1903</v>
      </c>
      <c r="U292" s="5" t="s">
        <v>356</v>
      </c>
    </row>
    <row r="293" spans="1:21" ht="12.75">
      <c r="A293" s="5" t="s">
        <v>1904</v>
      </c>
      <c r="B293" s="5" t="s">
        <v>861</v>
      </c>
      <c r="C293" s="5" t="s">
        <v>1905</v>
      </c>
      <c r="D293" s="5" t="s">
        <v>477</v>
      </c>
      <c r="E293" s="11" t="s">
        <v>26</v>
      </c>
      <c r="F293" s="11">
        <v>91006</v>
      </c>
      <c r="G293" s="12">
        <v>5495</v>
      </c>
      <c r="H293" s="12">
        <v>6250</v>
      </c>
      <c r="I293" s="13">
        <v>0.13739763421292084</v>
      </c>
      <c r="J293" s="14">
        <v>45667</v>
      </c>
      <c r="K293" s="5"/>
      <c r="L293" s="5" t="s">
        <v>27</v>
      </c>
      <c r="M293" s="15" t="s">
        <v>1906</v>
      </c>
      <c r="N293" s="5" t="b">
        <v>0</v>
      </c>
      <c r="O293" s="5" t="s">
        <v>1907</v>
      </c>
      <c r="P293" s="5" t="s">
        <v>1908</v>
      </c>
      <c r="Q293" s="5"/>
      <c r="R293" s="5"/>
      <c r="S293" s="5" t="s">
        <v>1909</v>
      </c>
      <c r="T293" s="16" t="s">
        <v>1910</v>
      </c>
      <c r="U293" s="5" t="s">
        <v>356</v>
      </c>
    </row>
    <row r="294" spans="1:21" ht="12.75">
      <c r="A294" s="5" t="s">
        <v>1911</v>
      </c>
      <c r="B294" s="5">
        <v>2697024001</v>
      </c>
      <c r="C294" s="5" t="s">
        <v>1912</v>
      </c>
      <c r="D294" s="5" t="s">
        <v>1913</v>
      </c>
      <c r="E294" s="11" t="s">
        <v>26</v>
      </c>
      <c r="F294" s="11">
        <v>91344</v>
      </c>
      <c r="G294" s="12">
        <v>1800</v>
      </c>
      <c r="H294" s="12">
        <v>1999</v>
      </c>
      <c r="I294" s="13">
        <v>0.11055555555555556</v>
      </c>
      <c r="J294" s="14">
        <v>45665</v>
      </c>
      <c r="K294" s="5"/>
      <c r="L294" s="5" t="s">
        <v>27</v>
      </c>
      <c r="M294" s="15" t="s">
        <v>1914</v>
      </c>
      <c r="N294" s="5" t="b">
        <v>0</v>
      </c>
      <c r="O294" s="5"/>
      <c r="P294" s="5"/>
      <c r="Q294" s="5" t="s">
        <v>1915</v>
      </c>
      <c r="R294" s="5" t="s">
        <v>1916</v>
      </c>
      <c r="S294" s="5" t="s">
        <v>114</v>
      </c>
      <c r="T294" s="5" t="s">
        <v>1917</v>
      </c>
      <c r="U294" s="5" t="s">
        <v>356</v>
      </c>
    </row>
    <row r="295" spans="1:21" ht="12.75">
      <c r="A295" s="5" t="s">
        <v>1918</v>
      </c>
      <c r="B295" s="5">
        <v>5660029045</v>
      </c>
      <c r="C295" s="5" t="s">
        <v>1919</v>
      </c>
      <c r="D295" s="5" t="s">
        <v>118</v>
      </c>
      <c r="E295" s="11" t="s">
        <v>26</v>
      </c>
      <c r="F295" s="11">
        <v>91206</v>
      </c>
      <c r="G295" s="12">
        <v>5000</v>
      </c>
      <c r="H295" s="12">
        <v>8200</v>
      </c>
      <c r="I295" s="13">
        <v>0.64</v>
      </c>
      <c r="J295" s="14">
        <v>45663</v>
      </c>
      <c r="K295" s="5"/>
      <c r="L295" s="5" t="s">
        <v>27</v>
      </c>
      <c r="M295" s="15" t="s">
        <v>1920</v>
      </c>
      <c r="N295" s="5" t="b">
        <v>0</v>
      </c>
      <c r="O295" s="5" t="s">
        <v>1921</v>
      </c>
      <c r="P295" s="5" t="s">
        <v>1922</v>
      </c>
      <c r="Q295" s="5"/>
      <c r="R295" s="5"/>
      <c r="S295" s="5" t="s">
        <v>1923</v>
      </c>
      <c r="T295" s="16" t="s">
        <v>1924</v>
      </c>
      <c r="U295" s="5" t="s">
        <v>356</v>
      </c>
    </row>
    <row r="296" spans="1:21" ht="12.75">
      <c r="A296" s="5" t="s">
        <v>1925</v>
      </c>
      <c r="B296" s="5" t="s">
        <v>365</v>
      </c>
      <c r="C296" s="5" t="s">
        <v>1926</v>
      </c>
      <c r="D296" s="5" t="s">
        <v>25</v>
      </c>
      <c r="E296" s="11" t="s">
        <v>26</v>
      </c>
      <c r="F296" s="11">
        <v>90069</v>
      </c>
      <c r="G296" s="12">
        <v>5895</v>
      </c>
      <c r="H296" s="12">
        <v>8900</v>
      </c>
      <c r="I296" s="13">
        <v>0.50975402883799825</v>
      </c>
      <c r="J296" s="14">
        <v>45669</v>
      </c>
      <c r="K296" s="5"/>
      <c r="L296" s="5" t="s">
        <v>648</v>
      </c>
      <c r="M296" s="15" t="s">
        <v>1927</v>
      </c>
      <c r="N296" s="5" t="b">
        <v>0</v>
      </c>
      <c r="O296" s="5" t="s">
        <v>1928</v>
      </c>
      <c r="P296" s="5" t="s">
        <v>1929</v>
      </c>
      <c r="Q296" s="5"/>
      <c r="R296" s="5"/>
      <c r="S296" s="5" t="s">
        <v>1930</v>
      </c>
      <c r="T296" s="16" t="s">
        <v>1931</v>
      </c>
      <c r="U296" s="5"/>
    </row>
    <row r="297" spans="1:21" ht="12.75">
      <c r="A297" s="5" t="s">
        <v>1932</v>
      </c>
      <c r="B297" s="5">
        <v>2783007015</v>
      </c>
      <c r="C297" s="5" t="s">
        <v>1933</v>
      </c>
      <c r="D297" s="5" t="s">
        <v>1934</v>
      </c>
      <c r="E297" s="11" t="s">
        <v>26</v>
      </c>
      <c r="F297" s="11">
        <v>91324</v>
      </c>
      <c r="G297" s="12">
        <v>4500</v>
      </c>
      <c r="H297" s="12">
        <v>5000</v>
      </c>
      <c r="I297" s="13">
        <v>0.1111111111111111</v>
      </c>
      <c r="J297" s="14">
        <v>45666</v>
      </c>
      <c r="K297" s="5"/>
      <c r="L297" s="5" t="s">
        <v>27</v>
      </c>
      <c r="M297" s="15" t="s">
        <v>1935</v>
      </c>
      <c r="N297" s="5" t="b">
        <v>0</v>
      </c>
      <c r="O297" s="5" t="s">
        <v>1936</v>
      </c>
      <c r="P297" s="5" t="s">
        <v>1937</v>
      </c>
      <c r="Q297" s="5"/>
      <c r="R297" s="5"/>
      <c r="S297" s="5" t="s">
        <v>114</v>
      </c>
      <c r="T297" s="5" t="s">
        <v>1938</v>
      </c>
      <c r="U297" s="5"/>
    </row>
    <row r="298" spans="1:21" ht="12.75">
      <c r="A298" s="5" t="s">
        <v>1939</v>
      </c>
      <c r="B298" s="5" t="s">
        <v>861</v>
      </c>
      <c r="C298" s="5" t="s">
        <v>1940</v>
      </c>
      <c r="D298" s="5" t="s">
        <v>118</v>
      </c>
      <c r="E298" s="11" t="s">
        <v>26</v>
      </c>
      <c r="F298" s="11">
        <v>91205</v>
      </c>
      <c r="G298" s="12">
        <v>2295</v>
      </c>
      <c r="H298" s="12">
        <v>2595</v>
      </c>
      <c r="I298" s="13">
        <v>0.13071895424836602</v>
      </c>
      <c r="J298" s="14">
        <v>45670</v>
      </c>
      <c r="K298" s="5"/>
      <c r="L298" s="5" t="s">
        <v>27</v>
      </c>
      <c r="M298" s="15" t="s">
        <v>1941</v>
      </c>
      <c r="N298" s="5" t="b">
        <v>0</v>
      </c>
      <c r="O298" s="5" t="s">
        <v>1942</v>
      </c>
      <c r="P298" s="5" t="s">
        <v>1943</v>
      </c>
      <c r="Q298" s="5"/>
      <c r="R298" s="5"/>
      <c r="S298" s="5" t="s">
        <v>1944</v>
      </c>
      <c r="T298" s="16" t="s">
        <v>1945</v>
      </c>
      <c r="U298" s="5"/>
    </row>
    <row r="299" spans="1:21" ht="12.75">
      <c r="A299" s="5" t="s">
        <v>1946</v>
      </c>
      <c r="B299" s="5">
        <v>4401026052</v>
      </c>
      <c r="C299" s="5" t="s">
        <v>1947</v>
      </c>
      <c r="D299" s="5" t="s">
        <v>25</v>
      </c>
      <c r="E299" s="11" t="s">
        <v>26</v>
      </c>
      <c r="F299" s="11">
        <v>90049</v>
      </c>
      <c r="G299" s="12">
        <v>4995</v>
      </c>
      <c r="H299" s="12">
        <v>7500</v>
      </c>
      <c r="I299" s="13">
        <v>0.50150150150150152</v>
      </c>
      <c r="J299" s="14">
        <v>45670</v>
      </c>
      <c r="K299" s="5"/>
      <c r="L299" s="5" t="s">
        <v>27</v>
      </c>
      <c r="M299" s="15" t="s">
        <v>1948</v>
      </c>
      <c r="N299" s="5" t="b">
        <v>0</v>
      </c>
      <c r="O299" s="5" t="s">
        <v>1949</v>
      </c>
      <c r="P299" s="5" t="s">
        <v>1950</v>
      </c>
      <c r="Q299" s="5"/>
      <c r="R299" s="5"/>
      <c r="S299" s="5" t="s">
        <v>114</v>
      </c>
      <c r="T299" s="16" t="s">
        <v>1951</v>
      </c>
      <c r="U299" s="5"/>
    </row>
    <row r="300" spans="1:21" ht="12.75">
      <c r="A300" s="5" t="s">
        <v>1952</v>
      </c>
      <c r="B300" s="5" t="s">
        <v>365</v>
      </c>
      <c r="C300" s="5" t="s">
        <v>1754</v>
      </c>
      <c r="D300" s="5" t="s">
        <v>25</v>
      </c>
      <c r="E300" s="11" t="s">
        <v>26</v>
      </c>
      <c r="F300" s="11">
        <v>90005</v>
      </c>
      <c r="G300" s="12">
        <v>5200</v>
      </c>
      <c r="H300" s="12">
        <v>5800</v>
      </c>
      <c r="I300" s="13">
        <v>0.11538461538461539</v>
      </c>
      <c r="J300" s="14">
        <v>45670</v>
      </c>
      <c r="K300" s="5"/>
      <c r="L300" s="5" t="s">
        <v>27</v>
      </c>
      <c r="M300" s="15" t="s">
        <v>1953</v>
      </c>
      <c r="N300" s="5" t="b">
        <v>0</v>
      </c>
      <c r="O300" s="5" t="s">
        <v>1756</v>
      </c>
      <c r="P300" s="5" t="s">
        <v>1954</v>
      </c>
      <c r="Q300" s="5"/>
      <c r="R300" s="5"/>
      <c r="S300" s="5" t="s">
        <v>1955</v>
      </c>
      <c r="T300" s="16" t="s">
        <v>1956</v>
      </c>
      <c r="U300" s="5"/>
    </row>
    <row r="301" spans="1:21" ht="12.75">
      <c r="A301" s="5" t="s">
        <v>1957</v>
      </c>
      <c r="B301" s="5">
        <v>4175007010</v>
      </c>
      <c r="C301" s="5" t="s">
        <v>1958</v>
      </c>
      <c r="D301" s="5" t="s">
        <v>1959</v>
      </c>
      <c r="E301" s="11" t="s">
        <v>26</v>
      </c>
      <c r="F301" s="11">
        <v>90266</v>
      </c>
      <c r="G301" s="12">
        <v>8750</v>
      </c>
      <c r="H301" s="12">
        <v>19750</v>
      </c>
      <c r="I301" s="13">
        <v>1.2571428571428571</v>
      </c>
      <c r="J301" s="14">
        <v>45669</v>
      </c>
      <c r="K301" s="5"/>
      <c r="L301" s="5" t="s">
        <v>27</v>
      </c>
      <c r="M301" s="15" t="s">
        <v>1960</v>
      </c>
      <c r="N301" s="5" t="b">
        <v>0</v>
      </c>
      <c r="O301" s="5" t="s">
        <v>1961</v>
      </c>
      <c r="P301" s="5" t="s">
        <v>1962</v>
      </c>
      <c r="Q301" s="5"/>
      <c r="R301" s="5"/>
      <c r="S301" s="5" t="s">
        <v>114</v>
      </c>
      <c r="T301" s="16" t="s">
        <v>1963</v>
      </c>
      <c r="U301" s="5"/>
    </row>
    <row r="302" spans="1:21" ht="12.75">
      <c r="A302" s="5" t="s">
        <v>1964</v>
      </c>
      <c r="B302" s="5">
        <v>7409006013</v>
      </c>
      <c r="C302" s="5" t="s">
        <v>1965</v>
      </c>
      <c r="D302" s="5" t="s">
        <v>1966</v>
      </c>
      <c r="E302" s="11" t="s">
        <v>26</v>
      </c>
      <c r="F302" s="11">
        <v>90710</v>
      </c>
      <c r="G302" s="12">
        <v>4900</v>
      </c>
      <c r="H302" s="12">
        <v>5900</v>
      </c>
      <c r="I302" s="13">
        <v>0.20408163265306123</v>
      </c>
      <c r="J302" s="14">
        <v>45666</v>
      </c>
      <c r="K302" s="5"/>
      <c r="L302" s="5" t="s">
        <v>27</v>
      </c>
      <c r="M302" s="15" t="s">
        <v>1967</v>
      </c>
      <c r="N302" s="5" t="b">
        <v>0</v>
      </c>
      <c r="O302" s="5" t="s">
        <v>1968</v>
      </c>
      <c r="P302" s="5" t="s">
        <v>1969</v>
      </c>
      <c r="Q302" s="5"/>
      <c r="R302" s="5"/>
      <c r="S302" s="5" t="s">
        <v>114</v>
      </c>
      <c r="T302" s="5" t="s">
        <v>1970</v>
      </c>
      <c r="U302" s="5"/>
    </row>
    <row r="303" spans="1:21" ht="12.75">
      <c r="A303" s="5" t="s">
        <v>1971</v>
      </c>
      <c r="B303" s="5">
        <v>4460018023</v>
      </c>
      <c r="C303" s="5" t="s">
        <v>1972</v>
      </c>
      <c r="D303" s="5" t="s">
        <v>1973</v>
      </c>
      <c r="E303" s="11" t="s">
        <v>26</v>
      </c>
      <c r="F303" s="11">
        <v>90265</v>
      </c>
      <c r="G303" s="12">
        <v>15000</v>
      </c>
      <c r="H303" s="12">
        <v>25000</v>
      </c>
      <c r="I303" s="13">
        <v>0.66666666666666663</v>
      </c>
      <c r="J303" s="14">
        <v>45669</v>
      </c>
      <c r="K303" s="5"/>
      <c r="L303" s="5" t="s">
        <v>27</v>
      </c>
      <c r="M303" s="15" t="s">
        <v>1974</v>
      </c>
      <c r="N303" s="5" t="b">
        <v>0</v>
      </c>
      <c r="O303" s="5" t="s">
        <v>1975</v>
      </c>
      <c r="P303" s="5" t="s">
        <v>1976</v>
      </c>
      <c r="Q303" s="5"/>
      <c r="R303" s="5"/>
      <c r="S303" s="5" t="s">
        <v>114</v>
      </c>
      <c r="T303" s="16" t="s">
        <v>1977</v>
      </c>
      <c r="U303" s="5"/>
    </row>
    <row r="304" spans="1:21" ht="12.75">
      <c r="A304" s="5" t="s">
        <v>1978</v>
      </c>
      <c r="B304" s="5" t="s">
        <v>365</v>
      </c>
      <c r="C304" s="5" t="s">
        <v>1979</v>
      </c>
      <c r="D304" s="5" t="s">
        <v>1980</v>
      </c>
      <c r="E304" s="11" t="s">
        <v>26</v>
      </c>
      <c r="F304" s="11">
        <v>91776</v>
      </c>
      <c r="G304" s="12">
        <v>1895</v>
      </c>
      <c r="H304" s="12">
        <v>2485</v>
      </c>
      <c r="I304" s="13">
        <v>0.31134564643799473</v>
      </c>
      <c r="J304" s="14">
        <v>45667</v>
      </c>
      <c r="K304" s="5"/>
      <c r="L304" s="5" t="s">
        <v>27</v>
      </c>
      <c r="M304" s="15" t="s">
        <v>1981</v>
      </c>
      <c r="N304" s="5" t="b">
        <v>0</v>
      </c>
      <c r="O304" s="5"/>
      <c r="P304" s="5"/>
      <c r="Q304" s="5" t="s">
        <v>1982</v>
      </c>
      <c r="R304" s="5" t="s">
        <v>1983</v>
      </c>
      <c r="S304" s="5" t="s">
        <v>1984</v>
      </c>
      <c r="T304" s="16" t="s">
        <v>1985</v>
      </c>
      <c r="U304" s="5"/>
    </row>
    <row r="305" spans="1:21" ht="12.75">
      <c r="A305" s="5" t="s">
        <v>1986</v>
      </c>
      <c r="B305" s="5" t="s">
        <v>365</v>
      </c>
      <c r="C305" s="5" t="s">
        <v>1987</v>
      </c>
      <c r="D305" s="5" t="s">
        <v>266</v>
      </c>
      <c r="E305" s="11" t="s">
        <v>26</v>
      </c>
      <c r="F305" s="11">
        <v>90028</v>
      </c>
      <c r="G305" s="12">
        <v>2350</v>
      </c>
      <c r="H305" s="12">
        <v>2950</v>
      </c>
      <c r="I305" s="13">
        <v>0.25531914893617019</v>
      </c>
      <c r="J305" s="14">
        <v>45665</v>
      </c>
      <c r="K305" s="5"/>
      <c r="L305" s="5" t="s">
        <v>27</v>
      </c>
      <c r="M305" s="15" t="s">
        <v>1988</v>
      </c>
      <c r="N305" s="5" t="b">
        <v>0</v>
      </c>
      <c r="O305" s="5" t="s">
        <v>1989</v>
      </c>
      <c r="P305" s="5">
        <v>3103614654</v>
      </c>
      <c r="Q305" s="5"/>
      <c r="R305" s="5"/>
      <c r="S305" s="5" t="s">
        <v>114</v>
      </c>
      <c r="T305" s="16" t="s">
        <v>1990</v>
      </c>
      <c r="U305" s="5"/>
    </row>
    <row r="306" spans="1:21" ht="12.75">
      <c r="A306" s="5" t="s">
        <v>1991</v>
      </c>
      <c r="B306" s="5" t="s">
        <v>365</v>
      </c>
      <c r="C306" s="5" t="s">
        <v>1992</v>
      </c>
      <c r="D306" s="5" t="s">
        <v>1973</v>
      </c>
      <c r="E306" s="11" t="s">
        <v>26</v>
      </c>
      <c r="F306" s="11">
        <v>90265</v>
      </c>
      <c r="G306" s="12">
        <v>12500</v>
      </c>
      <c r="H306" s="12">
        <v>15000</v>
      </c>
      <c r="I306" s="13">
        <v>0.2</v>
      </c>
      <c r="J306" s="14">
        <v>45670</v>
      </c>
      <c r="K306" s="5"/>
      <c r="L306" s="5" t="s">
        <v>27</v>
      </c>
      <c r="M306" s="15" t="s">
        <v>1993</v>
      </c>
      <c r="N306" s="5" t="b">
        <v>0</v>
      </c>
      <c r="O306" s="5" t="s">
        <v>1994</v>
      </c>
      <c r="P306" s="5" t="s">
        <v>636</v>
      </c>
      <c r="Q306" s="5"/>
      <c r="R306" s="5"/>
      <c r="S306" s="5" t="s">
        <v>114</v>
      </c>
      <c r="T306" s="16" t="s">
        <v>1995</v>
      </c>
      <c r="U306" s="5"/>
    </row>
    <row r="307" spans="1:21" ht="12.75">
      <c r="A307" s="5" t="s">
        <v>1996</v>
      </c>
      <c r="B307" s="5" t="s">
        <v>365</v>
      </c>
      <c r="C307" s="5" t="s">
        <v>1997</v>
      </c>
      <c r="D307" s="5" t="s">
        <v>1709</v>
      </c>
      <c r="E307" s="11" t="s">
        <v>26</v>
      </c>
      <c r="F307" s="11">
        <v>90272</v>
      </c>
      <c r="G307" s="12">
        <v>4300</v>
      </c>
      <c r="H307" s="12">
        <v>4900</v>
      </c>
      <c r="I307" s="13">
        <v>0.13953488372093023</v>
      </c>
      <c r="J307" s="14">
        <v>45667</v>
      </c>
      <c r="K307" s="5"/>
      <c r="L307" s="5" t="s">
        <v>27</v>
      </c>
      <c r="M307" s="15" t="s">
        <v>1998</v>
      </c>
      <c r="N307" s="5" t="b">
        <v>0</v>
      </c>
      <c r="P307" s="5"/>
      <c r="Q307" s="5" t="s">
        <v>1353</v>
      </c>
      <c r="R307" s="5" t="s">
        <v>1999</v>
      </c>
      <c r="S307" s="5" t="s">
        <v>114</v>
      </c>
      <c r="T307" s="16" t="s">
        <v>2000</v>
      </c>
      <c r="U307" s="5"/>
    </row>
    <row r="308" spans="1:21" ht="12.75">
      <c r="A308" s="5" t="s">
        <v>2001</v>
      </c>
      <c r="B308" s="5" t="s">
        <v>365</v>
      </c>
      <c r="C308" s="5" t="s">
        <v>2002</v>
      </c>
      <c r="D308" s="5" t="s">
        <v>2003</v>
      </c>
      <c r="E308" s="11" t="s">
        <v>26</v>
      </c>
      <c r="F308" s="11">
        <v>91105</v>
      </c>
      <c r="G308" s="12">
        <v>3800</v>
      </c>
      <c r="H308" s="12">
        <v>6500</v>
      </c>
      <c r="I308" s="13">
        <v>0.71052631578947367</v>
      </c>
      <c r="J308" s="14" t="s">
        <v>902</v>
      </c>
      <c r="K308" s="5"/>
      <c r="L308" s="5" t="s">
        <v>27</v>
      </c>
      <c r="M308" s="15" t="s">
        <v>2004</v>
      </c>
      <c r="N308" s="5" t="b">
        <v>0</v>
      </c>
      <c r="O308" s="5" t="s">
        <v>2005</v>
      </c>
      <c r="P308" s="5">
        <v>6263149227</v>
      </c>
      <c r="Q308" s="5"/>
      <c r="R308" s="5"/>
      <c r="S308" s="5" t="s">
        <v>2006</v>
      </c>
      <c r="T308" s="16" t="s">
        <v>2007</v>
      </c>
      <c r="U308" s="5"/>
    </row>
    <row r="309" spans="1:21" ht="12.75">
      <c r="A309" s="5" t="s">
        <v>2008</v>
      </c>
      <c r="B309" s="5" t="s">
        <v>2009</v>
      </c>
      <c r="C309" s="5" t="s">
        <v>2010</v>
      </c>
      <c r="D309" s="5" t="s">
        <v>1709</v>
      </c>
      <c r="E309" s="11" t="s">
        <v>26</v>
      </c>
      <c r="F309" s="11">
        <v>90272</v>
      </c>
      <c r="G309" s="12">
        <v>8900</v>
      </c>
      <c r="H309" s="12">
        <v>18500</v>
      </c>
      <c r="I309" s="13">
        <v>1.0786516853932584</v>
      </c>
      <c r="J309" s="14">
        <v>45670</v>
      </c>
      <c r="K309" s="5"/>
      <c r="L309" s="5" t="s">
        <v>27</v>
      </c>
      <c r="M309" s="15" t="s">
        <v>2011</v>
      </c>
      <c r="N309" s="5" t="b">
        <v>0</v>
      </c>
      <c r="O309" s="5"/>
      <c r="P309" s="5"/>
      <c r="Q309" s="5" t="s">
        <v>1785</v>
      </c>
      <c r="R309" s="5" t="s">
        <v>2012</v>
      </c>
      <c r="S309" s="5" t="s">
        <v>2013</v>
      </c>
      <c r="T309" s="5" t="s">
        <v>2014</v>
      </c>
      <c r="U309" s="5"/>
    </row>
    <row r="310" spans="1:21" ht="12.75">
      <c r="A310" s="5" t="s">
        <v>2015</v>
      </c>
      <c r="B310" s="5" t="s">
        <v>365</v>
      </c>
      <c r="C310" s="5" t="s">
        <v>2016</v>
      </c>
      <c r="D310" s="5" t="s">
        <v>559</v>
      </c>
      <c r="E310" s="11" t="s">
        <v>26</v>
      </c>
      <c r="F310" s="11">
        <v>91101</v>
      </c>
      <c r="G310" s="12">
        <v>2970</v>
      </c>
      <c r="H310" s="12">
        <v>3450</v>
      </c>
      <c r="I310" s="13">
        <v>0.16161616161616163</v>
      </c>
      <c r="J310" s="14">
        <v>45667</v>
      </c>
      <c r="K310" s="5"/>
      <c r="L310" s="5" t="s">
        <v>27</v>
      </c>
      <c r="M310" s="15" t="s">
        <v>2017</v>
      </c>
      <c r="N310" s="5" t="b">
        <v>0</v>
      </c>
      <c r="O310" s="5"/>
      <c r="P310" s="5"/>
      <c r="Q310" s="5" t="s">
        <v>1353</v>
      </c>
      <c r="R310" s="5" t="s">
        <v>2018</v>
      </c>
      <c r="S310" s="5" t="s">
        <v>114</v>
      </c>
      <c r="T310" s="16" t="s">
        <v>2019</v>
      </c>
      <c r="U310" s="5"/>
    </row>
    <row r="311" spans="1:21" ht="12.75">
      <c r="A311" s="5" t="s">
        <v>2020</v>
      </c>
      <c r="B311" s="5">
        <v>4470013005</v>
      </c>
      <c r="C311" s="5" t="s">
        <v>2021</v>
      </c>
      <c r="D311" s="5" t="s">
        <v>1973</v>
      </c>
      <c r="E311" s="11" t="s">
        <v>26</v>
      </c>
      <c r="F311" s="11">
        <v>90265</v>
      </c>
      <c r="G311" s="12">
        <v>30000</v>
      </c>
      <c r="H311" s="12">
        <v>75000</v>
      </c>
      <c r="I311" s="13">
        <v>1.5</v>
      </c>
      <c r="J311" s="14">
        <v>45668</v>
      </c>
      <c r="K311" s="5"/>
      <c r="L311" s="5" t="s">
        <v>27</v>
      </c>
      <c r="M311" s="15" t="s">
        <v>2022</v>
      </c>
      <c r="N311" s="5" t="b">
        <v>1</v>
      </c>
      <c r="O311" s="5" t="s">
        <v>2023</v>
      </c>
      <c r="Q311" s="5"/>
      <c r="R311" s="5"/>
      <c r="S311" s="5" t="s">
        <v>2024</v>
      </c>
      <c r="T311" s="16" t="s">
        <v>2025</v>
      </c>
      <c r="U311" s="5"/>
    </row>
    <row r="312" spans="1:21" ht="12.75">
      <c r="A312" s="5" t="s">
        <v>2026</v>
      </c>
      <c r="B312" s="5" t="s">
        <v>365</v>
      </c>
      <c r="C312" s="5" t="s">
        <v>2027</v>
      </c>
      <c r="D312" s="5" t="s">
        <v>1959</v>
      </c>
      <c r="E312" s="11" t="s">
        <v>26</v>
      </c>
      <c r="F312" s="11">
        <v>90266</v>
      </c>
      <c r="G312" s="12">
        <v>3450</v>
      </c>
      <c r="H312" s="12">
        <v>33000</v>
      </c>
      <c r="I312" s="13">
        <v>8.5652173913043477</v>
      </c>
      <c r="J312" s="14">
        <v>45667</v>
      </c>
      <c r="K312" s="5"/>
      <c r="L312" s="5" t="s">
        <v>27</v>
      </c>
      <c r="M312" s="15" t="s">
        <v>2028</v>
      </c>
      <c r="N312" s="5" t="b">
        <v>0</v>
      </c>
      <c r="O312" s="5" t="s">
        <v>2029</v>
      </c>
      <c r="P312" s="5"/>
      <c r="Q312" s="5"/>
      <c r="R312" s="5"/>
      <c r="S312" s="5" t="s">
        <v>2006</v>
      </c>
      <c r="T312" s="16" t="s">
        <v>2030</v>
      </c>
      <c r="U312" s="5"/>
    </row>
    <row r="313" spans="1:21" ht="12.75">
      <c r="A313" s="5" t="s">
        <v>2031</v>
      </c>
      <c r="B313" s="5">
        <v>4470020020</v>
      </c>
      <c r="C313" s="5" t="s">
        <v>2032</v>
      </c>
      <c r="D313" s="5" t="s">
        <v>1973</v>
      </c>
      <c r="E313" s="11" t="s">
        <v>26</v>
      </c>
      <c r="F313" s="11">
        <v>90265</v>
      </c>
      <c r="G313" s="12">
        <v>11000</v>
      </c>
      <c r="H313" s="12">
        <v>15000</v>
      </c>
      <c r="I313" s="13">
        <v>0.36363636363636365</v>
      </c>
      <c r="J313" s="14">
        <v>45667</v>
      </c>
      <c r="K313" s="5"/>
      <c r="L313" s="5" t="s">
        <v>27</v>
      </c>
      <c r="M313" s="15" t="s">
        <v>2033</v>
      </c>
      <c r="N313" s="5" t="b">
        <v>0</v>
      </c>
      <c r="O313" s="5" t="s">
        <v>2034</v>
      </c>
      <c r="P313" s="5" t="s">
        <v>2035</v>
      </c>
      <c r="Q313" s="5"/>
      <c r="R313" s="5"/>
      <c r="S313" s="5" t="s">
        <v>114</v>
      </c>
      <c r="T313" s="16" t="s">
        <v>2036</v>
      </c>
      <c r="U313" s="5"/>
    </row>
    <row r="314" spans="1:21" ht="12.75">
      <c r="A314" s="5" t="s">
        <v>2037</v>
      </c>
      <c r="B314" s="5" t="s">
        <v>365</v>
      </c>
      <c r="C314" s="5" t="s">
        <v>2038</v>
      </c>
      <c r="D314" s="5" t="s">
        <v>2039</v>
      </c>
      <c r="E314" s="11" t="s">
        <v>26</v>
      </c>
      <c r="F314" s="11">
        <v>91030</v>
      </c>
      <c r="G314" s="12">
        <v>2630</v>
      </c>
      <c r="H314" s="12">
        <v>3120</v>
      </c>
      <c r="I314" s="13">
        <v>0.18631178707224336</v>
      </c>
      <c r="J314" s="14">
        <v>45667</v>
      </c>
      <c r="K314" s="5"/>
      <c r="L314" s="5" t="s">
        <v>27</v>
      </c>
      <c r="M314" s="15" t="s">
        <v>2040</v>
      </c>
      <c r="N314" s="5" t="b">
        <v>0</v>
      </c>
      <c r="O314" s="5"/>
      <c r="P314" s="5"/>
      <c r="Q314" s="5"/>
      <c r="R314" s="5"/>
      <c r="S314" s="5" t="s">
        <v>114</v>
      </c>
      <c r="T314" s="16" t="s">
        <v>2041</v>
      </c>
      <c r="U314" s="5"/>
    </row>
    <row r="315" spans="1:21" ht="12.75">
      <c r="A315" s="5" t="s">
        <v>2042</v>
      </c>
      <c r="B315" s="5" t="s">
        <v>365</v>
      </c>
      <c r="C315" s="5" t="s">
        <v>2043</v>
      </c>
      <c r="D315" s="5" t="s">
        <v>2044</v>
      </c>
      <c r="E315" s="11" t="s">
        <v>26</v>
      </c>
      <c r="F315" s="11">
        <v>91361</v>
      </c>
      <c r="G315" s="12">
        <v>5400</v>
      </c>
      <c r="H315" s="12">
        <v>7500</v>
      </c>
      <c r="I315" s="13">
        <v>0.3888888888888889</v>
      </c>
      <c r="J315" s="14">
        <v>45669</v>
      </c>
      <c r="K315" s="5"/>
      <c r="L315" s="5" t="s">
        <v>27</v>
      </c>
      <c r="M315" s="15" t="s">
        <v>2045</v>
      </c>
      <c r="N315" s="5" t="b">
        <v>0</v>
      </c>
      <c r="O315" s="5" t="s">
        <v>2046</v>
      </c>
      <c r="P315" s="5" t="s">
        <v>2047</v>
      </c>
      <c r="Q315" s="5"/>
      <c r="R315" s="5"/>
      <c r="S315" s="5" t="s">
        <v>1072</v>
      </c>
      <c r="T315" s="5" t="s">
        <v>2048</v>
      </c>
      <c r="U315" s="5"/>
    </row>
    <row r="316" spans="1:21" ht="12.75">
      <c r="A316" s="5" t="s">
        <v>2049</v>
      </c>
      <c r="B316" s="5">
        <v>2151035034</v>
      </c>
      <c r="C316" s="5" t="s">
        <v>2050</v>
      </c>
      <c r="D316" s="5" t="s">
        <v>1445</v>
      </c>
      <c r="E316" s="11" t="s">
        <v>26</v>
      </c>
      <c r="F316" s="11">
        <v>91367</v>
      </c>
      <c r="G316" s="12">
        <v>6000</v>
      </c>
      <c r="H316" s="12">
        <v>7500</v>
      </c>
      <c r="I316" s="13">
        <v>0.25</v>
      </c>
      <c r="J316" s="14">
        <v>45668</v>
      </c>
      <c r="K316" s="5"/>
      <c r="L316" s="5" t="s">
        <v>27</v>
      </c>
      <c r="M316" s="15" t="s">
        <v>2051</v>
      </c>
      <c r="N316" s="5" t="b">
        <v>0</v>
      </c>
      <c r="O316" s="5" t="s">
        <v>2052</v>
      </c>
      <c r="P316" s="5" t="s">
        <v>2053</v>
      </c>
      <c r="Q316" s="5"/>
      <c r="R316" s="5"/>
      <c r="S316" s="5" t="s">
        <v>2054</v>
      </c>
      <c r="T316" s="5" t="s">
        <v>2055</v>
      </c>
      <c r="U316" s="5"/>
    </row>
    <row r="317" spans="1:21" ht="12.75">
      <c r="A317" s="5" t="s">
        <v>2056</v>
      </c>
      <c r="B317" s="5" t="s">
        <v>365</v>
      </c>
      <c r="C317" s="5" t="s">
        <v>2057</v>
      </c>
      <c r="D317" s="5" t="s">
        <v>1445</v>
      </c>
      <c r="E317" s="11" t="s">
        <v>26</v>
      </c>
      <c r="F317" s="11">
        <v>91367</v>
      </c>
      <c r="G317" s="12">
        <v>2400</v>
      </c>
      <c r="H317" s="12">
        <v>2900</v>
      </c>
      <c r="I317" s="13">
        <v>0.20833333333333334</v>
      </c>
      <c r="J317" s="14">
        <v>45664</v>
      </c>
      <c r="K317" s="5"/>
      <c r="L317" s="5" t="s">
        <v>27</v>
      </c>
      <c r="M317" s="15" t="s">
        <v>2058</v>
      </c>
      <c r="N317" s="5" t="b">
        <v>0</v>
      </c>
      <c r="P317" s="5"/>
      <c r="Q317" s="5" t="s">
        <v>2059</v>
      </c>
      <c r="R317" s="5" t="s">
        <v>2060</v>
      </c>
      <c r="S317" s="5" t="s">
        <v>114</v>
      </c>
      <c r="T317" s="5" t="s">
        <v>2061</v>
      </c>
      <c r="U317" s="5"/>
    </row>
    <row r="318" spans="1:21" ht="12.75">
      <c r="A318" s="5" t="s">
        <v>2062</v>
      </c>
      <c r="B318" s="5" t="s">
        <v>365</v>
      </c>
      <c r="C318" s="5" t="s">
        <v>954</v>
      </c>
      <c r="D318" s="5" t="s">
        <v>605</v>
      </c>
      <c r="E318" s="11" t="s">
        <v>26</v>
      </c>
      <c r="F318" s="11">
        <v>91406</v>
      </c>
      <c r="G318" s="12">
        <v>3480</v>
      </c>
      <c r="H318" s="12">
        <v>5500</v>
      </c>
      <c r="I318" s="13">
        <v>0.58045977011494254</v>
      </c>
      <c r="J318" s="14">
        <v>45670</v>
      </c>
      <c r="K318" s="5"/>
      <c r="L318" s="5" t="s">
        <v>27</v>
      </c>
      <c r="M318" s="15" t="s">
        <v>2063</v>
      </c>
      <c r="N318" s="5" t="b">
        <v>0</v>
      </c>
      <c r="O318" s="5" t="s">
        <v>2064</v>
      </c>
      <c r="P318" s="5" t="s">
        <v>2065</v>
      </c>
      <c r="Q318" s="5"/>
      <c r="R318" s="5"/>
      <c r="S318" s="5" t="s">
        <v>1228</v>
      </c>
      <c r="T318" s="5" t="s">
        <v>2066</v>
      </c>
      <c r="U318" s="5"/>
    </row>
    <row r="319" spans="1:21" ht="12.75">
      <c r="A319" s="5" t="s">
        <v>2067</v>
      </c>
      <c r="B319" s="5" t="s">
        <v>365</v>
      </c>
      <c r="C319" s="5" t="s">
        <v>2068</v>
      </c>
      <c r="D319" s="5" t="s">
        <v>25</v>
      </c>
      <c r="E319" s="11" t="s">
        <v>26</v>
      </c>
      <c r="F319" s="11">
        <v>90062</v>
      </c>
      <c r="G319" s="12">
        <v>1900</v>
      </c>
      <c r="H319" s="12">
        <v>3000</v>
      </c>
      <c r="I319" s="13">
        <v>0.57894736842105265</v>
      </c>
      <c r="J319" s="14">
        <v>45670</v>
      </c>
      <c r="K319" s="5"/>
      <c r="L319" s="5" t="s">
        <v>27</v>
      </c>
      <c r="M319" s="15" t="s">
        <v>2069</v>
      </c>
      <c r="N319" s="5" t="b">
        <v>0</v>
      </c>
      <c r="O319" s="5"/>
      <c r="P319" s="5"/>
      <c r="Q319" s="5" t="s">
        <v>2070</v>
      </c>
      <c r="R319" s="5" t="s">
        <v>2071</v>
      </c>
      <c r="S319" s="5" t="s">
        <v>114</v>
      </c>
      <c r="T319" s="5" t="s">
        <v>2072</v>
      </c>
      <c r="U319" s="5"/>
    </row>
    <row r="320" spans="1:21" ht="12.75">
      <c r="A320" s="5" t="s">
        <v>2073</v>
      </c>
      <c r="B320" s="5">
        <v>4176003013</v>
      </c>
      <c r="C320" s="5" t="s">
        <v>2074</v>
      </c>
      <c r="D320" s="5" t="s">
        <v>1959</v>
      </c>
      <c r="E320" s="11" t="s">
        <v>26</v>
      </c>
      <c r="F320" s="11">
        <v>90266</v>
      </c>
      <c r="G320" s="12">
        <v>25000</v>
      </c>
      <c r="H320" s="12">
        <v>35000</v>
      </c>
      <c r="I320" s="13">
        <v>0.4</v>
      </c>
      <c r="J320" s="14">
        <v>45669</v>
      </c>
      <c r="K320" s="5"/>
      <c r="L320" s="5" t="s">
        <v>27</v>
      </c>
      <c r="M320" s="15" t="s">
        <v>2075</v>
      </c>
      <c r="N320" s="5" t="b">
        <v>0</v>
      </c>
      <c r="O320" s="5" t="s">
        <v>2076</v>
      </c>
      <c r="P320" s="5" t="s">
        <v>2076</v>
      </c>
      <c r="Q320" s="5"/>
      <c r="R320" s="5"/>
      <c r="S320" s="5" t="s">
        <v>114</v>
      </c>
      <c r="T320" s="16" t="s">
        <v>2077</v>
      </c>
      <c r="U320" s="5"/>
    </row>
    <row r="321" spans="1:21" ht="12.75">
      <c r="A321" s="5" t="s">
        <v>2078</v>
      </c>
      <c r="B321" s="5">
        <v>2168023047</v>
      </c>
      <c r="C321" s="5" t="s">
        <v>2079</v>
      </c>
      <c r="D321" s="5" t="s">
        <v>1445</v>
      </c>
      <c r="E321" s="11" t="s">
        <v>26</v>
      </c>
      <c r="F321" s="11">
        <v>91364</v>
      </c>
      <c r="G321" s="12">
        <v>4495</v>
      </c>
      <c r="H321" s="12">
        <v>5495</v>
      </c>
      <c r="I321" s="13">
        <v>0.22246941045606228</v>
      </c>
      <c r="J321" s="14">
        <v>45667</v>
      </c>
      <c r="K321" s="5"/>
      <c r="L321" s="5" t="s">
        <v>27</v>
      </c>
      <c r="M321" s="15" t="s">
        <v>2080</v>
      </c>
      <c r="N321" s="5" t="b">
        <v>0</v>
      </c>
      <c r="O321" s="5" t="s">
        <v>2081</v>
      </c>
      <c r="P321" s="5" t="s">
        <v>2082</v>
      </c>
      <c r="Q321" s="5"/>
      <c r="R321" s="5"/>
      <c r="S321" s="5" t="s">
        <v>114</v>
      </c>
      <c r="T321" s="5" t="s">
        <v>2083</v>
      </c>
      <c r="U321" s="5"/>
    </row>
    <row r="322" spans="1:21" ht="12.75">
      <c r="A322" s="5" t="s">
        <v>2084</v>
      </c>
      <c r="B322" s="5" t="s">
        <v>365</v>
      </c>
      <c r="C322" s="5" t="s">
        <v>2085</v>
      </c>
      <c r="D322" s="5" t="s">
        <v>1657</v>
      </c>
      <c r="E322" s="11" t="s">
        <v>26</v>
      </c>
      <c r="F322" s="11">
        <v>90802</v>
      </c>
      <c r="G322" s="12">
        <v>3595</v>
      </c>
      <c r="H322" s="12">
        <v>4500</v>
      </c>
      <c r="I322" s="13">
        <v>0.2517385257301808</v>
      </c>
      <c r="J322" s="14">
        <v>45670</v>
      </c>
      <c r="K322" s="5"/>
      <c r="L322" s="5" t="s">
        <v>27</v>
      </c>
      <c r="M322" s="15" t="s">
        <v>2086</v>
      </c>
      <c r="N322" s="5" t="b">
        <v>0</v>
      </c>
      <c r="O322" s="5" t="s">
        <v>2087</v>
      </c>
      <c r="P322" s="5" t="s">
        <v>2088</v>
      </c>
      <c r="Q322" s="5"/>
      <c r="R322" s="5"/>
      <c r="S322" s="5" t="s">
        <v>114</v>
      </c>
      <c r="T322" s="5" t="s">
        <v>2089</v>
      </c>
      <c r="U322" s="5"/>
    </row>
    <row r="323" spans="1:21" ht="12.75">
      <c r="A323" s="5" t="s">
        <v>2090</v>
      </c>
      <c r="B323" s="5" t="s">
        <v>1497</v>
      </c>
      <c r="C323" s="5" t="s">
        <v>2091</v>
      </c>
      <c r="D323" s="5" t="s">
        <v>1636</v>
      </c>
      <c r="E323" s="11" t="s">
        <v>26</v>
      </c>
      <c r="F323" s="11">
        <v>91335</v>
      </c>
      <c r="G323" s="12">
        <v>1664</v>
      </c>
      <c r="H323" s="12">
        <v>2091</v>
      </c>
      <c r="I323" s="13">
        <v>0.25661057692307693</v>
      </c>
      <c r="J323" s="14">
        <v>45670</v>
      </c>
      <c r="K323" s="5"/>
      <c r="L323" s="5" t="s">
        <v>27</v>
      </c>
      <c r="M323" s="15" t="s">
        <v>2092</v>
      </c>
      <c r="N323" s="5" t="b">
        <v>0</v>
      </c>
      <c r="O323" s="5" t="s">
        <v>2093</v>
      </c>
      <c r="P323" s="5" t="s">
        <v>2094</v>
      </c>
      <c r="Q323" s="5"/>
      <c r="R323" s="5"/>
      <c r="S323" s="5" t="s">
        <v>2095</v>
      </c>
      <c r="T323" s="16" t="s">
        <v>2096</v>
      </c>
      <c r="U323" s="5"/>
    </row>
    <row r="324" spans="1:21" ht="12.75">
      <c r="A324" s="5" t="s">
        <v>2097</v>
      </c>
      <c r="B324" s="5" t="s">
        <v>1497</v>
      </c>
      <c r="C324" s="5" t="s">
        <v>2098</v>
      </c>
      <c r="D324" s="5" t="s">
        <v>1096</v>
      </c>
      <c r="E324" s="11" t="s">
        <v>26</v>
      </c>
      <c r="F324" s="11">
        <v>90254</v>
      </c>
      <c r="G324" s="12">
        <v>7500</v>
      </c>
      <c r="H324" s="12">
        <v>17050</v>
      </c>
      <c r="I324" s="13">
        <v>1.2733333333333334</v>
      </c>
      <c r="J324" s="14">
        <v>45669</v>
      </c>
      <c r="K324" s="5"/>
      <c r="L324" s="5" t="s">
        <v>27</v>
      </c>
      <c r="M324" s="15" t="s">
        <v>2099</v>
      </c>
      <c r="N324" s="5" t="b">
        <v>0</v>
      </c>
      <c r="O324" s="5"/>
      <c r="Q324" s="5"/>
      <c r="R324" s="5"/>
      <c r="S324" s="5" t="s">
        <v>2100</v>
      </c>
      <c r="T324" s="16" t="s">
        <v>2101</v>
      </c>
      <c r="U324" s="5"/>
    </row>
    <row r="325" spans="1:21" ht="12.75">
      <c r="A325" s="5" t="s">
        <v>2102</v>
      </c>
      <c r="B325" s="5">
        <v>2039013053</v>
      </c>
      <c r="C325" s="5" t="s">
        <v>2103</v>
      </c>
      <c r="D325" s="5" t="s">
        <v>1445</v>
      </c>
      <c r="E325" s="11" t="s">
        <v>26</v>
      </c>
      <c r="F325" s="11">
        <v>91367</v>
      </c>
      <c r="G325" s="12">
        <v>3950</v>
      </c>
      <c r="H325" s="12">
        <v>6900</v>
      </c>
      <c r="I325" s="13">
        <v>0.74683544303797467</v>
      </c>
      <c r="J325" s="14">
        <v>45670</v>
      </c>
      <c r="K325" s="5"/>
      <c r="L325" s="5" t="s">
        <v>27</v>
      </c>
      <c r="M325" s="15" t="s">
        <v>2104</v>
      </c>
      <c r="N325" s="5" t="b">
        <v>0</v>
      </c>
      <c r="O325" s="5"/>
      <c r="P325" s="5"/>
      <c r="Q325" s="5" t="s">
        <v>2105</v>
      </c>
      <c r="R325" s="5" t="s">
        <v>2106</v>
      </c>
      <c r="S325" s="5" t="s">
        <v>2107</v>
      </c>
      <c r="T325" s="5" t="s">
        <v>2108</v>
      </c>
      <c r="U325" s="5"/>
    </row>
    <row r="326" spans="1:21" ht="12.75">
      <c r="A326" s="5" t="s">
        <v>2109</v>
      </c>
      <c r="B326" s="5" t="s">
        <v>2110</v>
      </c>
      <c r="C326" s="5" t="s">
        <v>2111</v>
      </c>
      <c r="D326" s="5" t="s">
        <v>25</v>
      </c>
      <c r="E326" s="11" t="s">
        <v>26</v>
      </c>
      <c r="F326" s="11">
        <v>90035</v>
      </c>
      <c r="G326" s="12">
        <v>4690</v>
      </c>
      <c r="H326" s="12">
        <v>10000</v>
      </c>
      <c r="I326" s="13">
        <v>1.1321961620469083</v>
      </c>
      <c r="J326" s="14">
        <v>45670</v>
      </c>
      <c r="K326" s="5"/>
      <c r="L326" s="5" t="s">
        <v>27</v>
      </c>
      <c r="M326" s="15" t="s">
        <v>2112</v>
      </c>
      <c r="N326" s="5" t="b">
        <v>0</v>
      </c>
      <c r="O326" s="5" t="s">
        <v>2113</v>
      </c>
      <c r="P326" s="5" t="s">
        <v>2114</v>
      </c>
      <c r="Q326" s="5" t="s">
        <v>2115</v>
      </c>
      <c r="R326" s="5" t="s">
        <v>2116</v>
      </c>
      <c r="S326" s="5" t="s">
        <v>2117</v>
      </c>
      <c r="T326" s="16" t="s">
        <v>2118</v>
      </c>
      <c r="U326" s="5"/>
    </row>
    <row r="327" spans="1:21" ht="12.75">
      <c r="A327" s="5" t="s">
        <v>2119</v>
      </c>
      <c r="B327" s="5" t="s">
        <v>365</v>
      </c>
      <c r="C327" s="5" t="s">
        <v>2120</v>
      </c>
      <c r="D327" s="5" t="s">
        <v>25</v>
      </c>
      <c r="E327" s="11" t="s">
        <v>535</v>
      </c>
      <c r="F327" s="11">
        <v>90068</v>
      </c>
      <c r="G327" s="12">
        <v>18500</v>
      </c>
      <c r="H327" s="12">
        <v>23500</v>
      </c>
      <c r="I327" s="13">
        <v>0.27027027027027029</v>
      </c>
      <c r="J327" s="14">
        <v>45670</v>
      </c>
      <c r="K327" s="5"/>
      <c r="L327" s="5" t="s">
        <v>648</v>
      </c>
      <c r="M327" s="15" t="s">
        <v>2121</v>
      </c>
      <c r="N327" s="5" t="b">
        <v>0</v>
      </c>
      <c r="P327" s="5"/>
      <c r="Q327" s="5"/>
      <c r="R327" s="5"/>
      <c r="S327" s="5" t="s">
        <v>114</v>
      </c>
      <c r="T327" s="16" t="s">
        <v>2122</v>
      </c>
      <c r="U327" s="5"/>
    </row>
    <row r="328" spans="1:21" ht="12.75">
      <c r="A328" s="5" t="s">
        <v>2123</v>
      </c>
      <c r="B328" s="5">
        <v>5431021002</v>
      </c>
      <c r="C328" s="5" t="s">
        <v>2124</v>
      </c>
      <c r="D328" s="5" t="s">
        <v>25</v>
      </c>
      <c r="E328" s="11" t="s">
        <v>26</v>
      </c>
      <c r="F328" s="11">
        <v>90039</v>
      </c>
      <c r="G328" s="12">
        <v>9000</v>
      </c>
      <c r="H328" s="12">
        <v>12000</v>
      </c>
      <c r="I328" s="13">
        <v>0.33333333333333331</v>
      </c>
      <c r="J328" s="14">
        <v>45670</v>
      </c>
      <c r="K328" s="5"/>
      <c r="L328" s="5" t="s">
        <v>27</v>
      </c>
      <c r="M328" s="15" t="s">
        <v>2125</v>
      </c>
      <c r="N328" s="5" t="b">
        <v>0</v>
      </c>
      <c r="O328" s="5" t="s">
        <v>39</v>
      </c>
      <c r="P328" s="5" t="s">
        <v>40</v>
      </c>
      <c r="Q328" s="5" t="s">
        <v>39</v>
      </c>
      <c r="R328" s="5" t="s">
        <v>40</v>
      </c>
      <c r="S328" s="5" t="s">
        <v>2126</v>
      </c>
      <c r="T328" s="5" t="s">
        <v>2127</v>
      </c>
      <c r="U328" s="5"/>
    </row>
    <row r="329" spans="1:21" ht="12.75">
      <c r="A329" s="5" t="s">
        <v>2128</v>
      </c>
      <c r="B329" s="5" t="s">
        <v>1497</v>
      </c>
      <c r="C329" s="5" t="s">
        <v>2129</v>
      </c>
      <c r="D329" s="5" t="s">
        <v>2130</v>
      </c>
      <c r="E329" s="11" t="s">
        <v>26</v>
      </c>
      <c r="F329" s="11">
        <v>90254</v>
      </c>
      <c r="G329" s="12">
        <v>5250</v>
      </c>
      <c r="H329" s="12">
        <v>10000</v>
      </c>
      <c r="I329" s="13">
        <v>0.90476190476190477</v>
      </c>
      <c r="J329" s="14">
        <v>45588</v>
      </c>
      <c r="K329" s="5"/>
      <c r="L329" s="5" t="s">
        <v>27</v>
      </c>
      <c r="M329" s="15" t="s">
        <v>2131</v>
      </c>
      <c r="N329" s="5" t="b">
        <v>0</v>
      </c>
      <c r="O329" s="5"/>
      <c r="Q329" s="5"/>
      <c r="R329" s="5"/>
      <c r="S329" s="5" t="s">
        <v>114</v>
      </c>
      <c r="T329" s="16" t="s">
        <v>2132</v>
      </c>
      <c r="U329" s="5"/>
    </row>
    <row r="330" spans="1:21" ht="12.75">
      <c r="A330" s="5" t="s">
        <v>2133</v>
      </c>
      <c r="B330" s="5" t="s">
        <v>365</v>
      </c>
      <c r="C330" s="5" t="s">
        <v>2134</v>
      </c>
      <c r="D330" s="5" t="s">
        <v>25</v>
      </c>
      <c r="E330" s="11" t="s">
        <v>26</v>
      </c>
      <c r="F330" s="11">
        <v>90048</v>
      </c>
      <c r="G330" s="12">
        <v>4600</v>
      </c>
      <c r="H330" s="12">
        <v>5600</v>
      </c>
      <c r="I330" s="13">
        <v>0.21739130434782608</v>
      </c>
      <c r="J330" s="14">
        <v>45670</v>
      </c>
      <c r="K330" s="5"/>
      <c r="L330" s="5" t="s">
        <v>27</v>
      </c>
      <c r="M330" s="15" t="s">
        <v>2135</v>
      </c>
      <c r="N330" s="5" t="b">
        <v>0</v>
      </c>
      <c r="O330" s="5"/>
      <c r="P330" s="5"/>
      <c r="Q330" s="5" t="s">
        <v>2136</v>
      </c>
      <c r="R330" s="5" t="s">
        <v>2137</v>
      </c>
      <c r="S330" s="5" t="s">
        <v>114</v>
      </c>
      <c r="T330" s="5" t="s">
        <v>2138</v>
      </c>
      <c r="U330" s="5"/>
    </row>
    <row r="331" spans="1:21" ht="12.75">
      <c r="A331" s="5" t="s">
        <v>2139</v>
      </c>
      <c r="B331" s="5">
        <v>24447324</v>
      </c>
      <c r="C331" s="5" t="s">
        <v>2140</v>
      </c>
      <c r="D331" s="5" t="s">
        <v>2141</v>
      </c>
      <c r="E331" s="11" t="s">
        <v>26</v>
      </c>
      <c r="F331" s="11">
        <v>90630</v>
      </c>
      <c r="G331" s="12">
        <v>7500</v>
      </c>
      <c r="H331" s="12">
        <v>10000</v>
      </c>
      <c r="I331" s="13">
        <v>0.33333333333333331</v>
      </c>
      <c r="J331" s="14">
        <v>45666</v>
      </c>
      <c r="K331" s="5"/>
      <c r="L331" s="5" t="s">
        <v>27</v>
      </c>
      <c r="M331" s="15" t="s">
        <v>2142</v>
      </c>
      <c r="N331" s="5" t="b">
        <v>0</v>
      </c>
      <c r="O331" s="5"/>
      <c r="P331" s="5"/>
      <c r="Q331" s="5" t="s">
        <v>1631</v>
      </c>
      <c r="R331" s="5" t="s">
        <v>2143</v>
      </c>
      <c r="S331" s="17" t="s">
        <v>2144</v>
      </c>
      <c r="T331" s="5" t="s">
        <v>2145</v>
      </c>
      <c r="U331" s="5"/>
    </row>
    <row r="332" spans="1:21" ht="12.75">
      <c r="A332" s="5" t="s">
        <v>2146</v>
      </c>
      <c r="B332" s="5">
        <v>4334016074</v>
      </c>
      <c r="C332" s="5" t="s">
        <v>2147</v>
      </c>
      <c r="D332" s="5" t="s">
        <v>25</v>
      </c>
      <c r="E332" s="11" t="s">
        <v>26</v>
      </c>
      <c r="F332" s="11">
        <v>90048</v>
      </c>
      <c r="G332" s="12">
        <v>5495</v>
      </c>
      <c r="H332" s="12">
        <v>6995</v>
      </c>
      <c r="I332" s="13">
        <v>0.27297543221110099</v>
      </c>
      <c r="J332" s="14">
        <v>45670</v>
      </c>
      <c r="K332" s="5"/>
      <c r="L332" s="5" t="s">
        <v>27</v>
      </c>
      <c r="M332" s="15" t="s">
        <v>2148</v>
      </c>
      <c r="N332" s="5"/>
      <c r="O332" s="5"/>
      <c r="P332" s="5"/>
      <c r="Q332" s="5" t="s">
        <v>2149</v>
      </c>
      <c r="R332" s="5" t="s">
        <v>2150</v>
      </c>
      <c r="S332" s="5" t="s">
        <v>2151</v>
      </c>
      <c r="T332" s="5" t="s">
        <v>2152</v>
      </c>
      <c r="U332" s="5"/>
    </row>
    <row r="333" spans="1:21" ht="12.75">
      <c r="A333" s="5" t="s">
        <v>2153</v>
      </c>
      <c r="B333" s="5">
        <v>2263032009</v>
      </c>
      <c r="C333" s="5" t="s">
        <v>2154</v>
      </c>
      <c r="D333" s="5" t="s">
        <v>732</v>
      </c>
      <c r="E333" s="11" t="s">
        <v>26</v>
      </c>
      <c r="F333" s="11">
        <v>91403</v>
      </c>
      <c r="G333" s="12">
        <v>13500</v>
      </c>
      <c r="H333" s="12">
        <v>15300</v>
      </c>
      <c r="I333" s="13">
        <v>0.13333333333333333</v>
      </c>
      <c r="J333" s="14">
        <v>45667</v>
      </c>
      <c r="K333" s="5"/>
      <c r="L333" s="5" t="s">
        <v>27</v>
      </c>
      <c r="M333" s="15" t="s">
        <v>2155</v>
      </c>
      <c r="N333" s="5"/>
      <c r="O333" s="5" t="s">
        <v>2156</v>
      </c>
      <c r="P333" s="5" t="s">
        <v>2157</v>
      </c>
      <c r="Q333" s="5"/>
      <c r="R333" s="5"/>
      <c r="S333" s="5" t="s">
        <v>2158</v>
      </c>
      <c r="T333" s="5" t="s">
        <v>2159</v>
      </c>
      <c r="U333" s="5"/>
    </row>
    <row r="334" spans="1:21" ht="12.75">
      <c r="A334" s="5" t="s">
        <v>2160</v>
      </c>
      <c r="B334" s="5" t="s">
        <v>365</v>
      </c>
      <c r="C334" s="5" t="s">
        <v>2161</v>
      </c>
      <c r="D334" s="5" t="s">
        <v>1397</v>
      </c>
      <c r="E334" s="11" t="s">
        <v>26</v>
      </c>
      <c r="F334" s="11">
        <v>90019</v>
      </c>
      <c r="G334" s="12">
        <v>2195</v>
      </c>
      <c r="H334" s="12">
        <v>2795</v>
      </c>
      <c r="I334" s="13">
        <v>0.27334851936218679</v>
      </c>
      <c r="J334" s="14">
        <v>45670</v>
      </c>
      <c r="K334" s="5"/>
      <c r="L334" s="5" t="s">
        <v>27</v>
      </c>
      <c r="M334" s="15" t="s">
        <v>2162</v>
      </c>
      <c r="N334" s="5"/>
      <c r="O334" s="5" t="s">
        <v>2163</v>
      </c>
      <c r="P334" s="5" t="s">
        <v>2164</v>
      </c>
      <c r="Q334" s="5"/>
      <c r="R334" s="5"/>
      <c r="S334" s="5" t="s">
        <v>2165</v>
      </c>
      <c r="T334" s="5" t="s">
        <v>2166</v>
      </c>
      <c r="U334" s="5"/>
    </row>
    <row r="335" spans="1:21" ht="12.75">
      <c r="A335" s="5" t="s">
        <v>2167</v>
      </c>
      <c r="B335" s="5" t="s">
        <v>365</v>
      </c>
      <c r="C335" s="5" t="s">
        <v>2168</v>
      </c>
      <c r="D335" s="5" t="s">
        <v>25</v>
      </c>
      <c r="E335" s="11" t="s">
        <v>26</v>
      </c>
      <c r="F335" s="11">
        <v>90049</v>
      </c>
      <c r="G335" s="12">
        <v>12000</v>
      </c>
      <c r="H335" s="12">
        <v>17000</v>
      </c>
      <c r="I335" s="13">
        <v>0.41666666666666669</v>
      </c>
      <c r="J335" s="14">
        <v>45667</v>
      </c>
      <c r="K335" s="5"/>
      <c r="L335" s="5" t="s">
        <v>27</v>
      </c>
      <c r="M335" s="15" t="s">
        <v>2169</v>
      </c>
      <c r="N335" s="5"/>
      <c r="O335" s="5" t="s">
        <v>2170</v>
      </c>
      <c r="P335" s="5" t="s">
        <v>2171</v>
      </c>
      <c r="Q335" s="5"/>
      <c r="R335" s="5"/>
      <c r="S335" s="5" t="s">
        <v>2172</v>
      </c>
      <c r="T335" s="16" t="s">
        <v>2173</v>
      </c>
      <c r="U335" s="5"/>
    </row>
    <row r="336" spans="1:21" ht="12.75">
      <c r="A336" s="5" t="s">
        <v>2174</v>
      </c>
      <c r="B336" s="5" t="s">
        <v>365</v>
      </c>
      <c r="C336" s="5" t="s">
        <v>2175</v>
      </c>
      <c r="D336" s="5" t="s">
        <v>25</v>
      </c>
      <c r="E336" s="11" t="s">
        <v>26</v>
      </c>
      <c r="F336" s="11">
        <v>90012</v>
      </c>
      <c r="G336" s="12">
        <v>3250</v>
      </c>
      <c r="H336" s="12">
        <v>4000</v>
      </c>
      <c r="I336" s="13">
        <v>0.23076923076923078</v>
      </c>
      <c r="J336" s="14">
        <v>45670</v>
      </c>
      <c r="K336" s="5"/>
      <c r="L336" s="5" t="s">
        <v>648</v>
      </c>
      <c r="M336" s="15" t="s">
        <v>2176</v>
      </c>
      <c r="N336" s="5"/>
      <c r="O336" s="5"/>
      <c r="Q336" s="5"/>
      <c r="R336" s="5"/>
      <c r="S336" s="5" t="s">
        <v>2177</v>
      </c>
      <c r="T336" s="16" t="s">
        <v>2178</v>
      </c>
      <c r="U336" s="5"/>
    </row>
    <row r="337" spans="1:21" ht="12.75">
      <c r="A337" s="5" t="s">
        <v>2179</v>
      </c>
      <c r="B337" s="5">
        <v>5561026008</v>
      </c>
      <c r="C337" s="5" t="s">
        <v>2180</v>
      </c>
      <c r="D337" s="5" t="s">
        <v>25</v>
      </c>
      <c r="E337" s="11" t="s">
        <v>26</v>
      </c>
      <c r="F337" s="11">
        <v>90069</v>
      </c>
      <c r="G337" s="12">
        <v>39500</v>
      </c>
      <c r="H337" s="12">
        <v>45000</v>
      </c>
      <c r="I337" s="13">
        <v>0.13924050632911392</v>
      </c>
      <c r="J337" s="14">
        <v>45666</v>
      </c>
      <c r="K337" s="5"/>
      <c r="L337" s="5" t="s">
        <v>27</v>
      </c>
      <c r="M337" s="15" t="s">
        <v>2181</v>
      </c>
      <c r="N337" s="5"/>
      <c r="O337" s="5" t="s">
        <v>2182</v>
      </c>
      <c r="P337" s="5" t="s">
        <v>2183</v>
      </c>
      <c r="Q337" s="5"/>
      <c r="R337" s="5"/>
      <c r="S337" s="5" t="s">
        <v>2184</v>
      </c>
      <c r="T337" s="16" t="s">
        <v>2185</v>
      </c>
      <c r="U337" s="5"/>
    </row>
    <row r="338" spans="1:21" ht="12.75">
      <c r="A338" s="5" t="s">
        <v>2186</v>
      </c>
      <c r="B338" s="5" t="s">
        <v>365</v>
      </c>
      <c r="C338" s="5" t="s">
        <v>2187</v>
      </c>
      <c r="D338" s="5" t="s">
        <v>25</v>
      </c>
      <c r="E338" s="11" t="s">
        <v>26</v>
      </c>
      <c r="F338" s="11">
        <v>90710</v>
      </c>
      <c r="G338" s="12">
        <v>2000</v>
      </c>
      <c r="H338" s="12">
        <v>2495</v>
      </c>
      <c r="I338" s="13">
        <v>0.2475</v>
      </c>
      <c r="J338" s="14">
        <v>45670</v>
      </c>
      <c r="K338" s="5"/>
      <c r="L338" s="5" t="s">
        <v>648</v>
      </c>
      <c r="M338" s="15" t="s">
        <v>2188</v>
      </c>
      <c r="N338" s="5"/>
      <c r="O338" s="5"/>
      <c r="Q338" s="5"/>
      <c r="R338" s="5"/>
      <c r="S338" s="5" t="s">
        <v>2189</v>
      </c>
      <c r="T338" s="16" t="s">
        <v>2190</v>
      </c>
      <c r="U338" s="5"/>
    </row>
    <row r="339" spans="1:21" ht="12.75">
      <c r="A339" s="5" t="s">
        <v>2191</v>
      </c>
      <c r="B339" s="5">
        <v>5570024023</v>
      </c>
      <c r="C339" s="5" t="s">
        <v>2192</v>
      </c>
      <c r="D339" s="5" t="s">
        <v>25</v>
      </c>
      <c r="E339" s="11" t="s">
        <v>26</v>
      </c>
      <c r="F339" s="11">
        <v>90046</v>
      </c>
      <c r="G339" s="12">
        <v>10000</v>
      </c>
      <c r="H339" s="12">
        <v>12500</v>
      </c>
      <c r="I339" s="13">
        <v>0.25</v>
      </c>
      <c r="J339" s="14">
        <v>45667</v>
      </c>
      <c r="K339" s="5"/>
      <c r="L339" s="5" t="s">
        <v>27</v>
      </c>
      <c r="M339" s="15" t="s">
        <v>2193</v>
      </c>
      <c r="N339" s="5"/>
      <c r="O339" s="5" t="s">
        <v>2194</v>
      </c>
      <c r="P339" s="5" t="s">
        <v>2195</v>
      </c>
      <c r="Q339" s="5"/>
      <c r="R339" s="5"/>
      <c r="S339" s="5" t="s">
        <v>2196</v>
      </c>
      <c r="T339" s="16" t="s">
        <v>2197</v>
      </c>
      <c r="U339" s="5"/>
    </row>
    <row r="340" spans="1:21" ht="12.75">
      <c r="A340" s="5" t="s">
        <v>2198</v>
      </c>
      <c r="B340" s="5" t="s">
        <v>365</v>
      </c>
      <c r="C340" s="5" t="s">
        <v>2199</v>
      </c>
      <c r="D340" s="5" t="s">
        <v>732</v>
      </c>
      <c r="E340" s="11" t="s">
        <v>26</v>
      </c>
      <c r="F340" s="11">
        <v>91423</v>
      </c>
      <c r="G340" s="12">
        <v>18500</v>
      </c>
      <c r="H340" s="12">
        <v>21500</v>
      </c>
      <c r="I340" s="13">
        <v>0.16216216216216217</v>
      </c>
      <c r="J340" s="14">
        <v>45670</v>
      </c>
      <c r="K340" s="5"/>
      <c r="L340" s="5" t="s">
        <v>27</v>
      </c>
      <c r="M340" s="15" t="s">
        <v>2200</v>
      </c>
      <c r="N340" s="5"/>
      <c r="O340" s="5" t="s">
        <v>2201</v>
      </c>
      <c r="P340" s="5">
        <v>2137869263</v>
      </c>
      <c r="Q340" s="5"/>
      <c r="R340" s="5"/>
      <c r="S340" s="5" t="s">
        <v>114</v>
      </c>
      <c r="T340" s="16" t="s">
        <v>2202</v>
      </c>
      <c r="U340" s="5"/>
    </row>
    <row r="341" spans="1:21" ht="12.75">
      <c r="A341" s="5" t="s">
        <v>2203</v>
      </c>
      <c r="B341" s="5">
        <v>2345016001</v>
      </c>
      <c r="C341" s="5" t="s">
        <v>2204</v>
      </c>
      <c r="D341" s="5" t="s">
        <v>605</v>
      </c>
      <c r="E341" s="11" t="s">
        <v>26</v>
      </c>
      <c r="F341" s="11">
        <v>91401</v>
      </c>
      <c r="G341" s="12">
        <v>20000</v>
      </c>
      <c r="H341" s="12">
        <v>36000</v>
      </c>
      <c r="I341" s="13">
        <v>0.8</v>
      </c>
      <c r="J341" s="14">
        <v>45670</v>
      </c>
      <c r="K341" s="5"/>
      <c r="L341" s="5" t="s">
        <v>27</v>
      </c>
      <c r="M341" s="15" t="s">
        <v>2205</v>
      </c>
      <c r="N341" s="5" t="b">
        <v>0</v>
      </c>
      <c r="O341" s="5" t="s">
        <v>2201</v>
      </c>
      <c r="P341" s="5" t="s">
        <v>2206</v>
      </c>
      <c r="Q341" s="5"/>
      <c r="R341" s="5"/>
      <c r="S341" s="5" t="s">
        <v>1228</v>
      </c>
      <c r="T341" s="16" t="s">
        <v>2207</v>
      </c>
      <c r="U341" s="5"/>
    </row>
    <row r="342" spans="1:21" ht="12.75">
      <c r="A342" s="5" t="s">
        <v>2208</v>
      </c>
      <c r="B342" s="5">
        <v>5635011022</v>
      </c>
      <c r="C342" s="5" t="s">
        <v>2209</v>
      </c>
      <c r="D342" s="5" t="s">
        <v>118</v>
      </c>
      <c r="E342" s="11" t="s">
        <v>26</v>
      </c>
      <c r="F342" s="11">
        <v>91202</v>
      </c>
      <c r="G342" s="12">
        <v>6250</v>
      </c>
      <c r="H342" s="12">
        <v>7500</v>
      </c>
      <c r="I342" s="13">
        <v>0.2</v>
      </c>
      <c r="J342" s="14">
        <v>45667</v>
      </c>
      <c r="K342" s="5"/>
      <c r="L342" s="5" t="s">
        <v>27</v>
      </c>
      <c r="M342" s="15" t="s">
        <v>2210</v>
      </c>
      <c r="N342" s="5" t="b">
        <v>1</v>
      </c>
      <c r="O342" s="5"/>
      <c r="P342" s="5"/>
      <c r="Q342" s="5" t="s">
        <v>2211</v>
      </c>
      <c r="R342" s="5">
        <v>8186183813</v>
      </c>
      <c r="S342" s="5" t="s">
        <v>2212</v>
      </c>
      <c r="T342" s="5" t="s">
        <v>2213</v>
      </c>
      <c r="U342" s="5"/>
    </row>
    <row r="343" spans="1:21" ht="12.75">
      <c r="A343" s="5" t="s">
        <v>2214</v>
      </c>
      <c r="B343" s="5" t="s">
        <v>365</v>
      </c>
      <c r="C343" s="5" t="s">
        <v>2215</v>
      </c>
      <c r="D343" s="5" t="s">
        <v>25</v>
      </c>
      <c r="E343" s="11" t="s">
        <v>26</v>
      </c>
      <c r="F343" s="11">
        <v>90035</v>
      </c>
      <c r="G343" s="12">
        <v>4695</v>
      </c>
      <c r="H343" s="12">
        <v>6450</v>
      </c>
      <c r="I343" s="13">
        <v>0.37380191693290737</v>
      </c>
      <c r="J343" s="14">
        <v>45670</v>
      </c>
      <c r="K343" s="5"/>
      <c r="L343" s="5" t="s">
        <v>648</v>
      </c>
      <c r="M343" s="15" t="s">
        <v>2216</v>
      </c>
      <c r="N343" s="5" t="b">
        <v>0</v>
      </c>
      <c r="O343" s="5"/>
      <c r="P343" s="5" t="s">
        <v>2217</v>
      </c>
      <c r="Q343" s="5"/>
      <c r="R343" s="5"/>
      <c r="S343" s="5" t="s">
        <v>114</v>
      </c>
      <c r="T343" s="16" t="s">
        <v>2218</v>
      </c>
      <c r="U343" s="5"/>
    </row>
    <row r="344" spans="1:21" ht="12.75">
      <c r="A344" s="5" t="s">
        <v>2219</v>
      </c>
      <c r="B344" s="5" t="s">
        <v>365</v>
      </c>
      <c r="C344" s="5" t="s">
        <v>2220</v>
      </c>
      <c r="D344" s="5" t="s">
        <v>25</v>
      </c>
      <c r="E344" s="11" t="s">
        <v>26</v>
      </c>
      <c r="F344" s="11">
        <v>90039</v>
      </c>
      <c r="G344" s="12">
        <v>2800</v>
      </c>
      <c r="H344" s="12">
        <v>3400</v>
      </c>
      <c r="I344" s="13">
        <v>0.21428571428571427</v>
      </c>
      <c r="J344" s="14">
        <v>45670</v>
      </c>
      <c r="K344" s="5"/>
      <c r="L344" s="5" t="s">
        <v>27</v>
      </c>
      <c r="M344" s="15" t="s">
        <v>2221</v>
      </c>
      <c r="N344" s="5" t="b">
        <v>0</v>
      </c>
      <c r="O344" s="5" t="s">
        <v>2222</v>
      </c>
      <c r="P344" s="5" t="s">
        <v>2223</v>
      </c>
      <c r="Q344" s="5"/>
      <c r="R344" s="5"/>
      <c r="S344" s="5" t="s">
        <v>2224</v>
      </c>
      <c r="T344" s="16" t="s">
        <v>2225</v>
      </c>
      <c r="U344" s="5"/>
    </row>
    <row r="345" spans="1:21" ht="12.75">
      <c r="A345" s="5" t="s">
        <v>2226</v>
      </c>
      <c r="B345" s="5" t="s">
        <v>365</v>
      </c>
      <c r="C345" s="5" t="s">
        <v>2227</v>
      </c>
      <c r="D345" s="5" t="s">
        <v>25</v>
      </c>
      <c r="E345" s="11" t="s">
        <v>26</v>
      </c>
      <c r="F345" s="11">
        <v>90069</v>
      </c>
      <c r="G345" s="12">
        <v>9950</v>
      </c>
      <c r="H345" s="12">
        <v>12950</v>
      </c>
      <c r="I345" s="13">
        <v>0.30150753768844218</v>
      </c>
      <c r="J345" s="14">
        <v>45668</v>
      </c>
      <c r="K345" s="5"/>
      <c r="L345" s="5" t="s">
        <v>27</v>
      </c>
      <c r="M345" s="15" t="s">
        <v>2228</v>
      </c>
      <c r="N345" s="5" t="b">
        <v>0</v>
      </c>
      <c r="O345" s="5"/>
      <c r="P345" s="5"/>
      <c r="Q345" s="5" t="s">
        <v>2229</v>
      </c>
      <c r="R345" s="5" t="s">
        <v>2230</v>
      </c>
      <c r="S345" s="5" t="s">
        <v>114</v>
      </c>
      <c r="T345" s="16" t="s">
        <v>2231</v>
      </c>
      <c r="U345" s="5"/>
    </row>
    <row r="346" spans="1:21" ht="12.75">
      <c r="A346" s="5" t="s">
        <v>2232</v>
      </c>
      <c r="B346" s="5" t="s">
        <v>365</v>
      </c>
      <c r="C346" s="5" t="s">
        <v>2233</v>
      </c>
      <c r="D346" s="5" t="s">
        <v>25</v>
      </c>
      <c r="E346" s="11" t="s">
        <v>26</v>
      </c>
      <c r="F346" s="11">
        <v>90034</v>
      </c>
      <c r="G346" s="12">
        <v>3075</v>
      </c>
      <c r="H346" s="12">
        <v>3845</v>
      </c>
      <c r="I346" s="13">
        <v>0.25040650406504067</v>
      </c>
      <c r="J346" s="14">
        <v>45669</v>
      </c>
      <c r="K346" s="5"/>
      <c r="L346" s="5" t="s">
        <v>27</v>
      </c>
      <c r="M346" s="15" t="s">
        <v>2234</v>
      </c>
      <c r="N346" s="5" t="b">
        <v>0</v>
      </c>
      <c r="P346" s="5"/>
      <c r="Q346" s="5" t="s">
        <v>2235</v>
      </c>
      <c r="R346" s="5" t="s">
        <v>2236</v>
      </c>
      <c r="S346" s="5" t="s">
        <v>2237</v>
      </c>
      <c r="T346" s="5" t="s">
        <v>2238</v>
      </c>
      <c r="U346" s="5"/>
    </row>
    <row r="347" spans="1:21" ht="12.75">
      <c r="A347" s="5" t="s">
        <v>2239</v>
      </c>
      <c r="B347" s="5">
        <v>2247017002</v>
      </c>
      <c r="C347" s="5" t="s">
        <v>2240</v>
      </c>
      <c r="D347" s="5" t="s">
        <v>605</v>
      </c>
      <c r="E347" s="11" t="s">
        <v>26</v>
      </c>
      <c r="F347" s="11">
        <v>91401</v>
      </c>
      <c r="G347" s="12">
        <v>35000</v>
      </c>
      <c r="H347" s="12">
        <v>50000</v>
      </c>
      <c r="I347" s="13">
        <v>0.42857142857142855</v>
      </c>
      <c r="J347" s="14">
        <v>45670</v>
      </c>
      <c r="K347" s="5"/>
      <c r="L347" s="5" t="s">
        <v>27</v>
      </c>
      <c r="M347" s="15" t="s">
        <v>2241</v>
      </c>
      <c r="N347" s="5" t="b">
        <v>0</v>
      </c>
      <c r="O347" s="5" t="s">
        <v>2201</v>
      </c>
      <c r="P347" s="5" t="s">
        <v>2242</v>
      </c>
      <c r="Q347" s="5"/>
      <c r="R347" s="5"/>
      <c r="S347" s="5" t="s">
        <v>1072</v>
      </c>
      <c r="T347" s="16" t="s">
        <v>2243</v>
      </c>
      <c r="U347" s="5"/>
    </row>
    <row r="348" spans="1:21" ht="12.75">
      <c r="A348" s="5" t="s">
        <v>2244</v>
      </c>
      <c r="B348" s="5">
        <v>2101036001</v>
      </c>
      <c r="C348" s="5" t="s">
        <v>2245</v>
      </c>
      <c r="D348" s="5" t="s">
        <v>1636</v>
      </c>
      <c r="E348" s="11" t="s">
        <v>26</v>
      </c>
      <c r="F348" s="11">
        <v>91335</v>
      </c>
      <c r="G348" s="12">
        <v>5450</v>
      </c>
      <c r="H348" s="12">
        <v>7450</v>
      </c>
      <c r="I348" s="13">
        <v>0.3669724770642202</v>
      </c>
      <c r="J348" s="14">
        <v>45667</v>
      </c>
      <c r="K348" s="5"/>
      <c r="L348" s="5" t="s">
        <v>27</v>
      </c>
      <c r="M348" s="15" t="s">
        <v>2246</v>
      </c>
      <c r="N348" s="5" t="b">
        <v>0</v>
      </c>
      <c r="O348" s="5"/>
      <c r="P348" s="5"/>
      <c r="Q348" s="5" t="s">
        <v>2247</v>
      </c>
      <c r="R348" s="5" t="s">
        <v>2248</v>
      </c>
      <c r="S348" s="5" t="s">
        <v>114</v>
      </c>
      <c r="T348" s="5" t="s">
        <v>2249</v>
      </c>
      <c r="U348" s="5"/>
    </row>
    <row r="349" spans="1:21" ht="12.75">
      <c r="A349" s="5" t="s">
        <v>2250</v>
      </c>
      <c r="B349" s="5">
        <v>5549022024</v>
      </c>
      <c r="C349" s="5" t="s">
        <v>912</v>
      </c>
      <c r="D349" s="5" t="s">
        <v>25</v>
      </c>
      <c r="E349" s="11" t="s">
        <v>26</v>
      </c>
      <c r="F349" s="11">
        <v>90068</v>
      </c>
      <c r="G349" s="12">
        <v>8500</v>
      </c>
      <c r="H349" s="12">
        <v>12500</v>
      </c>
      <c r="I349" s="13">
        <v>0.47058823529411764</v>
      </c>
      <c r="J349" s="14">
        <v>45667</v>
      </c>
      <c r="K349" s="5"/>
      <c r="L349" s="5" t="s">
        <v>648</v>
      </c>
      <c r="M349" s="15" t="s">
        <v>2251</v>
      </c>
      <c r="N349" s="5" t="b">
        <v>0</v>
      </c>
      <c r="O349" s="5" t="s">
        <v>2252</v>
      </c>
      <c r="P349" s="5" t="s">
        <v>2253</v>
      </c>
      <c r="Q349" s="5"/>
      <c r="R349" s="5"/>
      <c r="S349" s="5" t="s">
        <v>2254</v>
      </c>
      <c r="T349" s="5" t="s">
        <v>2255</v>
      </c>
      <c r="U349" s="5"/>
    </row>
    <row r="350" spans="1:21" ht="12.75">
      <c r="A350" s="5" t="s">
        <v>2256</v>
      </c>
      <c r="B350" s="5">
        <v>4225001066</v>
      </c>
      <c r="C350" s="5" t="s">
        <v>2257</v>
      </c>
      <c r="D350" s="5" t="s">
        <v>1702</v>
      </c>
      <c r="E350" s="11" t="s">
        <v>26</v>
      </c>
      <c r="F350" s="11">
        <v>90292</v>
      </c>
      <c r="G350" s="12">
        <v>9000</v>
      </c>
      <c r="H350" s="12">
        <v>12500</v>
      </c>
      <c r="I350" s="13">
        <v>0.3888888888888889</v>
      </c>
      <c r="J350" s="14">
        <v>45668</v>
      </c>
      <c r="K350" s="5"/>
      <c r="L350" s="5" t="s">
        <v>27</v>
      </c>
      <c r="M350" s="15" t="s">
        <v>2258</v>
      </c>
      <c r="N350" s="5" t="b">
        <v>0</v>
      </c>
      <c r="O350" s="5" t="s">
        <v>2259</v>
      </c>
      <c r="P350" s="5" t="s">
        <v>2260</v>
      </c>
      <c r="Q350" s="5"/>
      <c r="R350" s="5"/>
      <c r="S350" s="5" t="s">
        <v>2261</v>
      </c>
      <c r="T350" s="5" t="s">
        <v>2262</v>
      </c>
      <c r="U350" s="5"/>
    </row>
    <row r="351" spans="1:21" ht="12.75">
      <c r="A351" s="5" t="s">
        <v>2263</v>
      </c>
      <c r="B351" s="5">
        <v>2245001019</v>
      </c>
      <c r="C351" s="5" t="s">
        <v>2264</v>
      </c>
      <c r="D351" s="5" t="s">
        <v>732</v>
      </c>
      <c r="E351" s="11" t="s">
        <v>26</v>
      </c>
      <c r="F351" s="11">
        <v>91401</v>
      </c>
      <c r="G351" s="12">
        <v>5699</v>
      </c>
      <c r="H351" s="12">
        <v>7999</v>
      </c>
      <c r="I351" s="13">
        <v>0.40357957536409894</v>
      </c>
      <c r="J351" s="14">
        <v>45670</v>
      </c>
      <c r="K351" s="5"/>
      <c r="L351" s="5" t="s">
        <v>27</v>
      </c>
      <c r="M351" s="15" t="s">
        <v>2265</v>
      </c>
      <c r="N351" s="5" t="b">
        <v>0</v>
      </c>
      <c r="O351" s="5"/>
      <c r="P351" s="5"/>
      <c r="Q351" s="5" t="s">
        <v>2266</v>
      </c>
      <c r="R351" s="5" t="s">
        <v>2267</v>
      </c>
      <c r="S351" s="5" t="s">
        <v>114</v>
      </c>
      <c r="T351" s="16" t="s">
        <v>2268</v>
      </c>
      <c r="U351" s="5"/>
    </row>
    <row r="352" spans="1:21" ht="12.75">
      <c r="A352" s="5" t="s">
        <v>2269</v>
      </c>
      <c r="B352" s="5" t="s">
        <v>365</v>
      </c>
      <c r="C352" s="5" t="s">
        <v>2270</v>
      </c>
      <c r="D352" s="5" t="s">
        <v>25</v>
      </c>
      <c r="E352" s="11" t="s">
        <v>26</v>
      </c>
      <c r="F352" s="11">
        <v>90064</v>
      </c>
      <c r="G352" s="12">
        <v>8500</v>
      </c>
      <c r="H352" s="12">
        <v>9500</v>
      </c>
      <c r="I352" s="13">
        <v>0.11764705882352941</v>
      </c>
      <c r="J352" s="14">
        <v>45667</v>
      </c>
      <c r="K352" s="5"/>
      <c r="L352" s="5" t="s">
        <v>27</v>
      </c>
      <c r="M352" s="15" t="s">
        <v>2271</v>
      </c>
      <c r="N352" s="5" t="b">
        <v>0</v>
      </c>
      <c r="O352" s="5"/>
      <c r="P352" s="5"/>
      <c r="Q352" s="5" t="s">
        <v>2272</v>
      </c>
      <c r="R352" s="5">
        <v>3106000639</v>
      </c>
      <c r="S352" s="5" t="s">
        <v>114</v>
      </c>
      <c r="T352" s="5" t="s">
        <v>2273</v>
      </c>
      <c r="U352" s="5"/>
    </row>
    <row r="353" spans="1:21" ht="12.75">
      <c r="A353" s="5" t="s">
        <v>2274</v>
      </c>
      <c r="B353" s="5">
        <v>2280012039</v>
      </c>
      <c r="C353" s="5" t="s">
        <v>2275</v>
      </c>
      <c r="D353" s="5" t="s">
        <v>732</v>
      </c>
      <c r="E353" s="11" t="s">
        <v>26</v>
      </c>
      <c r="F353" s="11">
        <v>91403</v>
      </c>
      <c r="G353" s="12">
        <v>9950</v>
      </c>
      <c r="H353" s="12">
        <v>15000</v>
      </c>
      <c r="I353" s="13">
        <v>0.50753768844221103</v>
      </c>
      <c r="J353" s="14">
        <v>45665</v>
      </c>
      <c r="K353" s="5"/>
      <c r="L353" s="5" t="s">
        <v>27</v>
      </c>
      <c r="M353" s="15" t="s">
        <v>2276</v>
      </c>
      <c r="N353" s="5" t="b">
        <v>0</v>
      </c>
      <c r="O353" s="5" t="s">
        <v>2277</v>
      </c>
      <c r="P353" s="5" t="s">
        <v>2278</v>
      </c>
      <c r="Q353" s="5" t="s">
        <v>2279</v>
      </c>
      <c r="R353" s="5" t="s">
        <v>2278</v>
      </c>
      <c r="S353" s="5" t="s">
        <v>2280</v>
      </c>
      <c r="T353" s="16" t="s">
        <v>2281</v>
      </c>
      <c r="U353" s="5"/>
    </row>
    <row r="354" spans="1:21" ht="12.75">
      <c r="A354" s="5" t="s">
        <v>2282</v>
      </c>
      <c r="B354" s="5">
        <v>4238024021</v>
      </c>
      <c r="C354" s="5" t="s">
        <v>2283</v>
      </c>
      <c r="D354" s="5" t="s">
        <v>380</v>
      </c>
      <c r="E354" s="11" t="s">
        <v>26</v>
      </c>
      <c r="F354" s="11">
        <v>90291</v>
      </c>
      <c r="G354" s="12">
        <v>2800</v>
      </c>
      <c r="H354" s="12">
        <v>5000</v>
      </c>
      <c r="I354" s="13">
        <v>0.7857142857142857</v>
      </c>
      <c r="J354" s="14">
        <v>45669</v>
      </c>
      <c r="K354" s="5"/>
      <c r="L354" s="5" t="s">
        <v>27</v>
      </c>
      <c r="M354" s="15" t="s">
        <v>2284</v>
      </c>
      <c r="N354" s="5" t="b">
        <v>0</v>
      </c>
      <c r="O354" s="5" t="s">
        <v>2285</v>
      </c>
      <c r="P354" s="5" t="s">
        <v>2286</v>
      </c>
      <c r="Q354" s="5"/>
      <c r="R354" s="5"/>
      <c r="S354" s="5" t="s">
        <v>2287</v>
      </c>
      <c r="T354" s="5" t="s">
        <v>2288</v>
      </c>
      <c r="U354" s="5"/>
    </row>
    <row r="355" spans="1:21" ht="12.75">
      <c r="A355" s="5" t="s">
        <v>2289</v>
      </c>
      <c r="B355" s="5" t="s">
        <v>365</v>
      </c>
      <c r="C355" s="5" t="s">
        <v>2290</v>
      </c>
      <c r="D355" s="5" t="s">
        <v>25</v>
      </c>
      <c r="E355" s="11" t="s">
        <v>26</v>
      </c>
      <c r="F355" s="11">
        <v>90024</v>
      </c>
      <c r="G355" s="12">
        <v>2500</v>
      </c>
      <c r="H355" s="12">
        <v>2800</v>
      </c>
      <c r="I355" s="13">
        <v>0.12</v>
      </c>
      <c r="J355" s="14">
        <v>45669</v>
      </c>
      <c r="K355" s="5"/>
      <c r="L355" s="5" t="s">
        <v>27</v>
      </c>
      <c r="M355" s="15" t="s">
        <v>2291</v>
      </c>
      <c r="N355" s="5" t="b">
        <v>0</v>
      </c>
      <c r="O355" s="5" t="s">
        <v>2292</v>
      </c>
      <c r="P355" s="5" t="s">
        <v>2293</v>
      </c>
      <c r="Q355" s="5"/>
      <c r="R355" s="5"/>
      <c r="S355" s="5" t="s">
        <v>2294</v>
      </c>
      <c r="T355" s="5" t="s">
        <v>2295</v>
      </c>
      <c r="U355" s="5"/>
    </row>
    <row r="356" spans="1:21" ht="12.75">
      <c r="A356" s="5" t="s">
        <v>2296</v>
      </c>
      <c r="B356" s="5" t="s">
        <v>365</v>
      </c>
      <c r="C356" s="5" t="s">
        <v>2297</v>
      </c>
      <c r="D356" s="5" t="s">
        <v>2298</v>
      </c>
      <c r="E356" s="11" t="s">
        <v>26</v>
      </c>
      <c r="F356" s="11">
        <v>90049</v>
      </c>
      <c r="G356" s="12">
        <v>4995</v>
      </c>
      <c r="H356" s="12">
        <v>7500</v>
      </c>
      <c r="I356" s="13">
        <v>0.50150150150150152</v>
      </c>
      <c r="J356" s="14">
        <v>45670</v>
      </c>
      <c r="K356" s="5"/>
      <c r="L356" s="5" t="s">
        <v>648</v>
      </c>
      <c r="M356" s="15" t="s">
        <v>2299</v>
      </c>
      <c r="N356" s="5" t="b">
        <v>0</v>
      </c>
      <c r="O356" s="5" t="s">
        <v>2300</v>
      </c>
      <c r="P356" s="5" t="s">
        <v>2301</v>
      </c>
      <c r="Q356" s="5"/>
      <c r="R356" s="5"/>
      <c r="S356" s="5" t="s">
        <v>114</v>
      </c>
      <c r="T356" s="16" t="s">
        <v>2302</v>
      </c>
      <c r="U356" s="5"/>
    </row>
    <row r="357" spans="1:21" ht="12.75">
      <c r="A357" s="5" t="s">
        <v>2303</v>
      </c>
      <c r="B357" s="5">
        <v>4102013016</v>
      </c>
      <c r="C357" s="5" t="s">
        <v>2304</v>
      </c>
      <c r="D357" s="5" t="s">
        <v>102</v>
      </c>
      <c r="E357" s="11" t="s">
        <v>26</v>
      </c>
      <c r="F357" s="11">
        <v>90056</v>
      </c>
      <c r="G357" s="12">
        <v>10500</v>
      </c>
      <c r="H357" s="12">
        <v>16600</v>
      </c>
      <c r="I357" s="13">
        <v>0.580952380952381</v>
      </c>
      <c r="J357" s="14">
        <v>45669</v>
      </c>
      <c r="K357" s="5"/>
      <c r="L357" s="5" t="s">
        <v>27</v>
      </c>
      <c r="M357" s="15" t="s">
        <v>2305</v>
      </c>
      <c r="N357" s="5" t="b">
        <v>0</v>
      </c>
      <c r="O357" s="5" t="s">
        <v>2306</v>
      </c>
      <c r="P357" s="5">
        <v>2135772699</v>
      </c>
      <c r="Q357" s="5"/>
      <c r="R357" s="5"/>
      <c r="S357" s="5" t="s">
        <v>2307</v>
      </c>
      <c r="T357" s="16" t="s">
        <v>2308</v>
      </c>
      <c r="U357" s="5"/>
    </row>
    <row r="358" spans="1:21" ht="12.75">
      <c r="A358" s="5" t="s">
        <v>2309</v>
      </c>
      <c r="B358" s="5" t="s">
        <v>365</v>
      </c>
      <c r="C358" s="5" t="s">
        <v>2310</v>
      </c>
      <c r="D358" s="5" t="s">
        <v>1279</v>
      </c>
      <c r="E358" s="11" t="s">
        <v>26</v>
      </c>
      <c r="F358" s="11">
        <v>91601</v>
      </c>
      <c r="G358" s="12">
        <v>3400</v>
      </c>
      <c r="H358" s="12">
        <v>5000</v>
      </c>
      <c r="I358" s="13">
        <v>0.47058823529411764</v>
      </c>
      <c r="J358" s="14">
        <v>45670</v>
      </c>
      <c r="K358" s="5"/>
      <c r="L358" s="5" t="s">
        <v>27</v>
      </c>
      <c r="M358" s="15" t="s">
        <v>2311</v>
      </c>
      <c r="N358" s="5" t="b">
        <v>0</v>
      </c>
      <c r="O358" s="5" t="s">
        <v>2312</v>
      </c>
      <c r="P358" s="5" t="s">
        <v>2313</v>
      </c>
      <c r="Q358" s="5"/>
      <c r="R358" s="5"/>
      <c r="S358" s="5" t="s">
        <v>114</v>
      </c>
      <c r="T358" s="5" t="s">
        <v>2314</v>
      </c>
      <c r="U358" s="5"/>
    </row>
    <row r="359" spans="1:21" ht="12.75">
      <c r="A359" s="5" t="s">
        <v>2315</v>
      </c>
      <c r="B359" s="5" t="s">
        <v>2316</v>
      </c>
      <c r="C359" s="5" t="s">
        <v>2317</v>
      </c>
      <c r="D359" s="5" t="s">
        <v>408</v>
      </c>
      <c r="E359" s="11" t="s">
        <v>26</v>
      </c>
      <c r="F359" s="11">
        <v>90210</v>
      </c>
      <c r="G359" s="12">
        <v>69500</v>
      </c>
      <c r="H359" s="12">
        <v>95000</v>
      </c>
      <c r="I359" s="13">
        <v>0.36690647482014388</v>
      </c>
      <c r="J359" s="14">
        <v>45666</v>
      </c>
      <c r="K359" s="5"/>
      <c r="L359" s="5" t="s">
        <v>2318</v>
      </c>
      <c r="M359" s="15" t="s">
        <v>2319</v>
      </c>
      <c r="N359" s="5" t="b">
        <v>0</v>
      </c>
      <c r="O359" s="5" t="s">
        <v>2320</v>
      </c>
      <c r="P359" s="5" t="s">
        <v>2321</v>
      </c>
      <c r="Q359" s="5" t="s">
        <v>2322</v>
      </c>
      <c r="R359" s="5"/>
      <c r="S359" s="5" t="s">
        <v>114</v>
      </c>
      <c r="T359" s="16" t="s">
        <v>2323</v>
      </c>
      <c r="U359" s="5"/>
    </row>
    <row r="360" spans="1:21" ht="12.75">
      <c r="A360" s="5" t="s">
        <v>2324</v>
      </c>
      <c r="B360" s="5" t="s">
        <v>861</v>
      </c>
      <c r="C360" s="5" t="s">
        <v>2325</v>
      </c>
      <c r="D360" s="5" t="s">
        <v>25</v>
      </c>
      <c r="E360" s="11" t="s">
        <v>26</v>
      </c>
      <c r="F360" s="11">
        <v>90068</v>
      </c>
      <c r="G360" s="12">
        <v>19500</v>
      </c>
      <c r="H360" s="12">
        <v>29950</v>
      </c>
      <c r="I360" s="13">
        <v>0.53589743589743588</v>
      </c>
      <c r="J360" s="14">
        <v>45670</v>
      </c>
      <c r="K360" s="5"/>
      <c r="L360" s="5" t="s">
        <v>27</v>
      </c>
      <c r="M360" s="15" t="s">
        <v>2326</v>
      </c>
      <c r="N360" s="5" t="b">
        <v>0</v>
      </c>
      <c r="O360" s="5"/>
      <c r="Q360" s="5"/>
      <c r="R360" s="5"/>
      <c r="S360" s="5" t="s">
        <v>114</v>
      </c>
      <c r="T360" s="16" t="s">
        <v>2327</v>
      </c>
      <c r="U360" s="5"/>
    </row>
    <row r="361" spans="1:21" ht="12.75">
      <c r="A361" s="5" t="s">
        <v>2328</v>
      </c>
      <c r="B361" s="5">
        <v>5404019008</v>
      </c>
      <c r="C361" s="5" t="s">
        <v>2329</v>
      </c>
      <c r="D361" s="5" t="s">
        <v>25</v>
      </c>
      <c r="E361" s="11" t="s">
        <v>26</v>
      </c>
      <c r="F361" s="11">
        <v>90026</v>
      </c>
      <c r="G361" s="12">
        <v>5995</v>
      </c>
      <c r="H361" s="12">
        <v>9995</v>
      </c>
      <c r="I361" s="13">
        <v>0.66722268557130937</v>
      </c>
      <c r="J361" s="14">
        <v>45671</v>
      </c>
      <c r="K361" s="5"/>
      <c r="L361" s="5" t="s">
        <v>27</v>
      </c>
      <c r="M361" s="15" t="s">
        <v>2330</v>
      </c>
      <c r="N361" s="5" t="b">
        <v>1</v>
      </c>
      <c r="O361" s="5" t="s">
        <v>2331</v>
      </c>
      <c r="P361" s="5" t="s">
        <v>2332</v>
      </c>
      <c r="Q361" s="5"/>
      <c r="R361" s="5"/>
      <c r="S361" s="5" t="s">
        <v>114</v>
      </c>
      <c r="T361" s="5" t="s">
        <v>2333</v>
      </c>
    </row>
    <row r="362" spans="1:21" ht="12.75">
      <c r="A362" s="5" t="s">
        <v>2334</v>
      </c>
      <c r="B362" s="5">
        <v>4229006075</v>
      </c>
      <c r="C362" s="5" t="s">
        <v>2335</v>
      </c>
      <c r="D362" s="5" t="s">
        <v>1702</v>
      </c>
      <c r="E362" s="11" t="s">
        <v>26</v>
      </c>
      <c r="F362" s="11">
        <v>90292</v>
      </c>
      <c r="G362" s="12">
        <v>13000</v>
      </c>
      <c r="H362" s="12">
        <v>25000</v>
      </c>
      <c r="I362" s="13">
        <v>0.92307692307692313</v>
      </c>
      <c r="J362" s="14">
        <v>45669</v>
      </c>
      <c r="K362" s="5"/>
      <c r="L362" s="5" t="s">
        <v>27</v>
      </c>
      <c r="M362" s="15" t="s">
        <v>2336</v>
      </c>
      <c r="N362" s="5" t="b">
        <v>0</v>
      </c>
      <c r="O362" s="5" t="s">
        <v>2337</v>
      </c>
      <c r="P362" s="5" t="s">
        <v>2338</v>
      </c>
      <c r="Q362" s="5"/>
      <c r="R362" s="5"/>
      <c r="S362" s="5" t="s">
        <v>2339</v>
      </c>
      <c r="T362" s="16" t="s">
        <v>2340</v>
      </c>
    </row>
    <row r="363" spans="1:21" ht="12.75">
      <c r="A363" s="5" t="s">
        <v>2341</v>
      </c>
      <c r="B363" s="5">
        <v>15711169</v>
      </c>
      <c r="C363" s="5" t="s">
        <v>2342</v>
      </c>
      <c r="D363" s="5" t="s">
        <v>2343</v>
      </c>
      <c r="E363" s="11" t="s">
        <v>26</v>
      </c>
      <c r="F363" s="11">
        <v>92708</v>
      </c>
      <c r="G363" s="12">
        <v>5800</v>
      </c>
      <c r="H363" s="12">
        <v>8000</v>
      </c>
      <c r="I363" s="13">
        <v>0.37931034482758619</v>
      </c>
      <c r="J363" s="14">
        <v>45670</v>
      </c>
      <c r="K363" s="5"/>
      <c r="L363" s="5" t="s">
        <v>27</v>
      </c>
      <c r="M363" s="15" t="s">
        <v>2344</v>
      </c>
      <c r="N363" s="5" t="b">
        <v>0</v>
      </c>
      <c r="O363" s="5" t="s">
        <v>2345</v>
      </c>
      <c r="P363" s="5" t="s">
        <v>2346</v>
      </c>
      <c r="Q363" s="5"/>
      <c r="R363" s="5"/>
      <c r="S363" s="5" t="s">
        <v>114</v>
      </c>
      <c r="T363" s="5" t="s">
        <v>2347</v>
      </c>
    </row>
    <row r="364" spans="1:21" ht="12.75">
      <c r="A364" s="5" t="s">
        <v>2348</v>
      </c>
      <c r="B364" s="5">
        <v>5088004056</v>
      </c>
      <c r="C364" s="5" t="s">
        <v>2349</v>
      </c>
      <c r="D364" s="5" t="s">
        <v>25</v>
      </c>
      <c r="E364" s="11" t="s">
        <v>26</v>
      </c>
      <c r="F364" s="11">
        <v>90048</v>
      </c>
      <c r="G364" s="12">
        <v>6950</v>
      </c>
      <c r="H364" s="12">
        <v>14950</v>
      </c>
      <c r="I364" s="13">
        <v>1.1510791366906474</v>
      </c>
      <c r="J364" s="14">
        <v>45665</v>
      </c>
      <c r="K364" s="5"/>
      <c r="L364" s="5" t="s">
        <v>27</v>
      </c>
      <c r="M364" s="15" t="s">
        <v>2350</v>
      </c>
      <c r="N364" s="5" t="b">
        <v>0</v>
      </c>
      <c r="O364" s="5"/>
      <c r="P364" s="5"/>
      <c r="Q364" s="5" t="s">
        <v>2351</v>
      </c>
      <c r="R364" s="5" t="s">
        <v>2352</v>
      </c>
      <c r="S364" s="5" t="s">
        <v>2353</v>
      </c>
      <c r="T364" s="5" t="s">
        <v>2354</v>
      </c>
    </row>
    <row r="365" spans="1:21" ht="12.75">
      <c r="A365" s="5" t="s">
        <v>2355</v>
      </c>
      <c r="B365" s="5" t="s">
        <v>365</v>
      </c>
      <c r="C365" s="5" t="s">
        <v>2356</v>
      </c>
      <c r="D365" s="5" t="s">
        <v>1445</v>
      </c>
      <c r="E365" s="11" t="s">
        <v>26</v>
      </c>
      <c r="F365" s="11">
        <v>91367</v>
      </c>
      <c r="G365" s="12">
        <v>3300</v>
      </c>
      <c r="H365" s="12">
        <v>4600</v>
      </c>
      <c r="I365" s="13">
        <v>0.39393939393939392</v>
      </c>
      <c r="J365" s="14">
        <v>45670</v>
      </c>
      <c r="K365" s="5"/>
      <c r="L365" s="5" t="s">
        <v>27</v>
      </c>
      <c r="M365" s="15" t="s">
        <v>2357</v>
      </c>
      <c r="N365" s="5" t="b">
        <v>1</v>
      </c>
      <c r="O365" s="5" t="s">
        <v>2358</v>
      </c>
      <c r="P365" s="5" t="s">
        <v>2359</v>
      </c>
      <c r="Q365" s="5"/>
      <c r="R365" s="5"/>
      <c r="S365" s="5" t="s">
        <v>2360</v>
      </c>
      <c r="T365" s="5" t="s">
        <v>2361</v>
      </c>
    </row>
    <row r="366" spans="1:21" ht="12.75">
      <c r="A366" s="5" t="s">
        <v>2362</v>
      </c>
      <c r="B366" s="5">
        <v>17806232</v>
      </c>
      <c r="C366" s="5" t="s">
        <v>2363</v>
      </c>
      <c r="D366" s="5" t="s">
        <v>2364</v>
      </c>
      <c r="E366" s="11" t="s">
        <v>26</v>
      </c>
      <c r="F366" s="11">
        <v>92649</v>
      </c>
      <c r="G366" s="12">
        <v>25000</v>
      </c>
      <c r="H366" s="12">
        <v>29000</v>
      </c>
      <c r="I366" s="13">
        <v>0.16</v>
      </c>
      <c r="J366" s="14">
        <v>45670</v>
      </c>
      <c r="K366" s="5"/>
      <c r="L366" s="5" t="s">
        <v>27</v>
      </c>
      <c r="M366" s="15" t="s">
        <v>2365</v>
      </c>
      <c r="N366" s="5" t="b">
        <v>0</v>
      </c>
      <c r="O366" s="5"/>
      <c r="P366" s="5"/>
      <c r="Q366" s="5" t="s">
        <v>2366</v>
      </c>
      <c r="R366" s="5" t="s">
        <v>2367</v>
      </c>
      <c r="S366" s="5" t="s">
        <v>114</v>
      </c>
      <c r="T366" s="5" t="s">
        <v>2368</v>
      </c>
    </row>
    <row r="367" spans="1:21" ht="12.75">
      <c r="A367" s="5" t="s">
        <v>2369</v>
      </c>
      <c r="B367" s="5" t="s">
        <v>365</v>
      </c>
      <c r="C367" s="5" t="s">
        <v>906</v>
      </c>
      <c r="D367" s="5" t="s">
        <v>2370</v>
      </c>
      <c r="E367" s="11" t="s">
        <v>26</v>
      </c>
      <c r="F367" s="11">
        <v>90046</v>
      </c>
      <c r="G367" s="12">
        <v>9000</v>
      </c>
      <c r="H367" s="12">
        <v>10500</v>
      </c>
      <c r="I367" s="13">
        <v>0.16666666666666666</v>
      </c>
      <c r="J367" s="14">
        <v>45668</v>
      </c>
      <c r="K367" s="5"/>
      <c r="L367" s="5" t="s">
        <v>648</v>
      </c>
      <c r="M367" s="15" t="s">
        <v>2371</v>
      </c>
      <c r="N367" s="5" t="b">
        <v>0</v>
      </c>
      <c r="O367" s="5" t="s">
        <v>2372</v>
      </c>
      <c r="P367" s="5" t="s">
        <v>2373</v>
      </c>
      <c r="Q367" s="5"/>
      <c r="R367" s="5"/>
      <c r="S367" s="5" t="s">
        <v>114</v>
      </c>
      <c r="T367" s="16" t="s">
        <v>2374</v>
      </c>
    </row>
    <row r="368" spans="1:21" ht="12.75">
      <c r="A368" s="5" t="s">
        <v>2375</v>
      </c>
      <c r="B368" s="5">
        <v>4273005029</v>
      </c>
      <c r="C368" s="5" t="s">
        <v>2376</v>
      </c>
      <c r="D368" s="5" t="s">
        <v>359</v>
      </c>
      <c r="E368" s="11" t="s">
        <v>26</v>
      </c>
      <c r="F368" s="11">
        <v>90405</v>
      </c>
      <c r="G368" s="12">
        <v>7200</v>
      </c>
      <c r="H368" s="12">
        <v>8400</v>
      </c>
      <c r="I368" s="13">
        <v>0.16666666666666666</v>
      </c>
      <c r="J368" s="14">
        <v>45671</v>
      </c>
      <c r="K368" s="5"/>
      <c r="L368" s="5" t="s">
        <v>27</v>
      </c>
      <c r="M368" s="15" t="s">
        <v>2377</v>
      </c>
      <c r="N368" s="5" t="b">
        <v>0</v>
      </c>
      <c r="O368" s="5"/>
      <c r="P368" s="5"/>
      <c r="Q368" s="5" t="s">
        <v>2378</v>
      </c>
      <c r="R368" s="5"/>
      <c r="S368" s="5" t="s">
        <v>2379</v>
      </c>
      <c r="T368" s="16" t="s">
        <v>2380</v>
      </c>
    </row>
    <row r="369" spans="1:20" ht="12.75">
      <c r="A369" s="5" t="s">
        <v>2381</v>
      </c>
      <c r="B369" s="5" t="s">
        <v>365</v>
      </c>
      <c r="C369" s="5" t="s">
        <v>2382</v>
      </c>
      <c r="D369" s="5" t="s">
        <v>423</v>
      </c>
      <c r="E369" s="11" t="s">
        <v>26</v>
      </c>
      <c r="F369" s="11">
        <v>90077</v>
      </c>
      <c r="G369" s="12">
        <v>8350</v>
      </c>
      <c r="H369" s="12">
        <v>9950</v>
      </c>
      <c r="I369" s="13">
        <v>0.19161676646706588</v>
      </c>
      <c r="J369" s="14">
        <v>45669</v>
      </c>
      <c r="K369" s="5"/>
      <c r="L369" s="5" t="s">
        <v>648</v>
      </c>
      <c r="M369" s="15" t="s">
        <v>2383</v>
      </c>
      <c r="N369" s="5" t="b">
        <v>0</v>
      </c>
      <c r="O369" s="5" t="s">
        <v>389</v>
      </c>
      <c r="P369" s="5" t="s">
        <v>2384</v>
      </c>
      <c r="Q369" s="5"/>
      <c r="R369" s="5"/>
      <c r="S369" s="5" t="s">
        <v>114</v>
      </c>
      <c r="T369" s="16" t="s">
        <v>2385</v>
      </c>
    </row>
    <row r="370" spans="1:20" ht="12.75">
      <c r="A370" s="5" t="s">
        <v>2386</v>
      </c>
      <c r="B370" s="5">
        <v>4380028023</v>
      </c>
      <c r="C370" s="5" t="s">
        <v>2387</v>
      </c>
      <c r="D370" s="5" t="s">
        <v>25</v>
      </c>
      <c r="E370" s="11" t="s">
        <v>26</v>
      </c>
      <c r="F370" s="11">
        <v>90077</v>
      </c>
      <c r="G370" s="12">
        <v>10995</v>
      </c>
      <c r="H370" s="12">
        <v>19500</v>
      </c>
      <c r="I370" s="13">
        <v>0.77353342428376537</v>
      </c>
      <c r="J370" s="14">
        <v>45670</v>
      </c>
      <c r="K370" s="5"/>
      <c r="L370" s="5" t="s">
        <v>27</v>
      </c>
      <c r="M370" s="15" t="s">
        <v>2388</v>
      </c>
      <c r="N370" s="5" t="b">
        <v>0</v>
      </c>
      <c r="O370" s="5" t="s">
        <v>2389</v>
      </c>
      <c r="P370" s="5" t="s">
        <v>2390</v>
      </c>
      <c r="Q370" s="5"/>
      <c r="R370" s="5"/>
      <c r="S370" s="5" t="s">
        <v>114</v>
      </c>
      <c r="T370" s="16" t="s">
        <v>2391</v>
      </c>
    </row>
    <row r="371" spans="1:20" ht="12.75">
      <c r="A371" s="5" t="s">
        <v>2392</v>
      </c>
      <c r="B371" s="5">
        <v>4369022011</v>
      </c>
      <c r="C371" s="5" t="s">
        <v>2393</v>
      </c>
      <c r="D371" s="5" t="s">
        <v>25</v>
      </c>
      <c r="E371" s="11" t="s">
        <v>26</v>
      </c>
      <c r="F371" s="11">
        <v>90077</v>
      </c>
      <c r="G371" s="12">
        <v>65000</v>
      </c>
      <c r="H371" s="12">
        <v>78000</v>
      </c>
      <c r="I371" s="13">
        <v>0.2</v>
      </c>
      <c r="J371" s="14">
        <v>45670</v>
      </c>
      <c r="K371" s="5"/>
      <c r="L371" s="5" t="s">
        <v>27</v>
      </c>
      <c r="M371" s="15" t="s">
        <v>2394</v>
      </c>
      <c r="N371" s="5" t="b">
        <v>0</v>
      </c>
      <c r="O371" s="5" t="s">
        <v>2395</v>
      </c>
      <c r="P371" s="5" t="s">
        <v>2396</v>
      </c>
      <c r="Q371" s="5"/>
      <c r="R371" s="5"/>
      <c r="S371" s="5" t="s">
        <v>2397</v>
      </c>
      <c r="T371" s="5" t="s">
        <v>2398</v>
      </c>
    </row>
    <row r="372" spans="1:20" ht="12.75">
      <c r="A372" s="5" t="s">
        <v>2399</v>
      </c>
      <c r="B372" s="5" t="s">
        <v>2400</v>
      </c>
      <c r="C372" s="5" t="s">
        <v>2401</v>
      </c>
      <c r="D372" s="5" t="s">
        <v>1445</v>
      </c>
      <c r="E372" s="11" t="s">
        <v>26</v>
      </c>
      <c r="F372" s="11">
        <v>91367</v>
      </c>
      <c r="G372" s="12">
        <v>7250</v>
      </c>
      <c r="H372" s="12">
        <v>8050</v>
      </c>
      <c r="I372" s="13">
        <v>0.1103448275862069</v>
      </c>
      <c r="J372" s="14">
        <v>45669</v>
      </c>
      <c r="K372" s="5"/>
      <c r="L372" s="5" t="s">
        <v>27</v>
      </c>
      <c r="M372" s="15" t="s">
        <v>2402</v>
      </c>
      <c r="N372" s="5" t="b">
        <v>0</v>
      </c>
      <c r="O372" s="5" t="s">
        <v>2403</v>
      </c>
      <c r="P372" s="5">
        <v>2134718081</v>
      </c>
      <c r="Q372" s="5" t="s">
        <v>2403</v>
      </c>
      <c r="R372" s="5"/>
      <c r="S372" s="5" t="s">
        <v>114</v>
      </c>
      <c r="T372" s="5" t="s">
        <v>2404</v>
      </c>
    </row>
    <row r="373" spans="1:20" ht="12.75">
      <c r="A373" s="5" t="s">
        <v>2405</v>
      </c>
      <c r="B373" s="5" t="s">
        <v>365</v>
      </c>
      <c r="C373" s="5" t="s">
        <v>2406</v>
      </c>
      <c r="D373" s="5" t="s">
        <v>1629</v>
      </c>
      <c r="E373" s="11" t="s">
        <v>26</v>
      </c>
      <c r="F373" s="11">
        <v>91306</v>
      </c>
      <c r="G373" s="12">
        <v>6500</v>
      </c>
      <c r="H373" s="12">
        <v>7500</v>
      </c>
      <c r="I373" s="13">
        <v>0.15384615384615385</v>
      </c>
      <c r="J373" s="14">
        <v>45670</v>
      </c>
      <c r="K373" s="5"/>
      <c r="L373" s="5" t="s">
        <v>27</v>
      </c>
      <c r="M373" s="15" t="s">
        <v>2407</v>
      </c>
      <c r="N373" s="5" t="b">
        <v>0</v>
      </c>
      <c r="O373" s="5"/>
      <c r="P373" s="5"/>
      <c r="Q373" s="5" t="s">
        <v>2408</v>
      </c>
      <c r="R373" s="5" t="s">
        <v>2409</v>
      </c>
      <c r="S373" s="5" t="s">
        <v>2410</v>
      </c>
      <c r="T373" s="5" t="s">
        <v>2411</v>
      </c>
    </row>
    <row r="374" spans="1:20" ht="12.75">
      <c r="A374" s="5" t="s">
        <v>2412</v>
      </c>
      <c r="B374" s="5">
        <v>5550010013</v>
      </c>
      <c r="C374" s="5" t="s">
        <v>2413</v>
      </c>
      <c r="D374" s="5" t="s">
        <v>353</v>
      </c>
      <c r="E374" s="11" t="s">
        <v>26</v>
      </c>
      <c r="F374" s="11">
        <v>90046</v>
      </c>
      <c r="G374" s="12">
        <v>15000</v>
      </c>
      <c r="H374" s="12">
        <v>19500</v>
      </c>
      <c r="I374" s="13">
        <v>0.3</v>
      </c>
      <c r="J374" s="14">
        <v>45670</v>
      </c>
      <c r="K374" s="5"/>
      <c r="L374" s="5" t="s">
        <v>27</v>
      </c>
      <c r="M374" s="15" t="s">
        <v>2414</v>
      </c>
      <c r="N374" s="5" t="b">
        <v>0</v>
      </c>
      <c r="O374" s="5" t="s">
        <v>2415</v>
      </c>
      <c r="P374" s="5" t="s">
        <v>2416</v>
      </c>
      <c r="Q374" s="5"/>
      <c r="R374" s="5"/>
      <c r="S374" s="5" t="s">
        <v>2417</v>
      </c>
      <c r="T374" s="16" t="s">
        <v>2418</v>
      </c>
    </row>
    <row r="375" spans="1:20" ht="12.75">
      <c r="A375" s="5" t="s">
        <v>2419</v>
      </c>
      <c r="B375" s="5">
        <v>2332013003</v>
      </c>
      <c r="C375" s="5" t="s">
        <v>2420</v>
      </c>
      <c r="D375" s="5" t="s">
        <v>1279</v>
      </c>
      <c r="E375" s="11" t="s">
        <v>26</v>
      </c>
      <c r="F375" s="11">
        <v>91606</v>
      </c>
      <c r="G375" s="12">
        <v>1750</v>
      </c>
      <c r="H375" s="12">
        <v>1950</v>
      </c>
      <c r="I375" s="13">
        <v>0.11428571428571428</v>
      </c>
      <c r="J375" s="14">
        <v>45668</v>
      </c>
      <c r="K375" s="5"/>
      <c r="L375" s="5" t="s">
        <v>27</v>
      </c>
      <c r="M375" s="15" t="s">
        <v>2421</v>
      </c>
      <c r="N375" s="5" t="b">
        <v>0</v>
      </c>
      <c r="P375" s="5"/>
      <c r="Q375" s="5" t="s">
        <v>2422</v>
      </c>
      <c r="R375" s="5" t="s">
        <v>2423</v>
      </c>
      <c r="S375" s="5" t="s">
        <v>2424</v>
      </c>
      <c r="T375" s="5" t="s">
        <v>2425</v>
      </c>
    </row>
    <row r="376" spans="1:20" ht="12.75">
      <c r="A376" s="5" t="s">
        <v>2426</v>
      </c>
      <c r="B376" s="5">
        <v>4380028023</v>
      </c>
      <c r="C376" s="5" t="s">
        <v>2427</v>
      </c>
      <c r="D376" s="5" t="s">
        <v>25</v>
      </c>
      <c r="E376" s="11" t="s">
        <v>26</v>
      </c>
      <c r="F376" s="11">
        <v>90077</v>
      </c>
      <c r="G376" s="12">
        <v>10995</v>
      </c>
      <c r="H376" s="12">
        <v>19500</v>
      </c>
      <c r="I376" s="13">
        <v>0.77353342428376537</v>
      </c>
      <c r="J376" s="14">
        <v>45671</v>
      </c>
      <c r="K376" s="5"/>
      <c r="L376" s="5" t="s">
        <v>27</v>
      </c>
      <c r="M376" s="15" t="s">
        <v>2428</v>
      </c>
      <c r="N376" s="5" t="b">
        <v>0</v>
      </c>
      <c r="O376" s="5"/>
      <c r="P376" s="5"/>
      <c r="Q376" s="5" t="s">
        <v>2389</v>
      </c>
      <c r="R376" s="5" t="s">
        <v>2390</v>
      </c>
      <c r="S376" s="5" t="s">
        <v>114</v>
      </c>
      <c r="T376" s="5" t="s">
        <v>2429</v>
      </c>
    </row>
    <row r="377" spans="1:20" ht="12.75">
      <c r="A377" s="5" t="s">
        <v>2430</v>
      </c>
      <c r="B377" s="5">
        <v>4327012067</v>
      </c>
      <c r="C377" s="5" t="s">
        <v>2431</v>
      </c>
      <c r="D377" s="5" t="s">
        <v>25</v>
      </c>
      <c r="E377" s="11" t="s">
        <v>26</v>
      </c>
      <c r="F377" s="11">
        <v>90024</v>
      </c>
      <c r="G377" s="12">
        <v>4195</v>
      </c>
      <c r="H377" s="12">
        <v>5000</v>
      </c>
      <c r="I377" s="13">
        <v>0.19189511323003575</v>
      </c>
      <c r="J377" s="14">
        <v>45670</v>
      </c>
      <c r="K377" s="5"/>
      <c r="L377" s="5" t="s">
        <v>27</v>
      </c>
      <c r="M377" s="15" t="s">
        <v>2432</v>
      </c>
      <c r="N377" s="5" t="b">
        <v>0</v>
      </c>
      <c r="O377" s="5" t="s">
        <v>2433</v>
      </c>
      <c r="P377" s="5" t="s">
        <v>2434</v>
      </c>
      <c r="Q377" s="5"/>
      <c r="R377" s="5"/>
      <c r="S377" s="5" t="s">
        <v>114</v>
      </c>
      <c r="T377" s="16" t="s">
        <v>2435</v>
      </c>
    </row>
    <row r="378" spans="1:20" ht="12.75">
      <c r="A378" s="5" t="s">
        <v>2436</v>
      </c>
      <c r="B378" s="5">
        <v>37474127</v>
      </c>
      <c r="C378" s="5" t="s">
        <v>2437</v>
      </c>
      <c r="D378" s="5" t="s">
        <v>2438</v>
      </c>
      <c r="E378" s="11" t="s">
        <v>26</v>
      </c>
      <c r="F378" s="11">
        <v>92865</v>
      </c>
      <c r="G378" s="12">
        <v>3500</v>
      </c>
      <c r="H378" s="12">
        <v>4500</v>
      </c>
      <c r="I378" s="13">
        <v>0.2857142857142857</v>
      </c>
      <c r="J378" s="14">
        <v>45671</v>
      </c>
      <c r="K378" s="5"/>
      <c r="L378" s="5" t="s">
        <v>27</v>
      </c>
      <c r="M378" s="15" t="s">
        <v>2439</v>
      </c>
      <c r="N378" s="5" t="b">
        <v>0</v>
      </c>
      <c r="O378" s="5"/>
      <c r="P378" s="5"/>
      <c r="Q378" s="5" t="s">
        <v>2440</v>
      </c>
      <c r="R378" s="5" t="s">
        <v>2441</v>
      </c>
      <c r="S378" s="5" t="s">
        <v>114</v>
      </c>
      <c r="T378" s="5" t="s">
        <v>2442</v>
      </c>
    </row>
    <row r="379" spans="1:20" ht="12.75">
      <c r="A379" s="5" t="s">
        <v>2443</v>
      </c>
      <c r="B379" s="5">
        <v>4239026037</v>
      </c>
      <c r="C379" s="5" t="s">
        <v>2444</v>
      </c>
      <c r="D379" s="5" t="s">
        <v>380</v>
      </c>
      <c r="E379" s="11" t="s">
        <v>26</v>
      </c>
      <c r="F379" s="11">
        <v>90291</v>
      </c>
      <c r="G379" s="12">
        <v>30000</v>
      </c>
      <c r="H379" s="12">
        <v>35000</v>
      </c>
      <c r="I379" s="13">
        <v>0.16666666666666666</v>
      </c>
      <c r="J379" s="14">
        <v>45670</v>
      </c>
      <c r="K379" s="5"/>
      <c r="L379" s="5" t="s">
        <v>27</v>
      </c>
      <c r="M379" s="15" t="s">
        <v>2445</v>
      </c>
      <c r="N379" s="5" t="b">
        <v>0</v>
      </c>
      <c r="O379" s="5" t="s">
        <v>2446</v>
      </c>
      <c r="P379" s="5" t="s">
        <v>2447</v>
      </c>
      <c r="Q379" s="5"/>
      <c r="R379" s="5"/>
      <c r="S379" s="5" t="s">
        <v>114</v>
      </c>
      <c r="T379" s="16" t="s">
        <v>2448</v>
      </c>
    </row>
    <row r="380" spans="1:20" ht="12.75">
      <c r="A380" s="5" t="s">
        <v>2449</v>
      </c>
      <c r="B380" s="5" t="s">
        <v>365</v>
      </c>
      <c r="C380" s="5" t="s">
        <v>2450</v>
      </c>
      <c r="D380" s="5" t="s">
        <v>605</v>
      </c>
      <c r="E380" s="11" t="s">
        <v>26</v>
      </c>
      <c r="F380" s="11">
        <v>91406</v>
      </c>
      <c r="G380" s="12">
        <v>2950</v>
      </c>
      <c r="H380" s="12">
        <v>3295</v>
      </c>
      <c r="I380" s="13">
        <v>0.11694915254237288</v>
      </c>
      <c r="J380" s="14">
        <v>45668</v>
      </c>
      <c r="K380" s="5"/>
      <c r="L380" s="5" t="s">
        <v>27</v>
      </c>
      <c r="M380" s="15" t="s">
        <v>2451</v>
      </c>
      <c r="N380" s="5" t="b">
        <v>0</v>
      </c>
      <c r="O380" s="5" t="s">
        <v>2452</v>
      </c>
      <c r="P380" s="5" t="s">
        <v>2453</v>
      </c>
      <c r="Q380" s="5"/>
      <c r="R380" s="5"/>
      <c r="S380" s="5" t="s">
        <v>2454</v>
      </c>
      <c r="T380" s="5" t="s">
        <v>2455</v>
      </c>
    </row>
    <row r="381" spans="1:20" ht="12.75">
      <c r="A381" s="5" t="s">
        <v>2456</v>
      </c>
      <c r="B381" s="5" t="s">
        <v>1497</v>
      </c>
      <c r="C381" s="5" t="s">
        <v>2457</v>
      </c>
      <c r="D381" s="5" t="s">
        <v>266</v>
      </c>
      <c r="E381" s="11" t="s">
        <v>26</v>
      </c>
      <c r="F381" s="11">
        <v>90046</v>
      </c>
      <c r="G381" s="12">
        <v>13999</v>
      </c>
      <c r="H381" s="12">
        <v>15999</v>
      </c>
      <c r="I381" s="13">
        <v>0.14286734766769055</v>
      </c>
      <c r="J381" s="14">
        <v>45665</v>
      </c>
      <c r="K381" s="5"/>
      <c r="L381" s="5" t="s">
        <v>27</v>
      </c>
      <c r="M381" s="15" t="s">
        <v>2458</v>
      </c>
      <c r="N381" s="5" t="b">
        <v>0</v>
      </c>
      <c r="O381" s="5" t="s">
        <v>2459</v>
      </c>
      <c r="P381" s="5">
        <v>3107290156</v>
      </c>
      <c r="Q381" s="5"/>
      <c r="R381" s="5"/>
      <c r="S381" s="5" t="s">
        <v>114</v>
      </c>
      <c r="T381" s="5" t="s">
        <v>2460</v>
      </c>
    </row>
    <row r="382" spans="1:20" ht="12.75">
      <c r="A382" s="5" t="s">
        <v>2461</v>
      </c>
      <c r="B382" s="5">
        <v>4330013089</v>
      </c>
      <c r="C382" s="5" t="s">
        <v>2462</v>
      </c>
      <c r="D382" s="5" t="s">
        <v>25</v>
      </c>
      <c r="E382" s="11" t="s">
        <v>26</v>
      </c>
      <c r="F382" s="11">
        <v>90035</v>
      </c>
      <c r="G382" s="12">
        <v>5490</v>
      </c>
      <c r="H382" s="12">
        <v>7000</v>
      </c>
      <c r="I382" s="13">
        <v>0.27504553734061932</v>
      </c>
      <c r="J382" s="14">
        <v>45671</v>
      </c>
      <c r="K382" s="5"/>
      <c r="L382" s="5" t="s">
        <v>27</v>
      </c>
      <c r="M382" s="15" t="s">
        <v>2463</v>
      </c>
      <c r="N382" s="5" t="b">
        <v>0</v>
      </c>
      <c r="O382" s="5" t="s">
        <v>2464</v>
      </c>
      <c r="P382" s="5" t="s">
        <v>2465</v>
      </c>
      <c r="Q382" s="5"/>
      <c r="R382" s="5"/>
      <c r="S382" s="5" t="s">
        <v>114</v>
      </c>
      <c r="T382" s="16" t="s">
        <v>2466</v>
      </c>
    </row>
    <row r="383" spans="1:20" ht="12.75">
      <c r="A383" s="5" t="s">
        <v>2467</v>
      </c>
      <c r="B383" s="5">
        <v>8291034049</v>
      </c>
      <c r="C383" s="5" t="s">
        <v>2468</v>
      </c>
      <c r="D383" s="5" t="s">
        <v>2469</v>
      </c>
      <c r="E383" s="11" t="s">
        <v>26</v>
      </c>
      <c r="F383" s="11">
        <v>91745</v>
      </c>
      <c r="G383" s="12">
        <v>3950</v>
      </c>
      <c r="H383" s="12">
        <v>5490</v>
      </c>
      <c r="I383" s="13">
        <v>0.38987341772151901</v>
      </c>
      <c r="J383" s="14">
        <v>45671</v>
      </c>
      <c r="K383" s="5"/>
      <c r="L383" s="5" t="s">
        <v>27</v>
      </c>
      <c r="M383" s="15" t="s">
        <v>2470</v>
      </c>
      <c r="N383" s="5" t="b">
        <v>0</v>
      </c>
      <c r="O383" s="5" t="s">
        <v>2471</v>
      </c>
      <c r="P383" s="5" t="s">
        <v>2465</v>
      </c>
      <c r="Q383" s="5"/>
      <c r="R383" s="5"/>
      <c r="S383" s="5" t="s">
        <v>2472</v>
      </c>
      <c r="T383" s="5" t="s">
        <v>2473</v>
      </c>
    </row>
    <row r="384" spans="1:20" ht="12.75">
      <c r="A384" s="5" t="s">
        <v>2474</v>
      </c>
      <c r="B384" s="5">
        <v>2734026003</v>
      </c>
      <c r="C384" s="5" t="s">
        <v>2475</v>
      </c>
      <c r="D384" s="5" t="s">
        <v>1934</v>
      </c>
      <c r="E384" s="11" t="s">
        <v>26</v>
      </c>
      <c r="F384" s="11">
        <v>91325</v>
      </c>
      <c r="G384" s="12">
        <v>3800</v>
      </c>
      <c r="H384" s="12">
        <v>5900</v>
      </c>
      <c r="I384" s="13">
        <v>0.55263157894736847</v>
      </c>
      <c r="J384" s="14">
        <v>45667</v>
      </c>
      <c r="K384" s="5"/>
      <c r="L384" s="5" t="s">
        <v>27</v>
      </c>
      <c r="M384" s="15" t="s">
        <v>2476</v>
      </c>
      <c r="N384" s="5" t="b">
        <v>0</v>
      </c>
      <c r="P384" s="5"/>
      <c r="Q384" s="5" t="s">
        <v>2477</v>
      </c>
      <c r="R384" s="5" t="s">
        <v>2478</v>
      </c>
      <c r="S384" s="5" t="s">
        <v>2479</v>
      </c>
      <c r="T384" s="5" t="s">
        <v>2480</v>
      </c>
    </row>
    <row r="385" spans="1:20" ht="12.75">
      <c r="A385" s="5" t="s">
        <v>2481</v>
      </c>
      <c r="B385" s="5" t="s">
        <v>485</v>
      </c>
      <c r="C385" s="5" t="s">
        <v>2482</v>
      </c>
      <c r="D385" s="5" t="s">
        <v>380</v>
      </c>
      <c r="E385" s="11" t="s">
        <v>26</v>
      </c>
      <c r="F385" s="11">
        <v>90291</v>
      </c>
      <c r="G385" s="12">
        <v>8000</v>
      </c>
      <c r="H385" s="12">
        <v>11000</v>
      </c>
      <c r="I385" s="13">
        <v>0.375</v>
      </c>
      <c r="J385" s="14">
        <v>45666</v>
      </c>
      <c r="K385" s="5"/>
      <c r="L385" s="5" t="s">
        <v>27</v>
      </c>
      <c r="M385" s="15" t="s">
        <v>2483</v>
      </c>
      <c r="N385" s="5" t="b">
        <v>1</v>
      </c>
      <c r="O385" s="5"/>
      <c r="P385" s="5"/>
      <c r="Q385" s="5"/>
      <c r="R385" s="5"/>
      <c r="S385" s="5" t="s">
        <v>2484</v>
      </c>
      <c r="T385" s="5" t="s">
        <v>2485</v>
      </c>
    </row>
    <row r="386" spans="1:20" ht="12.75">
      <c r="A386" s="5" t="s">
        <v>2486</v>
      </c>
      <c r="B386" s="5" t="s">
        <v>365</v>
      </c>
      <c r="C386" s="5" t="s">
        <v>2487</v>
      </c>
      <c r="D386" s="5" t="s">
        <v>25</v>
      </c>
      <c r="E386" s="11" t="s">
        <v>26</v>
      </c>
      <c r="F386" s="11">
        <v>90034</v>
      </c>
      <c r="G386" s="12">
        <v>4000</v>
      </c>
      <c r="H386" s="12">
        <v>5000</v>
      </c>
      <c r="I386" s="13">
        <v>0.25</v>
      </c>
      <c r="J386" s="14">
        <v>45664</v>
      </c>
      <c r="K386" s="5"/>
      <c r="L386" s="5" t="s">
        <v>27</v>
      </c>
      <c r="M386" s="15" t="s">
        <v>2488</v>
      </c>
      <c r="N386" s="5" t="b">
        <v>0</v>
      </c>
      <c r="O386" s="5" t="s">
        <v>2489</v>
      </c>
      <c r="P386" s="5" t="s">
        <v>2490</v>
      </c>
      <c r="Q386" s="5"/>
      <c r="R386" s="5"/>
      <c r="S386" s="5" t="s">
        <v>2491</v>
      </c>
      <c r="T386" s="5" t="s">
        <v>2492</v>
      </c>
    </row>
    <row r="387" spans="1:20" ht="12.75">
      <c r="A387" s="5" t="s">
        <v>2493</v>
      </c>
      <c r="B387" s="5">
        <v>4021027014</v>
      </c>
      <c r="C387" s="5" t="s">
        <v>2494</v>
      </c>
      <c r="D387" s="5" t="s">
        <v>2495</v>
      </c>
      <c r="E387" s="11" t="s">
        <v>26</v>
      </c>
      <c r="F387" s="11">
        <v>90301</v>
      </c>
      <c r="G387" s="12">
        <v>3825</v>
      </c>
      <c r="H387" s="12">
        <v>5000</v>
      </c>
      <c r="I387" s="13">
        <v>0.30718954248366015</v>
      </c>
      <c r="J387" s="14">
        <v>45671</v>
      </c>
      <c r="K387" s="5"/>
      <c r="L387" s="5" t="s">
        <v>27</v>
      </c>
      <c r="M387" s="15" t="s">
        <v>2496</v>
      </c>
      <c r="N387" s="5" t="b">
        <v>0</v>
      </c>
      <c r="O387" s="5" t="s">
        <v>2345</v>
      </c>
      <c r="P387" s="5" t="s">
        <v>2346</v>
      </c>
      <c r="Q387" s="5"/>
      <c r="R387" s="5"/>
      <c r="S387" s="5" t="s">
        <v>2497</v>
      </c>
      <c r="T387" s="5" t="s">
        <v>2498</v>
      </c>
    </row>
    <row r="388" spans="1:20" ht="12.75">
      <c r="A388" s="5" t="s">
        <v>2499</v>
      </c>
      <c r="B388" s="5" t="s">
        <v>365</v>
      </c>
      <c r="C388" s="5" t="s">
        <v>2500</v>
      </c>
      <c r="D388" s="5" t="s">
        <v>380</v>
      </c>
      <c r="E388" s="11" t="s">
        <v>26</v>
      </c>
      <c r="F388" s="11">
        <v>90291</v>
      </c>
      <c r="G388" s="12">
        <v>11000</v>
      </c>
      <c r="H388" s="12">
        <v>16500</v>
      </c>
      <c r="I388" s="13">
        <v>0.5</v>
      </c>
      <c r="J388" s="14">
        <v>45666</v>
      </c>
      <c r="K388" s="5"/>
      <c r="L388" s="5" t="s">
        <v>27</v>
      </c>
      <c r="M388" s="15" t="s">
        <v>2501</v>
      </c>
      <c r="N388" s="5" t="b">
        <v>1</v>
      </c>
      <c r="O388" s="5" t="s">
        <v>2502</v>
      </c>
      <c r="P388" s="5"/>
      <c r="Q388" s="5"/>
      <c r="R388" s="5"/>
      <c r="S388" s="5" t="s">
        <v>2503</v>
      </c>
      <c r="T388" s="5" t="s">
        <v>2504</v>
      </c>
    </row>
    <row r="389" spans="1:20" ht="12.75">
      <c r="A389" s="5" t="s">
        <v>2505</v>
      </c>
      <c r="B389" s="5" t="s">
        <v>365</v>
      </c>
      <c r="C389" s="5" t="s">
        <v>954</v>
      </c>
      <c r="D389" s="5" t="s">
        <v>1250</v>
      </c>
      <c r="E389" s="11" t="s">
        <v>26</v>
      </c>
      <c r="F389" s="11">
        <v>91356</v>
      </c>
      <c r="G389" s="12">
        <v>16000</v>
      </c>
      <c r="H389" s="12">
        <v>24000</v>
      </c>
      <c r="I389" s="13">
        <v>0.5</v>
      </c>
      <c r="J389" s="14">
        <v>45666</v>
      </c>
      <c r="K389" s="5"/>
      <c r="L389" s="5" t="s">
        <v>27</v>
      </c>
      <c r="M389" s="15" t="s">
        <v>2506</v>
      </c>
      <c r="N389" s="5" t="b">
        <v>1</v>
      </c>
      <c r="P389" s="5"/>
      <c r="Q389" s="5" t="s">
        <v>2507</v>
      </c>
      <c r="R389" s="5" t="s">
        <v>2508</v>
      </c>
      <c r="S389" s="5" t="s">
        <v>2509</v>
      </c>
      <c r="T389" s="5" t="s">
        <v>2510</v>
      </c>
    </row>
    <row r="390" spans="1:20" ht="12.75">
      <c r="A390" s="5" t="s">
        <v>2511</v>
      </c>
      <c r="B390" s="5" t="s">
        <v>365</v>
      </c>
      <c r="C390" s="5" t="s">
        <v>2512</v>
      </c>
      <c r="D390" s="5" t="s">
        <v>380</v>
      </c>
      <c r="E390" s="11" t="s">
        <v>26</v>
      </c>
      <c r="F390" s="11">
        <v>90291</v>
      </c>
      <c r="G390" s="12">
        <v>11000</v>
      </c>
      <c r="H390" s="12">
        <v>15000</v>
      </c>
      <c r="I390" s="13">
        <v>0.36363636363636365</v>
      </c>
      <c r="J390" s="14">
        <v>45667</v>
      </c>
      <c r="K390" s="5"/>
      <c r="L390" s="5" t="s">
        <v>27</v>
      </c>
      <c r="M390" s="15" t="s">
        <v>2513</v>
      </c>
      <c r="N390" s="5" t="b">
        <v>0</v>
      </c>
      <c r="O390" s="5"/>
      <c r="P390" s="5"/>
      <c r="Q390" s="5"/>
      <c r="R390" s="5"/>
      <c r="S390" s="5" t="s">
        <v>2514</v>
      </c>
      <c r="T390" s="5" t="s">
        <v>2515</v>
      </c>
    </row>
    <row r="391" spans="1:20" ht="12.75">
      <c r="A391" s="5" t="s">
        <v>2516</v>
      </c>
      <c r="B391" s="5">
        <v>2263016011</v>
      </c>
      <c r="C391" s="5" t="s">
        <v>2517</v>
      </c>
      <c r="D391" s="5" t="s">
        <v>732</v>
      </c>
      <c r="E391" s="11" t="s">
        <v>26</v>
      </c>
      <c r="F391" s="11">
        <v>91403</v>
      </c>
      <c r="G391" s="12">
        <v>3300</v>
      </c>
      <c r="H391" s="12">
        <v>6450</v>
      </c>
      <c r="I391" s="13">
        <v>0.95454545454545459</v>
      </c>
      <c r="J391" s="14">
        <v>45667</v>
      </c>
      <c r="K391" s="5"/>
      <c r="L391" s="5" t="s">
        <v>27</v>
      </c>
      <c r="M391" s="15" t="s">
        <v>2518</v>
      </c>
      <c r="N391" s="5" t="b">
        <v>0</v>
      </c>
      <c r="O391" s="5"/>
      <c r="P391" s="5"/>
      <c r="Q391" s="5" t="s">
        <v>2519</v>
      </c>
      <c r="R391" s="5" t="s">
        <v>2520</v>
      </c>
      <c r="S391" s="5" t="s">
        <v>2521</v>
      </c>
      <c r="T391" s="5" t="s">
        <v>2522</v>
      </c>
    </row>
    <row r="392" spans="1:20" ht="12.75">
      <c r="A392" s="5" t="s">
        <v>2523</v>
      </c>
      <c r="B392" s="5" t="s">
        <v>365</v>
      </c>
      <c r="C392" s="5" t="s">
        <v>2524</v>
      </c>
      <c r="D392" s="5" t="s">
        <v>1250</v>
      </c>
      <c r="E392" s="11" t="s">
        <v>26</v>
      </c>
      <c r="F392" s="11">
        <v>91356</v>
      </c>
      <c r="G392" s="12">
        <v>5500</v>
      </c>
      <c r="H392" s="12">
        <v>6500</v>
      </c>
      <c r="I392" s="13">
        <v>0.18181818181818182</v>
      </c>
      <c r="J392" s="14">
        <v>45666</v>
      </c>
      <c r="K392" s="5"/>
      <c r="L392" s="5" t="s">
        <v>27</v>
      </c>
      <c r="M392" s="15" t="s">
        <v>2525</v>
      </c>
      <c r="N392" s="5" t="b">
        <v>0</v>
      </c>
      <c r="O392" s="5"/>
      <c r="P392" s="5"/>
      <c r="Q392" s="5" t="s">
        <v>2526</v>
      </c>
      <c r="R392" s="5" t="s">
        <v>2527</v>
      </c>
      <c r="S392" s="5" t="s">
        <v>2528</v>
      </c>
      <c r="T392" s="5" t="s">
        <v>2529</v>
      </c>
    </row>
    <row r="393" spans="1:20" ht="12.75">
      <c r="A393" s="5" t="s">
        <v>2530</v>
      </c>
      <c r="B393" s="5">
        <v>2033017030</v>
      </c>
      <c r="C393" s="5" t="s">
        <v>2531</v>
      </c>
      <c r="D393" s="5" t="s">
        <v>1445</v>
      </c>
      <c r="E393" s="11" t="s">
        <v>26</v>
      </c>
      <c r="F393" s="11">
        <v>91367</v>
      </c>
      <c r="G393" s="12">
        <v>3300</v>
      </c>
      <c r="H393" s="12">
        <v>4500</v>
      </c>
      <c r="I393" s="13">
        <v>0.36363636363636365</v>
      </c>
      <c r="J393" s="14">
        <v>45668</v>
      </c>
      <c r="K393" s="5"/>
      <c r="L393" s="5" t="s">
        <v>27</v>
      </c>
      <c r="M393" s="15" t="s">
        <v>2532</v>
      </c>
      <c r="N393" s="5" t="b">
        <v>0</v>
      </c>
      <c r="O393" s="5"/>
      <c r="P393" s="5"/>
      <c r="Q393" s="5" t="s">
        <v>2533</v>
      </c>
      <c r="R393" s="5" t="s">
        <v>2534</v>
      </c>
      <c r="S393" s="5" t="s">
        <v>2535</v>
      </c>
      <c r="T393" s="5" t="s">
        <v>2536</v>
      </c>
    </row>
    <row r="394" spans="1:20" ht="12.75">
      <c r="A394" s="5" t="s">
        <v>2537</v>
      </c>
      <c r="B394" s="5">
        <v>2820017017</v>
      </c>
      <c r="C394" s="5" t="s">
        <v>2538</v>
      </c>
      <c r="D394" s="5" t="s">
        <v>2539</v>
      </c>
      <c r="E394" s="11" t="s">
        <v>26</v>
      </c>
      <c r="F394" s="11">
        <v>91326</v>
      </c>
      <c r="G394" s="12">
        <v>3950</v>
      </c>
      <c r="H394" s="12">
        <v>4850</v>
      </c>
      <c r="I394" s="13">
        <v>0.22784810126582278</v>
      </c>
      <c r="J394" s="14">
        <v>45668</v>
      </c>
      <c r="K394" s="5"/>
      <c r="L394" s="5" t="s">
        <v>27</v>
      </c>
      <c r="M394" s="15" t="s">
        <v>2540</v>
      </c>
      <c r="N394" s="5" t="b">
        <v>0</v>
      </c>
      <c r="O394" s="5"/>
      <c r="P394" s="5"/>
      <c r="Q394" s="5" t="s">
        <v>2541</v>
      </c>
      <c r="R394" s="5" t="s">
        <v>2542</v>
      </c>
      <c r="S394" s="5" t="s">
        <v>2543</v>
      </c>
      <c r="T394" s="5" t="s">
        <v>2544</v>
      </c>
    </row>
    <row r="395" spans="1:20" ht="12.75">
      <c r="A395" s="5" t="s">
        <v>2545</v>
      </c>
      <c r="B395" s="5">
        <v>4473016012</v>
      </c>
      <c r="C395" s="5" t="s">
        <v>2546</v>
      </c>
      <c r="D395" s="5" t="s">
        <v>1973</v>
      </c>
      <c r="E395" s="11" t="s">
        <v>26</v>
      </c>
      <c r="F395" s="11">
        <v>90265</v>
      </c>
      <c r="G395" s="12">
        <v>40000</v>
      </c>
      <c r="H395" s="12">
        <v>50000</v>
      </c>
      <c r="I395" s="13">
        <v>0.25</v>
      </c>
      <c r="J395" s="14">
        <v>45671</v>
      </c>
      <c r="K395" s="5"/>
      <c r="L395" s="5" t="s">
        <v>27</v>
      </c>
      <c r="M395" s="15" t="s">
        <v>2547</v>
      </c>
      <c r="N395" s="5" t="b">
        <v>0</v>
      </c>
      <c r="O395" s="5" t="s">
        <v>2548</v>
      </c>
      <c r="P395" s="5" t="s">
        <v>2549</v>
      </c>
      <c r="Q395" s="5"/>
      <c r="R395" s="5"/>
      <c r="S395" s="5" t="s">
        <v>114</v>
      </c>
      <c r="T395" s="5" t="s">
        <v>2550</v>
      </c>
    </row>
    <row r="396" spans="1:20" ht="12.75">
      <c r="A396" s="5" t="s">
        <v>2551</v>
      </c>
      <c r="B396" s="5" t="s">
        <v>365</v>
      </c>
      <c r="C396" s="5" t="s">
        <v>2552</v>
      </c>
      <c r="D396" s="5" t="s">
        <v>1657</v>
      </c>
      <c r="E396" s="11" t="s">
        <v>26</v>
      </c>
      <c r="F396" s="11">
        <v>90803</v>
      </c>
      <c r="G396" s="12">
        <v>6500</v>
      </c>
      <c r="H396" s="12">
        <v>150000</v>
      </c>
      <c r="I396" s="13">
        <v>22.076923076923077</v>
      </c>
      <c r="J396" s="14">
        <v>45668</v>
      </c>
      <c r="K396" s="5"/>
      <c r="L396" s="5" t="s">
        <v>27</v>
      </c>
      <c r="M396" s="15" t="s">
        <v>2553</v>
      </c>
      <c r="N396" s="5" t="b">
        <v>0</v>
      </c>
      <c r="O396" s="5" t="s">
        <v>2554</v>
      </c>
      <c r="P396" s="5" t="s">
        <v>2555</v>
      </c>
      <c r="Q396" s="5"/>
      <c r="R396" s="5"/>
      <c r="S396" s="5" t="s">
        <v>114</v>
      </c>
      <c r="T396" s="16" t="s">
        <v>2556</v>
      </c>
    </row>
    <row r="397" spans="1:20" ht="12.75">
      <c r="A397" s="5" t="s">
        <v>2557</v>
      </c>
      <c r="B397" s="5" t="s">
        <v>365</v>
      </c>
      <c r="C397" s="5" t="s">
        <v>2558</v>
      </c>
      <c r="D397" s="5" t="s">
        <v>25</v>
      </c>
      <c r="E397" s="11" t="s">
        <v>26</v>
      </c>
      <c r="F397" s="11">
        <v>90046</v>
      </c>
      <c r="G397" s="12">
        <v>3495</v>
      </c>
      <c r="H397" s="12">
        <v>6950</v>
      </c>
      <c r="I397" s="13">
        <v>0.98855507868383408</v>
      </c>
      <c r="J397" s="14">
        <v>45671</v>
      </c>
      <c r="K397" s="5"/>
      <c r="L397" s="5" t="s">
        <v>27</v>
      </c>
      <c r="M397" s="15" t="s">
        <v>2559</v>
      </c>
      <c r="N397" s="5" t="b">
        <v>0</v>
      </c>
      <c r="O397" s="5"/>
      <c r="P397" s="5"/>
      <c r="Q397" s="5" t="s">
        <v>2560</v>
      </c>
      <c r="R397" s="5" t="s">
        <v>2561</v>
      </c>
      <c r="S397" s="5" t="s">
        <v>114</v>
      </c>
      <c r="T397" s="5" t="s">
        <v>2562</v>
      </c>
    </row>
    <row r="398" spans="1:20" ht="12.75">
      <c r="A398" s="5" t="s">
        <v>2563</v>
      </c>
      <c r="B398" s="5" t="s">
        <v>365</v>
      </c>
      <c r="C398" s="5" t="s">
        <v>2564</v>
      </c>
      <c r="D398" s="5" t="s">
        <v>359</v>
      </c>
      <c r="E398" s="11" t="s">
        <v>26</v>
      </c>
      <c r="F398" s="11">
        <v>90405</v>
      </c>
      <c r="G398" s="12">
        <v>6950</v>
      </c>
      <c r="H398" s="12">
        <v>8000</v>
      </c>
      <c r="I398" s="13">
        <v>0.15107913669064749</v>
      </c>
      <c r="J398" s="14">
        <v>45666</v>
      </c>
      <c r="K398" s="5"/>
      <c r="L398" s="5" t="s">
        <v>27</v>
      </c>
      <c r="M398" s="15" t="s">
        <v>2565</v>
      </c>
      <c r="N398" s="5" t="b">
        <v>0</v>
      </c>
      <c r="O398" s="5"/>
      <c r="Q398" s="5"/>
      <c r="R398" s="5"/>
      <c r="S398" s="5" t="s">
        <v>2566</v>
      </c>
      <c r="T398" s="5" t="s">
        <v>2567</v>
      </c>
    </row>
    <row r="399" spans="1:20" ht="12.75">
      <c r="A399" s="5" t="s">
        <v>2568</v>
      </c>
      <c r="B399" s="5">
        <v>4105029001</v>
      </c>
      <c r="C399" s="5" t="s">
        <v>2569</v>
      </c>
      <c r="D399" s="5" t="s">
        <v>25</v>
      </c>
      <c r="E399" s="11" t="s">
        <v>26</v>
      </c>
      <c r="F399" s="11">
        <v>90045</v>
      </c>
      <c r="G399" s="12">
        <v>4495</v>
      </c>
      <c r="H399" s="12">
        <v>4995</v>
      </c>
      <c r="I399" s="13">
        <v>0.11123470522803114</v>
      </c>
      <c r="J399" s="14">
        <v>45671</v>
      </c>
      <c r="K399" s="5"/>
      <c r="L399" s="5" t="s">
        <v>27</v>
      </c>
      <c r="M399" s="15" t="s">
        <v>2570</v>
      </c>
      <c r="N399" s="5" t="b">
        <v>0</v>
      </c>
      <c r="O399" s="5" t="s">
        <v>2571</v>
      </c>
      <c r="P399" s="5" t="s">
        <v>2572</v>
      </c>
      <c r="Q399" s="5"/>
      <c r="R399" s="5"/>
      <c r="S399" s="5" t="s">
        <v>2573</v>
      </c>
      <c r="T399" s="5" t="s">
        <v>2574</v>
      </c>
    </row>
    <row r="400" spans="1:20" ht="12.75">
      <c r="A400" s="5" t="s">
        <v>2575</v>
      </c>
      <c r="B400" s="5">
        <v>5090028052</v>
      </c>
      <c r="C400" s="5" t="s">
        <v>2576</v>
      </c>
      <c r="D400" s="5" t="s">
        <v>25</v>
      </c>
      <c r="E400" s="11" t="s">
        <v>26</v>
      </c>
      <c r="F400" s="11">
        <v>90005</v>
      </c>
      <c r="G400" s="12">
        <v>5900</v>
      </c>
      <c r="H400" s="12">
        <v>6700</v>
      </c>
      <c r="I400" s="13">
        <v>0.13559322033898305</v>
      </c>
      <c r="J400" s="14">
        <v>45671</v>
      </c>
      <c r="K400" s="5"/>
      <c r="L400" s="5" t="s">
        <v>27</v>
      </c>
      <c r="M400" s="15" t="s">
        <v>2577</v>
      </c>
      <c r="N400" s="5" t="b">
        <v>0</v>
      </c>
      <c r="O400" s="5" t="s">
        <v>2578</v>
      </c>
      <c r="P400" s="5" t="s">
        <v>2579</v>
      </c>
      <c r="Q400" s="5"/>
      <c r="R400" s="5"/>
      <c r="S400" s="5" t="s">
        <v>114</v>
      </c>
      <c r="T400" s="5" t="s">
        <v>2580</v>
      </c>
    </row>
    <row r="401" spans="1:20" ht="12.75">
      <c r="A401" s="5" t="s">
        <v>2581</v>
      </c>
      <c r="B401" s="5">
        <v>2181010005</v>
      </c>
      <c r="C401" s="5" t="s">
        <v>2582</v>
      </c>
      <c r="D401" s="5" t="s">
        <v>1250</v>
      </c>
      <c r="E401" s="11" t="s">
        <v>26</v>
      </c>
      <c r="F401" s="11">
        <v>91356</v>
      </c>
      <c r="G401" s="12">
        <v>5795</v>
      </c>
      <c r="H401" s="12">
        <v>6500</v>
      </c>
      <c r="I401" s="13">
        <v>0.12165660051768766</v>
      </c>
      <c r="J401" s="14">
        <v>45667</v>
      </c>
      <c r="K401" s="5"/>
      <c r="L401" s="5" t="s">
        <v>27</v>
      </c>
      <c r="M401" s="15" t="s">
        <v>2583</v>
      </c>
      <c r="N401" s="5" t="b">
        <v>0</v>
      </c>
      <c r="O401" s="5" t="s">
        <v>2584</v>
      </c>
      <c r="P401" s="5" t="s">
        <v>2585</v>
      </c>
      <c r="Q401" s="5"/>
      <c r="R401" s="5"/>
      <c r="S401" s="5" t="s">
        <v>2586</v>
      </c>
      <c r="T401" s="16" t="s">
        <v>2587</v>
      </c>
    </row>
    <row r="402" spans="1:20" ht="12.75">
      <c r="A402" s="5" t="s">
        <v>2588</v>
      </c>
      <c r="B402" s="5" t="s">
        <v>365</v>
      </c>
      <c r="C402" s="5" t="s">
        <v>2589</v>
      </c>
      <c r="D402" s="5" t="s">
        <v>732</v>
      </c>
      <c r="E402" s="11" t="s">
        <v>26</v>
      </c>
      <c r="F402" s="11">
        <v>91403</v>
      </c>
      <c r="G402" s="12">
        <v>18000</v>
      </c>
      <c r="H402" s="12">
        <v>29500</v>
      </c>
      <c r="I402" s="13">
        <v>0.63888888888888884</v>
      </c>
      <c r="J402" s="14">
        <v>45668</v>
      </c>
      <c r="K402" s="5"/>
      <c r="L402" s="5" t="s">
        <v>2590</v>
      </c>
      <c r="M402" s="15" t="s">
        <v>2591</v>
      </c>
      <c r="N402" s="5" t="b">
        <v>0</v>
      </c>
      <c r="O402" s="5" t="s">
        <v>2592</v>
      </c>
      <c r="P402" s="5" t="s">
        <v>2593</v>
      </c>
      <c r="Q402" s="5"/>
      <c r="R402" s="5"/>
      <c r="S402" s="5" t="s">
        <v>2594</v>
      </c>
      <c r="T402" s="16" t="s">
        <v>2595</v>
      </c>
    </row>
    <row r="403" spans="1:20" ht="12.75">
      <c r="A403" s="5" t="s">
        <v>2596</v>
      </c>
      <c r="B403" s="5">
        <v>5762005019</v>
      </c>
      <c r="C403" s="5" t="s">
        <v>2597</v>
      </c>
      <c r="D403" s="5" t="s">
        <v>25</v>
      </c>
      <c r="E403" s="11" t="s">
        <v>26</v>
      </c>
      <c r="F403" s="11">
        <v>90065</v>
      </c>
      <c r="G403" s="12">
        <v>4400</v>
      </c>
      <c r="H403" s="12">
        <v>5000</v>
      </c>
      <c r="I403" s="13">
        <v>0.13636363636363635</v>
      </c>
      <c r="J403" s="14">
        <v>45671</v>
      </c>
      <c r="K403" s="5"/>
      <c r="L403" s="5" t="s">
        <v>27</v>
      </c>
      <c r="M403" s="15" t="s">
        <v>2598</v>
      </c>
      <c r="N403" s="5" t="b">
        <v>1</v>
      </c>
      <c r="O403" s="5"/>
      <c r="P403" s="5"/>
      <c r="Q403" s="5" t="s">
        <v>2599</v>
      </c>
      <c r="R403" s="5"/>
      <c r="S403" s="5" t="s">
        <v>2600</v>
      </c>
      <c r="T403" s="5" t="s">
        <v>2601</v>
      </c>
    </row>
    <row r="404" spans="1:20" ht="12.75">
      <c r="A404" s="5" t="s">
        <v>2602</v>
      </c>
      <c r="B404" s="5">
        <v>4102013016</v>
      </c>
      <c r="C404" s="5" t="s">
        <v>2603</v>
      </c>
      <c r="D404" s="5" t="s">
        <v>25</v>
      </c>
      <c r="E404" s="11" t="s">
        <v>26</v>
      </c>
      <c r="F404" s="11">
        <v>90056</v>
      </c>
      <c r="G404" s="12">
        <v>10500</v>
      </c>
      <c r="H404" s="12">
        <v>16600</v>
      </c>
      <c r="I404" s="13">
        <v>0.580952380952381</v>
      </c>
      <c r="J404" s="14">
        <v>45669</v>
      </c>
      <c r="K404" s="5"/>
      <c r="L404" s="5" t="s">
        <v>27</v>
      </c>
      <c r="M404" s="15" t="s">
        <v>2604</v>
      </c>
      <c r="N404" s="5" t="b">
        <v>0</v>
      </c>
      <c r="O404" s="5" t="s">
        <v>2605</v>
      </c>
      <c r="P404" s="5">
        <v>2135772699</v>
      </c>
      <c r="Q404" s="5" t="s">
        <v>30</v>
      </c>
      <c r="R404" s="5" t="s">
        <v>30</v>
      </c>
      <c r="S404" s="5" t="s">
        <v>2606</v>
      </c>
      <c r="T404" s="16" t="s">
        <v>2607</v>
      </c>
    </row>
    <row r="405" spans="1:20" ht="12.75">
      <c r="A405" s="5" t="s">
        <v>2608</v>
      </c>
      <c r="B405" s="5" t="s">
        <v>365</v>
      </c>
      <c r="C405" s="5" t="s">
        <v>2609</v>
      </c>
      <c r="D405" s="5" t="s">
        <v>2610</v>
      </c>
      <c r="E405" s="11" t="s">
        <v>26</v>
      </c>
      <c r="F405" s="11">
        <v>91042</v>
      </c>
      <c r="G405" s="12">
        <v>1800</v>
      </c>
      <c r="H405" s="12">
        <v>2495</v>
      </c>
      <c r="I405" s="13">
        <v>0.38611111111111113</v>
      </c>
      <c r="J405" s="14">
        <v>45671</v>
      </c>
      <c r="K405" s="5"/>
      <c r="L405" s="5" t="s">
        <v>27</v>
      </c>
      <c r="M405" s="15" t="s">
        <v>2611</v>
      </c>
      <c r="N405" s="5" t="b">
        <v>0</v>
      </c>
      <c r="O405" s="5" t="s">
        <v>2612</v>
      </c>
      <c r="P405" s="5" t="s">
        <v>2613</v>
      </c>
      <c r="Q405" s="5"/>
      <c r="R405" s="5"/>
      <c r="S405" s="5" t="s">
        <v>114</v>
      </c>
      <c r="T405" s="5" t="s">
        <v>2614</v>
      </c>
    </row>
    <row r="406" spans="1:20" ht="12.75">
      <c r="A406" s="5" t="s">
        <v>2615</v>
      </c>
      <c r="B406" s="5" t="s">
        <v>365</v>
      </c>
      <c r="C406" s="5" t="s">
        <v>2616</v>
      </c>
      <c r="D406" s="5" t="s">
        <v>732</v>
      </c>
      <c r="E406" s="11" t="s">
        <v>26</v>
      </c>
      <c r="F406" s="11">
        <v>91401</v>
      </c>
      <c r="G406" s="12">
        <v>18000</v>
      </c>
      <c r="H406" s="12">
        <v>21000</v>
      </c>
      <c r="I406" s="13">
        <v>0.16666666666666666</v>
      </c>
      <c r="J406" s="14">
        <v>45664</v>
      </c>
      <c r="K406" s="5"/>
      <c r="L406" s="5" t="s">
        <v>2590</v>
      </c>
      <c r="M406" s="15" t="s">
        <v>2617</v>
      </c>
      <c r="N406" s="5" t="b">
        <v>0</v>
      </c>
      <c r="O406" s="5" t="s">
        <v>2592</v>
      </c>
      <c r="P406" s="5" t="s">
        <v>2618</v>
      </c>
      <c r="Q406" s="5"/>
      <c r="R406" s="5"/>
      <c r="S406" s="5" t="s">
        <v>2619</v>
      </c>
      <c r="T406" s="16" t="s">
        <v>2620</v>
      </c>
    </row>
    <row r="407" spans="1:20" ht="12.75">
      <c r="A407" s="5" t="s">
        <v>2621</v>
      </c>
      <c r="B407" s="5" t="s">
        <v>365</v>
      </c>
      <c r="C407" s="5" t="s">
        <v>2622</v>
      </c>
      <c r="D407" s="5" t="s">
        <v>1973</v>
      </c>
      <c r="E407" s="11" t="s">
        <v>26</v>
      </c>
      <c r="F407" s="11">
        <v>90265</v>
      </c>
      <c r="G407" s="12">
        <v>19000</v>
      </c>
      <c r="H407" s="12">
        <v>24750</v>
      </c>
      <c r="I407" s="13">
        <v>0.30263157894736842</v>
      </c>
      <c r="J407" s="14">
        <v>45670</v>
      </c>
      <c r="K407" s="5"/>
      <c r="L407" s="5" t="s">
        <v>648</v>
      </c>
      <c r="M407" s="15" t="s">
        <v>2623</v>
      </c>
      <c r="N407" s="5" t="b">
        <v>0</v>
      </c>
      <c r="O407" s="5" t="s">
        <v>2624</v>
      </c>
      <c r="P407" s="5" t="s">
        <v>2625</v>
      </c>
      <c r="Q407" s="5"/>
      <c r="R407" s="5"/>
      <c r="S407" s="5" t="s">
        <v>2626</v>
      </c>
      <c r="T407" s="16" t="s">
        <v>2627</v>
      </c>
    </row>
    <row r="408" spans="1:20" ht="12.75">
      <c r="A408" s="5" t="s">
        <v>2628</v>
      </c>
      <c r="B408" s="5" t="s">
        <v>365</v>
      </c>
      <c r="C408" s="5" t="s">
        <v>2629</v>
      </c>
      <c r="D408" s="5" t="s">
        <v>25</v>
      </c>
      <c r="E408" s="11" t="s">
        <v>26</v>
      </c>
      <c r="F408" s="11">
        <v>90068</v>
      </c>
      <c r="G408" s="12">
        <v>16000</v>
      </c>
      <c r="H408" s="12">
        <v>18500</v>
      </c>
      <c r="I408" s="13">
        <v>0.15625</v>
      </c>
      <c r="J408" s="14">
        <v>45670</v>
      </c>
      <c r="K408" s="5"/>
      <c r="L408" s="5" t="s">
        <v>648</v>
      </c>
      <c r="M408" s="15" t="s">
        <v>2630</v>
      </c>
      <c r="N408" s="5" t="b">
        <v>0</v>
      </c>
      <c r="O408" s="5" t="s">
        <v>2631</v>
      </c>
      <c r="P408" s="5" t="s">
        <v>2632</v>
      </c>
      <c r="Q408" s="5"/>
      <c r="R408" s="5"/>
      <c r="S408" s="5" t="s">
        <v>2633</v>
      </c>
      <c r="T408" s="16" t="s">
        <v>2634</v>
      </c>
    </row>
    <row r="409" spans="1:20" ht="12.75">
      <c r="A409" s="5" t="s">
        <v>2635</v>
      </c>
      <c r="B409" s="5" t="s">
        <v>365</v>
      </c>
      <c r="C409" s="5" t="s">
        <v>2636</v>
      </c>
      <c r="D409" s="5" t="s">
        <v>320</v>
      </c>
      <c r="E409" s="11" t="s">
        <v>26</v>
      </c>
      <c r="F409" s="11">
        <v>91504</v>
      </c>
      <c r="G409" s="12">
        <v>4299</v>
      </c>
      <c r="H409" s="12">
        <v>5999</v>
      </c>
      <c r="I409" s="13">
        <v>0.39544080018608979</v>
      </c>
      <c r="J409" s="14">
        <v>45670</v>
      </c>
      <c r="K409" s="5"/>
      <c r="L409" s="5" t="s">
        <v>27</v>
      </c>
      <c r="M409" s="15" t="s">
        <v>2637</v>
      </c>
      <c r="N409" s="5" t="b">
        <v>0</v>
      </c>
      <c r="O409" s="5" t="s">
        <v>2638</v>
      </c>
      <c r="P409" s="5" t="s">
        <v>2639</v>
      </c>
      <c r="Q409" s="5"/>
      <c r="R409" s="5"/>
      <c r="S409" s="5" t="s">
        <v>2640</v>
      </c>
      <c r="T409" s="5" t="s">
        <v>2641</v>
      </c>
    </row>
    <row r="410" spans="1:20" ht="12.75">
      <c r="A410" s="5" t="s">
        <v>2642</v>
      </c>
      <c r="B410" s="5">
        <v>5513012010</v>
      </c>
      <c r="C410" s="5" t="s">
        <v>2643</v>
      </c>
      <c r="D410" s="5" t="s">
        <v>25</v>
      </c>
      <c r="E410" s="11" t="s">
        <v>26</v>
      </c>
      <c r="F410" s="11">
        <v>90004</v>
      </c>
      <c r="G410" s="12">
        <v>16500</v>
      </c>
      <c r="H410" s="12">
        <v>20000</v>
      </c>
      <c r="I410" s="13">
        <v>0.21212121212121213</v>
      </c>
      <c r="J410" s="14">
        <v>45665</v>
      </c>
      <c r="K410" s="5"/>
      <c r="L410" s="5" t="s">
        <v>27</v>
      </c>
      <c r="M410" s="15" t="s">
        <v>2644</v>
      </c>
      <c r="N410" s="5" t="b">
        <v>0</v>
      </c>
      <c r="O410" s="5" t="s">
        <v>2645</v>
      </c>
      <c r="P410" s="5" t="s">
        <v>2646</v>
      </c>
      <c r="Q410" s="5"/>
      <c r="R410" s="5"/>
      <c r="S410" s="5" t="s">
        <v>114</v>
      </c>
      <c r="T410" s="16" t="s">
        <v>2647</v>
      </c>
    </row>
    <row r="411" spans="1:20" ht="12.75">
      <c r="A411" s="5" t="s">
        <v>2648</v>
      </c>
      <c r="B411" s="5">
        <v>4371037038</v>
      </c>
      <c r="C411" s="5" t="s">
        <v>2649</v>
      </c>
      <c r="D411" s="5" t="s">
        <v>25</v>
      </c>
      <c r="E411" s="11" t="s">
        <v>26</v>
      </c>
      <c r="F411" s="11">
        <v>90077</v>
      </c>
      <c r="G411" s="12">
        <v>12000</v>
      </c>
      <c r="H411" s="12">
        <v>15000</v>
      </c>
      <c r="I411" s="13">
        <v>0.25</v>
      </c>
      <c r="J411" s="14">
        <v>45670</v>
      </c>
      <c r="K411" s="5"/>
      <c r="L411" s="5" t="s">
        <v>27</v>
      </c>
      <c r="M411" s="15" t="s">
        <v>2650</v>
      </c>
      <c r="N411" s="5" t="b">
        <v>1</v>
      </c>
      <c r="O411" s="5" t="s">
        <v>2651</v>
      </c>
      <c r="P411" s="5" t="s">
        <v>2652</v>
      </c>
      <c r="Q411" s="5"/>
      <c r="R411" s="5"/>
      <c r="S411" s="5" t="s">
        <v>2653</v>
      </c>
      <c r="T411" s="5" t="s">
        <v>2654</v>
      </c>
    </row>
    <row r="412" spans="1:20" ht="12.75">
      <c r="A412" s="5" t="s">
        <v>2655</v>
      </c>
      <c r="B412" s="5">
        <v>2064007013</v>
      </c>
      <c r="C412" s="5" t="s">
        <v>2656</v>
      </c>
      <c r="D412" s="5" t="s">
        <v>2657</v>
      </c>
      <c r="E412" s="11" t="s">
        <v>26</v>
      </c>
      <c r="F412" s="11">
        <v>91301</v>
      </c>
      <c r="G412" s="12">
        <v>9000</v>
      </c>
      <c r="H412" s="12">
        <v>10477</v>
      </c>
      <c r="I412" s="13">
        <v>0.16411111111111112</v>
      </c>
      <c r="J412" s="14">
        <v>45665</v>
      </c>
      <c r="K412" s="5"/>
      <c r="L412" s="5" t="s">
        <v>27</v>
      </c>
      <c r="M412" s="15" t="s">
        <v>2658</v>
      </c>
      <c r="N412" s="5" t="b">
        <v>0</v>
      </c>
      <c r="O412" s="5"/>
      <c r="P412" s="5"/>
      <c r="Q412" s="5" t="s">
        <v>2659</v>
      </c>
      <c r="R412" s="5" t="s">
        <v>2660</v>
      </c>
      <c r="S412" s="5" t="s">
        <v>2661</v>
      </c>
      <c r="T412" s="16" t="s">
        <v>2662</v>
      </c>
    </row>
    <row r="413" spans="1:20" ht="12.75">
      <c r="A413" s="5" t="s">
        <v>2663</v>
      </c>
      <c r="B413" s="5" t="s">
        <v>2664</v>
      </c>
      <c r="C413" s="5" t="s">
        <v>1871</v>
      </c>
      <c r="D413" s="5" t="s">
        <v>2665</v>
      </c>
      <c r="E413" s="11" t="s">
        <v>26</v>
      </c>
      <c r="F413" s="11">
        <v>90291</v>
      </c>
      <c r="G413" s="12">
        <v>7995</v>
      </c>
      <c r="H413" s="12">
        <v>30000</v>
      </c>
      <c r="I413" s="13">
        <v>2.75234521575985</v>
      </c>
      <c r="J413" s="14">
        <v>45670</v>
      </c>
      <c r="K413" s="5"/>
      <c r="L413" s="5" t="s">
        <v>27</v>
      </c>
      <c r="M413" s="15" t="s">
        <v>2666</v>
      </c>
      <c r="N413" s="5" t="b">
        <v>0</v>
      </c>
      <c r="O413" s="5" t="s">
        <v>2667</v>
      </c>
      <c r="P413" s="5" t="s">
        <v>2668</v>
      </c>
      <c r="Q413" s="5"/>
      <c r="R413" s="5"/>
      <c r="S413" s="5" t="s">
        <v>2669</v>
      </c>
      <c r="T413" s="16" t="s">
        <v>2670</v>
      </c>
    </row>
    <row r="414" spans="1:20" ht="12.75">
      <c r="A414" s="5" t="s">
        <v>2671</v>
      </c>
      <c r="B414" s="5">
        <v>4348013030</v>
      </c>
      <c r="C414" s="5" t="s">
        <v>2672</v>
      </c>
      <c r="D414" s="5" t="s">
        <v>408</v>
      </c>
      <c r="E414" s="11" t="s">
        <v>26</v>
      </c>
      <c r="F414" s="11">
        <v>90210</v>
      </c>
      <c r="G414" s="12">
        <v>175000</v>
      </c>
      <c r="H414" s="12">
        <v>195000</v>
      </c>
      <c r="I414" s="13">
        <v>0.11428571428571428</v>
      </c>
      <c r="J414" s="14">
        <v>45666</v>
      </c>
      <c r="K414" s="5"/>
      <c r="L414" s="5" t="s">
        <v>27</v>
      </c>
      <c r="M414" s="15" t="s">
        <v>2673</v>
      </c>
      <c r="N414" s="5" t="b">
        <v>0</v>
      </c>
      <c r="O414" s="5" t="s">
        <v>2674</v>
      </c>
      <c r="P414" s="5" t="s">
        <v>2675</v>
      </c>
      <c r="Q414" s="5"/>
      <c r="R414" s="5"/>
      <c r="S414" s="5" t="s">
        <v>2676</v>
      </c>
      <c r="T414" s="5" t="s">
        <v>2677</v>
      </c>
    </row>
    <row r="415" spans="1:20" ht="12.75">
      <c r="A415" s="5" t="s">
        <v>2678</v>
      </c>
      <c r="B415" s="5" t="s">
        <v>365</v>
      </c>
      <c r="C415" s="5" t="s">
        <v>575</v>
      </c>
      <c r="D415" s="5" t="s">
        <v>2679</v>
      </c>
      <c r="E415" s="11" t="s">
        <v>26</v>
      </c>
      <c r="F415" s="11">
        <v>90277</v>
      </c>
      <c r="G415" s="12">
        <v>8000</v>
      </c>
      <c r="H415" s="12">
        <v>17500</v>
      </c>
      <c r="I415" s="13">
        <v>1.1875</v>
      </c>
      <c r="J415" s="14">
        <v>45670</v>
      </c>
      <c r="K415" s="5"/>
      <c r="L415" s="5" t="s">
        <v>648</v>
      </c>
      <c r="M415" s="15" t="s">
        <v>2680</v>
      </c>
      <c r="N415" s="5" t="b">
        <v>0</v>
      </c>
      <c r="O415" s="5" t="s">
        <v>2681</v>
      </c>
      <c r="P415" s="5" t="s">
        <v>2682</v>
      </c>
      <c r="Q415" s="5"/>
      <c r="R415" s="5"/>
      <c r="S415" s="5" t="s">
        <v>114</v>
      </c>
      <c r="T415" s="5" t="s">
        <v>2683</v>
      </c>
    </row>
    <row r="416" spans="1:20" ht="12.75">
      <c r="A416" s="5" t="s">
        <v>2684</v>
      </c>
      <c r="B416" s="5">
        <v>4405039006</v>
      </c>
      <c r="C416" s="5" t="s">
        <v>2685</v>
      </c>
      <c r="D416" s="5" t="s">
        <v>25</v>
      </c>
      <c r="E416" s="11" t="s">
        <v>26</v>
      </c>
      <c r="F416" s="11">
        <v>90049</v>
      </c>
      <c r="G416" s="12">
        <v>29750</v>
      </c>
      <c r="H416" s="12">
        <v>59500</v>
      </c>
      <c r="I416" s="13">
        <v>1</v>
      </c>
      <c r="J416" s="14">
        <v>45670</v>
      </c>
      <c r="K416" s="5"/>
      <c r="L416" s="5" t="s">
        <v>27</v>
      </c>
      <c r="M416" s="15" t="s">
        <v>2686</v>
      </c>
      <c r="N416" s="5" t="b">
        <v>0</v>
      </c>
      <c r="O416" s="5" t="s">
        <v>2687</v>
      </c>
      <c r="P416" s="5" t="s">
        <v>2688</v>
      </c>
      <c r="Q416" s="5"/>
      <c r="R416" s="5"/>
      <c r="S416" s="5" t="s">
        <v>2689</v>
      </c>
      <c r="T416" s="16" t="s">
        <v>2690</v>
      </c>
    </row>
    <row r="417" spans="1:20" ht="12.75">
      <c r="A417" s="5" t="s">
        <v>2691</v>
      </c>
      <c r="B417" s="5">
        <v>4391016004</v>
      </c>
      <c r="C417" s="5" t="s">
        <v>2692</v>
      </c>
      <c r="D417" s="5" t="s">
        <v>408</v>
      </c>
      <c r="E417" s="11" t="s">
        <v>26</v>
      </c>
      <c r="F417" s="11">
        <v>90210</v>
      </c>
      <c r="G417" s="12">
        <v>50000</v>
      </c>
      <c r="H417" s="12">
        <v>88000</v>
      </c>
      <c r="I417" s="13">
        <v>0.76</v>
      </c>
      <c r="J417" s="14">
        <v>45665</v>
      </c>
      <c r="K417" s="5"/>
      <c r="L417" s="5" t="s">
        <v>27</v>
      </c>
      <c r="M417" s="15" t="s">
        <v>2693</v>
      </c>
      <c r="N417" s="5" t="b">
        <v>0</v>
      </c>
      <c r="O417" s="5" t="s">
        <v>2694</v>
      </c>
      <c r="P417" s="5" t="s">
        <v>2695</v>
      </c>
      <c r="Q417" s="5"/>
      <c r="R417" s="5"/>
      <c r="S417" s="5" t="s">
        <v>114</v>
      </c>
      <c r="T417" s="5" t="s">
        <v>2696</v>
      </c>
    </row>
    <row r="418" spans="1:20" ht="12.75">
      <c r="A418" s="5" t="s">
        <v>2697</v>
      </c>
      <c r="B418" s="5">
        <v>2039013053</v>
      </c>
      <c r="C418" s="5" t="s">
        <v>2103</v>
      </c>
      <c r="D418" s="5" t="s">
        <v>1445</v>
      </c>
      <c r="E418" s="11" t="s">
        <v>26</v>
      </c>
      <c r="F418" s="11">
        <v>91367</v>
      </c>
      <c r="G418" s="12">
        <v>3950</v>
      </c>
      <c r="H418" s="12">
        <v>6900</v>
      </c>
      <c r="I418" s="13">
        <v>0.42753622685268056</v>
      </c>
      <c r="J418" s="14">
        <v>45670</v>
      </c>
      <c r="K418" s="5" t="s">
        <v>27</v>
      </c>
      <c r="L418" s="15" t="s">
        <v>2104</v>
      </c>
      <c r="M418" s="5" t="b">
        <v>0</v>
      </c>
      <c r="O418" s="5"/>
      <c r="P418" s="5"/>
      <c r="Q418" s="5"/>
      <c r="R418" s="5" t="s">
        <v>2698</v>
      </c>
      <c r="S418" s="16" t="s">
        <v>2699</v>
      </c>
      <c r="T418" s="5"/>
    </row>
    <row r="419" spans="1:20" ht="12.75">
      <c r="A419" s="5" t="s">
        <v>2250</v>
      </c>
      <c r="B419" s="5">
        <v>5549022024</v>
      </c>
      <c r="C419" s="5" t="s">
        <v>912</v>
      </c>
      <c r="D419" s="5" t="s">
        <v>25</v>
      </c>
      <c r="E419" s="11" t="s">
        <v>26</v>
      </c>
      <c r="F419" s="11">
        <v>90068</v>
      </c>
      <c r="G419" s="12">
        <v>8500</v>
      </c>
      <c r="H419" s="12">
        <v>12500</v>
      </c>
      <c r="I419" s="13">
        <v>0.31999999999970896</v>
      </c>
      <c r="J419" s="14">
        <v>45667</v>
      </c>
      <c r="K419" s="5" t="s">
        <v>648</v>
      </c>
      <c r="L419" s="15" t="s">
        <v>2251</v>
      </c>
      <c r="M419" s="5" t="b">
        <v>0</v>
      </c>
      <c r="N419" s="5" t="s">
        <v>2252</v>
      </c>
      <c r="O419" s="5" t="s">
        <v>2253</v>
      </c>
      <c r="Q419" s="5"/>
      <c r="R419" s="5" t="s">
        <v>2700</v>
      </c>
      <c r="S419" s="5" t="s">
        <v>2255</v>
      </c>
      <c r="T419" s="5"/>
    </row>
    <row r="420" spans="1:20" ht="12.75">
      <c r="A420" s="5" t="s">
        <v>2256</v>
      </c>
      <c r="B420" s="5">
        <v>4225001066</v>
      </c>
      <c r="C420" s="5" t="s">
        <v>2257</v>
      </c>
      <c r="D420" s="5" t="s">
        <v>1702</v>
      </c>
      <c r="E420" s="11" t="s">
        <v>26</v>
      </c>
      <c r="F420" s="11">
        <v>90292</v>
      </c>
      <c r="G420" s="12">
        <v>9000</v>
      </c>
      <c r="H420" s="12">
        <v>12500</v>
      </c>
      <c r="I420" s="13">
        <v>0.27999999999883585</v>
      </c>
      <c r="J420" s="14">
        <v>45668</v>
      </c>
      <c r="K420" s="5" t="s">
        <v>27</v>
      </c>
      <c r="L420" s="15" t="s">
        <v>2258</v>
      </c>
      <c r="M420" s="5" t="b">
        <v>0</v>
      </c>
      <c r="N420" s="5" t="s">
        <v>2259</v>
      </c>
      <c r="O420" s="5" t="s">
        <v>2260</v>
      </c>
      <c r="R420" s="5" t="s">
        <v>2701</v>
      </c>
      <c r="S420" s="5" t="s">
        <v>2262</v>
      </c>
      <c r="T420" s="5"/>
    </row>
    <row r="421" spans="1:20" ht="12.75">
      <c r="A421" s="5" t="s">
        <v>2263</v>
      </c>
      <c r="B421" s="5">
        <v>2245001019</v>
      </c>
      <c r="C421" s="5" t="s">
        <v>2264</v>
      </c>
      <c r="D421" s="5" t="s">
        <v>732</v>
      </c>
      <c r="E421" s="11" t="s">
        <v>26</v>
      </c>
      <c r="F421" s="11">
        <v>91401</v>
      </c>
      <c r="G421" s="12">
        <v>5699</v>
      </c>
      <c r="H421" s="12">
        <v>7999</v>
      </c>
      <c r="I421" s="13">
        <v>0.28753593749934225</v>
      </c>
      <c r="J421" s="14">
        <v>45670</v>
      </c>
      <c r="K421" s="5" t="s">
        <v>27</v>
      </c>
      <c r="L421" s="15" t="s">
        <v>2265</v>
      </c>
      <c r="M421" s="5" t="b">
        <v>0</v>
      </c>
      <c r="P421" s="5" t="s">
        <v>2266</v>
      </c>
      <c r="Q421" s="5" t="s">
        <v>2267</v>
      </c>
      <c r="R421" s="5" t="s">
        <v>2702</v>
      </c>
      <c r="S421" s="16" t="s">
        <v>2268</v>
      </c>
      <c r="T421" s="5"/>
    </row>
    <row r="422" spans="1:20" ht="12.75">
      <c r="A422" s="5" t="s">
        <v>2269</v>
      </c>
      <c r="B422" s="5" t="s">
        <v>365</v>
      </c>
      <c r="C422" s="5" t="s">
        <v>2270</v>
      </c>
      <c r="D422" s="5" t="s">
        <v>25</v>
      </c>
      <c r="E422" s="11" t="s">
        <v>26</v>
      </c>
      <c r="F422" s="11">
        <v>90064</v>
      </c>
      <c r="G422" s="12">
        <v>8500</v>
      </c>
      <c r="H422" s="12">
        <v>9500</v>
      </c>
      <c r="I422" s="13">
        <v>0.1052631597231084</v>
      </c>
      <c r="J422" s="14">
        <v>45667</v>
      </c>
      <c r="K422" s="5" t="s">
        <v>27</v>
      </c>
      <c r="L422" s="15" t="s">
        <v>2271</v>
      </c>
      <c r="M422" s="5" t="b">
        <v>0</v>
      </c>
      <c r="P422" s="5" t="s">
        <v>2272</v>
      </c>
      <c r="Q422" s="18">
        <v>25568.666666666668</v>
      </c>
      <c r="R422" s="5" t="s">
        <v>2703</v>
      </c>
      <c r="S422" s="5" t="s">
        <v>2273</v>
      </c>
      <c r="T422" s="5"/>
    </row>
    <row r="423" spans="1:20" ht="12.75">
      <c r="A423" s="5" t="s">
        <v>2274</v>
      </c>
      <c r="B423" s="5">
        <v>2280012039</v>
      </c>
      <c r="C423" s="5" t="s">
        <v>2275</v>
      </c>
      <c r="D423" s="5" t="s">
        <v>732</v>
      </c>
      <c r="E423" s="11" t="s">
        <v>26</v>
      </c>
      <c r="F423" s="11">
        <v>91403</v>
      </c>
      <c r="G423" s="12">
        <v>9950</v>
      </c>
      <c r="H423" s="12">
        <v>15000</v>
      </c>
      <c r="I423" s="13">
        <v>0.3366666666661331</v>
      </c>
      <c r="J423" s="14">
        <v>45665</v>
      </c>
      <c r="K423" s="5" t="s">
        <v>27</v>
      </c>
      <c r="L423" s="15" t="s">
        <v>2276</v>
      </c>
      <c r="M423" s="5" t="b">
        <v>0</v>
      </c>
      <c r="N423" s="5" t="s">
        <v>2277</v>
      </c>
      <c r="O423" s="5" t="s">
        <v>2278</v>
      </c>
      <c r="P423" s="5" t="s">
        <v>2279</v>
      </c>
      <c r="Q423" s="5" t="s">
        <v>2278</v>
      </c>
      <c r="R423" s="5" t="s">
        <v>2704</v>
      </c>
      <c r="S423" s="16" t="s">
        <v>2281</v>
      </c>
      <c r="T423" s="5"/>
    </row>
    <row r="424" spans="1:20" ht="12.75">
      <c r="A424" s="5" t="s">
        <v>2705</v>
      </c>
      <c r="B424" s="5" t="s">
        <v>365</v>
      </c>
      <c r="C424" s="5" t="s">
        <v>1531</v>
      </c>
      <c r="D424" s="5" t="s">
        <v>25</v>
      </c>
      <c r="E424" s="11" t="s">
        <v>26</v>
      </c>
      <c r="F424" s="11">
        <v>90077</v>
      </c>
      <c r="G424" s="12">
        <v>19000</v>
      </c>
      <c r="H424" s="12">
        <v>25000</v>
      </c>
      <c r="I424" s="13">
        <v>0.24000000000160071</v>
      </c>
      <c r="J424" s="14">
        <v>45670</v>
      </c>
      <c r="K424" s="5" t="s">
        <v>648</v>
      </c>
      <c r="L424" s="15" t="s">
        <v>1809</v>
      </c>
      <c r="M424" s="5" t="b">
        <v>0</v>
      </c>
      <c r="N424" s="5" t="s">
        <v>2706</v>
      </c>
      <c r="O424" s="5" t="s">
        <v>2707</v>
      </c>
      <c r="R424" s="5" t="s">
        <v>2708</v>
      </c>
      <c r="S424" s="16" t="s">
        <v>2709</v>
      </c>
      <c r="T424" s="5"/>
    </row>
    <row r="425" spans="1:20" ht="12.75">
      <c r="A425" s="5" t="s">
        <v>2315</v>
      </c>
      <c r="B425" s="5" t="s">
        <v>2316</v>
      </c>
      <c r="C425" s="5" t="s">
        <v>2317</v>
      </c>
      <c r="D425" s="5" t="s">
        <v>408</v>
      </c>
      <c r="E425" s="11" t="s">
        <v>26</v>
      </c>
      <c r="F425" s="11">
        <v>90210</v>
      </c>
      <c r="G425" s="12">
        <v>69500</v>
      </c>
      <c r="H425" s="12">
        <v>95000</v>
      </c>
      <c r="I425" s="13">
        <v>0.26842105263157895</v>
      </c>
      <c r="J425" s="14">
        <v>45666</v>
      </c>
      <c r="K425" s="5" t="s">
        <v>2318</v>
      </c>
      <c r="L425" s="15" t="s">
        <v>2319</v>
      </c>
      <c r="M425" s="5" t="b">
        <v>0</v>
      </c>
      <c r="N425" s="5" t="s">
        <v>2320</v>
      </c>
      <c r="O425" s="5" t="s">
        <v>2321</v>
      </c>
      <c r="P425" s="5" t="s">
        <v>2322</v>
      </c>
      <c r="R425" s="5" t="s">
        <v>2710</v>
      </c>
      <c r="S425" s="16" t="s">
        <v>2323</v>
      </c>
      <c r="T425" s="5"/>
    </row>
    <row r="426" spans="1:20" ht="12.75">
      <c r="A426" s="5" t="s">
        <v>2324</v>
      </c>
      <c r="B426" s="5" t="s">
        <v>861</v>
      </c>
      <c r="C426" s="5" t="s">
        <v>2325</v>
      </c>
      <c r="D426" s="5" t="s">
        <v>25</v>
      </c>
      <c r="E426" s="11" t="s">
        <v>26</v>
      </c>
      <c r="F426" s="11">
        <v>90068</v>
      </c>
      <c r="G426" s="12">
        <v>19500</v>
      </c>
      <c r="H426" s="12">
        <v>29950</v>
      </c>
      <c r="I426" s="13">
        <v>0.34891486111155245</v>
      </c>
      <c r="J426" s="14">
        <v>45670</v>
      </c>
      <c r="K426" s="5" t="s">
        <v>27</v>
      </c>
      <c r="L426" s="15" t="s">
        <v>2326</v>
      </c>
      <c r="M426" s="5" t="b">
        <v>0</v>
      </c>
      <c r="R426" s="5" t="s">
        <v>2711</v>
      </c>
      <c r="S426" s="16" t="s">
        <v>2327</v>
      </c>
      <c r="T426" s="5"/>
    </row>
    <row r="427" spans="1:20" ht="12.75">
      <c r="F427" s="11"/>
      <c r="G427" s="19"/>
      <c r="H427" s="20"/>
      <c r="I427" s="21"/>
      <c r="K427" s="5"/>
      <c r="S427" s="5"/>
      <c r="T427" s="5"/>
    </row>
    <row r="428" spans="1:20" ht="12.75">
      <c r="F428" s="11"/>
      <c r="G428" s="19"/>
      <c r="H428" s="20"/>
      <c r="I428" s="21"/>
      <c r="K428" s="5"/>
      <c r="S428" s="5"/>
      <c r="T428" s="5"/>
    </row>
    <row r="429" spans="1:20" ht="12.75">
      <c r="F429" s="11"/>
      <c r="G429" s="19"/>
      <c r="H429" s="20"/>
      <c r="I429" s="21"/>
      <c r="K429" s="5"/>
      <c r="S429" s="5"/>
      <c r="T429" s="5"/>
    </row>
    <row r="430" spans="1:20" ht="12.75">
      <c r="F430" s="11"/>
      <c r="G430" s="19"/>
      <c r="H430" s="20"/>
      <c r="I430" s="21"/>
      <c r="K430" s="5"/>
      <c r="S430" s="5"/>
      <c r="T430" s="5"/>
    </row>
    <row r="431" spans="1:20" ht="12.75">
      <c r="F431" s="11"/>
      <c r="G431" s="19"/>
      <c r="H431" s="20"/>
      <c r="I431" s="21"/>
      <c r="K431" s="5"/>
      <c r="S431" s="5"/>
      <c r="T431" s="5"/>
    </row>
    <row r="432" spans="1:20" ht="12.75">
      <c r="F432" s="11"/>
      <c r="G432" s="19"/>
      <c r="H432" s="20"/>
      <c r="I432" s="21"/>
      <c r="K432" s="5"/>
      <c r="S432" s="5"/>
      <c r="T432" s="5"/>
    </row>
    <row r="433" spans="6:20" ht="12.75">
      <c r="F433" s="11"/>
      <c r="G433" s="19"/>
      <c r="H433" s="20"/>
      <c r="I433" s="21"/>
      <c r="K433" s="5"/>
      <c r="S433" s="5"/>
      <c r="T433" s="5"/>
    </row>
    <row r="434" spans="6:20" ht="12.75">
      <c r="F434" s="11"/>
      <c r="G434" s="19"/>
      <c r="H434" s="20"/>
      <c r="I434" s="21"/>
      <c r="K434" s="5"/>
      <c r="S434" s="5"/>
      <c r="T434" s="5"/>
    </row>
    <row r="435" spans="6:20" ht="12.75">
      <c r="F435" s="11"/>
      <c r="G435" s="19"/>
      <c r="H435" s="20"/>
      <c r="I435" s="21"/>
      <c r="K435" s="5"/>
      <c r="S435" s="5"/>
      <c r="T435" s="5"/>
    </row>
    <row r="436" spans="6:20" ht="12.75">
      <c r="F436" s="11"/>
      <c r="G436" s="19"/>
      <c r="H436" s="20"/>
      <c r="I436" s="21"/>
      <c r="K436" s="5"/>
      <c r="S436" s="5"/>
      <c r="T436" s="5"/>
    </row>
    <row r="437" spans="6:20" ht="12.75">
      <c r="F437" s="11"/>
      <c r="G437" s="19"/>
      <c r="H437" s="20"/>
      <c r="I437" s="21"/>
      <c r="K437" s="5"/>
      <c r="S437" s="5"/>
      <c r="T437" s="5"/>
    </row>
    <row r="438" spans="6:20" ht="12.75">
      <c r="F438" s="11"/>
      <c r="G438" s="19"/>
      <c r="H438" s="20"/>
      <c r="I438" s="21"/>
      <c r="K438" s="5"/>
      <c r="S438" s="5"/>
      <c r="T438" s="5"/>
    </row>
    <row r="439" spans="6:20" ht="12.75">
      <c r="F439" s="11"/>
      <c r="G439" s="19"/>
      <c r="H439" s="20"/>
      <c r="I439" s="21"/>
      <c r="K439" s="5"/>
      <c r="S439" s="5"/>
      <c r="T439" s="5"/>
    </row>
    <row r="440" spans="6:20" ht="12.75">
      <c r="F440" s="11"/>
      <c r="G440" s="19"/>
      <c r="H440" s="20"/>
      <c r="I440" s="21"/>
      <c r="K440" s="5"/>
      <c r="S440" s="5"/>
      <c r="T440" s="5"/>
    </row>
    <row r="441" spans="6:20" ht="12.75">
      <c r="F441" s="11"/>
      <c r="G441" s="19"/>
      <c r="H441" s="20"/>
      <c r="I441" s="21"/>
      <c r="K441" s="5"/>
      <c r="S441" s="5"/>
      <c r="T441" s="5"/>
    </row>
    <row r="442" spans="6:20" ht="12.75">
      <c r="F442" s="11"/>
      <c r="G442" s="19"/>
      <c r="H442" s="20"/>
      <c r="I442" s="21"/>
      <c r="K442" s="5"/>
      <c r="S442" s="5"/>
      <c r="T442" s="5"/>
    </row>
    <row r="443" spans="6:20" ht="12.75">
      <c r="F443" s="11"/>
      <c r="G443" s="19"/>
      <c r="H443" s="20"/>
      <c r="I443" s="21"/>
      <c r="K443" s="5"/>
      <c r="S443" s="5"/>
      <c r="T443" s="5"/>
    </row>
    <row r="444" spans="6:20" ht="12.75">
      <c r="F444" s="11"/>
      <c r="G444" s="19"/>
      <c r="H444" s="20"/>
      <c r="I444" s="21"/>
      <c r="K444" s="5"/>
      <c r="S444" s="5"/>
      <c r="T444" s="5"/>
    </row>
    <row r="445" spans="6:20" ht="12.75">
      <c r="F445" s="11"/>
      <c r="G445" s="19"/>
      <c r="H445" s="20"/>
      <c r="I445" s="21"/>
      <c r="K445" s="5"/>
      <c r="S445" s="5"/>
      <c r="T445" s="5"/>
    </row>
    <row r="446" spans="6:20" ht="12.75">
      <c r="F446" s="11"/>
      <c r="G446" s="19"/>
      <c r="H446" s="20"/>
      <c r="I446" s="21"/>
      <c r="K446" s="5"/>
      <c r="S446" s="5"/>
      <c r="T446" s="5"/>
    </row>
    <row r="447" spans="6:20" ht="12.75">
      <c r="F447" s="11"/>
      <c r="G447" s="19"/>
      <c r="H447" s="20"/>
      <c r="I447" s="21"/>
      <c r="K447" s="5"/>
      <c r="S447" s="5"/>
      <c r="T447" s="5"/>
    </row>
    <row r="448" spans="6:20" ht="12.75">
      <c r="F448" s="11"/>
      <c r="G448" s="19"/>
      <c r="H448" s="20"/>
      <c r="I448" s="21"/>
      <c r="K448" s="5"/>
      <c r="S448" s="5"/>
      <c r="T448" s="5"/>
    </row>
    <row r="449" spans="6:20" ht="12.75">
      <c r="F449" s="11"/>
      <c r="G449" s="19"/>
      <c r="H449" s="20"/>
      <c r="I449" s="21"/>
      <c r="K449" s="5"/>
      <c r="S449" s="5"/>
      <c r="T449" s="5"/>
    </row>
    <row r="450" spans="6:20" ht="12.75">
      <c r="F450" s="11"/>
      <c r="G450" s="19"/>
      <c r="H450" s="20"/>
      <c r="I450" s="21"/>
      <c r="K450" s="5"/>
      <c r="S450" s="5"/>
      <c r="T450" s="5"/>
    </row>
    <row r="451" spans="6:20" ht="12.75">
      <c r="F451" s="11"/>
      <c r="G451" s="19"/>
      <c r="H451" s="20"/>
      <c r="I451" s="21"/>
      <c r="K451" s="5"/>
      <c r="S451" s="5"/>
      <c r="T451" s="5"/>
    </row>
    <row r="452" spans="6:20" ht="12.75">
      <c r="F452" s="11"/>
      <c r="G452" s="19"/>
      <c r="H452" s="20"/>
      <c r="I452" s="21"/>
      <c r="K452" s="5"/>
      <c r="S452" s="5"/>
      <c r="T452" s="5"/>
    </row>
    <row r="453" spans="6:20" ht="12.75">
      <c r="F453" s="11"/>
      <c r="G453" s="19"/>
      <c r="H453" s="20"/>
      <c r="I453" s="21"/>
      <c r="K453" s="5"/>
      <c r="S453" s="5"/>
      <c r="T453" s="5"/>
    </row>
    <row r="454" spans="6:20" ht="12.75">
      <c r="F454" s="11"/>
      <c r="G454" s="19"/>
      <c r="H454" s="20"/>
      <c r="I454" s="21"/>
      <c r="K454" s="5"/>
      <c r="S454" s="5"/>
      <c r="T454" s="5"/>
    </row>
    <row r="455" spans="6:20" ht="12.75">
      <c r="F455" s="11"/>
      <c r="G455" s="19"/>
      <c r="H455" s="20"/>
      <c r="I455" s="21"/>
      <c r="K455" s="5"/>
      <c r="S455" s="5"/>
      <c r="T455" s="5"/>
    </row>
    <row r="456" spans="6:20" ht="12.75">
      <c r="F456" s="11"/>
      <c r="G456" s="19"/>
      <c r="H456" s="20"/>
      <c r="I456" s="21"/>
      <c r="K456" s="5"/>
      <c r="S456" s="5"/>
      <c r="T456" s="5"/>
    </row>
    <row r="457" spans="6:20" ht="12.75">
      <c r="F457" s="11"/>
      <c r="G457" s="19"/>
      <c r="H457" s="20"/>
      <c r="I457" s="21"/>
      <c r="K457" s="5"/>
      <c r="S457" s="5"/>
      <c r="T457" s="5"/>
    </row>
    <row r="458" spans="6:20" ht="12.75">
      <c r="F458" s="11"/>
      <c r="G458" s="19"/>
      <c r="H458" s="20"/>
      <c r="I458" s="21"/>
      <c r="K458" s="5"/>
      <c r="S458" s="5"/>
      <c r="T458" s="5"/>
    </row>
    <row r="459" spans="6:20" ht="12.75">
      <c r="F459" s="11"/>
      <c r="G459" s="19"/>
      <c r="H459" s="20"/>
      <c r="I459" s="21"/>
      <c r="K459" s="5"/>
      <c r="S459" s="5"/>
      <c r="T459" s="5"/>
    </row>
    <row r="460" spans="6:20" ht="12.75">
      <c r="F460" s="11"/>
      <c r="G460" s="19"/>
      <c r="H460" s="20"/>
      <c r="I460" s="21"/>
      <c r="K460" s="5"/>
      <c r="S460" s="5"/>
      <c r="T460" s="5"/>
    </row>
    <row r="461" spans="6:20" ht="12.75">
      <c r="F461" s="11"/>
      <c r="G461" s="19"/>
      <c r="H461" s="20"/>
      <c r="I461" s="21"/>
      <c r="K461" s="5"/>
      <c r="S461" s="5"/>
      <c r="T461" s="5"/>
    </row>
    <row r="462" spans="6:20" ht="12.75">
      <c r="F462" s="11"/>
      <c r="G462" s="19"/>
      <c r="H462" s="20"/>
      <c r="I462" s="21"/>
      <c r="K462" s="5"/>
      <c r="S462" s="5"/>
      <c r="T462" s="5"/>
    </row>
    <row r="463" spans="6:20" ht="12.75">
      <c r="F463" s="11"/>
      <c r="G463" s="19"/>
      <c r="H463" s="20"/>
      <c r="I463" s="21"/>
      <c r="K463" s="5"/>
      <c r="S463" s="5"/>
      <c r="T463" s="5"/>
    </row>
    <row r="464" spans="6:20" ht="12.75">
      <c r="F464" s="11"/>
      <c r="G464" s="19"/>
      <c r="H464" s="20"/>
      <c r="I464" s="21"/>
      <c r="K464" s="5"/>
      <c r="S464" s="5"/>
      <c r="T464" s="5"/>
    </row>
    <row r="465" spans="6:20" ht="12.75">
      <c r="F465" s="11"/>
      <c r="G465" s="19"/>
      <c r="H465" s="20"/>
      <c r="I465" s="21"/>
      <c r="K465" s="5"/>
      <c r="S465" s="5"/>
      <c r="T465" s="5"/>
    </row>
    <row r="466" spans="6:20" ht="12.75">
      <c r="F466" s="11"/>
      <c r="G466" s="19"/>
      <c r="H466" s="20"/>
      <c r="I466" s="21"/>
      <c r="K466" s="5"/>
      <c r="S466" s="5"/>
      <c r="T466" s="5"/>
    </row>
    <row r="467" spans="6:20" ht="12.75">
      <c r="F467" s="11"/>
      <c r="G467" s="19"/>
      <c r="H467" s="20"/>
      <c r="I467" s="21"/>
      <c r="K467" s="5"/>
      <c r="S467" s="5"/>
      <c r="T467" s="5"/>
    </row>
    <row r="468" spans="6:20" ht="12.75">
      <c r="F468" s="11"/>
      <c r="G468" s="19"/>
      <c r="H468" s="20"/>
      <c r="I468" s="21"/>
      <c r="K468" s="5"/>
      <c r="S468" s="5"/>
      <c r="T468" s="5"/>
    </row>
    <row r="469" spans="6:20" ht="12.75">
      <c r="F469" s="11"/>
      <c r="G469" s="19"/>
      <c r="H469" s="20"/>
      <c r="I469" s="21"/>
      <c r="K469" s="5"/>
      <c r="S469" s="5"/>
      <c r="T469" s="5"/>
    </row>
    <row r="470" spans="6:20" ht="12.75">
      <c r="F470" s="11"/>
      <c r="G470" s="19"/>
      <c r="H470" s="20"/>
      <c r="I470" s="21"/>
      <c r="K470" s="5"/>
      <c r="S470" s="5"/>
      <c r="T470" s="5"/>
    </row>
    <row r="471" spans="6:20" ht="12.75">
      <c r="F471" s="11"/>
      <c r="G471" s="19"/>
      <c r="H471" s="20"/>
      <c r="I471" s="21"/>
      <c r="K471" s="5"/>
      <c r="S471" s="5"/>
      <c r="T471" s="5"/>
    </row>
    <row r="472" spans="6:20" ht="12.75">
      <c r="F472" s="11"/>
      <c r="G472" s="19"/>
      <c r="H472" s="20"/>
      <c r="I472" s="21"/>
      <c r="K472" s="5"/>
      <c r="S472" s="5"/>
      <c r="T472" s="5"/>
    </row>
    <row r="473" spans="6:20" ht="12.75">
      <c r="F473" s="11"/>
      <c r="G473" s="19"/>
      <c r="H473" s="20"/>
      <c r="I473" s="21"/>
      <c r="K473" s="5"/>
      <c r="S473" s="5"/>
      <c r="T473" s="5"/>
    </row>
    <row r="474" spans="6:20" ht="12.75">
      <c r="F474" s="11"/>
      <c r="G474" s="19"/>
      <c r="H474" s="20"/>
      <c r="I474" s="21"/>
      <c r="K474" s="5"/>
      <c r="S474" s="5"/>
      <c r="T474" s="5"/>
    </row>
    <row r="475" spans="6:20" ht="12.75">
      <c r="F475" s="11"/>
      <c r="G475" s="19"/>
      <c r="H475" s="20"/>
      <c r="I475" s="21"/>
      <c r="K475" s="5"/>
      <c r="S475" s="5"/>
      <c r="T475" s="5"/>
    </row>
    <row r="476" spans="6:20" ht="12.75">
      <c r="F476" s="11"/>
      <c r="G476" s="19"/>
      <c r="H476" s="20"/>
      <c r="I476" s="21"/>
      <c r="K476" s="5"/>
      <c r="S476" s="5"/>
      <c r="T476" s="5"/>
    </row>
    <row r="477" spans="6:20" ht="12.75">
      <c r="F477" s="11"/>
      <c r="G477" s="19"/>
      <c r="H477" s="20"/>
      <c r="I477" s="21"/>
      <c r="K477" s="5"/>
      <c r="S477" s="5"/>
      <c r="T477" s="5"/>
    </row>
    <row r="478" spans="6:20" ht="12.75">
      <c r="F478" s="11"/>
      <c r="G478" s="19"/>
      <c r="H478" s="20"/>
      <c r="I478" s="21"/>
      <c r="K478" s="5"/>
      <c r="S478" s="5"/>
      <c r="T478" s="5"/>
    </row>
    <row r="479" spans="6:20" ht="12.75">
      <c r="F479" s="11"/>
      <c r="G479" s="19"/>
      <c r="H479" s="20"/>
      <c r="I479" s="21"/>
      <c r="K479" s="5"/>
      <c r="S479" s="5"/>
      <c r="T479" s="5"/>
    </row>
    <row r="480" spans="6:20" ht="12.75">
      <c r="F480" s="11"/>
      <c r="G480" s="19"/>
      <c r="H480" s="20"/>
      <c r="I480" s="21"/>
      <c r="K480" s="5"/>
      <c r="S480" s="5"/>
      <c r="T480" s="5"/>
    </row>
    <row r="481" spans="6:20" ht="12.75">
      <c r="F481" s="11"/>
      <c r="G481" s="19"/>
      <c r="H481" s="20"/>
      <c r="I481" s="21"/>
      <c r="K481" s="5"/>
      <c r="S481" s="5"/>
      <c r="T481" s="5"/>
    </row>
    <row r="482" spans="6:20" ht="12.75">
      <c r="F482" s="11"/>
      <c r="G482" s="19"/>
      <c r="H482" s="20"/>
      <c r="I482" s="21"/>
      <c r="K482" s="5"/>
      <c r="S482" s="5"/>
      <c r="T482" s="5"/>
    </row>
    <row r="483" spans="6:20" ht="12.75">
      <c r="F483" s="11"/>
      <c r="G483" s="19"/>
      <c r="H483" s="20"/>
      <c r="I483" s="21"/>
      <c r="K483" s="5"/>
      <c r="S483" s="5"/>
      <c r="T483" s="5"/>
    </row>
    <row r="484" spans="6:20" ht="12.75">
      <c r="F484" s="11"/>
      <c r="G484" s="19"/>
      <c r="H484" s="20"/>
      <c r="I484" s="21"/>
      <c r="K484" s="5"/>
      <c r="S484" s="5"/>
      <c r="T484" s="5"/>
    </row>
    <row r="485" spans="6:20" ht="12.75">
      <c r="F485" s="11"/>
      <c r="G485" s="19"/>
      <c r="H485" s="20"/>
      <c r="I485" s="21"/>
      <c r="K485" s="5"/>
      <c r="S485" s="5"/>
      <c r="T485" s="5"/>
    </row>
    <row r="486" spans="6:20" ht="12.75">
      <c r="F486" s="11"/>
      <c r="G486" s="19"/>
      <c r="H486" s="20"/>
      <c r="I486" s="21"/>
      <c r="K486" s="5"/>
      <c r="S486" s="5"/>
      <c r="T486" s="5"/>
    </row>
    <row r="487" spans="6:20" ht="12.75">
      <c r="F487" s="11"/>
      <c r="G487" s="19"/>
      <c r="H487" s="20"/>
      <c r="I487" s="21"/>
      <c r="K487" s="5"/>
      <c r="S487" s="5"/>
      <c r="T487" s="5"/>
    </row>
    <row r="488" spans="6:20" ht="12.75">
      <c r="F488" s="11"/>
      <c r="G488" s="19"/>
      <c r="H488" s="20"/>
      <c r="I488" s="21"/>
      <c r="K488" s="5"/>
      <c r="S488" s="5"/>
      <c r="T488" s="5"/>
    </row>
    <row r="489" spans="6:20" ht="12.75">
      <c r="F489" s="11"/>
      <c r="G489" s="19"/>
      <c r="H489" s="20"/>
      <c r="I489" s="21"/>
      <c r="K489" s="5"/>
      <c r="S489" s="5"/>
      <c r="T489" s="5"/>
    </row>
    <row r="490" spans="6:20" ht="12.75">
      <c r="F490" s="11"/>
      <c r="G490" s="19"/>
      <c r="H490" s="20"/>
      <c r="I490" s="21"/>
      <c r="K490" s="5"/>
      <c r="S490" s="5"/>
      <c r="T490" s="5"/>
    </row>
    <row r="491" spans="6:20" ht="12.75">
      <c r="F491" s="11"/>
      <c r="G491" s="19"/>
      <c r="H491" s="20"/>
      <c r="I491" s="21"/>
      <c r="K491" s="5"/>
      <c r="S491" s="5"/>
      <c r="T491" s="5"/>
    </row>
    <row r="492" spans="6:20" ht="12.75">
      <c r="F492" s="11"/>
      <c r="G492" s="19"/>
      <c r="H492" s="20"/>
      <c r="I492" s="21"/>
      <c r="K492" s="5"/>
      <c r="S492" s="5"/>
      <c r="T492" s="5"/>
    </row>
    <row r="493" spans="6:20" ht="12.75">
      <c r="F493" s="11"/>
      <c r="G493" s="19"/>
      <c r="H493" s="20"/>
      <c r="I493" s="21"/>
      <c r="K493" s="5"/>
      <c r="S493" s="5"/>
      <c r="T493" s="5"/>
    </row>
    <row r="494" spans="6:20" ht="12.75">
      <c r="F494" s="11"/>
      <c r="G494" s="19"/>
      <c r="H494" s="20"/>
      <c r="I494" s="21"/>
      <c r="K494" s="5"/>
      <c r="S494" s="5"/>
      <c r="T494" s="5"/>
    </row>
    <row r="495" spans="6:20" ht="12.75">
      <c r="F495" s="11"/>
      <c r="G495" s="19"/>
      <c r="H495" s="20"/>
      <c r="I495" s="21"/>
      <c r="K495" s="5"/>
      <c r="S495" s="5"/>
      <c r="T495" s="5"/>
    </row>
    <row r="496" spans="6:20" ht="12.75">
      <c r="F496" s="11"/>
      <c r="G496" s="19"/>
      <c r="H496" s="20"/>
      <c r="I496" s="21"/>
      <c r="K496" s="5"/>
      <c r="S496" s="5"/>
      <c r="T496" s="5"/>
    </row>
    <row r="497" spans="6:20" ht="12.75">
      <c r="F497" s="11"/>
      <c r="G497" s="19"/>
      <c r="H497" s="20"/>
      <c r="I497" s="21"/>
      <c r="K497" s="5"/>
      <c r="S497" s="5"/>
      <c r="T497" s="5"/>
    </row>
    <row r="498" spans="6:20" ht="12.75">
      <c r="F498" s="11"/>
      <c r="G498" s="19"/>
      <c r="H498" s="20"/>
      <c r="I498" s="21"/>
      <c r="K498" s="5"/>
      <c r="S498" s="5"/>
      <c r="T498" s="5"/>
    </row>
    <row r="499" spans="6:20" ht="12.75">
      <c r="F499" s="11"/>
      <c r="G499" s="19"/>
      <c r="H499" s="20"/>
      <c r="I499" s="21"/>
      <c r="K499" s="5"/>
      <c r="S499" s="5"/>
      <c r="T499" s="5"/>
    </row>
    <row r="500" spans="6:20" ht="12.75">
      <c r="F500" s="11"/>
      <c r="G500" s="19"/>
      <c r="H500" s="20"/>
      <c r="I500" s="21"/>
      <c r="K500" s="5"/>
      <c r="S500" s="5"/>
      <c r="T500" s="5"/>
    </row>
    <row r="501" spans="6:20" ht="12.75">
      <c r="F501" s="11"/>
      <c r="G501" s="19"/>
      <c r="H501" s="20"/>
      <c r="I501" s="21"/>
      <c r="K501" s="5"/>
      <c r="S501" s="5"/>
      <c r="T501" s="5"/>
    </row>
    <row r="502" spans="6:20" ht="12.75">
      <c r="F502" s="11"/>
      <c r="G502" s="19"/>
      <c r="H502" s="20"/>
      <c r="I502" s="21"/>
      <c r="K502" s="5"/>
      <c r="S502" s="5"/>
      <c r="T502" s="5"/>
    </row>
    <row r="503" spans="6:20" ht="12.75">
      <c r="F503" s="11"/>
      <c r="G503" s="19"/>
      <c r="H503" s="20"/>
      <c r="I503" s="21"/>
      <c r="K503" s="5"/>
      <c r="S503" s="5"/>
      <c r="T503" s="5"/>
    </row>
    <row r="504" spans="6:20" ht="12.75">
      <c r="F504" s="11"/>
      <c r="G504" s="19"/>
      <c r="H504" s="20"/>
      <c r="I504" s="21"/>
      <c r="K504" s="5"/>
      <c r="S504" s="5"/>
      <c r="T504" s="5"/>
    </row>
    <row r="505" spans="6:20" ht="12.75">
      <c r="F505" s="11"/>
      <c r="G505" s="19"/>
      <c r="H505" s="20"/>
      <c r="I505" s="21"/>
      <c r="K505" s="5"/>
      <c r="S505" s="5"/>
      <c r="T505" s="5"/>
    </row>
    <row r="506" spans="6:20" ht="12.75">
      <c r="F506" s="11"/>
      <c r="G506" s="19"/>
      <c r="H506" s="20"/>
      <c r="I506" s="21"/>
      <c r="K506" s="5"/>
      <c r="S506" s="5"/>
      <c r="T506" s="5"/>
    </row>
    <row r="507" spans="6:20" ht="12.75">
      <c r="F507" s="11"/>
      <c r="G507" s="19"/>
      <c r="H507" s="20"/>
      <c r="I507" s="21"/>
      <c r="K507" s="5"/>
      <c r="S507" s="5"/>
      <c r="T507" s="5"/>
    </row>
    <row r="508" spans="6:20" ht="12.75">
      <c r="F508" s="11"/>
      <c r="G508" s="19"/>
      <c r="H508" s="20"/>
      <c r="I508" s="21"/>
      <c r="K508" s="5"/>
      <c r="S508" s="5"/>
      <c r="T508" s="5"/>
    </row>
    <row r="509" spans="6:20" ht="12.75">
      <c r="F509" s="11"/>
      <c r="G509" s="19"/>
      <c r="H509" s="20"/>
      <c r="I509" s="21"/>
      <c r="K509" s="5"/>
      <c r="S509" s="5"/>
      <c r="T509" s="5"/>
    </row>
    <row r="510" spans="6:20" ht="12.75">
      <c r="F510" s="11"/>
      <c r="G510" s="19"/>
      <c r="H510" s="20"/>
      <c r="I510" s="21"/>
      <c r="K510" s="5"/>
      <c r="S510" s="5"/>
      <c r="T510" s="5"/>
    </row>
    <row r="511" spans="6:20" ht="12.75">
      <c r="F511" s="11"/>
      <c r="G511" s="19"/>
      <c r="H511" s="20"/>
      <c r="I511" s="21"/>
      <c r="K511" s="5"/>
      <c r="S511" s="5"/>
      <c r="T511" s="5"/>
    </row>
    <row r="512" spans="6:20" ht="12.75">
      <c r="F512" s="11"/>
      <c r="G512" s="19"/>
      <c r="H512" s="20"/>
      <c r="I512" s="21"/>
      <c r="K512" s="5"/>
      <c r="S512" s="5"/>
      <c r="T512" s="5"/>
    </row>
    <row r="513" spans="6:20" ht="12.75">
      <c r="F513" s="11"/>
      <c r="G513" s="19"/>
      <c r="H513" s="20"/>
      <c r="I513" s="21"/>
      <c r="K513" s="5"/>
      <c r="S513" s="5"/>
      <c r="T513" s="5"/>
    </row>
    <row r="514" spans="6:20" ht="12.75">
      <c r="F514" s="11"/>
      <c r="G514" s="19"/>
      <c r="H514" s="20"/>
      <c r="I514" s="21"/>
      <c r="K514" s="5"/>
      <c r="S514" s="5"/>
      <c r="T514" s="5"/>
    </row>
    <row r="515" spans="6:20" ht="12.75">
      <c r="F515" s="11"/>
      <c r="G515" s="19"/>
      <c r="H515" s="20"/>
      <c r="I515" s="21"/>
      <c r="K515" s="5"/>
      <c r="S515" s="5"/>
      <c r="T515" s="5"/>
    </row>
    <row r="516" spans="6:20" ht="12.75">
      <c r="F516" s="11"/>
      <c r="G516" s="19"/>
      <c r="H516" s="20"/>
      <c r="I516" s="21"/>
      <c r="K516" s="5"/>
      <c r="S516" s="5"/>
      <c r="T516" s="5"/>
    </row>
    <row r="517" spans="6:20" ht="12.75">
      <c r="F517" s="11"/>
      <c r="G517" s="19"/>
      <c r="H517" s="20"/>
      <c r="I517" s="21"/>
      <c r="K517" s="5"/>
      <c r="S517" s="5"/>
      <c r="T517" s="5"/>
    </row>
    <row r="518" spans="6:20" ht="12.75">
      <c r="F518" s="11"/>
      <c r="G518" s="19"/>
      <c r="H518" s="20"/>
      <c r="I518" s="21"/>
      <c r="K518" s="5"/>
      <c r="S518" s="5"/>
      <c r="T518" s="5"/>
    </row>
    <row r="519" spans="6:20" ht="12.75">
      <c r="F519" s="11"/>
      <c r="G519" s="19"/>
      <c r="H519" s="20"/>
      <c r="I519" s="21"/>
      <c r="K519" s="5"/>
      <c r="S519" s="5"/>
      <c r="T519" s="5"/>
    </row>
    <row r="520" spans="6:20" ht="12.75">
      <c r="F520" s="11"/>
      <c r="G520" s="19"/>
      <c r="H520" s="20"/>
      <c r="I520" s="21"/>
      <c r="K520" s="5"/>
      <c r="S520" s="5"/>
      <c r="T520" s="5"/>
    </row>
    <row r="521" spans="6:20" ht="12.75">
      <c r="F521" s="11"/>
      <c r="G521" s="19"/>
      <c r="H521" s="20"/>
      <c r="I521" s="21"/>
      <c r="K521" s="5"/>
      <c r="S521" s="5"/>
      <c r="T521" s="5"/>
    </row>
    <row r="522" spans="6:20" ht="12.75">
      <c r="F522" s="11"/>
      <c r="G522" s="19"/>
      <c r="H522" s="20"/>
      <c r="I522" s="21"/>
      <c r="K522" s="5"/>
      <c r="S522" s="5"/>
      <c r="T522" s="5"/>
    </row>
    <row r="523" spans="6:20" ht="12.75">
      <c r="F523" s="11"/>
      <c r="G523" s="19"/>
      <c r="H523" s="20"/>
      <c r="I523" s="21"/>
      <c r="K523" s="5"/>
      <c r="S523" s="5"/>
      <c r="T523" s="5"/>
    </row>
    <row r="524" spans="6:20" ht="12.75">
      <c r="F524" s="11"/>
      <c r="G524" s="19"/>
      <c r="H524" s="20"/>
      <c r="I524" s="21"/>
      <c r="K524" s="5"/>
      <c r="S524" s="5"/>
      <c r="T524" s="5"/>
    </row>
    <row r="525" spans="6:20" ht="12.75">
      <c r="F525" s="11"/>
      <c r="G525" s="19"/>
      <c r="H525" s="20"/>
      <c r="I525" s="21"/>
      <c r="K525" s="5"/>
      <c r="S525" s="5"/>
      <c r="T525" s="5"/>
    </row>
    <row r="526" spans="6:20" ht="12.75">
      <c r="F526" s="11"/>
      <c r="G526" s="19"/>
      <c r="H526" s="20"/>
      <c r="I526" s="21"/>
      <c r="K526" s="5"/>
      <c r="S526" s="5"/>
      <c r="T526" s="5"/>
    </row>
    <row r="527" spans="6:20" ht="12.75">
      <c r="F527" s="11"/>
      <c r="G527" s="19"/>
      <c r="H527" s="20"/>
      <c r="I527" s="21"/>
      <c r="K527" s="5"/>
      <c r="S527" s="5"/>
      <c r="T527" s="5"/>
    </row>
    <row r="528" spans="6:20" ht="12.75">
      <c r="F528" s="11"/>
      <c r="G528" s="19"/>
      <c r="H528" s="20"/>
      <c r="I528" s="21"/>
      <c r="K528" s="5"/>
      <c r="S528" s="5"/>
      <c r="T528" s="5"/>
    </row>
    <row r="529" spans="6:20" ht="12.75">
      <c r="F529" s="11"/>
      <c r="G529" s="19"/>
      <c r="H529" s="20"/>
      <c r="I529" s="21"/>
      <c r="K529" s="5"/>
      <c r="S529" s="5"/>
      <c r="T529" s="5"/>
    </row>
    <row r="530" spans="6:20" ht="12.75">
      <c r="F530" s="11"/>
      <c r="G530" s="19"/>
      <c r="H530" s="20"/>
      <c r="I530" s="21"/>
      <c r="K530" s="5"/>
      <c r="S530" s="5"/>
      <c r="T530" s="5"/>
    </row>
    <row r="531" spans="6:20" ht="12.75">
      <c r="F531" s="11"/>
      <c r="G531" s="19"/>
      <c r="H531" s="20"/>
      <c r="I531" s="21"/>
      <c r="K531" s="5"/>
      <c r="S531" s="5"/>
      <c r="T531" s="5"/>
    </row>
    <row r="532" spans="6:20" ht="12.75">
      <c r="F532" s="11"/>
      <c r="G532" s="19"/>
      <c r="H532" s="20"/>
      <c r="I532" s="21"/>
      <c r="K532" s="5"/>
      <c r="S532" s="5"/>
      <c r="T532" s="5"/>
    </row>
    <row r="533" spans="6:20" ht="12.75">
      <c r="F533" s="11"/>
      <c r="G533" s="19"/>
      <c r="H533" s="20"/>
      <c r="I533" s="21"/>
      <c r="K533" s="5"/>
      <c r="S533" s="5"/>
      <c r="T533" s="5"/>
    </row>
    <row r="534" spans="6:20" ht="12.75">
      <c r="F534" s="11"/>
      <c r="G534" s="19"/>
      <c r="H534" s="20"/>
      <c r="I534" s="21"/>
      <c r="K534" s="5"/>
      <c r="S534" s="5"/>
      <c r="T534" s="5"/>
    </row>
    <row r="535" spans="6:20" ht="12.75">
      <c r="F535" s="11"/>
      <c r="G535" s="19"/>
      <c r="H535" s="20"/>
      <c r="I535" s="21"/>
      <c r="K535" s="5"/>
      <c r="S535" s="5"/>
      <c r="T535" s="5"/>
    </row>
    <row r="536" spans="6:20" ht="12.75">
      <c r="F536" s="11"/>
      <c r="G536" s="19"/>
      <c r="H536" s="20"/>
      <c r="I536" s="21"/>
      <c r="K536" s="5"/>
      <c r="S536" s="5"/>
      <c r="T536" s="5"/>
    </row>
    <row r="537" spans="6:20" ht="12.75">
      <c r="F537" s="11"/>
      <c r="G537" s="19"/>
      <c r="H537" s="20"/>
      <c r="I537" s="21"/>
      <c r="K537" s="5"/>
      <c r="S537" s="5"/>
      <c r="T537" s="5"/>
    </row>
    <row r="538" spans="6:20" ht="12.75">
      <c r="F538" s="11"/>
      <c r="G538" s="19"/>
      <c r="H538" s="20"/>
      <c r="I538" s="21"/>
      <c r="K538" s="5"/>
      <c r="S538" s="5"/>
      <c r="T538" s="5"/>
    </row>
    <row r="539" spans="6:20" ht="12.75">
      <c r="F539" s="11"/>
      <c r="G539" s="19"/>
      <c r="H539" s="20"/>
      <c r="I539" s="21"/>
      <c r="K539" s="5"/>
      <c r="S539" s="5"/>
      <c r="T539" s="5"/>
    </row>
    <row r="540" spans="6:20" ht="12.75">
      <c r="F540" s="11"/>
      <c r="G540" s="19"/>
      <c r="H540" s="20"/>
      <c r="I540" s="21"/>
      <c r="K540" s="5"/>
      <c r="S540" s="5"/>
      <c r="T540" s="5"/>
    </row>
    <row r="541" spans="6:20" ht="12.75">
      <c r="F541" s="11"/>
      <c r="G541" s="19"/>
      <c r="H541" s="20"/>
      <c r="I541" s="21"/>
      <c r="K541" s="5"/>
      <c r="S541" s="5"/>
      <c r="T541" s="5"/>
    </row>
    <row r="542" spans="6:20" ht="12.75">
      <c r="F542" s="11"/>
      <c r="G542" s="19"/>
      <c r="H542" s="20"/>
      <c r="I542" s="21"/>
      <c r="K542" s="5"/>
      <c r="S542" s="5"/>
      <c r="T542" s="5"/>
    </row>
    <row r="543" spans="6:20" ht="12.75">
      <c r="F543" s="11"/>
      <c r="G543" s="19"/>
      <c r="H543" s="20"/>
      <c r="I543" s="21"/>
      <c r="K543" s="5"/>
      <c r="S543" s="5"/>
      <c r="T543" s="5"/>
    </row>
    <row r="544" spans="6:20" ht="12.75">
      <c r="F544" s="11"/>
      <c r="G544" s="19"/>
      <c r="H544" s="20"/>
      <c r="I544" s="21"/>
      <c r="K544" s="5"/>
      <c r="S544" s="5"/>
      <c r="T544" s="5"/>
    </row>
    <row r="545" spans="6:20" ht="12.75">
      <c r="F545" s="11"/>
      <c r="G545" s="19"/>
      <c r="H545" s="20"/>
      <c r="I545" s="21"/>
      <c r="K545" s="5"/>
      <c r="S545" s="5"/>
      <c r="T545" s="5"/>
    </row>
    <row r="546" spans="6:20" ht="12.75">
      <c r="F546" s="11"/>
      <c r="G546" s="19"/>
      <c r="H546" s="20"/>
      <c r="I546" s="21"/>
      <c r="K546" s="5"/>
      <c r="S546" s="5"/>
      <c r="T546" s="5"/>
    </row>
    <row r="547" spans="6:20" ht="12.75">
      <c r="F547" s="11"/>
      <c r="G547" s="19"/>
      <c r="H547" s="20"/>
      <c r="I547" s="21"/>
      <c r="K547" s="5"/>
      <c r="S547" s="5"/>
      <c r="T547" s="5"/>
    </row>
    <row r="548" spans="6:20" ht="12.75">
      <c r="F548" s="11"/>
      <c r="G548" s="19"/>
      <c r="H548" s="20"/>
      <c r="I548" s="21"/>
      <c r="K548" s="5"/>
      <c r="S548" s="5"/>
      <c r="T548" s="5"/>
    </row>
    <row r="549" spans="6:20" ht="12.75">
      <c r="F549" s="11"/>
      <c r="G549" s="19"/>
      <c r="H549" s="20"/>
      <c r="I549" s="21"/>
      <c r="K549" s="5"/>
      <c r="S549" s="5"/>
      <c r="T549" s="5"/>
    </row>
    <row r="550" spans="6:20" ht="12.75">
      <c r="F550" s="11"/>
      <c r="G550" s="19"/>
      <c r="H550" s="20"/>
      <c r="I550" s="21"/>
      <c r="K550" s="5"/>
      <c r="S550" s="5"/>
      <c r="T550" s="5"/>
    </row>
    <row r="551" spans="6:20" ht="12.75">
      <c r="F551" s="11"/>
      <c r="G551" s="19"/>
      <c r="H551" s="20"/>
      <c r="I551" s="21"/>
      <c r="K551" s="5"/>
      <c r="S551" s="5"/>
      <c r="T551" s="5"/>
    </row>
    <row r="552" spans="6:20" ht="12.75">
      <c r="F552" s="11"/>
      <c r="G552" s="19"/>
      <c r="H552" s="20"/>
      <c r="I552" s="21"/>
      <c r="K552" s="5"/>
      <c r="S552" s="5"/>
      <c r="T552" s="5"/>
    </row>
    <row r="553" spans="6:20" ht="12.75">
      <c r="F553" s="11"/>
      <c r="G553" s="19"/>
      <c r="H553" s="20"/>
      <c r="I553" s="21"/>
      <c r="K553" s="5"/>
      <c r="S553" s="5"/>
      <c r="T553" s="5"/>
    </row>
    <row r="554" spans="6:20" ht="12.75">
      <c r="F554" s="11"/>
      <c r="G554" s="19"/>
      <c r="H554" s="20"/>
      <c r="I554" s="21"/>
      <c r="K554" s="5"/>
      <c r="S554" s="5"/>
      <c r="T554" s="5"/>
    </row>
    <row r="555" spans="6:20" ht="12.75">
      <c r="F555" s="11"/>
      <c r="G555" s="19"/>
      <c r="H555" s="20"/>
      <c r="I555" s="21"/>
      <c r="K555" s="5"/>
      <c r="S555" s="5"/>
      <c r="T555" s="5"/>
    </row>
    <row r="556" spans="6:20" ht="12.75">
      <c r="F556" s="11"/>
      <c r="G556" s="19"/>
      <c r="H556" s="20"/>
      <c r="I556" s="21"/>
      <c r="K556" s="5"/>
      <c r="S556" s="5"/>
      <c r="T556" s="5"/>
    </row>
    <row r="557" spans="6:20" ht="12.75">
      <c r="F557" s="11"/>
      <c r="G557" s="19"/>
      <c r="H557" s="20"/>
      <c r="I557" s="21"/>
      <c r="K557" s="5"/>
      <c r="S557" s="5"/>
      <c r="T557" s="5"/>
    </row>
    <row r="558" spans="6:20" ht="12.75">
      <c r="F558" s="11"/>
      <c r="G558" s="19"/>
      <c r="H558" s="20"/>
      <c r="I558" s="21"/>
      <c r="K558" s="5"/>
      <c r="S558" s="5"/>
      <c r="T558" s="5"/>
    </row>
    <row r="559" spans="6:20" ht="12.75">
      <c r="F559" s="11"/>
      <c r="G559" s="19"/>
      <c r="H559" s="20"/>
      <c r="I559" s="21"/>
      <c r="K559" s="5"/>
      <c r="S559" s="5"/>
      <c r="T559" s="5"/>
    </row>
    <row r="560" spans="6:20" ht="12.75">
      <c r="F560" s="11"/>
      <c r="G560" s="19"/>
      <c r="H560" s="20"/>
      <c r="I560" s="21"/>
      <c r="K560" s="5"/>
      <c r="S560" s="5"/>
      <c r="T560" s="5"/>
    </row>
    <row r="561" spans="6:20" ht="12.75">
      <c r="F561" s="11"/>
      <c r="G561" s="19"/>
      <c r="H561" s="20"/>
      <c r="I561" s="21"/>
      <c r="K561" s="5"/>
      <c r="S561" s="5"/>
      <c r="T561" s="5"/>
    </row>
    <row r="562" spans="6:20" ht="12.75">
      <c r="F562" s="11"/>
      <c r="G562" s="19"/>
      <c r="H562" s="20"/>
      <c r="I562" s="21"/>
      <c r="K562" s="5"/>
      <c r="S562" s="5"/>
      <c r="T562" s="5"/>
    </row>
    <row r="563" spans="6:20" ht="12.75">
      <c r="F563" s="11"/>
      <c r="G563" s="19"/>
      <c r="H563" s="20"/>
      <c r="I563" s="21"/>
      <c r="K563" s="5"/>
      <c r="S563" s="5"/>
      <c r="T563" s="5"/>
    </row>
    <row r="564" spans="6:20" ht="12.75">
      <c r="F564" s="11"/>
      <c r="G564" s="19"/>
      <c r="H564" s="20"/>
      <c r="I564" s="21"/>
      <c r="K564" s="5"/>
      <c r="S564" s="5"/>
      <c r="T564" s="5"/>
    </row>
    <row r="565" spans="6:20" ht="12.75">
      <c r="F565" s="11"/>
      <c r="G565" s="19"/>
      <c r="H565" s="20"/>
      <c r="I565" s="21"/>
      <c r="K565" s="5"/>
      <c r="S565" s="5"/>
      <c r="T565" s="5"/>
    </row>
    <row r="566" spans="6:20" ht="12.75">
      <c r="F566" s="11"/>
      <c r="G566" s="19"/>
      <c r="H566" s="20"/>
      <c r="I566" s="21"/>
      <c r="K566" s="5"/>
      <c r="S566" s="5"/>
      <c r="T566" s="5"/>
    </row>
    <row r="567" spans="6:20" ht="12.75">
      <c r="F567" s="11"/>
      <c r="G567" s="19"/>
      <c r="H567" s="20"/>
      <c r="I567" s="21"/>
      <c r="K567" s="5"/>
      <c r="S567" s="5"/>
      <c r="T567" s="5"/>
    </row>
    <row r="568" spans="6:20" ht="12.75">
      <c r="F568" s="11"/>
      <c r="G568" s="19"/>
      <c r="H568" s="20"/>
      <c r="I568" s="21"/>
      <c r="K568" s="5"/>
      <c r="S568" s="5"/>
      <c r="T568" s="5"/>
    </row>
    <row r="569" spans="6:20" ht="12.75">
      <c r="F569" s="11"/>
      <c r="G569" s="19"/>
      <c r="H569" s="20"/>
      <c r="I569" s="21"/>
      <c r="K569" s="5"/>
      <c r="S569" s="5"/>
      <c r="T569" s="5"/>
    </row>
    <row r="570" spans="6:20" ht="12.75">
      <c r="F570" s="11"/>
      <c r="G570" s="19"/>
      <c r="H570" s="20"/>
      <c r="I570" s="21"/>
      <c r="K570" s="5"/>
      <c r="S570" s="5"/>
      <c r="T570" s="5"/>
    </row>
    <row r="571" spans="6:20" ht="12.75">
      <c r="F571" s="11"/>
      <c r="G571" s="19"/>
      <c r="H571" s="20"/>
      <c r="I571" s="21"/>
      <c r="K571" s="5"/>
      <c r="S571" s="5"/>
      <c r="T571" s="5"/>
    </row>
    <row r="572" spans="6:20" ht="12.75">
      <c r="F572" s="11"/>
      <c r="G572" s="19"/>
      <c r="H572" s="20"/>
      <c r="I572" s="21"/>
      <c r="K572" s="5"/>
      <c r="S572" s="5"/>
      <c r="T572" s="5"/>
    </row>
    <row r="573" spans="6:20" ht="12.75">
      <c r="F573" s="11"/>
      <c r="G573" s="19"/>
      <c r="H573" s="20"/>
      <c r="I573" s="21"/>
      <c r="K573" s="5"/>
      <c r="S573" s="5"/>
      <c r="T573" s="5"/>
    </row>
    <row r="574" spans="6:20" ht="12.75">
      <c r="F574" s="11"/>
      <c r="G574" s="19"/>
      <c r="H574" s="20"/>
      <c r="I574" s="21"/>
      <c r="K574" s="5"/>
      <c r="S574" s="5"/>
      <c r="T574" s="5"/>
    </row>
    <row r="575" spans="6:20" ht="12.75">
      <c r="F575" s="11"/>
      <c r="G575" s="19"/>
      <c r="H575" s="20"/>
      <c r="I575" s="21"/>
      <c r="K575" s="5"/>
      <c r="S575" s="5"/>
      <c r="T575" s="5"/>
    </row>
    <row r="576" spans="6:20" ht="12.75">
      <c r="F576" s="11"/>
      <c r="G576" s="19"/>
      <c r="H576" s="20"/>
      <c r="I576" s="21"/>
      <c r="K576" s="5"/>
      <c r="S576" s="5"/>
      <c r="T576" s="5"/>
    </row>
    <row r="577" spans="6:20" ht="12.75">
      <c r="F577" s="11"/>
      <c r="G577" s="19"/>
      <c r="H577" s="20"/>
      <c r="I577" s="21"/>
      <c r="K577" s="5"/>
      <c r="S577" s="5"/>
      <c r="T577" s="5"/>
    </row>
    <row r="578" spans="6:20" ht="12.75">
      <c r="F578" s="11"/>
      <c r="G578" s="19"/>
      <c r="H578" s="20"/>
      <c r="I578" s="21"/>
      <c r="K578" s="5"/>
      <c r="S578" s="5"/>
      <c r="T578" s="5"/>
    </row>
    <row r="579" spans="6:20" ht="12.75">
      <c r="F579" s="11"/>
      <c r="G579" s="19"/>
      <c r="H579" s="20"/>
      <c r="I579" s="21"/>
      <c r="K579" s="5"/>
      <c r="S579" s="5"/>
      <c r="T579" s="5"/>
    </row>
    <row r="580" spans="6:20" ht="12.75">
      <c r="F580" s="11"/>
      <c r="G580" s="19"/>
      <c r="H580" s="20"/>
      <c r="I580" s="21"/>
      <c r="K580" s="5"/>
      <c r="S580" s="5"/>
      <c r="T580" s="5"/>
    </row>
    <row r="581" spans="6:20" ht="12.75">
      <c r="F581" s="11"/>
      <c r="G581" s="19"/>
      <c r="H581" s="20"/>
      <c r="I581" s="21"/>
      <c r="K581" s="5"/>
      <c r="S581" s="5"/>
      <c r="T581" s="5"/>
    </row>
    <row r="582" spans="6:20" ht="12.75">
      <c r="F582" s="11"/>
      <c r="G582" s="19"/>
      <c r="H582" s="20"/>
      <c r="I582" s="21"/>
      <c r="K582" s="5"/>
      <c r="S582" s="5"/>
      <c r="T582" s="5"/>
    </row>
    <row r="583" spans="6:20" ht="12.75">
      <c r="F583" s="11"/>
      <c r="G583" s="19"/>
      <c r="H583" s="20"/>
      <c r="I583" s="21"/>
      <c r="K583" s="5"/>
      <c r="S583" s="5"/>
      <c r="T583" s="5"/>
    </row>
    <row r="584" spans="6:20" ht="12.75">
      <c r="F584" s="11"/>
      <c r="G584" s="19"/>
      <c r="H584" s="20"/>
      <c r="I584" s="21"/>
      <c r="K584" s="5"/>
      <c r="S584" s="5"/>
      <c r="T584" s="5"/>
    </row>
    <row r="585" spans="6:20" ht="12.75">
      <c r="F585" s="11"/>
      <c r="G585" s="19"/>
      <c r="H585" s="20"/>
      <c r="I585" s="21"/>
      <c r="K585" s="5"/>
      <c r="S585" s="5"/>
      <c r="T585" s="5"/>
    </row>
    <row r="586" spans="6:20" ht="12.75">
      <c r="F586" s="11"/>
      <c r="G586" s="19"/>
      <c r="H586" s="20"/>
      <c r="I586" s="21"/>
      <c r="K586" s="5"/>
      <c r="S586" s="5"/>
      <c r="T586" s="5"/>
    </row>
    <row r="587" spans="6:20" ht="12.75">
      <c r="F587" s="11"/>
      <c r="G587" s="19"/>
      <c r="H587" s="20"/>
      <c r="I587" s="21"/>
      <c r="K587" s="5"/>
      <c r="S587" s="5"/>
      <c r="T587" s="5"/>
    </row>
    <row r="588" spans="6:20" ht="12.75">
      <c r="F588" s="11"/>
      <c r="G588" s="19"/>
      <c r="H588" s="20"/>
      <c r="I588" s="21"/>
      <c r="K588" s="5"/>
      <c r="S588" s="5"/>
      <c r="T588" s="5"/>
    </row>
    <row r="589" spans="6:20" ht="12.75">
      <c r="F589" s="11"/>
      <c r="G589" s="19"/>
      <c r="H589" s="20"/>
      <c r="I589" s="21"/>
      <c r="K589" s="5"/>
      <c r="S589" s="5"/>
      <c r="T589" s="5"/>
    </row>
    <row r="590" spans="6:20" ht="12.75">
      <c r="F590" s="11"/>
      <c r="G590" s="19"/>
      <c r="H590" s="20"/>
      <c r="I590" s="21"/>
      <c r="K590" s="5"/>
      <c r="S590" s="5"/>
      <c r="T590" s="5"/>
    </row>
    <row r="591" spans="6:20" ht="12.75">
      <c r="F591" s="11"/>
      <c r="G591" s="19"/>
      <c r="H591" s="20"/>
      <c r="I591" s="21"/>
      <c r="K591" s="5"/>
      <c r="S591" s="5"/>
      <c r="T591" s="5"/>
    </row>
    <row r="592" spans="6:20" ht="12.75">
      <c r="F592" s="11"/>
      <c r="G592" s="19"/>
      <c r="H592" s="20"/>
      <c r="I592" s="21"/>
      <c r="K592" s="5"/>
      <c r="S592" s="5"/>
      <c r="T592" s="5"/>
    </row>
    <row r="593" spans="6:20" ht="12.75">
      <c r="F593" s="11"/>
      <c r="G593" s="19"/>
      <c r="H593" s="20"/>
      <c r="I593" s="21"/>
      <c r="K593" s="5"/>
      <c r="S593" s="5"/>
      <c r="T593" s="5"/>
    </row>
    <row r="594" spans="6:20" ht="12.75">
      <c r="F594" s="11"/>
      <c r="G594" s="19"/>
      <c r="H594" s="20"/>
      <c r="I594" s="21"/>
      <c r="K594" s="5"/>
      <c r="S594" s="5"/>
      <c r="T594" s="5"/>
    </row>
    <row r="595" spans="6:20" ht="12.75">
      <c r="F595" s="11"/>
      <c r="G595" s="19"/>
      <c r="H595" s="20"/>
      <c r="I595" s="21"/>
      <c r="K595" s="5"/>
      <c r="S595" s="5"/>
      <c r="T595" s="5"/>
    </row>
    <row r="596" spans="6:20" ht="12.75">
      <c r="F596" s="11"/>
      <c r="G596" s="19"/>
      <c r="H596" s="20"/>
      <c r="I596" s="21"/>
      <c r="K596" s="5"/>
      <c r="S596" s="5"/>
      <c r="T596" s="5"/>
    </row>
    <row r="597" spans="6:20" ht="12.75">
      <c r="F597" s="11"/>
      <c r="G597" s="19"/>
      <c r="H597" s="20"/>
      <c r="I597" s="21"/>
      <c r="K597" s="5"/>
      <c r="S597" s="5"/>
      <c r="T597" s="5"/>
    </row>
    <row r="598" spans="6:20" ht="12.75">
      <c r="F598" s="11"/>
      <c r="G598" s="19"/>
      <c r="H598" s="20"/>
      <c r="I598" s="21"/>
      <c r="K598" s="5"/>
      <c r="S598" s="5"/>
      <c r="T598" s="5"/>
    </row>
    <row r="599" spans="6:20" ht="12.75">
      <c r="F599" s="11"/>
      <c r="G599" s="19"/>
      <c r="H599" s="20"/>
      <c r="I599" s="21"/>
      <c r="K599" s="5"/>
      <c r="S599" s="5"/>
      <c r="T599" s="5"/>
    </row>
    <row r="600" spans="6:20" ht="12.75">
      <c r="F600" s="11"/>
      <c r="G600" s="19"/>
      <c r="H600" s="20"/>
      <c r="I600" s="21"/>
      <c r="K600" s="5"/>
      <c r="S600" s="5"/>
      <c r="T600" s="5"/>
    </row>
    <row r="601" spans="6:20" ht="12.75">
      <c r="F601" s="11"/>
      <c r="G601" s="19"/>
      <c r="H601" s="20"/>
      <c r="I601" s="21"/>
      <c r="K601" s="5"/>
      <c r="S601" s="5"/>
      <c r="T601" s="5"/>
    </row>
    <row r="602" spans="6:20" ht="12.75">
      <c r="F602" s="11"/>
      <c r="G602" s="19"/>
      <c r="H602" s="20"/>
      <c r="I602" s="21"/>
      <c r="K602" s="5"/>
      <c r="S602" s="5"/>
      <c r="T602" s="5"/>
    </row>
    <row r="603" spans="6:20" ht="12.75">
      <c r="F603" s="11"/>
      <c r="G603" s="19"/>
      <c r="H603" s="20"/>
      <c r="I603" s="21"/>
      <c r="K603" s="5"/>
      <c r="S603" s="5"/>
      <c r="T603" s="5"/>
    </row>
    <row r="604" spans="6:20" ht="12.75">
      <c r="F604" s="11"/>
      <c r="G604" s="19"/>
      <c r="H604" s="20"/>
      <c r="I604" s="21"/>
      <c r="K604" s="5"/>
      <c r="S604" s="5"/>
      <c r="T604" s="5"/>
    </row>
    <row r="605" spans="6:20" ht="12.75">
      <c r="F605" s="11"/>
      <c r="G605" s="19"/>
      <c r="H605" s="20"/>
      <c r="I605" s="21"/>
      <c r="K605" s="5"/>
      <c r="S605" s="5"/>
      <c r="T605" s="5"/>
    </row>
    <row r="606" spans="6:20" ht="12.75">
      <c r="F606" s="11"/>
      <c r="G606" s="19"/>
      <c r="H606" s="20"/>
      <c r="I606" s="21"/>
      <c r="K606" s="5"/>
      <c r="S606" s="5"/>
      <c r="T606" s="5"/>
    </row>
    <row r="607" spans="6:20" ht="12.75">
      <c r="F607" s="11"/>
      <c r="G607" s="19"/>
      <c r="H607" s="20"/>
      <c r="I607" s="21"/>
      <c r="K607" s="5"/>
      <c r="S607" s="5"/>
      <c r="T607" s="5"/>
    </row>
    <row r="608" spans="6:20" ht="12.75">
      <c r="F608" s="11"/>
      <c r="G608" s="19"/>
      <c r="H608" s="20"/>
      <c r="I608" s="21"/>
      <c r="K608" s="5"/>
      <c r="S608" s="5"/>
      <c r="T608" s="5"/>
    </row>
    <row r="609" spans="6:20" ht="12.75">
      <c r="F609" s="11"/>
      <c r="G609" s="19"/>
      <c r="H609" s="20"/>
      <c r="I609" s="21"/>
      <c r="K609" s="5"/>
      <c r="S609" s="5"/>
      <c r="T609" s="5"/>
    </row>
    <row r="610" spans="6:20" ht="12.75">
      <c r="F610" s="11"/>
      <c r="G610" s="19"/>
      <c r="H610" s="20"/>
      <c r="I610" s="21"/>
      <c r="K610" s="5"/>
      <c r="S610" s="5"/>
      <c r="T610" s="5"/>
    </row>
    <row r="611" spans="6:20" ht="12.75">
      <c r="F611" s="11"/>
      <c r="G611" s="19"/>
      <c r="H611" s="20"/>
      <c r="I611" s="21"/>
      <c r="K611" s="5"/>
      <c r="S611" s="5"/>
      <c r="T611" s="5"/>
    </row>
    <row r="612" spans="6:20" ht="12.75">
      <c r="F612" s="11"/>
      <c r="G612" s="19"/>
      <c r="H612" s="20"/>
      <c r="I612" s="21"/>
      <c r="K612" s="5"/>
      <c r="S612" s="5"/>
      <c r="T612" s="5"/>
    </row>
    <row r="613" spans="6:20" ht="12.75">
      <c r="F613" s="11"/>
      <c r="G613" s="19"/>
      <c r="H613" s="20"/>
      <c r="I613" s="21"/>
      <c r="K613" s="5"/>
      <c r="S613" s="5"/>
      <c r="T613" s="5"/>
    </row>
    <row r="614" spans="6:20" ht="12.75">
      <c r="F614" s="11"/>
      <c r="G614" s="19"/>
      <c r="H614" s="20"/>
      <c r="I614" s="21"/>
      <c r="K614" s="5"/>
      <c r="S614" s="5"/>
      <c r="T614" s="5"/>
    </row>
    <row r="615" spans="6:20" ht="12.75">
      <c r="F615" s="11"/>
      <c r="G615" s="19"/>
      <c r="H615" s="20"/>
      <c r="I615" s="21"/>
      <c r="K615" s="5"/>
      <c r="S615" s="5"/>
      <c r="T615" s="5"/>
    </row>
    <row r="616" spans="6:20" ht="12.75">
      <c r="F616" s="11"/>
      <c r="G616" s="19"/>
      <c r="H616" s="20"/>
      <c r="I616" s="21"/>
      <c r="K616" s="5"/>
      <c r="S616" s="5"/>
      <c r="T616" s="5"/>
    </row>
    <row r="617" spans="6:20" ht="12.75">
      <c r="F617" s="11"/>
      <c r="G617" s="19"/>
      <c r="H617" s="20"/>
      <c r="I617" s="21"/>
      <c r="K617" s="5"/>
      <c r="S617" s="5"/>
      <c r="T617" s="5"/>
    </row>
    <row r="618" spans="6:20" ht="12.75">
      <c r="F618" s="11"/>
      <c r="G618" s="19"/>
      <c r="H618" s="20"/>
      <c r="I618" s="21"/>
      <c r="K618" s="5"/>
      <c r="S618" s="5"/>
      <c r="T618" s="5"/>
    </row>
    <row r="619" spans="6:20" ht="12.75">
      <c r="F619" s="11"/>
      <c r="G619" s="19"/>
      <c r="H619" s="20"/>
      <c r="I619" s="21"/>
      <c r="K619" s="5"/>
      <c r="S619" s="5"/>
      <c r="T619" s="5"/>
    </row>
    <row r="620" spans="6:20" ht="12.75">
      <c r="F620" s="11"/>
      <c r="G620" s="19"/>
      <c r="H620" s="20"/>
      <c r="I620" s="21"/>
      <c r="K620" s="5"/>
      <c r="S620" s="5"/>
      <c r="T620" s="5"/>
    </row>
    <row r="621" spans="6:20" ht="12.75">
      <c r="F621" s="11"/>
      <c r="G621" s="19"/>
      <c r="H621" s="20"/>
      <c r="I621" s="21"/>
      <c r="K621" s="5"/>
      <c r="S621" s="5"/>
      <c r="T621" s="5"/>
    </row>
    <row r="622" spans="6:20" ht="12.75">
      <c r="F622" s="11"/>
      <c r="G622" s="19"/>
      <c r="H622" s="20"/>
      <c r="I622" s="21"/>
      <c r="K622" s="5"/>
      <c r="S622" s="5"/>
      <c r="T622" s="5"/>
    </row>
    <row r="623" spans="6:20" ht="12.75">
      <c r="F623" s="11"/>
      <c r="G623" s="19"/>
      <c r="H623" s="20"/>
      <c r="I623" s="21"/>
      <c r="K623" s="5"/>
      <c r="S623" s="5"/>
      <c r="T623" s="5"/>
    </row>
    <row r="624" spans="6:20" ht="12.75">
      <c r="F624" s="11"/>
      <c r="G624" s="19"/>
      <c r="H624" s="20"/>
      <c r="I624" s="21"/>
      <c r="K624" s="5"/>
      <c r="S624" s="5"/>
      <c r="T624" s="5"/>
    </row>
    <row r="625" spans="6:20" ht="12.75">
      <c r="F625" s="11"/>
      <c r="G625" s="19"/>
      <c r="H625" s="20"/>
      <c r="I625" s="21"/>
      <c r="K625" s="5"/>
      <c r="S625" s="5"/>
      <c r="T625" s="5"/>
    </row>
    <row r="626" spans="6:20" ht="12.75">
      <c r="F626" s="11"/>
      <c r="G626" s="19"/>
      <c r="H626" s="20"/>
      <c r="I626" s="21"/>
      <c r="K626" s="5"/>
      <c r="S626" s="5"/>
      <c r="T626" s="5"/>
    </row>
    <row r="627" spans="6:20" ht="12.75">
      <c r="F627" s="11"/>
      <c r="G627" s="19"/>
      <c r="H627" s="20"/>
      <c r="I627" s="21"/>
      <c r="K627" s="5"/>
      <c r="S627" s="5"/>
      <c r="T627" s="5"/>
    </row>
    <row r="628" spans="6:20" ht="12.75">
      <c r="F628" s="11"/>
      <c r="G628" s="19"/>
      <c r="H628" s="20"/>
      <c r="I628" s="21"/>
      <c r="K628" s="5"/>
      <c r="S628" s="5"/>
      <c r="T628" s="5"/>
    </row>
    <row r="629" spans="6:20" ht="12.75">
      <c r="F629" s="11"/>
      <c r="G629" s="19"/>
      <c r="H629" s="20"/>
      <c r="I629" s="21"/>
      <c r="K629" s="5"/>
      <c r="S629" s="5"/>
      <c r="T629" s="5"/>
    </row>
    <row r="630" spans="6:20" ht="12.75">
      <c r="F630" s="11"/>
      <c r="G630" s="19"/>
      <c r="H630" s="20"/>
      <c r="I630" s="21"/>
      <c r="K630" s="5"/>
      <c r="S630" s="5"/>
      <c r="T630" s="5"/>
    </row>
    <row r="631" spans="6:20" ht="12.75">
      <c r="F631" s="11"/>
      <c r="G631" s="19"/>
      <c r="H631" s="20"/>
      <c r="I631" s="21"/>
      <c r="K631" s="5"/>
      <c r="S631" s="5"/>
      <c r="T631" s="5"/>
    </row>
    <row r="632" spans="6:20" ht="12.75">
      <c r="F632" s="11"/>
      <c r="G632" s="19"/>
      <c r="H632" s="20"/>
      <c r="I632" s="21"/>
      <c r="K632" s="5"/>
      <c r="S632" s="5"/>
      <c r="T632" s="5"/>
    </row>
    <row r="633" spans="6:20" ht="12.75">
      <c r="F633" s="11"/>
      <c r="G633" s="19"/>
      <c r="H633" s="20"/>
      <c r="I633" s="21"/>
      <c r="K633" s="5"/>
      <c r="S633" s="5"/>
      <c r="T633" s="5"/>
    </row>
    <row r="634" spans="6:20" ht="12.75">
      <c r="F634" s="11"/>
      <c r="G634" s="19"/>
      <c r="H634" s="20"/>
      <c r="I634" s="21"/>
      <c r="K634" s="5"/>
      <c r="S634" s="5"/>
      <c r="T634" s="5"/>
    </row>
    <row r="635" spans="6:20" ht="12.75">
      <c r="F635" s="11"/>
      <c r="G635" s="19"/>
      <c r="H635" s="20"/>
      <c r="I635" s="21"/>
      <c r="K635" s="5"/>
      <c r="S635" s="5"/>
      <c r="T635" s="5"/>
    </row>
    <row r="636" spans="6:20" ht="12.75">
      <c r="F636" s="11"/>
      <c r="G636" s="19"/>
      <c r="H636" s="20"/>
      <c r="I636" s="21"/>
      <c r="K636" s="5"/>
      <c r="S636" s="5"/>
      <c r="T636" s="5"/>
    </row>
    <row r="637" spans="6:20" ht="12.75">
      <c r="F637" s="11"/>
      <c r="G637" s="19"/>
      <c r="H637" s="20"/>
      <c r="I637" s="21"/>
      <c r="K637" s="5"/>
      <c r="S637" s="5"/>
      <c r="T637" s="5"/>
    </row>
    <row r="638" spans="6:20" ht="12.75">
      <c r="F638" s="11"/>
      <c r="G638" s="19"/>
      <c r="H638" s="20"/>
      <c r="I638" s="21"/>
      <c r="K638" s="5"/>
      <c r="S638" s="5"/>
      <c r="T638" s="5"/>
    </row>
    <row r="639" spans="6:20" ht="12.75">
      <c r="F639" s="11"/>
      <c r="G639" s="19"/>
      <c r="H639" s="20"/>
      <c r="I639" s="21"/>
      <c r="K639" s="5"/>
      <c r="S639" s="5"/>
      <c r="T639" s="5"/>
    </row>
    <row r="640" spans="6:20" ht="12.75">
      <c r="F640" s="11"/>
      <c r="G640" s="19"/>
      <c r="H640" s="20"/>
      <c r="I640" s="21"/>
      <c r="K640" s="5"/>
      <c r="S640" s="5"/>
      <c r="T640" s="5"/>
    </row>
    <row r="641" spans="6:20" ht="12.75">
      <c r="F641" s="11"/>
      <c r="G641" s="19"/>
      <c r="H641" s="20"/>
      <c r="I641" s="21"/>
      <c r="K641" s="5"/>
      <c r="S641" s="5"/>
      <c r="T641" s="5"/>
    </row>
    <row r="642" spans="6:20" ht="12.75">
      <c r="F642" s="11"/>
      <c r="G642" s="19"/>
      <c r="H642" s="20"/>
      <c r="I642" s="21"/>
      <c r="K642" s="5"/>
      <c r="S642" s="5"/>
      <c r="T642" s="5"/>
    </row>
    <row r="643" spans="6:20" ht="12.75">
      <c r="F643" s="11"/>
      <c r="G643" s="19"/>
      <c r="H643" s="20"/>
      <c r="I643" s="21"/>
      <c r="K643" s="5"/>
      <c r="S643" s="5"/>
      <c r="T643" s="5"/>
    </row>
    <row r="644" spans="6:20" ht="12.75">
      <c r="F644" s="11"/>
      <c r="G644" s="19"/>
      <c r="H644" s="20"/>
      <c r="I644" s="21"/>
      <c r="K644" s="5"/>
      <c r="S644" s="5"/>
      <c r="T644" s="5"/>
    </row>
    <row r="645" spans="6:20" ht="12.75">
      <c r="F645" s="11"/>
      <c r="G645" s="19"/>
      <c r="H645" s="20"/>
      <c r="I645" s="21"/>
      <c r="K645" s="5"/>
      <c r="S645" s="5"/>
      <c r="T645" s="5"/>
    </row>
    <row r="646" spans="6:20" ht="12.75">
      <c r="F646" s="11"/>
      <c r="G646" s="19"/>
      <c r="H646" s="20"/>
      <c r="I646" s="21"/>
      <c r="K646" s="5"/>
      <c r="S646" s="5"/>
      <c r="T646" s="5"/>
    </row>
    <row r="647" spans="6:20" ht="12.75">
      <c r="F647" s="11"/>
      <c r="G647" s="19"/>
      <c r="H647" s="20"/>
      <c r="I647" s="21"/>
      <c r="K647" s="5"/>
      <c r="S647" s="5"/>
      <c r="T647" s="5"/>
    </row>
    <row r="648" spans="6:20" ht="12.75">
      <c r="F648" s="11"/>
      <c r="G648" s="19"/>
      <c r="H648" s="20"/>
      <c r="I648" s="21"/>
      <c r="K648" s="5"/>
      <c r="S648" s="5"/>
      <c r="T648" s="5"/>
    </row>
    <row r="649" spans="6:20" ht="12.75">
      <c r="F649" s="11"/>
      <c r="G649" s="19"/>
      <c r="H649" s="20"/>
      <c r="I649" s="21"/>
      <c r="K649" s="5"/>
      <c r="S649" s="5"/>
      <c r="T649" s="5"/>
    </row>
    <row r="650" spans="6:20" ht="12.75">
      <c r="F650" s="11"/>
      <c r="G650" s="19"/>
      <c r="H650" s="20"/>
      <c r="I650" s="21"/>
      <c r="K650" s="5"/>
      <c r="S650" s="5"/>
      <c r="T650" s="5"/>
    </row>
    <row r="651" spans="6:20" ht="12.75">
      <c r="F651" s="11"/>
      <c r="G651" s="19"/>
      <c r="H651" s="20"/>
      <c r="I651" s="21"/>
      <c r="K651" s="5"/>
      <c r="S651" s="5"/>
      <c r="T651" s="5"/>
    </row>
    <row r="652" spans="6:20" ht="12.75">
      <c r="F652" s="11"/>
      <c r="G652" s="19"/>
      <c r="H652" s="20"/>
      <c r="I652" s="21"/>
      <c r="K652" s="5"/>
      <c r="S652" s="5"/>
      <c r="T652" s="5"/>
    </row>
    <row r="653" spans="6:20" ht="12.75">
      <c r="F653" s="11"/>
      <c r="G653" s="19"/>
      <c r="H653" s="20"/>
      <c r="I653" s="21"/>
      <c r="K653" s="5"/>
      <c r="S653" s="5"/>
      <c r="T653" s="5"/>
    </row>
    <row r="654" spans="6:20" ht="12.75">
      <c r="F654" s="11"/>
      <c r="G654" s="19"/>
      <c r="H654" s="20"/>
      <c r="I654" s="21"/>
      <c r="K654" s="5"/>
      <c r="S654" s="5"/>
      <c r="T654" s="5"/>
    </row>
    <row r="655" spans="6:20" ht="12.75">
      <c r="F655" s="11"/>
      <c r="G655" s="19"/>
      <c r="H655" s="20"/>
      <c r="I655" s="21"/>
      <c r="K655" s="5"/>
      <c r="S655" s="5"/>
      <c r="T655" s="5"/>
    </row>
    <row r="656" spans="6:20" ht="12.75">
      <c r="F656" s="11"/>
      <c r="G656" s="19"/>
      <c r="H656" s="20"/>
      <c r="I656" s="21"/>
      <c r="K656" s="5"/>
      <c r="S656" s="5"/>
      <c r="T656" s="5"/>
    </row>
    <row r="657" spans="6:20" ht="12.75">
      <c r="F657" s="11"/>
      <c r="G657" s="19"/>
      <c r="H657" s="20"/>
      <c r="I657" s="21"/>
      <c r="K657" s="5"/>
      <c r="S657" s="5"/>
      <c r="T657" s="5"/>
    </row>
    <row r="658" spans="6:20" ht="12.75">
      <c r="F658" s="11"/>
      <c r="G658" s="19"/>
      <c r="H658" s="20"/>
      <c r="I658" s="21"/>
      <c r="K658" s="5"/>
      <c r="S658" s="5"/>
      <c r="T658" s="5"/>
    </row>
    <row r="659" spans="6:20" ht="12.75">
      <c r="F659" s="11"/>
      <c r="G659" s="19"/>
      <c r="H659" s="20"/>
      <c r="I659" s="21"/>
      <c r="K659" s="5"/>
      <c r="S659" s="5"/>
      <c r="T659" s="5"/>
    </row>
    <row r="660" spans="6:20" ht="12.75">
      <c r="F660" s="11"/>
      <c r="G660" s="19"/>
      <c r="H660" s="20"/>
      <c r="I660" s="21"/>
      <c r="K660" s="5"/>
      <c r="S660" s="5"/>
      <c r="T660" s="5"/>
    </row>
    <row r="661" spans="6:20" ht="12.75">
      <c r="F661" s="11"/>
      <c r="G661" s="19"/>
      <c r="H661" s="20"/>
      <c r="I661" s="21"/>
      <c r="K661" s="5"/>
      <c r="S661" s="5"/>
      <c r="T661" s="5"/>
    </row>
    <row r="662" spans="6:20" ht="12.75">
      <c r="F662" s="11"/>
      <c r="G662" s="19"/>
      <c r="H662" s="20"/>
      <c r="I662" s="21"/>
      <c r="K662" s="5"/>
      <c r="S662" s="5"/>
      <c r="T662" s="5"/>
    </row>
    <row r="663" spans="6:20" ht="12.75">
      <c r="F663" s="11"/>
      <c r="G663" s="19"/>
      <c r="H663" s="20"/>
      <c r="I663" s="21"/>
      <c r="K663" s="5"/>
      <c r="S663" s="5"/>
      <c r="T663" s="5"/>
    </row>
    <row r="664" spans="6:20" ht="12.75">
      <c r="F664" s="11"/>
      <c r="G664" s="19"/>
      <c r="H664" s="20"/>
      <c r="I664" s="21"/>
      <c r="K664" s="5"/>
      <c r="S664" s="5"/>
      <c r="T664" s="5"/>
    </row>
    <row r="665" spans="6:20" ht="12.75">
      <c r="F665" s="11"/>
      <c r="G665" s="19"/>
      <c r="H665" s="20"/>
      <c r="I665" s="21"/>
      <c r="K665" s="5"/>
      <c r="S665" s="5"/>
      <c r="T665" s="5"/>
    </row>
    <row r="666" spans="6:20" ht="12.75">
      <c r="F666" s="11"/>
      <c r="G666" s="19"/>
      <c r="H666" s="20"/>
      <c r="I666" s="21"/>
      <c r="K666" s="5"/>
      <c r="S666" s="5"/>
      <c r="T666" s="5"/>
    </row>
    <row r="667" spans="6:20" ht="12.75">
      <c r="F667" s="11"/>
      <c r="G667" s="19"/>
      <c r="H667" s="20"/>
      <c r="I667" s="21"/>
      <c r="K667" s="5"/>
      <c r="S667" s="5"/>
      <c r="T667" s="5"/>
    </row>
    <row r="668" spans="6:20" ht="12.75">
      <c r="F668" s="11"/>
      <c r="G668" s="19"/>
      <c r="H668" s="20"/>
      <c r="I668" s="21"/>
      <c r="K668" s="5"/>
      <c r="S668" s="5"/>
      <c r="T668" s="5"/>
    </row>
    <row r="669" spans="6:20" ht="12.75">
      <c r="F669" s="11"/>
      <c r="G669" s="19"/>
      <c r="H669" s="20"/>
      <c r="I669" s="21"/>
      <c r="K669" s="5"/>
      <c r="S669" s="5"/>
      <c r="T669" s="5"/>
    </row>
    <row r="670" spans="6:20" ht="12.75">
      <c r="F670" s="11"/>
      <c r="G670" s="19"/>
      <c r="H670" s="20"/>
      <c r="I670" s="21"/>
      <c r="K670" s="5"/>
      <c r="S670" s="5"/>
      <c r="T670" s="5"/>
    </row>
    <row r="671" spans="6:20" ht="12.75">
      <c r="F671" s="11"/>
      <c r="G671" s="19"/>
      <c r="H671" s="20"/>
      <c r="I671" s="21"/>
      <c r="K671" s="5"/>
      <c r="S671" s="5"/>
      <c r="T671" s="5"/>
    </row>
    <row r="672" spans="6:20" ht="12.75">
      <c r="F672" s="11"/>
      <c r="G672" s="19"/>
      <c r="H672" s="20"/>
      <c r="I672" s="21"/>
      <c r="K672" s="5"/>
      <c r="S672" s="5"/>
      <c r="T672" s="5"/>
    </row>
    <row r="673" spans="6:20" ht="12.75">
      <c r="F673" s="11"/>
      <c r="G673" s="19"/>
      <c r="H673" s="20"/>
      <c r="I673" s="21"/>
      <c r="K673" s="5"/>
      <c r="S673" s="5"/>
      <c r="T673" s="5"/>
    </row>
    <row r="674" spans="6:20" ht="12.75">
      <c r="F674" s="11"/>
      <c r="G674" s="19"/>
      <c r="H674" s="20"/>
      <c r="I674" s="21"/>
      <c r="K674" s="5"/>
      <c r="S674" s="5"/>
      <c r="T674" s="5"/>
    </row>
    <row r="675" spans="6:20" ht="12.75">
      <c r="F675" s="11"/>
      <c r="G675" s="19"/>
      <c r="H675" s="20"/>
      <c r="I675" s="21"/>
      <c r="K675" s="5"/>
      <c r="S675" s="5"/>
      <c r="T675" s="5"/>
    </row>
    <row r="676" spans="6:20" ht="12.75">
      <c r="F676" s="11"/>
      <c r="G676" s="19"/>
      <c r="H676" s="20"/>
      <c r="I676" s="21"/>
      <c r="K676" s="5"/>
      <c r="S676" s="5"/>
      <c r="T676" s="5"/>
    </row>
    <row r="677" spans="6:20" ht="12.75">
      <c r="F677" s="11"/>
      <c r="G677" s="19"/>
      <c r="H677" s="20"/>
      <c r="I677" s="21"/>
      <c r="K677" s="5"/>
      <c r="S677" s="5"/>
      <c r="T677" s="5"/>
    </row>
    <row r="678" spans="6:20" ht="12.75">
      <c r="F678" s="11"/>
      <c r="G678" s="19"/>
      <c r="H678" s="20"/>
      <c r="I678" s="21"/>
      <c r="K678" s="5"/>
      <c r="S678" s="5"/>
      <c r="T678" s="5"/>
    </row>
    <row r="679" spans="6:20" ht="12.75">
      <c r="F679" s="11"/>
      <c r="G679" s="19"/>
      <c r="H679" s="20"/>
      <c r="I679" s="21"/>
      <c r="K679" s="5"/>
      <c r="S679" s="5"/>
      <c r="T679" s="5"/>
    </row>
    <row r="680" spans="6:20" ht="12.75">
      <c r="F680" s="11"/>
      <c r="G680" s="19"/>
      <c r="H680" s="20"/>
      <c r="I680" s="21"/>
      <c r="K680" s="5"/>
      <c r="S680" s="5"/>
      <c r="T680" s="5"/>
    </row>
    <row r="681" spans="6:20" ht="12.75">
      <c r="F681" s="11"/>
      <c r="G681" s="19"/>
      <c r="H681" s="20"/>
      <c r="I681" s="21"/>
      <c r="K681" s="5"/>
      <c r="S681" s="5"/>
      <c r="T681" s="5"/>
    </row>
    <row r="682" spans="6:20" ht="12.75">
      <c r="F682" s="11"/>
      <c r="G682" s="19"/>
      <c r="H682" s="20"/>
      <c r="I682" s="21"/>
      <c r="K682" s="5"/>
      <c r="S682" s="5"/>
      <c r="T682" s="5"/>
    </row>
    <row r="683" spans="6:20" ht="12.75">
      <c r="F683" s="11"/>
      <c r="G683" s="19"/>
      <c r="H683" s="20"/>
      <c r="I683" s="21"/>
      <c r="K683" s="5"/>
      <c r="S683" s="5"/>
      <c r="T683" s="5"/>
    </row>
    <row r="684" spans="6:20" ht="12.75">
      <c r="F684" s="11"/>
      <c r="G684" s="19"/>
      <c r="H684" s="20"/>
      <c r="I684" s="21"/>
      <c r="K684" s="5"/>
      <c r="S684" s="5"/>
      <c r="T684" s="5"/>
    </row>
    <row r="685" spans="6:20" ht="12.75">
      <c r="F685" s="11"/>
      <c r="G685" s="19"/>
      <c r="H685" s="20"/>
      <c r="I685" s="21"/>
      <c r="K685" s="5"/>
      <c r="S685" s="5"/>
      <c r="T685" s="5"/>
    </row>
    <row r="686" spans="6:20" ht="12.75">
      <c r="F686" s="11"/>
      <c r="G686" s="19"/>
      <c r="H686" s="20"/>
      <c r="I686" s="21"/>
      <c r="K686" s="5"/>
      <c r="S686" s="5"/>
      <c r="T686" s="5"/>
    </row>
    <row r="687" spans="6:20" ht="12.75">
      <c r="F687" s="11"/>
      <c r="G687" s="19"/>
      <c r="H687" s="20"/>
      <c r="I687" s="21"/>
      <c r="K687" s="5"/>
      <c r="S687" s="5"/>
      <c r="T687" s="5"/>
    </row>
    <row r="688" spans="6:20" ht="12.75">
      <c r="F688" s="11"/>
      <c r="G688" s="19"/>
      <c r="H688" s="20"/>
      <c r="I688" s="21"/>
      <c r="K688" s="5"/>
      <c r="S688" s="5"/>
      <c r="T688" s="5"/>
    </row>
    <row r="689" spans="6:20" ht="12.75">
      <c r="F689" s="11"/>
      <c r="G689" s="19"/>
      <c r="H689" s="20"/>
      <c r="I689" s="21"/>
      <c r="K689" s="5"/>
      <c r="S689" s="5"/>
      <c r="T689" s="5"/>
    </row>
    <row r="690" spans="6:20" ht="12.75">
      <c r="F690" s="11"/>
      <c r="G690" s="19"/>
      <c r="H690" s="20"/>
      <c r="I690" s="21"/>
      <c r="K690" s="5"/>
      <c r="S690" s="5"/>
      <c r="T690" s="5"/>
    </row>
    <row r="691" spans="6:20" ht="12.75">
      <c r="F691" s="11"/>
      <c r="G691" s="19"/>
      <c r="H691" s="20"/>
      <c r="I691" s="21"/>
      <c r="K691" s="5"/>
      <c r="S691" s="5"/>
      <c r="T691" s="5"/>
    </row>
    <row r="692" spans="6:20" ht="12.75">
      <c r="F692" s="11"/>
      <c r="G692" s="19"/>
      <c r="H692" s="20"/>
      <c r="I692" s="21"/>
      <c r="K692" s="5"/>
      <c r="S692" s="5"/>
      <c r="T692" s="5"/>
    </row>
    <row r="693" spans="6:20" ht="12.75">
      <c r="F693" s="11"/>
      <c r="G693" s="19"/>
      <c r="H693" s="20"/>
      <c r="I693" s="21"/>
      <c r="K693" s="5"/>
      <c r="S693" s="5"/>
      <c r="T693" s="5"/>
    </row>
    <row r="694" spans="6:20" ht="12.75">
      <c r="F694" s="11"/>
      <c r="G694" s="19"/>
      <c r="H694" s="20"/>
      <c r="I694" s="21"/>
      <c r="K694" s="5"/>
      <c r="S694" s="5"/>
      <c r="T694" s="5"/>
    </row>
    <row r="695" spans="6:20" ht="12.75">
      <c r="F695" s="11"/>
      <c r="G695" s="19"/>
      <c r="H695" s="20"/>
      <c r="I695" s="21"/>
      <c r="K695" s="5"/>
      <c r="S695" s="5"/>
      <c r="T695" s="5"/>
    </row>
    <row r="696" spans="6:20" ht="12.75">
      <c r="F696" s="11"/>
      <c r="G696" s="19"/>
      <c r="H696" s="20"/>
      <c r="I696" s="21"/>
      <c r="K696" s="5"/>
      <c r="S696" s="5"/>
      <c r="T696" s="5"/>
    </row>
    <row r="697" spans="6:20" ht="12.75">
      <c r="F697" s="11"/>
      <c r="G697" s="19"/>
      <c r="H697" s="20"/>
      <c r="I697" s="21"/>
      <c r="K697" s="5"/>
      <c r="S697" s="5"/>
      <c r="T697" s="5"/>
    </row>
    <row r="698" spans="6:20" ht="12.75">
      <c r="F698" s="11"/>
      <c r="G698" s="19"/>
      <c r="H698" s="20"/>
      <c r="I698" s="21"/>
      <c r="K698" s="5"/>
      <c r="S698" s="5"/>
      <c r="T698" s="5"/>
    </row>
    <row r="699" spans="6:20" ht="12.75">
      <c r="F699" s="11"/>
      <c r="G699" s="19"/>
      <c r="H699" s="20"/>
      <c r="I699" s="21"/>
      <c r="K699" s="5"/>
      <c r="S699" s="5"/>
      <c r="T699" s="5"/>
    </row>
    <row r="700" spans="6:20" ht="12.75">
      <c r="F700" s="11"/>
      <c r="G700" s="19"/>
      <c r="H700" s="20"/>
      <c r="I700" s="21"/>
      <c r="K700" s="5"/>
      <c r="S700" s="5"/>
      <c r="T700" s="5"/>
    </row>
    <row r="701" spans="6:20" ht="12.75">
      <c r="F701" s="11"/>
      <c r="G701" s="19"/>
      <c r="H701" s="20"/>
      <c r="I701" s="21"/>
      <c r="K701" s="5"/>
      <c r="S701" s="5"/>
      <c r="T701" s="5"/>
    </row>
    <row r="702" spans="6:20" ht="12.75">
      <c r="F702" s="11"/>
      <c r="G702" s="19"/>
      <c r="H702" s="20"/>
      <c r="I702" s="21"/>
      <c r="K702" s="5"/>
      <c r="S702" s="5"/>
      <c r="T702" s="5"/>
    </row>
    <row r="703" spans="6:20" ht="12.75">
      <c r="F703" s="11"/>
      <c r="G703" s="19"/>
      <c r="H703" s="20"/>
      <c r="I703" s="21"/>
      <c r="K703" s="5"/>
      <c r="S703" s="5"/>
      <c r="T703" s="5"/>
    </row>
    <row r="704" spans="6:20" ht="12.75">
      <c r="F704" s="11"/>
      <c r="G704" s="19"/>
      <c r="H704" s="20"/>
      <c r="I704" s="21"/>
      <c r="K704" s="5"/>
      <c r="S704" s="5"/>
      <c r="T704" s="5"/>
    </row>
    <row r="705" spans="6:20" ht="12.75">
      <c r="F705" s="11"/>
      <c r="G705" s="19"/>
      <c r="H705" s="20"/>
      <c r="I705" s="21"/>
      <c r="K705" s="5"/>
      <c r="S705" s="5"/>
      <c r="T705" s="5"/>
    </row>
    <row r="706" spans="6:20" ht="12.75">
      <c r="F706" s="11"/>
      <c r="G706" s="19"/>
      <c r="H706" s="20"/>
      <c r="I706" s="21"/>
      <c r="K706" s="5"/>
      <c r="S706" s="5"/>
      <c r="T706" s="5"/>
    </row>
    <row r="707" spans="6:20" ht="12.75">
      <c r="F707" s="11"/>
      <c r="G707" s="19"/>
      <c r="H707" s="20"/>
      <c r="I707" s="21"/>
      <c r="K707" s="5"/>
      <c r="S707" s="5"/>
      <c r="T707" s="5"/>
    </row>
    <row r="708" spans="6:20" ht="12.75">
      <c r="F708" s="11"/>
      <c r="G708" s="19"/>
      <c r="H708" s="20"/>
      <c r="I708" s="21"/>
      <c r="K708" s="5"/>
      <c r="S708" s="5"/>
      <c r="T708" s="5"/>
    </row>
    <row r="709" spans="6:20" ht="12.75">
      <c r="F709" s="11"/>
      <c r="G709" s="19"/>
      <c r="H709" s="20"/>
      <c r="I709" s="21"/>
      <c r="K709" s="5"/>
      <c r="S709" s="5"/>
      <c r="T709" s="5"/>
    </row>
    <row r="710" spans="6:20" ht="12.75">
      <c r="F710" s="11"/>
      <c r="G710" s="19"/>
      <c r="H710" s="20"/>
      <c r="I710" s="21"/>
      <c r="K710" s="5"/>
      <c r="S710" s="5"/>
      <c r="T710" s="5"/>
    </row>
    <row r="711" spans="6:20" ht="12.75">
      <c r="F711" s="11"/>
      <c r="G711" s="19"/>
      <c r="H711" s="20"/>
      <c r="I711" s="21"/>
      <c r="K711" s="5"/>
      <c r="S711" s="5"/>
      <c r="T711" s="5"/>
    </row>
    <row r="712" spans="6:20" ht="12.75">
      <c r="F712" s="11"/>
      <c r="G712" s="19"/>
      <c r="H712" s="20"/>
      <c r="I712" s="21"/>
      <c r="K712" s="5"/>
      <c r="S712" s="5"/>
      <c r="T712" s="5"/>
    </row>
    <row r="713" spans="6:20" ht="12.75">
      <c r="F713" s="11"/>
      <c r="G713" s="19"/>
      <c r="H713" s="20"/>
      <c r="I713" s="21"/>
      <c r="K713" s="5"/>
      <c r="S713" s="5"/>
      <c r="T713" s="5"/>
    </row>
    <row r="714" spans="6:20" ht="12.75">
      <c r="F714" s="11"/>
      <c r="G714" s="19"/>
      <c r="H714" s="20"/>
      <c r="I714" s="21"/>
      <c r="K714" s="5"/>
      <c r="S714" s="5"/>
      <c r="T714" s="5"/>
    </row>
    <row r="715" spans="6:20" ht="12.75">
      <c r="F715" s="11"/>
      <c r="G715" s="19"/>
      <c r="H715" s="20"/>
      <c r="I715" s="21"/>
      <c r="K715" s="5"/>
      <c r="S715" s="5"/>
      <c r="T715" s="5"/>
    </row>
    <row r="716" spans="6:20" ht="12.75">
      <c r="F716" s="11"/>
      <c r="G716" s="19"/>
      <c r="H716" s="20"/>
      <c r="I716" s="21"/>
      <c r="K716" s="5"/>
      <c r="S716" s="5"/>
      <c r="T716" s="5"/>
    </row>
    <row r="717" spans="6:20" ht="12.75">
      <c r="F717" s="11"/>
      <c r="G717" s="19"/>
      <c r="H717" s="20"/>
      <c r="I717" s="21"/>
      <c r="K717" s="5"/>
      <c r="S717" s="5"/>
      <c r="T717" s="5"/>
    </row>
    <row r="718" spans="6:20" ht="12.75">
      <c r="F718" s="11"/>
      <c r="G718" s="19"/>
      <c r="H718" s="20"/>
      <c r="I718" s="21"/>
      <c r="K718" s="5"/>
      <c r="S718" s="5"/>
      <c r="T718" s="5"/>
    </row>
    <row r="719" spans="6:20" ht="12.75">
      <c r="F719" s="11"/>
      <c r="G719" s="19"/>
      <c r="H719" s="20"/>
      <c r="I719" s="21"/>
      <c r="K719" s="5"/>
      <c r="S719" s="5"/>
      <c r="T719" s="5"/>
    </row>
    <row r="720" spans="6:20" ht="12.75">
      <c r="F720" s="11"/>
      <c r="G720" s="19"/>
      <c r="H720" s="20"/>
      <c r="I720" s="21"/>
      <c r="K720" s="5"/>
      <c r="S720" s="5"/>
      <c r="T720" s="5"/>
    </row>
    <row r="721" spans="6:20" ht="12.75">
      <c r="F721" s="11"/>
      <c r="G721" s="19"/>
      <c r="H721" s="20"/>
      <c r="I721" s="21"/>
      <c r="K721" s="5"/>
      <c r="S721" s="5"/>
      <c r="T721" s="5"/>
    </row>
    <row r="722" spans="6:20" ht="12.75">
      <c r="F722" s="11"/>
      <c r="G722" s="19"/>
      <c r="H722" s="20"/>
      <c r="I722" s="21"/>
      <c r="K722" s="5"/>
      <c r="S722" s="5"/>
      <c r="T722" s="5"/>
    </row>
    <row r="723" spans="6:20" ht="12.75">
      <c r="F723" s="11"/>
      <c r="G723" s="19"/>
      <c r="H723" s="20"/>
      <c r="I723" s="21"/>
      <c r="K723" s="5"/>
      <c r="S723" s="5"/>
      <c r="T723" s="5"/>
    </row>
    <row r="724" spans="6:20" ht="12.75">
      <c r="F724" s="11"/>
      <c r="G724" s="19"/>
      <c r="H724" s="20"/>
      <c r="I724" s="21"/>
      <c r="K724" s="5"/>
      <c r="S724" s="5"/>
      <c r="T724" s="5"/>
    </row>
    <row r="725" spans="6:20" ht="12.75">
      <c r="F725" s="11"/>
      <c r="G725" s="19"/>
      <c r="H725" s="20"/>
      <c r="I725" s="21"/>
      <c r="K725" s="5"/>
      <c r="S725" s="5"/>
      <c r="T725" s="5"/>
    </row>
    <row r="726" spans="6:20" ht="12.75">
      <c r="F726" s="11"/>
      <c r="G726" s="19"/>
      <c r="H726" s="20"/>
      <c r="I726" s="21"/>
      <c r="K726" s="5"/>
      <c r="S726" s="5"/>
      <c r="T726" s="5"/>
    </row>
    <row r="727" spans="6:20" ht="12.75">
      <c r="F727" s="11"/>
      <c r="G727" s="19"/>
      <c r="H727" s="20"/>
      <c r="I727" s="21"/>
      <c r="K727" s="5"/>
      <c r="S727" s="5"/>
      <c r="T727" s="5"/>
    </row>
    <row r="728" spans="6:20" ht="12.75">
      <c r="F728" s="11"/>
      <c r="G728" s="19"/>
      <c r="H728" s="20"/>
      <c r="I728" s="21"/>
      <c r="K728" s="5"/>
      <c r="S728" s="5"/>
      <c r="T728" s="5"/>
    </row>
    <row r="729" spans="6:20" ht="12.75">
      <c r="F729" s="11"/>
      <c r="G729" s="19"/>
      <c r="H729" s="20"/>
      <c r="I729" s="21"/>
      <c r="K729" s="5"/>
      <c r="S729" s="5"/>
      <c r="T729" s="5"/>
    </row>
    <row r="730" spans="6:20" ht="12.75">
      <c r="F730" s="11"/>
      <c r="G730" s="19"/>
      <c r="H730" s="20"/>
      <c r="I730" s="21"/>
      <c r="K730" s="5"/>
      <c r="S730" s="5"/>
      <c r="T730" s="5"/>
    </row>
    <row r="731" spans="6:20" ht="12.75">
      <c r="F731" s="11"/>
      <c r="G731" s="19"/>
      <c r="H731" s="20"/>
      <c r="I731" s="21"/>
      <c r="K731" s="5"/>
      <c r="S731" s="5"/>
      <c r="T731" s="5"/>
    </row>
    <row r="732" spans="6:20" ht="12.75">
      <c r="F732" s="11"/>
      <c r="G732" s="19"/>
      <c r="H732" s="20"/>
      <c r="I732" s="21"/>
      <c r="K732" s="5"/>
      <c r="S732" s="5"/>
      <c r="T732" s="5"/>
    </row>
    <row r="733" spans="6:20" ht="12.75">
      <c r="F733" s="11"/>
      <c r="G733" s="19"/>
      <c r="H733" s="20"/>
      <c r="I733" s="21"/>
      <c r="K733" s="5"/>
      <c r="S733" s="5"/>
      <c r="T733" s="5"/>
    </row>
    <row r="734" spans="6:20" ht="12.75">
      <c r="F734" s="11"/>
      <c r="G734" s="19"/>
      <c r="H734" s="20"/>
      <c r="I734" s="21"/>
      <c r="K734" s="5"/>
      <c r="S734" s="5"/>
      <c r="T734" s="5"/>
    </row>
    <row r="735" spans="6:20" ht="12.75">
      <c r="F735" s="11"/>
      <c r="G735" s="19"/>
      <c r="H735" s="20"/>
      <c r="I735" s="21"/>
      <c r="K735" s="5"/>
      <c r="S735" s="5"/>
      <c r="T735" s="5"/>
    </row>
    <row r="736" spans="6:20" ht="12.75">
      <c r="F736" s="11"/>
      <c r="G736" s="19"/>
      <c r="H736" s="20"/>
      <c r="I736" s="21"/>
      <c r="K736" s="5"/>
      <c r="S736" s="5"/>
      <c r="T736" s="5"/>
    </row>
    <row r="737" spans="6:20" ht="12.75">
      <c r="F737" s="11"/>
      <c r="G737" s="19"/>
      <c r="H737" s="20"/>
      <c r="I737" s="21"/>
      <c r="K737" s="5"/>
      <c r="S737" s="5"/>
      <c r="T737" s="5"/>
    </row>
    <row r="738" spans="6:20" ht="12.75">
      <c r="F738" s="11"/>
      <c r="G738" s="19"/>
      <c r="H738" s="20"/>
      <c r="I738" s="21"/>
      <c r="K738" s="5"/>
      <c r="S738" s="5"/>
      <c r="T738" s="5"/>
    </row>
    <row r="739" spans="6:20" ht="12.75">
      <c r="F739" s="11"/>
      <c r="G739" s="19"/>
      <c r="H739" s="20"/>
      <c r="I739" s="21"/>
      <c r="K739" s="5"/>
      <c r="S739" s="5"/>
      <c r="T739" s="5"/>
    </row>
    <row r="740" spans="6:20" ht="12.75">
      <c r="F740" s="11"/>
      <c r="G740" s="19"/>
      <c r="H740" s="20"/>
      <c r="I740" s="21"/>
      <c r="K740" s="5"/>
      <c r="S740" s="5"/>
      <c r="T740" s="5"/>
    </row>
    <row r="741" spans="6:20" ht="12.75">
      <c r="F741" s="11"/>
      <c r="G741" s="19"/>
      <c r="H741" s="20"/>
      <c r="I741" s="21"/>
      <c r="K741" s="5"/>
      <c r="S741" s="5"/>
      <c r="T741" s="5"/>
    </row>
    <row r="742" spans="6:20" ht="12.75">
      <c r="F742" s="11"/>
      <c r="G742" s="19"/>
      <c r="H742" s="20"/>
      <c r="I742" s="21"/>
      <c r="K742" s="5"/>
      <c r="S742" s="5"/>
      <c r="T742" s="5"/>
    </row>
    <row r="743" spans="6:20" ht="12.75">
      <c r="F743" s="11"/>
      <c r="G743" s="19"/>
      <c r="H743" s="20"/>
      <c r="I743" s="21"/>
      <c r="K743" s="5"/>
      <c r="S743" s="5"/>
      <c r="T743" s="5"/>
    </row>
    <row r="744" spans="6:20" ht="12.75">
      <c r="F744" s="11"/>
      <c r="G744" s="19"/>
      <c r="H744" s="20"/>
      <c r="I744" s="21"/>
      <c r="K744" s="5"/>
      <c r="S744" s="5"/>
      <c r="T744" s="5"/>
    </row>
    <row r="745" spans="6:20" ht="12.75">
      <c r="F745" s="11"/>
      <c r="G745" s="19"/>
      <c r="H745" s="20"/>
      <c r="I745" s="21"/>
      <c r="K745" s="5"/>
      <c r="S745" s="5"/>
      <c r="T745" s="5"/>
    </row>
    <row r="746" spans="6:20" ht="12.75">
      <c r="F746" s="11"/>
      <c r="G746" s="19"/>
      <c r="H746" s="20"/>
      <c r="I746" s="21"/>
      <c r="K746" s="5"/>
      <c r="S746" s="5"/>
      <c r="T746" s="5"/>
    </row>
    <row r="747" spans="6:20" ht="12.75">
      <c r="F747" s="11"/>
      <c r="G747" s="19"/>
      <c r="H747" s="20"/>
      <c r="I747" s="21"/>
      <c r="K747" s="5"/>
      <c r="S747" s="5"/>
      <c r="T747" s="5"/>
    </row>
    <row r="748" spans="6:20" ht="12.75">
      <c r="F748" s="11"/>
      <c r="G748" s="19"/>
      <c r="H748" s="20"/>
      <c r="I748" s="21"/>
      <c r="K748" s="5"/>
      <c r="S748" s="5"/>
      <c r="T748" s="5"/>
    </row>
    <row r="749" spans="6:20" ht="12.75">
      <c r="F749" s="11"/>
      <c r="G749" s="19"/>
      <c r="H749" s="20"/>
      <c r="I749" s="21"/>
      <c r="K749" s="5"/>
      <c r="S749" s="5"/>
      <c r="T749" s="5"/>
    </row>
    <row r="750" spans="6:20" ht="12.75">
      <c r="F750" s="11"/>
      <c r="G750" s="19"/>
      <c r="H750" s="20"/>
      <c r="I750" s="21"/>
      <c r="K750" s="5"/>
      <c r="S750" s="5"/>
      <c r="T750" s="5"/>
    </row>
    <row r="751" spans="6:20" ht="12.75">
      <c r="F751" s="11"/>
      <c r="G751" s="19"/>
      <c r="H751" s="20"/>
      <c r="I751" s="21"/>
      <c r="K751" s="5"/>
      <c r="S751" s="5"/>
      <c r="T751" s="5"/>
    </row>
    <row r="752" spans="6:20" ht="12.75">
      <c r="F752" s="11"/>
      <c r="G752" s="19"/>
      <c r="H752" s="20"/>
      <c r="I752" s="21"/>
      <c r="K752" s="5"/>
      <c r="S752" s="5"/>
      <c r="T752" s="5"/>
    </row>
    <row r="753" spans="6:20" ht="12.75">
      <c r="F753" s="11"/>
      <c r="G753" s="19"/>
      <c r="H753" s="20"/>
      <c r="I753" s="21"/>
      <c r="K753" s="5"/>
      <c r="S753" s="5"/>
      <c r="T753" s="5"/>
    </row>
    <row r="754" spans="6:20" ht="12.75">
      <c r="F754" s="11"/>
      <c r="G754" s="19"/>
      <c r="H754" s="20"/>
      <c r="I754" s="21"/>
      <c r="K754" s="5"/>
      <c r="S754" s="5"/>
      <c r="T754" s="5"/>
    </row>
    <row r="755" spans="6:20" ht="12.75">
      <c r="F755" s="11"/>
      <c r="G755" s="19"/>
      <c r="H755" s="20"/>
      <c r="I755" s="21"/>
      <c r="K755" s="5"/>
      <c r="S755" s="5"/>
      <c r="T755" s="5"/>
    </row>
    <row r="756" spans="6:20" ht="12.75">
      <c r="F756" s="11"/>
      <c r="G756" s="19"/>
      <c r="H756" s="20"/>
      <c r="I756" s="21"/>
      <c r="K756" s="5"/>
      <c r="S756" s="5"/>
      <c r="T756" s="5"/>
    </row>
    <row r="757" spans="6:20" ht="12.75">
      <c r="F757" s="11"/>
      <c r="G757" s="19"/>
      <c r="H757" s="20"/>
      <c r="I757" s="21"/>
      <c r="K757" s="5"/>
      <c r="S757" s="5"/>
      <c r="T757" s="5"/>
    </row>
    <row r="758" spans="6:20" ht="12.75">
      <c r="F758" s="11"/>
      <c r="G758" s="19"/>
      <c r="H758" s="20"/>
      <c r="I758" s="21"/>
      <c r="K758" s="5"/>
      <c r="S758" s="5"/>
      <c r="T758" s="5"/>
    </row>
    <row r="759" spans="6:20" ht="12.75">
      <c r="F759" s="11"/>
      <c r="G759" s="19"/>
      <c r="H759" s="20"/>
      <c r="I759" s="21"/>
      <c r="K759" s="5"/>
      <c r="S759" s="5"/>
      <c r="T759" s="5"/>
    </row>
    <row r="760" spans="6:20" ht="12.75">
      <c r="F760" s="11"/>
      <c r="G760" s="19"/>
      <c r="H760" s="20"/>
      <c r="I760" s="21"/>
      <c r="K760" s="5"/>
      <c r="S760" s="5"/>
      <c r="T760" s="5"/>
    </row>
    <row r="761" spans="6:20" ht="12.75">
      <c r="F761" s="11"/>
      <c r="G761" s="19"/>
      <c r="H761" s="20"/>
      <c r="I761" s="21"/>
      <c r="K761" s="5"/>
      <c r="S761" s="5"/>
      <c r="T761" s="5"/>
    </row>
    <row r="762" spans="6:20" ht="12.75">
      <c r="F762" s="11"/>
      <c r="G762" s="19"/>
      <c r="H762" s="20"/>
      <c r="I762" s="21"/>
      <c r="K762" s="5"/>
      <c r="S762" s="5"/>
      <c r="T762" s="5"/>
    </row>
    <row r="763" spans="6:20" ht="12.75">
      <c r="F763" s="11"/>
      <c r="G763" s="19"/>
      <c r="H763" s="20"/>
      <c r="I763" s="21"/>
      <c r="K763" s="5"/>
      <c r="S763" s="5"/>
      <c r="T763" s="5"/>
    </row>
    <row r="764" spans="6:20" ht="12.75">
      <c r="F764" s="11"/>
      <c r="G764" s="19"/>
      <c r="H764" s="20"/>
      <c r="I764" s="21"/>
      <c r="K764" s="5"/>
      <c r="S764" s="5"/>
      <c r="T764" s="5"/>
    </row>
    <row r="765" spans="6:20" ht="12.75">
      <c r="F765" s="11"/>
      <c r="G765" s="19"/>
      <c r="H765" s="20"/>
      <c r="I765" s="21"/>
      <c r="K765" s="5"/>
      <c r="S765" s="5"/>
      <c r="T765" s="5"/>
    </row>
    <row r="766" spans="6:20" ht="12.75">
      <c r="F766" s="11"/>
      <c r="G766" s="19"/>
      <c r="H766" s="20"/>
      <c r="I766" s="21"/>
      <c r="K766" s="5"/>
      <c r="S766" s="5"/>
      <c r="T766" s="5"/>
    </row>
    <row r="767" spans="6:20" ht="12.75">
      <c r="F767" s="11"/>
      <c r="G767" s="19"/>
      <c r="H767" s="20"/>
      <c r="I767" s="21"/>
      <c r="K767" s="5"/>
      <c r="S767" s="5"/>
      <c r="T767" s="5"/>
    </row>
    <row r="768" spans="6:20" ht="12.75">
      <c r="F768" s="11"/>
      <c r="G768" s="19"/>
      <c r="H768" s="20"/>
      <c r="I768" s="21"/>
      <c r="K768" s="5"/>
      <c r="S768" s="5"/>
      <c r="T768" s="5"/>
    </row>
    <row r="769" spans="6:20" ht="12.75">
      <c r="F769" s="11"/>
      <c r="G769" s="19"/>
      <c r="H769" s="20"/>
      <c r="I769" s="21"/>
      <c r="K769" s="5"/>
      <c r="S769" s="5"/>
      <c r="T769" s="5"/>
    </row>
    <row r="770" spans="6:20" ht="12.75">
      <c r="F770" s="11"/>
      <c r="G770" s="19"/>
      <c r="H770" s="20"/>
      <c r="I770" s="21"/>
      <c r="K770" s="5"/>
      <c r="S770" s="5"/>
      <c r="T770" s="5"/>
    </row>
    <row r="771" spans="6:20" ht="12.75">
      <c r="F771" s="11"/>
      <c r="G771" s="19"/>
      <c r="H771" s="20"/>
      <c r="I771" s="21"/>
      <c r="K771" s="5"/>
      <c r="S771" s="5"/>
      <c r="T771" s="5"/>
    </row>
    <row r="772" spans="6:20" ht="12.75">
      <c r="F772" s="11"/>
      <c r="G772" s="19"/>
      <c r="H772" s="20"/>
      <c r="I772" s="21"/>
      <c r="K772" s="5"/>
      <c r="S772" s="5"/>
      <c r="T772" s="5"/>
    </row>
    <row r="773" spans="6:20" ht="12.75">
      <c r="F773" s="11"/>
      <c r="G773" s="19"/>
      <c r="H773" s="20"/>
      <c r="I773" s="21"/>
      <c r="K773" s="5"/>
      <c r="S773" s="5"/>
      <c r="T773" s="5"/>
    </row>
    <row r="774" spans="6:20" ht="12.75">
      <c r="F774" s="11"/>
      <c r="G774" s="19"/>
      <c r="H774" s="20"/>
      <c r="I774" s="21"/>
      <c r="K774" s="5"/>
      <c r="S774" s="5"/>
      <c r="T774" s="5"/>
    </row>
    <row r="775" spans="6:20" ht="12.75">
      <c r="F775" s="11"/>
      <c r="G775" s="19"/>
      <c r="H775" s="20"/>
      <c r="I775" s="21"/>
      <c r="K775" s="5"/>
      <c r="S775" s="5"/>
      <c r="T775" s="5"/>
    </row>
    <row r="776" spans="6:20" ht="12.75">
      <c r="F776" s="11"/>
      <c r="G776" s="19"/>
      <c r="H776" s="20"/>
      <c r="I776" s="21"/>
      <c r="K776" s="5"/>
      <c r="S776" s="5"/>
      <c r="T776" s="5"/>
    </row>
    <row r="777" spans="6:20" ht="12.75">
      <c r="F777" s="11"/>
      <c r="G777" s="19"/>
      <c r="H777" s="20"/>
      <c r="I777" s="21"/>
      <c r="K777" s="5"/>
      <c r="S777" s="5"/>
      <c r="T777" s="5"/>
    </row>
    <row r="778" spans="6:20" ht="12.75">
      <c r="F778" s="11"/>
      <c r="G778" s="19"/>
      <c r="H778" s="20"/>
      <c r="I778" s="21"/>
      <c r="K778" s="5"/>
      <c r="S778" s="5"/>
      <c r="T778" s="5"/>
    </row>
    <row r="779" spans="6:20" ht="12.75">
      <c r="F779" s="11"/>
      <c r="G779" s="19"/>
      <c r="H779" s="20"/>
      <c r="I779" s="21"/>
      <c r="K779" s="5"/>
      <c r="S779" s="5"/>
      <c r="T779" s="5"/>
    </row>
    <row r="780" spans="6:20" ht="12.75">
      <c r="F780" s="11"/>
      <c r="G780" s="19"/>
      <c r="H780" s="20"/>
      <c r="I780" s="21"/>
      <c r="K780" s="5"/>
      <c r="S780" s="5"/>
      <c r="T780" s="5"/>
    </row>
    <row r="781" spans="6:20" ht="12.75">
      <c r="F781" s="11"/>
      <c r="G781" s="19"/>
      <c r="H781" s="20"/>
      <c r="I781" s="21"/>
      <c r="K781" s="5"/>
      <c r="S781" s="5"/>
      <c r="T781" s="5"/>
    </row>
    <row r="782" spans="6:20" ht="12.75">
      <c r="F782" s="11"/>
      <c r="G782" s="19"/>
      <c r="H782" s="20"/>
      <c r="I782" s="21"/>
      <c r="K782" s="5"/>
      <c r="S782" s="5"/>
      <c r="T782" s="5"/>
    </row>
    <row r="783" spans="6:20" ht="12.75">
      <c r="F783" s="11"/>
      <c r="G783" s="19"/>
      <c r="H783" s="20"/>
      <c r="I783" s="21"/>
      <c r="K783" s="5"/>
      <c r="S783" s="5"/>
      <c r="T783" s="5"/>
    </row>
    <row r="784" spans="6:20" ht="12.75">
      <c r="F784" s="11"/>
      <c r="G784" s="19"/>
      <c r="H784" s="20"/>
      <c r="I784" s="21"/>
      <c r="K784" s="5"/>
      <c r="S784" s="5"/>
      <c r="T784" s="5"/>
    </row>
    <row r="785" spans="6:20" ht="12.75">
      <c r="F785" s="11"/>
      <c r="G785" s="19"/>
      <c r="H785" s="20"/>
      <c r="I785" s="21"/>
      <c r="K785" s="5"/>
      <c r="S785" s="5"/>
      <c r="T785" s="5"/>
    </row>
    <row r="786" spans="6:20" ht="12.75">
      <c r="F786" s="11"/>
      <c r="G786" s="19"/>
      <c r="H786" s="20"/>
      <c r="I786" s="21"/>
      <c r="K786" s="5"/>
      <c r="S786" s="5"/>
      <c r="T786" s="5"/>
    </row>
    <row r="787" spans="6:20" ht="12.75">
      <c r="F787" s="11"/>
      <c r="G787" s="19"/>
      <c r="H787" s="20"/>
      <c r="I787" s="21"/>
      <c r="K787" s="5"/>
      <c r="S787" s="5"/>
      <c r="T787" s="5"/>
    </row>
    <row r="788" spans="6:20" ht="12.75">
      <c r="F788" s="11"/>
      <c r="G788" s="19"/>
      <c r="H788" s="20"/>
      <c r="I788" s="21"/>
      <c r="K788" s="5"/>
      <c r="S788" s="5"/>
      <c r="T788" s="5"/>
    </row>
    <row r="789" spans="6:20" ht="12.75">
      <c r="F789" s="11"/>
      <c r="G789" s="19"/>
      <c r="H789" s="20"/>
      <c r="I789" s="21"/>
      <c r="K789" s="5"/>
      <c r="S789" s="5"/>
      <c r="T789" s="5"/>
    </row>
    <row r="790" spans="6:20" ht="12.75">
      <c r="F790" s="11"/>
      <c r="G790" s="19"/>
      <c r="H790" s="20"/>
      <c r="I790" s="21"/>
      <c r="K790" s="5"/>
      <c r="S790" s="5"/>
      <c r="T790" s="5"/>
    </row>
    <row r="791" spans="6:20" ht="12.75">
      <c r="F791" s="11"/>
      <c r="G791" s="19"/>
      <c r="H791" s="20"/>
      <c r="I791" s="21"/>
      <c r="K791" s="5"/>
      <c r="S791" s="5"/>
      <c r="T791" s="5"/>
    </row>
    <row r="792" spans="6:20" ht="12.75">
      <c r="F792" s="11"/>
      <c r="G792" s="19"/>
      <c r="H792" s="20"/>
      <c r="I792" s="21"/>
      <c r="K792" s="5"/>
      <c r="S792" s="5"/>
      <c r="T792" s="5"/>
    </row>
    <row r="793" spans="6:20" ht="12.75">
      <c r="F793" s="11"/>
      <c r="G793" s="19"/>
      <c r="H793" s="20"/>
      <c r="I793" s="21"/>
      <c r="K793" s="5"/>
      <c r="S793" s="5"/>
      <c r="T793" s="5"/>
    </row>
    <row r="794" spans="6:20" ht="12.75">
      <c r="F794" s="11"/>
      <c r="G794" s="19"/>
      <c r="H794" s="20"/>
      <c r="I794" s="21"/>
      <c r="K794" s="5"/>
      <c r="S794" s="5"/>
      <c r="T794" s="5"/>
    </row>
    <row r="795" spans="6:20" ht="12.75">
      <c r="F795" s="11"/>
      <c r="G795" s="19"/>
      <c r="H795" s="20"/>
      <c r="I795" s="21"/>
      <c r="K795" s="5"/>
      <c r="S795" s="5"/>
      <c r="T795" s="5"/>
    </row>
    <row r="796" spans="6:20" ht="12.75">
      <c r="F796" s="11"/>
      <c r="G796" s="19"/>
      <c r="H796" s="20"/>
      <c r="I796" s="21"/>
      <c r="K796" s="5"/>
      <c r="S796" s="5"/>
      <c r="T796" s="5"/>
    </row>
    <row r="797" spans="6:20" ht="12.75">
      <c r="F797" s="11"/>
      <c r="G797" s="19"/>
      <c r="H797" s="20"/>
      <c r="I797" s="21"/>
      <c r="K797" s="5"/>
      <c r="S797" s="5"/>
      <c r="T797" s="5"/>
    </row>
    <row r="798" spans="6:20" ht="12.75">
      <c r="F798" s="11"/>
      <c r="G798" s="19"/>
      <c r="H798" s="20"/>
      <c r="I798" s="21"/>
      <c r="K798" s="5"/>
      <c r="S798" s="5"/>
      <c r="T798" s="5"/>
    </row>
    <row r="799" spans="6:20" ht="12.75">
      <c r="F799" s="11"/>
      <c r="G799" s="19"/>
      <c r="H799" s="20"/>
      <c r="I799" s="21"/>
      <c r="K799" s="5"/>
      <c r="S799" s="5"/>
      <c r="T799" s="5"/>
    </row>
    <row r="800" spans="6:20" ht="12.75">
      <c r="F800" s="11"/>
      <c r="G800" s="19"/>
      <c r="H800" s="20"/>
      <c r="I800" s="21"/>
      <c r="K800" s="5"/>
      <c r="S800" s="5"/>
      <c r="T800" s="5"/>
    </row>
    <row r="801" spans="6:20" ht="12.75">
      <c r="F801" s="11"/>
      <c r="G801" s="19"/>
      <c r="H801" s="20"/>
      <c r="I801" s="21"/>
      <c r="K801" s="5"/>
      <c r="S801" s="5"/>
      <c r="T801" s="5"/>
    </row>
    <row r="802" spans="6:20" ht="12.75">
      <c r="F802" s="11"/>
      <c r="G802" s="19"/>
      <c r="H802" s="20"/>
      <c r="I802" s="21"/>
      <c r="K802" s="5"/>
      <c r="S802" s="5"/>
      <c r="T802" s="5"/>
    </row>
    <row r="803" spans="6:20" ht="12.75">
      <c r="F803" s="11"/>
      <c r="G803" s="19"/>
      <c r="H803" s="20"/>
      <c r="I803" s="21"/>
      <c r="K803" s="5"/>
      <c r="S803" s="5"/>
      <c r="T803" s="5"/>
    </row>
    <row r="804" spans="6:20" ht="12.75">
      <c r="F804" s="11"/>
      <c r="G804" s="19"/>
      <c r="H804" s="20"/>
      <c r="I804" s="21"/>
      <c r="K804" s="5"/>
      <c r="S804" s="5"/>
      <c r="T804" s="5"/>
    </row>
    <row r="805" spans="6:20" ht="12.75">
      <c r="F805" s="11"/>
      <c r="G805" s="19"/>
      <c r="H805" s="20"/>
      <c r="I805" s="21"/>
      <c r="K805" s="5"/>
      <c r="S805" s="5"/>
      <c r="T805" s="5"/>
    </row>
    <row r="806" spans="6:20" ht="12.75">
      <c r="F806" s="11"/>
      <c r="G806" s="19"/>
      <c r="H806" s="20"/>
      <c r="I806" s="21"/>
      <c r="K806" s="5"/>
      <c r="S806" s="5"/>
      <c r="T806" s="5"/>
    </row>
    <row r="807" spans="6:20" ht="12.75">
      <c r="F807" s="11"/>
      <c r="G807" s="19"/>
      <c r="H807" s="20"/>
      <c r="I807" s="21"/>
      <c r="K807" s="5"/>
      <c r="S807" s="5"/>
      <c r="T807" s="5"/>
    </row>
    <row r="808" spans="6:20" ht="12.75">
      <c r="F808" s="11"/>
      <c r="G808" s="19"/>
      <c r="H808" s="20"/>
      <c r="I808" s="21"/>
      <c r="K808" s="5"/>
      <c r="S808" s="5"/>
      <c r="T808" s="5"/>
    </row>
    <row r="809" spans="6:20" ht="12.75">
      <c r="F809" s="11"/>
      <c r="G809" s="19"/>
      <c r="H809" s="20"/>
      <c r="I809" s="21"/>
      <c r="K809" s="5"/>
      <c r="S809" s="5"/>
      <c r="T809" s="5"/>
    </row>
    <row r="810" spans="6:20" ht="12.75">
      <c r="F810" s="11"/>
      <c r="G810" s="19"/>
      <c r="H810" s="20"/>
      <c r="I810" s="21"/>
      <c r="K810" s="5"/>
      <c r="S810" s="5"/>
      <c r="T810" s="5"/>
    </row>
    <row r="811" spans="6:20" ht="12.75">
      <c r="F811" s="11"/>
      <c r="G811" s="19"/>
      <c r="H811" s="20"/>
      <c r="I811" s="21"/>
      <c r="K811" s="5"/>
      <c r="S811" s="5"/>
      <c r="T811" s="5"/>
    </row>
    <row r="812" spans="6:20" ht="12.75">
      <c r="F812" s="11"/>
      <c r="G812" s="19"/>
      <c r="H812" s="20"/>
      <c r="I812" s="21"/>
      <c r="K812" s="5"/>
      <c r="S812" s="5"/>
      <c r="T812" s="5"/>
    </row>
    <row r="813" spans="6:20" ht="12.75">
      <c r="F813" s="11"/>
      <c r="G813" s="19"/>
      <c r="H813" s="20"/>
      <c r="I813" s="21"/>
      <c r="K813" s="5"/>
      <c r="S813" s="5"/>
      <c r="T813" s="5"/>
    </row>
    <row r="814" spans="6:20" ht="12.75">
      <c r="F814" s="11"/>
      <c r="G814" s="19"/>
      <c r="H814" s="20"/>
      <c r="I814" s="21"/>
      <c r="K814" s="5"/>
      <c r="S814" s="5"/>
      <c r="T814" s="5"/>
    </row>
    <row r="815" spans="6:20" ht="12.75">
      <c r="F815" s="11"/>
      <c r="G815" s="19"/>
      <c r="H815" s="20"/>
      <c r="I815" s="21"/>
      <c r="K815" s="5"/>
      <c r="S815" s="5"/>
      <c r="T815" s="5"/>
    </row>
    <row r="816" spans="6:20" ht="12.75">
      <c r="F816" s="11"/>
      <c r="G816" s="19"/>
      <c r="H816" s="20"/>
      <c r="I816" s="21"/>
      <c r="K816" s="5"/>
      <c r="S816" s="5"/>
      <c r="T816" s="5"/>
    </row>
    <row r="817" spans="6:20" ht="12.75">
      <c r="F817" s="11"/>
      <c r="G817" s="19"/>
      <c r="H817" s="20"/>
      <c r="I817" s="21"/>
      <c r="K817" s="5"/>
      <c r="S817" s="5"/>
      <c r="T817" s="5"/>
    </row>
    <row r="818" spans="6:20" ht="12.75">
      <c r="F818" s="11"/>
      <c r="G818" s="19"/>
      <c r="H818" s="20"/>
      <c r="I818" s="21"/>
      <c r="K818" s="5"/>
      <c r="S818" s="5"/>
      <c r="T818" s="5"/>
    </row>
    <row r="819" spans="6:20" ht="12.75">
      <c r="F819" s="11"/>
      <c r="G819" s="19"/>
      <c r="H819" s="20"/>
      <c r="I819" s="21"/>
      <c r="K819" s="5"/>
      <c r="S819" s="5"/>
      <c r="T819" s="5"/>
    </row>
    <row r="820" spans="6:20" ht="12.75">
      <c r="F820" s="11"/>
      <c r="G820" s="19"/>
      <c r="H820" s="20"/>
      <c r="I820" s="21"/>
      <c r="K820" s="5"/>
      <c r="S820" s="5"/>
      <c r="T820" s="5"/>
    </row>
    <row r="821" spans="6:20" ht="12.75">
      <c r="F821" s="11"/>
      <c r="G821" s="19"/>
      <c r="H821" s="20"/>
      <c r="I821" s="21"/>
      <c r="K821" s="5"/>
      <c r="S821" s="5"/>
      <c r="T821" s="5"/>
    </row>
    <row r="822" spans="6:20" ht="12.75">
      <c r="F822" s="11"/>
      <c r="G822" s="19"/>
      <c r="H822" s="20"/>
      <c r="I822" s="21"/>
      <c r="K822" s="5"/>
      <c r="S822" s="5"/>
      <c r="T822" s="5"/>
    </row>
    <row r="823" spans="6:20" ht="12.75">
      <c r="F823" s="11"/>
      <c r="G823" s="19"/>
      <c r="H823" s="20"/>
      <c r="I823" s="21"/>
      <c r="K823" s="5"/>
      <c r="S823" s="5"/>
      <c r="T823" s="5"/>
    </row>
    <row r="824" spans="6:20" ht="12.75">
      <c r="F824" s="11"/>
      <c r="G824" s="19"/>
      <c r="H824" s="20"/>
      <c r="I824" s="21"/>
      <c r="K824" s="5"/>
      <c r="S824" s="5"/>
      <c r="T824" s="5"/>
    </row>
    <row r="825" spans="6:20" ht="12.75">
      <c r="F825" s="11"/>
      <c r="G825" s="19"/>
      <c r="H825" s="20"/>
      <c r="I825" s="21"/>
      <c r="K825" s="5"/>
      <c r="S825" s="5"/>
      <c r="T825" s="5"/>
    </row>
    <row r="826" spans="6:20" ht="12.75">
      <c r="F826" s="11"/>
      <c r="G826" s="19"/>
      <c r="H826" s="20"/>
      <c r="I826" s="21"/>
      <c r="K826" s="5"/>
      <c r="S826" s="5"/>
      <c r="T826" s="5"/>
    </row>
    <row r="827" spans="6:20" ht="12.75">
      <c r="F827" s="11"/>
      <c r="G827" s="19"/>
      <c r="H827" s="20"/>
      <c r="I827" s="21"/>
      <c r="K827" s="5"/>
      <c r="S827" s="5"/>
      <c r="T827" s="5"/>
    </row>
    <row r="828" spans="6:20" ht="12.75">
      <c r="F828" s="11"/>
      <c r="G828" s="19"/>
      <c r="H828" s="20"/>
      <c r="I828" s="21"/>
      <c r="K828" s="5"/>
      <c r="S828" s="5"/>
      <c r="T828" s="5"/>
    </row>
    <row r="829" spans="6:20" ht="12.75">
      <c r="F829" s="11"/>
      <c r="G829" s="19"/>
      <c r="H829" s="20"/>
      <c r="I829" s="21"/>
      <c r="K829" s="5"/>
      <c r="S829" s="5"/>
      <c r="T829" s="5"/>
    </row>
    <row r="830" spans="6:20" ht="12.75">
      <c r="F830" s="11"/>
      <c r="G830" s="19"/>
      <c r="H830" s="20"/>
      <c r="I830" s="21"/>
      <c r="K830" s="5"/>
      <c r="S830" s="5"/>
      <c r="T830" s="5"/>
    </row>
    <row r="831" spans="6:20" ht="12.75">
      <c r="F831" s="11"/>
      <c r="G831" s="19"/>
      <c r="H831" s="20"/>
      <c r="I831" s="21"/>
      <c r="K831" s="5"/>
      <c r="S831" s="5"/>
      <c r="T831" s="5"/>
    </row>
    <row r="832" spans="6:20" ht="12.75">
      <c r="F832" s="11"/>
      <c r="G832" s="19"/>
      <c r="H832" s="20"/>
      <c r="I832" s="21"/>
      <c r="K832" s="5"/>
      <c r="S832" s="5"/>
      <c r="T832" s="5"/>
    </row>
    <row r="833" spans="6:20" ht="12.75">
      <c r="F833" s="11"/>
      <c r="G833" s="19"/>
      <c r="H833" s="20"/>
      <c r="I833" s="21"/>
      <c r="K833" s="5"/>
      <c r="S833" s="5"/>
      <c r="T833" s="5"/>
    </row>
    <row r="834" spans="6:20" ht="12.75">
      <c r="F834" s="11"/>
      <c r="G834" s="19"/>
      <c r="H834" s="20"/>
      <c r="I834" s="21"/>
      <c r="K834" s="5"/>
      <c r="S834" s="5"/>
      <c r="T834" s="5"/>
    </row>
    <row r="835" spans="6:20" ht="12.75">
      <c r="F835" s="11"/>
      <c r="G835" s="19"/>
      <c r="H835" s="20"/>
      <c r="I835" s="21"/>
      <c r="K835" s="5"/>
      <c r="S835" s="5"/>
      <c r="T835" s="5"/>
    </row>
    <row r="836" spans="6:20" ht="12.75">
      <c r="F836" s="11"/>
      <c r="G836" s="19"/>
      <c r="H836" s="20"/>
      <c r="I836" s="21"/>
      <c r="K836" s="5"/>
      <c r="S836" s="5"/>
      <c r="T836" s="5"/>
    </row>
    <row r="837" spans="6:20" ht="12.75">
      <c r="F837" s="11"/>
      <c r="G837" s="19"/>
      <c r="H837" s="20"/>
      <c r="I837" s="21"/>
      <c r="K837" s="5"/>
      <c r="S837" s="5"/>
      <c r="T837" s="5"/>
    </row>
    <row r="838" spans="6:20" ht="12.75">
      <c r="F838" s="11"/>
      <c r="G838" s="19"/>
      <c r="H838" s="20"/>
      <c r="I838" s="21"/>
      <c r="K838" s="5"/>
      <c r="S838" s="5"/>
      <c r="T838" s="5"/>
    </row>
    <row r="839" spans="6:20" ht="12.75">
      <c r="F839" s="11"/>
      <c r="G839" s="19"/>
      <c r="H839" s="20"/>
      <c r="I839" s="21"/>
      <c r="K839" s="5"/>
      <c r="S839" s="5"/>
      <c r="T839" s="5"/>
    </row>
    <row r="840" spans="6:20" ht="12.75">
      <c r="F840" s="11"/>
      <c r="G840" s="19"/>
      <c r="H840" s="20"/>
      <c r="I840" s="21"/>
      <c r="K840" s="5"/>
      <c r="S840" s="5"/>
      <c r="T840" s="5"/>
    </row>
    <row r="841" spans="6:20" ht="12.75">
      <c r="F841" s="11"/>
      <c r="G841" s="19"/>
      <c r="H841" s="20"/>
      <c r="I841" s="21"/>
      <c r="K841" s="5"/>
      <c r="S841" s="5"/>
      <c r="T841" s="5"/>
    </row>
    <row r="842" spans="6:20" ht="12.75">
      <c r="F842" s="11"/>
      <c r="G842" s="19"/>
      <c r="H842" s="20"/>
      <c r="I842" s="21"/>
      <c r="K842" s="5"/>
      <c r="S842" s="5"/>
      <c r="T842" s="5"/>
    </row>
    <row r="843" spans="6:20" ht="12.75">
      <c r="F843" s="11"/>
      <c r="G843" s="19"/>
      <c r="H843" s="20"/>
      <c r="I843" s="21"/>
      <c r="K843" s="5"/>
      <c r="S843" s="5"/>
      <c r="T843" s="5"/>
    </row>
    <row r="844" spans="6:20" ht="12.75">
      <c r="F844" s="11"/>
      <c r="G844" s="19"/>
      <c r="H844" s="20"/>
      <c r="I844" s="21"/>
      <c r="K844" s="5"/>
      <c r="S844" s="5"/>
      <c r="T844" s="5"/>
    </row>
    <row r="845" spans="6:20" ht="12.75">
      <c r="F845" s="11"/>
      <c r="G845" s="19"/>
      <c r="H845" s="20"/>
      <c r="I845" s="21"/>
      <c r="K845" s="5"/>
      <c r="S845" s="5"/>
      <c r="T845" s="5"/>
    </row>
    <row r="846" spans="6:20" ht="12.75">
      <c r="F846" s="11"/>
      <c r="G846" s="19"/>
      <c r="H846" s="20"/>
      <c r="I846" s="21"/>
      <c r="K846" s="5"/>
      <c r="S846" s="5"/>
      <c r="T846" s="5"/>
    </row>
    <row r="847" spans="6:20" ht="12.75">
      <c r="F847" s="11"/>
      <c r="G847" s="19"/>
      <c r="H847" s="20"/>
      <c r="I847" s="21"/>
      <c r="K847" s="5"/>
      <c r="S847" s="5"/>
      <c r="T847" s="5"/>
    </row>
    <row r="848" spans="6:20" ht="12.75">
      <c r="F848" s="11"/>
      <c r="G848" s="19"/>
      <c r="H848" s="20"/>
      <c r="I848" s="21"/>
      <c r="K848" s="5"/>
      <c r="S848" s="5"/>
      <c r="T848" s="5"/>
    </row>
    <row r="849" spans="6:20" ht="12.75">
      <c r="F849" s="11"/>
      <c r="G849" s="19"/>
      <c r="H849" s="20"/>
      <c r="I849" s="21"/>
      <c r="K849" s="5"/>
      <c r="S849" s="5"/>
      <c r="T849" s="5"/>
    </row>
    <row r="850" spans="6:20" ht="12.75">
      <c r="F850" s="11"/>
      <c r="G850" s="19"/>
      <c r="H850" s="20"/>
      <c r="I850" s="21"/>
      <c r="K850" s="5"/>
      <c r="S850" s="5"/>
      <c r="T850" s="5"/>
    </row>
    <row r="851" spans="6:20" ht="12.75">
      <c r="F851" s="11"/>
      <c r="G851" s="19"/>
      <c r="H851" s="20"/>
      <c r="I851" s="21"/>
      <c r="K851" s="5"/>
      <c r="S851" s="5"/>
      <c r="T851" s="5"/>
    </row>
    <row r="852" spans="6:20" ht="12.75">
      <c r="F852" s="11"/>
      <c r="G852" s="19"/>
      <c r="H852" s="20"/>
      <c r="I852" s="21"/>
      <c r="K852" s="5"/>
      <c r="S852" s="5"/>
      <c r="T852" s="5"/>
    </row>
    <row r="853" spans="6:20" ht="12.75">
      <c r="F853" s="11"/>
      <c r="G853" s="19"/>
      <c r="H853" s="20"/>
      <c r="I853" s="21"/>
      <c r="K853" s="5"/>
      <c r="S853" s="5"/>
      <c r="T853" s="5"/>
    </row>
    <row r="854" spans="6:20" ht="12.75">
      <c r="F854" s="11"/>
      <c r="G854" s="19"/>
      <c r="H854" s="20"/>
      <c r="I854" s="21"/>
      <c r="K854" s="5"/>
      <c r="S854" s="5"/>
      <c r="T854" s="5"/>
    </row>
    <row r="855" spans="6:20" ht="12.75">
      <c r="F855" s="11"/>
      <c r="G855" s="19"/>
      <c r="H855" s="20"/>
      <c r="I855" s="21"/>
      <c r="K855" s="5"/>
      <c r="S855" s="5"/>
      <c r="T855" s="5"/>
    </row>
    <row r="856" spans="6:20" ht="12.75">
      <c r="F856" s="11"/>
      <c r="G856" s="19"/>
      <c r="H856" s="20"/>
      <c r="I856" s="21"/>
      <c r="K856" s="5"/>
      <c r="S856" s="5"/>
      <c r="T856" s="5"/>
    </row>
    <row r="857" spans="6:20" ht="12.75">
      <c r="F857" s="11"/>
      <c r="G857" s="19"/>
      <c r="H857" s="20"/>
      <c r="I857" s="21"/>
      <c r="K857" s="5"/>
      <c r="S857" s="5"/>
      <c r="T857" s="5"/>
    </row>
    <row r="858" spans="6:20" ht="12.75">
      <c r="F858" s="11"/>
      <c r="G858" s="19"/>
      <c r="H858" s="20"/>
      <c r="I858" s="21"/>
      <c r="K858" s="5"/>
      <c r="S858" s="5"/>
      <c r="T858" s="5"/>
    </row>
    <row r="859" spans="6:20" ht="12.75">
      <c r="F859" s="11"/>
      <c r="G859" s="19"/>
      <c r="H859" s="20"/>
      <c r="I859" s="21"/>
      <c r="K859" s="5"/>
      <c r="S859" s="5"/>
      <c r="T859" s="5"/>
    </row>
    <row r="860" spans="6:20" ht="12.75">
      <c r="F860" s="11"/>
      <c r="G860" s="19"/>
      <c r="H860" s="20"/>
      <c r="I860" s="21"/>
      <c r="K860" s="5"/>
      <c r="S860" s="5"/>
      <c r="T860" s="5"/>
    </row>
    <row r="861" spans="6:20" ht="12.75">
      <c r="F861" s="11"/>
      <c r="G861" s="19"/>
      <c r="H861" s="20"/>
      <c r="I861" s="21"/>
      <c r="K861" s="5"/>
      <c r="S861" s="5"/>
      <c r="T861" s="5"/>
    </row>
    <row r="862" spans="6:20" ht="12.75">
      <c r="F862" s="11"/>
      <c r="G862" s="19"/>
      <c r="H862" s="20"/>
      <c r="I862" s="21"/>
      <c r="K862" s="5"/>
      <c r="S862" s="5"/>
      <c r="T862" s="5"/>
    </row>
    <row r="863" spans="6:20" ht="12.75">
      <c r="F863" s="11"/>
      <c r="G863" s="19"/>
      <c r="H863" s="20"/>
      <c r="I863" s="21"/>
      <c r="K863" s="5"/>
      <c r="S863" s="5"/>
      <c r="T863" s="5"/>
    </row>
    <row r="864" spans="6:20" ht="12.75">
      <c r="F864" s="11"/>
      <c r="G864" s="19"/>
      <c r="H864" s="20"/>
      <c r="I864" s="21"/>
      <c r="K864" s="5"/>
      <c r="S864" s="5"/>
      <c r="T864" s="5"/>
    </row>
    <row r="865" spans="6:20" ht="12.75">
      <c r="F865" s="11"/>
      <c r="G865" s="19"/>
      <c r="H865" s="20"/>
      <c r="I865" s="21"/>
      <c r="K865" s="5"/>
      <c r="S865" s="5"/>
      <c r="T865" s="5"/>
    </row>
    <row r="866" spans="6:20" ht="12.75">
      <c r="F866" s="11"/>
      <c r="G866" s="19"/>
      <c r="H866" s="20"/>
      <c r="I866" s="21"/>
      <c r="K866" s="5"/>
      <c r="S866" s="5"/>
      <c r="T866" s="5"/>
    </row>
    <row r="867" spans="6:20" ht="12.75">
      <c r="F867" s="11"/>
      <c r="G867" s="19"/>
      <c r="H867" s="20"/>
      <c r="I867" s="21"/>
      <c r="K867" s="5"/>
      <c r="S867" s="5"/>
      <c r="T867" s="5"/>
    </row>
    <row r="868" spans="6:20" ht="12.75">
      <c r="F868" s="11"/>
      <c r="G868" s="19"/>
      <c r="H868" s="20"/>
      <c r="I868" s="21"/>
      <c r="K868" s="5"/>
      <c r="S868" s="5"/>
      <c r="T868" s="5"/>
    </row>
    <row r="869" spans="6:20" ht="12.75">
      <c r="F869" s="11"/>
      <c r="G869" s="19"/>
      <c r="H869" s="20"/>
      <c r="I869" s="21"/>
      <c r="K869" s="5"/>
      <c r="S869" s="5"/>
      <c r="T869" s="5"/>
    </row>
    <row r="870" spans="6:20" ht="12.75">
      <c r="F870" s="11"/>
      <c r="G870" s="19"/>
      <c r="H870" s="20"/>
      <c r="I870" s="21"/>
      <c r="K870" s="5"/>
      <c r="S870" s="5"/>
      <c r="T870" s="5"/>
    </row>
    <row r="871" spans="6:20" ht="12.75">
      <c r="F871" s="11"/>
      <c r="G871" s="19"/>
      <c r="H871" s="20"/>
      <c r="I871" s="21"/>
      <c r="K871" s="5"/>
      <c r="S871" s="5"/>
      <c r="T871" s="5"/>
    </row>
    <row r="872" spans="6:20" ht="12.75">
      <c r="F872" s="11"/>
      <c r="G872" s="19"/>
      <c r="H872" s="20"/>
      <c r="I872" s="21"/>
      <c r="K872" s="5"/>
      <c r="S872" s="5"/>
      <c r="T872" s="5"/>
    </row>
    <row r="873" spans="6:20" ht="12.75">
      <c r="F873" s="11"/>
      <c r="G873" s="19"/>
      <c r="H873" s="20"/>
      <c r="I873" s="21"/>
      <c r="K873" s="5"/>
      <c r="S873" s="5"/>
      <c r="T873" s="5"/>
    </row>
    <row r="874" spans="6:20" ht="12.75">
      <c r="F874" s="11"/>
      <c r="G874" s="19"/>
      <c r="H874" s="20"/>
      <c r="I874" s="21"/>
      <c r="K874" s="5"/>
      <c r="S874" s="5"/>
      <c r="T874" s="5"/>
    </row>
    <row r="875" spans="6:20" ht="12.75">
      <c r="F875" s="11"/>
      <c r="G875" s="19"/>
      <c r="H875" s="20"/>
      <c r="I875" s="21"/>
      <c r="K875" s="5"/>
      <c r="S875" s="5"/>
      <c r="T875" s="5"/>
    </row>
    <row r="876" spans="6:20" ht="12.75">
      <c r="F876" s="11"/>
      <c r="G876" s="19"/>
      <c r="H876" s="20"/>
      <c r="I876" s="21"/>
      <c r="K876" s="5"/>
      <c r="S876" s="5"/>
      <c r="T876" s="5"/>
    </row>
    <row r="877" spans="6:20" ht="12.75">
      <c r="F877" s="11"/>
      <c r="G877" s="19"/>
      <c r="H877" s="20"/>
      <c r="I877" s="21"/>
      <c r="K877" s="5"/>
      <c r="S877" s="5"/>
      <c r="T877" s="5"/>
    </row>
    <row r="878" spans="6:20" ht="12.75">
      <c r="F878" s="11"/>
      <c r="G878" s="19"/>
      <c r="H878" s="20"/>
      <c r="I878" s="21"/>
      <c r="K878" s="5"/>
      <c r="S878" s="5"/>
      <c r="T878" s="5"/>
    </row>
    <row r="879" spans="6:20" ht="12.75">
      <c r="F879" s="11"/>
      <c r="G879" s="19"/>
      <c r="H879" s="20"/>
      <c r="I879" s="21"/>
      <c r="K879" s="5"/>
      <c r="S879" s="5"/>
      <c r="T879" s="5"/>
    </row>
    <row r="880" spans="6:20" ht="12.75">
      <c r="F880" s="11"/>
      <c r="G880" s="19"/>
      <c r="H880" s="20"/>
      <c r="I880" s="21"/>
      <c r="K880" s="5"/>
      <c r="S880" s="5"/>
      <c r="T880" s="5"/>
    </row>
    <row r="881" spans="6:20" ht="12.75">
      <c r="F881" s="11"/>
      <c r="G881" s="19"/>
      <c r="H881" s="20"/>
      <c r="I881" s="21"/>
      <c r="K881" s="5"/>
      <c r="S881" s="5"/>
      <c r="T881" s="5"/>
    </row>
    <row r="882" spans="6:20" ht="12.75">
      <c r="F882" s="11"/>
      <c r="G882" s="19"/>
      <c r="H882" s="20"/>
      <c r="I882" s="21"/>
      <c r="K882" s="5"/>
      <c r="S882" s="5"/>
      <c r="T882" s="5"/>
    </row>
    <row r="883" spans="6:20" ht="12.75">
      <c r="F883" s="11"/>
      <c r="G883" s="19"/>
      <c r="H883" s="20"/>
      <c r="I883" s="21"/>
      <c r="K883" s="5"/>
      <c r="S883" s="5"/>
      <c r="T883" s="5"/>
    </row>
    <row r="884" spans="6:20" ht="12.75">
      <c r="F884" s="11"/>
      <c r="G884" s="19"/>
      <c r="H884" s="20"/>
      <c r="I884" s="21"/>
      <c r="K884" s="5"/>
      <c r="S884" s="5"/>
      <c r="T884" s="5"/>
    </row>
    <row r="885" spans="6:20" ht="12.75">
      <c r="F885" s="11"/>
      <c r="G885" s="19"/>
      <c r="H885" s="20"/>
      <c r="I885" s="21"/>
      <c r="K885" s="5"/>
      <c r="S885" s="5"/>
      <c r="T885" s="5"/>
    </row>
    <row r="886" spans="6:20" ht="12.75">
      <c r="F886" s="11"/>
      <c r="G886" s="19"/>
      <c r="H886" s="20"/>
      <c r="I886" s="21"/>
      <c r="K886" s="5"/>
      <c r="S886" s="5"/>
      <c r="T886" s="5"/>
    </row>
    <row r="887" spans="6:20" ht="12.75">
      <c r="F887" s="11"/>
      <c r="G887" s="19"/>
      <c r="H887" s="20"/>
      <c r="I887" s="21"/>
      <c r="K887" s="5"/>
      <c r="S887" s="5"/>
      <c r="T887" s="5"/>
    </row>
    <row r="888" spans="6:20" ht="12.75">
      <c r="F888" s="11"/>
      <c r="G888" s="19"/>
      <c r="H888" s="20"/>
      <c r="I888" s="21"/>
      <c r="K888" s="5"/>
      <c r="S888" s="5"/>
      <c r="T888" s="5"/>
    </row>
    <row r="889" spans="6:20" ht="12.75">
      <c r="F889" s="11"/>
      <c r="G889" s="19"/>
      <c r="H889" s="20"/>
      <c r="I889" s="21"/>
      <c r="K889" s="5"/>
      <c r="S889" s="5"/>
      <c r="T889" s="5"/>
    </row>
    <row r="890" spans="6:20" ht="12.75">
      <c r="F890" s="11"/>
      <c r="G890" s="19"/>
      <c r="H890" s="20"/>
      <c r="I890" s="21"/>
      <c r="K890" s="5"/>
      <c r="S890" s="5"/>
      <c r="T890" s="5"/>
    </row>
    <row r="891" spans="6:20" ht="12.75">
      <c r="F891" s="11"/>
      <c r="G891" s="19"/>
      <c r="H891" s="20"/>
      <c r="I891" s="21"/>
      <c r="K891" s="5"/>
      <c r="S891" s="5"/>
      <c r="T891" s="5"/>
    </row>
    <row r="892" spans="6:20" ht="12.75">
      <c r="F892" s="11"/>
      <c r="G892" s="19"/>
      <c r="H892" s="20"/>
      <c r="I892" s="21"/>
      <c r="K892" s="5"/>
      <c r="S892" s="5"/>
      <c r="T892" s="5"/>
    </row>
    <row r="893" spans="6:20" ht="12.75">
      <c r="F893" s="11"/>
      <c r="G893" s="19"/>
      <c r="H893" s="20"/>
      <c r="I893" s="21"/>
      <c r="K893" s="5"/>
      <c r="S893" s="5"/>
      <c r="T893" s="5"/>
    </row>
    <row r="894" spans="6:20" ht="12.75">
      <c r="F894" s="11"/>
      <c r="G894" s="19"/>
      <c r="H894" s="20"/>
      <c r="I894" s="21"/>
      <c r="K894" s="5"/>
      <c r="S894" s="5"/>
      <c r="T894" s="5"/>
    </row>
    <row r="895" spans="6:20" ht="12.75">
      <c r="F895" s="11"/>
      <c r="G895" s="19"/>
      <c r="H895" s="20"/>
      <c r="I895" s="21"/>
      <c r="K895" s="5"/>
      <c r="S895" s="5"/>
      <c r="T895" s="5"/>
    </row>
    <row r="896" spans="6:20" ht="12.75">
      <c r="F896" s="11"/>
      <c r="G896" s="19"/>
      <c r="H896" s="20"/>
      <c r="I896" s="21"/>
      <c r="K896" s="5"/>
      <c r="S896" s="5"/>
      <c r="T896" s="5"/>
    </row>
    <row r="897" spans="6:20" ht="12.75">
      <c r="F897" s="11"/>
      <c r="G897" s="19"/>
      <c r="H897" s="20"/>
      <c r="I897" s="21"/>
      <c r="K897" s="5"/>
      <c r="S897" s="5"/>
      <c r="T897" s="5"/>
    </row>
    <row r="898" spans="6:20" ht="12.75">
      <c r="F898" s="11"/>
      <c r="G898" s="19"/>
      <c r="H898" s="20"/>
      <c r="I898" s="21"/>
      <c r="K898" s="5"/>
      <c r="S898" s="5"/>
      <c r="T898" s="5"/>
    </row>
    <row r="899" spans="6:20" ht="12.75">
      <c r="F899" s="11"/>
      <c r="G899" s="19"/>
      <c r="H899" s="20"/>
      <c r="I899" s="21"/>
      <c r="K899" s="5"/>
      <c r="S899" s="5"/>
      <c r="T899" s="5"/>
    </row>
    <row r="900" spans="6:20" ht="12.75">
      <c r="F900" s="11"/>
      <c r="G900" s="19"/>
      <c r="H900" s="20"/>
      <c r="I900" s="21"/>
      <c r="K900" s="5"/>
      <c r="S900" s="5"/>
      <c r="T900" s="5"/>
    </row>
    <row r="901" spans="6:20" ht="12.75">
      <c r="F901" s="11"/>
      <c r="G901" s="19"/>
      <c r="H901" s="20"/>
      <c r="I901" s="21"/>
      <c r="K901" s="5"/>
      <c r="S901" s="5"/>
      <c r="T901" s="5"/>
    </row>
    <row r="902" spans="6:20" ht="12.75">
      <c r="F902" s="11"/>
      <c r="G902" s="19"/>
      <c r="H902" s="20"/>
      <c r="I902" s="21"/>
      <c r="K902" s="5"/>
      <c r="S902" s="5"/>
      <c r="T902" s="5"/>
    </row>
    <row r="903" spans="6:20" ht="12.75">
      <c r="F903" s="11"/>
      <c r="G903" s="19"/>
      <c r="H903" s="20"/>
      <c r="I903" s="21"/>
      <c r="K903" s="5"/>
      <c r="S903" s="5"/>
      <c r="T903" s="5"/>
    </row>
    <row r="904" spans="6:20" ht="12.75">
      <c r="F904" s="11"/>
      <c r="G904" s="19"/>
      <c r="H904" s="20"/>
      <c r="I904" s="21"/>
      <c r="K904" s="5"/>
      <c r="S904" s="5"/>
      <c r="T904" s="5"/>
    </row>
    <row r="905" spans="6:20" ht="12.75">
      <c r="F905" s="11"/>
      <c r="G905" s="19"/>
      <c r="H905" s="20"/>
      <c r="I905" s="21"/>
      <c r="K905" s="5"/>
      <c r="S905" s="5"/>
      <c r="T905" s="5"/>
    </row>
    <row r="906" spans="6:20" ht="12.75">
      <c r="F906" s="11"/>
      <c r="G906" s="19"/>
      <c r="H906" s="20"/>
      <c r="I906" s="21"/>
      <c r="K906" s="5"/>
      <c r="S906" s="5"/>
      <c r="T906" s="5"/>
    </row>
    <row r="907" spans="6:20" ht="12.75">
      <c r="F907" s="11"/>
      <c r="G907" s="19"/>
      <c r="H907" s="20"/>
      <c r="I907" s="21"/>
      <c r="K907" s="5"/>
      <c r="S907" s="5"/>
      <c r="T907" s="5"/>
    </row>
    <row r="908" spans="6:20" ht="12.75">
      <c r="F908" s="11"/>
      <c r="G908" s="19"/>
      <c r="H908" s="20"/>
      <c r="I908" s="21"/>
      <c r="K908" s="5"/>
      <c r="S908" s="5"/>
      <c r="T908" s="5"/>
    </row>
    <row r="909" spans="6:20" ht="12.75">
      <c r="F909" s="11"/>
      <c r="G909" s="19"/>
      <c r="H909" s="20"/>
      <c r="I909" s="21"/>
      <c r="K909" s="5"/>
      <c r="S909" s="5"/>
      <c r="T909" s="5"/>
    </row>
    <row r="910" spans="6:20" ht="12.75">
      <c r="F910" s="11"/>
      <c r="G910" s="19"/>
      <c r="H910" s="20"/>
      <c r="I910" s="21"/>
      <c r="K910" s="5"/>
      <c r="S910" s="5"/>
      <c r="T910" s="5"/>
    </row>
    <row r="911" spans="6:20" ht="12.75">
      <c r="F911" s="11"/>
      <c r="G911" s="19"/>
      <c r="H911" s="20"/>
      <c r="I911" s="21"/>
      <c r="K911" s="5"/>
      <c r="S911" s="5"/>
      <c r="T911" s="5"/>
    </row>
    <row r="912" spans="6:20" ht="12.75">
      <c r="F912" s="11"/>
      <c r="G912" s="19"/>
      <c r="H912" s="20"/>
      <c r="I912" s="21"/>
      <c r="K912" s="5"/>
      <c r="S912" s="5"/>
      <c r="T912" s="5"/>
    </row>
    <row r="913" spans="6:20" ht="12.75">
      <c r="F913" s="11"/>
      <c r="G913" s="19"/>
      <c r="H913" s="20"/>
      <c r="I913" s="21"/>
      <c r="K913" s="5"/>
      <c r="S913" s="5"/>
      <c r="T913" s="5"/>
    </row>
    <row r="914" spans="6:20" ht="12.75">
      <c r="F914" s="11"/>
      <c r="G914" s="19"/>
      <c r="H914" s="20"/>
      <c r="I914" s="21"/>
      <c r="K914" s="5"/>
      <c r="S914" s="5"/>
      <c r="T914" s="5"/>
    </row>
    <row r="915" spans="6:20" ht="12.75">
      <c r="F915" s="11"/>
      <c r="G915" s="19"/>
      <c r="H915" s="20"/>
      <c r="I915" s="21"/>
      <c r="K915" s="5"/>
      <c r="S915" s="5"/>
      <c r="T915" s="5"/>
    </row>
    <row r="916" spans="6:20" ht="12.75">
      <c r="F916" s="11"/>
      <c r="G916" s="19"/>
      <c r="H916" s="20"/>
      <c r="I916" s="21"/>
      <c r="K916" s="5"/>
      <c r="S916" s="5"/>
      <c r="T916" s="5"/>
    </row>
    <row r="917" spans="6:20" ht="12.75">
      <c r="F917" s="11"/>
      <c r="G917" s="19"/>
      <c r="H917" s="20"/>
      <c r="I917" s="21"/>
      <c r="K917" s="5"/>
      <c r="S917" s="5"/>
      <c r="T917" s="5"/>
    </row>
    <row r="918" spans="6:20" ht="12.75">
      <c r="F918" s="11"/>
      <c r="G918" s="19"/>
      <c r="H918" s="20"/>
      <c r="I918" s="21"/>
      <c r="K918" s="5"/>
      <c r="S918" s="5"/>
      <c r="T918" s="5"/>
    </row>
    <row r="919" spans="6:20" ht="12.75">
      <c r="F919" s="11"/>
      <c r="G919" s="19"/>
      <c r="H919" s="20"/>
      <c r="I919" s="21"/>
      <c r="K919" s="5"/>
      <c r="S919" s="5"/>
      <c r="T919" s="5"/>
    </row>
    <row r="920" spans="6:20" ht="12.75">
      <c r="F920" s="11"/>
      <c r="G920" s="19"/>
      <c r="H920" s="20"/>
      <c r="I920" s="21"/>
      <c r="K920" s="5"/>
      <c r="S920" s="5"/>
      <c r="T920" s="5"/>
    </row>
    <row r="921" spans="6:20" ht="12.75">
      <c r="F921" s="11"/>
      <c r="G921" s="19"/>
      <c r="H921" s="20"/>
      <c r="I921" s="21"/>
      <c r="K921" s="5"/>
      <c r="S921" s="5"/>
      <c r="T921" s="5"/>
    </row>
    <row r="922" spans="6:20" ht="12.75">
      <c r="F922" s="11"/>
      <c r="G922" s="19"/>
      <c r="H922" s="20"/>
      <c r="I922" s="21"/>
      <c r="K922" s="5"/>
      <c r="S922" s="5"/>
      <c r="T922" s="5"/>
    </row>
    <row r="923" spans="6:20" ht="12.75">
      <c r="F923" s="11"/>
      <c r="G923" s="19"/>
      <c r="H923" s="20"/>
      <c r="I923" s="21"/>
      <c r="K923" s="5"/>
      <c r="S923" s="5"/>
      <c r="T923" s="5"/>
    </row>
    <row r="924" spans="6:20" ht="12.75">
      <c r="F924" s="11"/>
      <c r="G924" s="19"/>
      <c r="H924" s="20"/>
      <c r="I924" s="21"/>
      <c r="K924" s="5"/>
      <c r="S924" s="5"/>
      <c r="T924" s="5"/>
    </row>
    <row r="925" spans="6:20" ht="12.75">
      <c r="F925" s="11"/>
      <c r="G925" s="19"/>
      <c r="H925" s="20"/>
      <c r="I925" s="21"/>
      <c r="K925" s="5"/>
      <c r="S925" s="5"/>
      <c r="T925" s="5"/>
    </row>
    <row r="926" spans="6:20" ht="12.75">
      <c r="F926" s="11"/>
      <c r="G926" s="19"/>
      <c r="H926" s="20"/>
      <c r="I926" s="21"/>
      <c r="K926" s="5"/>
      <c r="S926" s="5"/>
      <c r="T926" s="5"/>
    </row>
    <row r="927" spans="6:20" ht="12.75">
      <c r="F927" s="11"/>
      <c r="G927" s="19"/>
      <c r="H927" s="20"/>
      <c r="I927" s="21"/>
      <c r="K927" s="5"/>
      <c r="S927" s="5"/>
      <c r="T927" s="5"/>
    </row>
    <row r="928" spans="6:20" ht="12.75">
      <c r="F928" s="11"/>
      <c r="G928" s="19"/>
      <c r="H928" s="20"/>
      <c r="I928" s="21"/>
      <c r="K928" s="5"/>
      <c r="S928" s="5"/>
      <c r="T928" s="5"/>
    </row>
    <row r="929" spans="6:20" ht="12.75">
      <c r="F929" s="11"/>
      <c r="G929" s="19"/>
      <c r="H929" s="20"/>
      <c r="I929" s="21"/>
      <c r="K929" s="5"/>
      <c r="S929" s="5"/>
      <c r="T929" s="5"/>
    </row>
    <row r="930" spans="6:20" ht="12.75">
      <c r="F930" s="11"/>
      <c r="G930" s="19"/>
      <c r="H930" s="20"/>
      <c r="I930" s="21"/>
      <c r="K930" s="5"/>
      <c r="S930" s="5"/>
      <c r="T930" s="5"/>
    </row>
    <row r="931" spans="6:20" ht="12.75">
      <c r="F931" s="11"/>
      <c r="G931" s="19"/>
      <c r="H931" s="20"/>
      <c r="I931" s="21"/>
      <c r="K931" s="5"/>
      <c r="S931" s="5"/>
      <c r="T931" s="5"/>
    </row>
    <row r="932" spans="6:20" ht="12.75">
      <c r="F932" s="11"/>
      <c r="G932" s="19"/>
      <c r="H932" s="20"/>
      <c r="I932" s="21"/>
      <c r="K932" s="5"/>
      <c r="S932" s="5"/>
      <c r="T932" s="5"/>
    </row>
    <row r="933" spans="6:20" ht="12.75">
      <c r="F933" s="11"/>
      <c r="G933" s="19"/>
      <c r="H933" s="20"/>
      <c r="I933" s="21"/>
      <c r="K933" s="5"/>
      <c r="S933" s="5"/>
      <c r="T933" s="5"/>
    </row>
    <row r="934" spans="6:20" ht="12.75">
      <c r="F934" s="11"/>
      <c r="G934" s="19"/>
      <c r="H934" s="20"/>
      <c r="I934" s="21"/>
      <c r="K934" s="5"/>
      <c r="S934" s="5"/>
      <c r="T934" s="5"/>
    </row>
    <row r="935" spans="6:20" ht="12.75">
      <c r="F935" s="11"/>
      <c r="G935" s="19"/>
      <c r="H935" s="20"/>
      <c r="I935" s="21"/>
      <c r="K935" s="5"/>
      <c r="S935" s="5"/>
      <c r="T935" s="5"/>
    </row>
    <row r="936" spans="6:20" ht="12.75">
      <c r="F936" s="11"/>
      <c r="G936" s="19"/>
      <c r="H936" s="20"/>
      <c r="I936" s="21"/>
      <c r="K936" s="5"/>
      <c r="S936" s="5"/>
      <c r="T936" s="5"/>
    </row>
    <row r="937" spans="6:20" ht="12.75">
      <c r="F937" s="11"/>
      <c r="G937" s="19"/>
      <c r="H937" s="20"/>
      <c r="I937" s="21"/>
      <c r="K937" s="5"/>
      <c r="S937" s="5"/>
      <c r="T937" s="5"/>
    </row>
    <row r="938" spans="6:20" ht="12.75">
      <c r="F938" s="11"/>
      <c r="G938" s="19"/>
      <c r="H938" s="20"/>
      <c r="I938" s="21"/>
      <c r="K938" s="5"/>
      <c r="S938" s="5"/>
      <c r="T938" s="5"/>
    </row>
    <row r="939" spans="6:20" ht="12.75">
      <c r="F939" s="11"/>
      <c r="G939" s="19"/>
      <c r="H939" s="20"/>
      <c r="I939" s="21"/>
      <c r="K939" s="5"/>
      <c r="S939" s="5"/>
      <c r="T939" s="5"/>
    </row>
    <row r="940" spans="6:20" ht="12.75">
      <c r="F940" s="11"/>
      <c r="G940" s="19"/>
      <c r="H940" s="20"/>
      <c r="I940" s="21"/>
      <c r="K940" s="5"/>
      <c r="S940" s="5"/>
      <c r="T940" s="5"/>
    </row>
    <row r="941" spans="6:20" ht="12.75">
      <c r="F941" s="11"/>
      <c r="G941" s="19"/>
      <c r="H941" s="20"/>
      <c r="I941" s="21"/>
      <c r="K941" s="5"/>
      <c r="S941" s="5"/>
      <c r="T941" s="5"/>
    </row>
    <row r="942" spans="6:20" ht="12.75">
      <c r="F942" s="11"/>
      <c r="G942" s="19"/>
      <c r="H942" s="20"/>
      <c r="I942" s="21"/>
      <c r="K942" s="5"/>
      <c r="S942" s="5"/>
      <c r="T942" s="5"/>
    </row>
    <row r="943" spans="6:20" ht="12.75">
      <c r="F943" s="11"/>
      <c r="G943" s="19"/>
      <c r="H943" s="20"/>
      <c r="I943" s="21"/>
      <c r="K943" s="5"/>
      <c r="S943" s="5"/>
      <c r="T943" s="5"/>
    </row>
    <row r="944" spans="6:20" ht="12.75">
      <c r="F944" s="11"/>
      <c r="G944" s="19"/>
      <c r="H944" s="20"/>
      <c r="I944" s="21"/>
      <c r="K944" s="5"/>
      <c r="S944" s="5"/>
      <c r="T944" s="5"/>
    </row>
    <row r="945" spans="6:20" ht="12.75">
      <c r="F945" s="11"/>
      <c r="G945" s="19"/>
      <c r="H945" s="20"/>
      <c r="I945" s="21"/>
      <c r="K945" s="5"/>
      <c r="S945" s="5"/>
      <c r="T945" s="5"/>
    </row>
    <row r="946" spans="6:20" ht="12.75">
      <c r="F946" s="11"/>
      <c r="G946" s="19"/>
      <c r="H946" s="20"/>
      <c r="I946" s="21"/>
      <c r="K946" s="5"/>
      <c r="S946" s="5"/>
      <c r="T946" s="5"/>
    </row>
    <row r="947" spans="6:20" ht="12.75">
      <c r="F947" s="11"/>
      <c r="G947" s="19"/>
      <c r="H947" s="20"/>
      <c r="I947" s="21"/>
      <c r="K947" s="5"/>
      <c r="S947" s="5"/>
      <c r="T947" s="5"/>
    </row>
    <row r="948" spans="6:20" ht="12.75">
      <c r="F948" s="11"/>
      <c r="G948" s="19"/>
      <c r="H948" s="20"/>
      <c r="I948" s="21"/>
      <c r="K948" s="5"/>
      <c r="S948" s="5"/>
      <c r="T948" s="5"/>
    </row>
    <row r="949" spans="6:20" ht="12.75">
      <c r="F949" s="11"/>
      <c r="G949" s="19"/>
      <c r="H949" s="20"/>
      <c r="I949" s="21"/>
      <c r="K949" s="5"/>
      <c r="S949" s="5"/>
      <c r="T949" s="5"/>
    </row>
    <row r="950" spans="6:20" ht="12.75">
      <c r="F950" s="11"/>
      <c r="G950" s="19"/>
      <c r="H950" s="20"/>
      <c r="I950" s="21"/>
      <c r="K950" s="5"/>
      <c r="S950" s="5"/>
      <c r="T950" s="5"/>
    </row>
    <row r="951" spans="6:20" ht="12.75">
      <c r="F951" s="11"/>
      <c r="G951" s="19"/>
      <c r="H951" s="20"/>
      <c r="I951" s="21"/>
      <c r="K951" s="5"/>
      <c r="S951" s="5"/>
      <c r="T951" s="5"/>
    </row>
    <row r="952" spans="6:20" ht="12.75">
      <c r="F952" s="11"/>
      <c r="G952" s="19"/>
      <c r="H952" s="20"/>
      <c r="I952" s="21"/>
      <c r="K952" s="5"/>
      <c r="S952" s="5"/>
      <c r="T952" s="5"/>
    </row>
    <row r="953" spans="6:20" ht="12.75">
      <c r="F953" s="11"/>
      <c r="G953" s="19"/>
      <c r="H953" s="20"/>
      <c r="I953" s="21"/>
      <c r="K953" s="5"/>
      <c r="S953" s="5"/>
      <c r="T953" s="5"/>
    </row>
    <row r="954" spans="6:20" ht="12.75">
      <c r="F954" s="11"/>
      <c r="G954" s="19"/>
      <c r="H954" s="20"/>
      <c r="I954" s="21"/>
      <c r="K954" s="5"/>
      <c r="S954" s="5"/>
      <c r="T954" s="5"/>
    </row>
    <row r="955" spans="6:20" ht="12.75">
      <c r="F955" s="11"/>
      <c r="G955" s="19"/>
      <c r="H955" s="20"/>
      <c r="I955" s="21"/>
      <c r="K955" s="5"/>
      <c r="S955" s="5"/>
      <c r="T955" s="5"/>
    </row>
    <row r="956" spans="6:20" ht="12.75">
      <c r="F956" s="11"/>
      <c r="G956" s="19"/>
      <c r="H956" s="20"/>
      <c r="I956" s="21"/>
      <c r="K956" s="5"/>
      <c r="S956" s="5"/>
      <c r="T956" s="5"/>
    </row>
    <row r="957" spans="6:20" ht="12.75">
      <c r="F957" s="11"/>
      <c r="G957" s="19"/>
      <c r="H957" s="20"/>
      <c r="I957" s="21"/>
      <c r="K957" s="5"/>
      <c r="S957" s="5"/>
      <c r="T957" s="5"/>
    </row>
    <row r="958" spans="6:20" ht="12.75">
      <c r="F958" s="11"/>
      <c r="G958" s="19"/>
      <c r="H958" s="20"/>
      <c r="I958" s="21"/>
      <c r="K958" s="5"/>
      <c r="S958" s="5"/>
      <c r="T958" s="5"/>
    </row>
    <row r="959" spans="6:20" ht="12.75">
      <c r="F959" s="11"/>
      <c r="G959" s="19"/>
      <c r="H959" s="20"/>
      <c r="I959" s="21"/>
      <c r="K959" s="5"/>
      <c r="S959" s="5"/>
      <c r="T959" s="5"/>
    </row>
    <row r="960" spans="6:20" ht="12.75">
      <c r="F960" s="11"/>
      <c r="G960" s="19"/>
      <c r="H960" s="20"/>
      <c r="I960" s="21"/>
      <c r="K960" s="5"/>
      <c r="S960" s="5"/>
      <c r="T960" s="5"/>
    </row>
    <row r="961" spans="6:20" ht="12.75">
      <c r="F961" s="11"/>
      <c r="G961" s="19"/>
      <c r="H961" s="20"/>
      <c r="I961" s="21"/>
      <c r="K961" s="5"/>
      <c r="S961" s="5"/>
      <c r="T961" s="5"/>
    </row>
    <row r="962" spans="6:20" ht="12.75">
      <c r="F962" s="11"/>
      <c r="G962" s="19"/>
      <c r="H962" s="20"/>
      <c r="I962" s="21"/>
      <c r="K962" s="5"/>
      <c r="S962" s="5"/>
      <c r="T962" s="5"/>
    </row>
    <row r="963" spans="6:20" ht="12.75">
      <c r="F963" s="11"/>
      <c r="G963" s="19"/>
      <c r="H963" s="20"/>
      <c r="I963" s="21"/>
      <c r="K963" s="5"/>
      <c r="S963" s="5"/>
      <c r="T963" s="5"/>
    </row>
    <row r="964" spans="6:20" ht="12.75">
      <c r="F964" s="11"/>
      <c r="G964" s="19"/>
      <c r="H964" s="20"/>
      <c r="I964" s="21"/>
      <c r="K964" s="5"/>
      <c r="S964" s="5"/>
      <c r="T964" s="5"/>
    </row>
    <row r="965" spans="6:20" ht="12.75">
      <c r="F965" s="11"/>
      <c r="G965" s="19"/>
      <c r="H965" s="20"/>
      <c r="I965" s="21"/>
      <c r="K965" s="5"/>
      <c r="S965" s="5"/>
      <c r="T965" s="5"/>
    </row>
    <row r="966" spans="6:20" ht="12.75">
      <c r="F966" s="11"/>
      <c r="G966" s="19"/>
      <c r="H966" s="20"/>
      <c r="I966" s="21"/>
      <c r="K966" s="5"/>
      <c r="S966" s="5"/>
      <c r="T966" s="5"/>
    </row>
    <row r="967" spans="6:20" ht="12.75">
      <c r="F967" s="11"/>
      <c r="G967" s="19"/>
      <c r="H967" s="20"/>
      <c r="I967" s="21"/>
      <c r="K967" s="5"/>
      <c r="S967" s="5"/>
      <c r="T967" s="5"/>
    </row>
    <row r="968" spans="6:20" ht="12.75">
      <c r="F968" s="11"/>
      <c r="G968" s="19"/>
      <c r="H968" s="20"/>
      <c r="I968" s="21"/>
      <c r="K968" s="5"/>
      <c r="S968" s="5"/>
      <c r="T968" s="5"/>
    </row>
    <row r="969" spans="6:20" ht="12.75">
      <c r="F969" s="11"/>
      <c r="G969" s="19"/>
      <c r="H969" s="20"/>
      <c r="I969" s="21"/>
      <c r="K969" s="5"/>
      <c r="S969" s="5"/>
      <c r="T969" s="5"/>
    </row>
    <row r="970" spans="6:20" ht="12.75">
      <c r="F970" s="11"/>
      <c r="G970" s="19"/>
      <c r="H970" s="20"/>
      <c r="I970" s="21"/>
      <c r="K970" s="5"/>
      <c r="S970" s="5"/>
      <c r="T970" s="5"/>
    </row>
    <row r="971" spans="6:20" ht="12.75">
      <c r="F971" s="11"/>
      <c r="G971" s="19"/>
      <c r="H971" s="20"/>
      <c r="I971" s="21"/>
      <c r="K971" s="5"/>
      <c r="S971" s="5"/>
      <c r="T971" s="5"/>
    </row>
    <row r="972" spans="6:20" ht="12.75">
      <c r="F972" s="11"/>
      <c r="G972" s="19"/>
      <c r="H972" s="20"/>
      <c r="I972" s="21"/>
      <c r="K972" s="5"/>
      <c r="S972" s="5"/>
      <c r="T972" s="5"/>
    </row>
    <row r="973" spans="6:20" ht="12.75">
      <c r="F973" s="11"/>
      <c r="G973" s="19"/>
      <c r="H973" s="20"/>
      <c r="I973" s="21"/>
      <c r="K973" s="5"/>
      <c r="S973" s="5"/>
      <c r="T973" s="5"/>
    </row>
    <row r="974" spans="6:20" ht="12.75">
      <c r="F974" s="11"/>
      <c r="G974" s="19"/>
      <c r="H974" s="20"/>
      <c r="I974" s="21"/>
      <c r="K974" s="5"/>
      <c r="S974" s="5"/>
      <c r="T974" s="5"/>
    </row>
    <row r="975" spans="6:20" ht="12.75">
      <c r="F975" s="11"/>
      <c r="G975" s="19"/>
      <c r="H975" s="20"/>
      <c r="I975" s="21"/>
      <c r="K975" s="5"/>
      <c r="S975" s="5"/>
      <c r="T975" s="5"/>
    </row>
    <row r="976" spans="6:20" ht="12.75">
      <c r="F976" s="11"/>
      <c r="G976" s="19"/>
      <c r="H976" s="20"/>
      <c r="I976" s="21"/>
      <c r="K976" s="5"/>
      <c r="S976" s="5"/>
      <c r="T976" s="5"/>
    </row>
    <row r="977" spans="6:20" ht="12.75">
      <c r="F977" s="11"/>
      <c r="G977" s="19"/>
      <c r="H977" s="20"/>
      <c r="I977" s="21"/>
      <c r="K977" s="5"/>
      <c r="S977" s="5"/>
      <c r="T977" s="5"/>
    </row>
    <row r="978" spans="6:20" ht="12.75">
      <c r="F978" s="11"/>
      <c r="G978" s="19"/>
      <c r="H978" s="20"/>
      <c r="I978" s="21"/>
      <c r="K978" s="5"/>
      <c r="S978" s="5"/>
      <c r="T978" s="5"/>
    </row>
    <row r="979" spans="6:20" ht="12.75">
      <c r="F979" s="11"/>
      <c r="G979" s="19"/>
      <c r="H979" s="20"/>
      <c r="I979" s="21"/>
      <c r="K979" s="5"/>
      <c r="S979" s="5"/>
      <c r="T979" s="5"/>
    </row>
    <row r="980" spans="6:20" ht="12.75">
      <c r="F980" s="11"/>
      <c r="G980" s="19"/>
      <c r="H980" s="20"/>
      <c r="I980" s="21"/>
      <c r="K980" s="5"/>
      <c r="S980" s="5"/>
      <c r="T980" s="5"/>
    </row>
    <row r="981" spans="6:20" ht="12.75">
      <c r="F981" s="11"/>
      <c r="G981" s="19"/>
      <c r="H981" s="20"/>
      <c r="I981" s="21"/>
      <c r="K981" s="5"/>
      <c r="S981" s="5"/>
      <c r="T981" s="5"/>
    </row>
    <row r="982" spans="6:20" ht="12.75">
      <c r="F982" s="11"/>
      <c r="G982" s="19"/>
      <c r="H982" s="20"/>
      <c r="I982" s="21"/>
      <c r="K982" s="5"/>
      <c r="S982" s="5"/>
      <c r="T982" s="5"/>
    </row>
    <row r="983" spans="6:20" ht="12.75">
      <c r="F983" s="11"/>
      <c r="G983" s="19"/>
      <c r="H983" s="20"/>
      <c r="I983" s="21"/>
      <c r="K983" s="5"/>
      <c r="S983" s="5"/>
      <c r="T983" s="5"/>
    </row>
    <row r="984" spans="6:20" ht="12.75">
      <c r="F984" s="11"/>
      <c r="G984" s="19"/>
      <c r="H984" s="20"/>
      <c r="I984" s="21"/>
      <c r="K984" s="5"/>
      <c r="S984" s="5"/>
      <c r="T984" s="5"/>
    </row>
    <row r="985" spans="6:20" ht="12.75">
      <c r="F985" s="11"/>
      <c r="G985" s="19"/>
      <c r="H985" s="20"/>
      <c r="I985" s="21"/>
      <c r="K985" s="5"/>
      <c r="S985" s="5"/>
      <c r="T985" s="5"/>
    </row>
    <row r="986" spans="6:20" ht="12.75">
      <c r="F986" s="11"/>
      <c r="G986" s="19"/>
      <c r="H986" s="20"/>
      <c r="I986" s="21"/>
      <c r="K986" s="5"/>
      <c r="S986" s="5"/>
      <c r="T986" s="5"/>
    </row>
    <row r="987" spans="6:20" ht="12.75">
      <c r="F987" s="11"/>
      <c r="G987" s="19"/>
      <c r="H987" s="20"/>
      <c r="I987" s="21"/>
      <c r="K987" s="5"/>
      <c r="S987" s="5"/>
      <c r="T987" s="5"/>
    </row>
    <row r="988" spans="6:20" ht="12.75">
      <c r="F988" s="11"/>
      <c r="G988" s="19"/>
      <c r="H988" s="20"/>
      <c r="I988" s="21"/>
      <c r="K988" s="5"/>
      <c r="S988" s="5"/>
      <c r="T988" s="5"/>
    </row>
    <row r="989" spans="6:20" ht="12.75">
      <c r="F989" s="11"/>
      <c r="G989" s="19"/>
      <c r="H989" s="20"/>
      <c r="I989" s="21"/>
      <c r="K989" s="5"/>
      <c r="S989" s="5"/>
      <c r="T989" s="5"/>
    </row>
    <row r="990" spans="6:20" ht="12.75">
      <c r="F990" s="11"/>
      <c r="G990" s="19"/>
      <c r="H990" s="20"/>
      <c r="I990" s="21"/>
      <c r="K990" s="5"/>
      <c r="S990" s="5"/>
      <c r="T990" s="5"/>
    </row>
    <row r="991" spans="6:20" ht="12.75">
      <c r="F991" s="11"/>
      <c r="G991" s="19"/>
      <c r="H991" s="20"/>
      <c r="I991" s="21"/>
      <c r="K991" s="5"/>
      <c r="S991" s="5"/>
      <c r="T991" s="5"/>
    </row>
    <row r="992" spans="6:20" ht="12.75">
      <c r="F992" s="11"/>
      <c r="G992" s="19"/>
      <c r="H992" s="20"/>
      <c r="I992" s="21"/>
      <c r="K992" s="5"/>
      <c r="S992" s="5"/>
      <c r="T992" s="5"/>
    </row>
    <row r="993" spans="6:20" ht="12.75">
      <c r="F993" s="11"/>
      <c r="G993" s="19"/>
      <c r="H993" s="20"/>
      <c r="I993" s="21"/>
      <c r="K993" s="5"/>
      <c r="S993" s="5"/>
      <c r="T993" s="5"/>
    </row>
    <row r="994" spans="6:20" ht="12.75">
      <c r="F994" s="11"/>
      <c r="G994" s="19"/>
      <c r="H994" s="20"/>
      <c r="I994" s="21"/>
      <c r="K994" s="5"/>
      <c r="S994" s="5"/>
      <c r="T994" s="5"/>
    </row>
    <row r="995" spans="6:20" ht="12.75">
      <c r="F995" s="11"/>
      <c r="G995" s="19"/>
      <c r="H995" s="20"/>
      <c r="I995" s="21"/>
      <c r="K995" s="5"/>
      <c r="S995" s="5"/>
      <c r="T995" s="5"/>
    </row>
    <row r="996" spans="6:20" ht="12.75">
      <c r="F996" s="11"/>
      <c r="G996" s="19"/>
      <c r="H996" s="20"/>
      <c r="I996" s="21"/>
      <c r="K996" s="5"/>
      <c r="S996" s="5"/>
      <c r="T996" s="5"/>
    </row>
    <row r="997" spans="6:20" ht="12.75">
      <c r="F997" s="11"/>
      <c r="G997" s="19"/>
      <c r="H997" s="20"/>
      <c r="I997" s="21"/>
      <c r="K997" s="5"/>
      <c r="S997" s="5"/>
      <c r="T997" s="5"/>
    </row>
    <row r="998" spans="6:20" ht="12.75">
      <c r="F998" s="11"/>
      <c r="G998" s="19"/>
      <c r="H998" s="20"/>
      <c r="I998" s="21"/>
      <c r="K998" s="5"/>
      <c r="S998" s="5"/>
      <c r="T998" s="5"/>
    </row>
    <row r="999" spans="6:20" ht="12.75">
      <c r="F999" s="11"/>
      <c r="G999" s="19"/>
      <c r="H999" s="20"/>
      <c r="I999" s="21"/>
      <c r="K999" s="5"/>
      <c r="S999" s="5"/>
      <c r="T999" s="5"/>
    </row>
    <row r="1000" spans="6:20" ht="12.75">
      <c r="F1000" s="11"/>
      <c r="G1000" s="19"/>
      <c r="H1000" s="20"/>
      <c r="I1000" s="21"/>
      <c r="K1000" s="5"/>
      <c r="S1000" s="5"/>
      <c r="T1000" s="5"/>
    </row>
    <row r="1001" spans="6:20" ht="12.75">
      <c r="F1001" s="11"/>
      <c r="G1001" s="19"/>
      <c r="H1001" s="20"/>
      <c r="I1001" s="21"/>
      <c r="K1001" s="5"/>
      <c r="S1001" s="5"/>
      <c r="T1001" s="5"/>
    </row>
    <row r="1002" spans="6:20" ht="12.75">
      <c r="F1002" s="11"/>
      <c r="G1002" s="19"/>
      <c r="H1002" s="20"/>
      <c r="I1002" s="21"/>
      <c r="K1002" s="5"/>
      <c r="S1002" s="5"/>
      <c r="T1002" s="5"/>
    </row>
    <row r="1003" spans="6:20" ht="12.75">
      <c r="F1003" s="11"/>
      <c r="G1003" s="19"/>
      <c r="H1003" s="20"/>
      <c r="I1003" s="21"/>
      <c r="K1003" s="5"/>
      <c r="S1003" s="5"/>
      <c r="T1003" s="5"/>
    </row>
    <row r="1004" spans="6:20" ht="12.75">
      <c r="F1004" s="11"/>
      <c r="G1004" s="19"/>
      <c r="H1004" s="20"/>
      <c r="I1004" s="21"/>
      <c r="K1004" s="5"/>
      <c r="S1004" s="5"/>
      <c r="T1004" s="5"/>
    </row>
    <row r="1005" spans="6:20" ht="12.75">
      <c r="F1005" s="11"/>
      <c r="G1005" s="19"/>
      <c r="H1005" s="20"/>
      <c r="I1005" s="21"/>
      <c r="K1005" s="5"/>
      <c r="S1005" s="5"/>
      <c r="T1005" s="5"/>
    </row>
    <row r="1006" spans="6:20" ht="12.75">
      <c r="F1006" s="11"/>
      <c r="G1006" s="19"/>
      <c r="H1006" s="20"/>
      <c r="I1006" s="21"/>
      <c r="K1006" s="5"/>
      <c r="S1006" s="5"/>
      <c r="T1006" s="5"/>
    </row>
    <row r="1007" spans="6:20" ht="12.75">
      <c r="F1007" s="11"/>
      <c r="G1007" s="19"/>
      <c r="H1007" s="20"/>
      <c r="I1007" s="21"/>
      <c r="K1007" s="5"/>
      <c r="S1007" s="5"/>
      <c r="T1007" s="5"/>
    </row>
    <row r="1008" spans="6:20" ht="12.75">
      <c r="F1008" s="11"/>
      <c r="G1008" s="19"/>
      <c r="H1008" s="20"/>
      <c r="I1008" s="21"/>
      <c r="K1008" s="5"/>
      <c r="S1008" s="5"/>
      <c r="T1008" s="5"/>
    </row>
    <row r="1009" spans="6:20" ht="12.75">
      <c r="F1009" s="11"/>
      <c r="G1009" s="19"/>
      <c r="H1009" s="20"/>
      <c r="I1009" s="21"/>
      <c r="K1009" s="5"/>
      <c r="S1009" s="5"/>
      <c r="T1009" s="5"/>
    </row>
    <row r="1010" spans="6:20" ht="12.75">
      <c r="F1010" s="11"/>
      <c r="G1010" s="19"/>
      <c r="H1010" s="20"/>
      <c r="I1010" s="21"/>
      <c r="K1010" s="5"/>
      <c r="S1010" s="5"/>
      <c r="T1010" s="5"/>
    </row>
    <row r="1011" spans="6:20" ht="12.75">
      <c r="F1011" s="11"/>
      <c r="G1011" s="19"/>
      <c r="H1011" s="20"/>
      <c r="I1011" s="21"/>
      <c r="K1011" s="5"/>
      <c r="S1011" s="5"/>
      <c r="T1011" s="5"/>
    </row>
    <row r="1012" spans="6:20" ht="12.75">
      <c r="F1012" s="11"/>
      <c r="G1012" s="19"/>
      <c r="H1012" s="20"/>
      <c r="I1012" s="21"/>
      <c r="K1012" s="5"/>
      <c r="S1012" s="5"/>
      <c r="T1012" s="5"/>
    </row>
    <row r="1013" spans="6:20" ht="12.75">
      <c r="F1013" s="11"/>
      <c r="G1013" s="19"/>
      <c r="H1013" s="20"/>
      <c r="I1013" s="21"/>
      <c r="K1013" s="5"/>
      <c r="S1013" s="5"/>
      <c r="T1013" s="5"/>
    </row>
    <row r="1014" spans="6:20" ht="12.75">
      <c r="F1014" s="11"/>
      <c r="G1014" s="19"/>
      <c r="H1014" s="20"/>
      <c r="I1014" s="21"/>
      <c r="K1014" s="5"/>
      <c r="S1014" s="5"/>
      <c r="T1014" s="5"/>
    </row>
    <row r="1015" spans="6:20" ht="12.75">
      <c r="F1015" s="11"/>
      <c r="G1015" s="19"/>
      <c r="H1015" s="20"/>
      <c r="I1015" s="21"/>
      <c r="K1015" s="5"/>
      <c r="S1015" s="5"/>
      <c r="T1015" s="5"/>
    </row>
    <row r="1016" spans="6:20" ht="12.75">
      <c r="F1016" s="11"/>
      <c r="G1016" s="19"/>
      <c r="H1016" s="20"/>
      <c r="I1016" s="21"/>
      <c r="K1016" s="5"/>
      <c r="S1016" s="5"/>
      <c r="T1016" s="5"/>
    </row>
    <row r="1017" spans="6:20" ht="12.75">
      <c r="F1017" s="11"/>
      <c r="G1017" s="19"/>
      <c r="H1017" s="20"/>
      <c r="I1017" s="21"/>
      <c r="K1017" s="5"/>
      <c r="S1017" s="5"/>
      <c r="T1017" s="5"/>
    </row>
    <row r="1018" spans="6:20" ht="12.75">
      <c r="F1018" s="11"/>
      <c r="G1018" s="19"/>
      <c r="H1018" s="20"/>
      <c r="I1018" s="21"/>
      <c r="K1018" s="5"/>
      <c r="S1018" s="5"/>
      <c r="T1018" s="5"/>
    </row>
    <row r="1019" spans="6:20" ht="12.75">
      <c r="F1019" s="11"/>
      <c r="G1019" s="19"/>
      <c r="H1019" s="20"/>
      <c r="I1019" s="21"/>
      <c r="K1019" s="5"/>
      <c r="S1019" s="5"/>
      <c r="T1019" s="5"/>
    </row>
    <row r="1020" spans="6:20" ht="12.75">
      <c r="F1020" s="11"/>
      <c r="G1020" s="19"/>
      <c r="H1020" s="20"/>
      <c r="I1020" s="21"/>
      <c r="K1020" s="5"/>
      <c r="S1020" s="5"/>
      <c r="T1020" s="5"/>
    </row>
    <row r="1021" spans="6:20" ht="12.75">
      <c r="F1021" s="11"/>
      <c r="G1021" s="19"/>
      <c r="H1021" s="20"/>
      <c r="I1021" s="21"/>
      <c r="K1021" s="5"/>
      <c r="S1021" s="5"/>
      <c r="T1021" s="5"/>
    </row>
    <row r="1022" spans="6:20" ht="12.75">
      <c r="F1022" s="11"/>
      <c r="G1022" s="19"/>
      <c r="H1022" s="20"/>
      <c r="I1022" s="21"/>
      <c r="K1022" s="5"/>
      <c r="S1022" s="5"/>
      <c r="T1022" s="5"/>
    </row>
    <row r="1023" spans="6:20" ht="12.75">
      <c r="F1023" s="11"/>
      <c r="G1023" s="19"/>
      <c r="H1023" s="20"/>
      <c r="I1023" s="21"/>
      <c r="K1023" s="5"/>
      <c r="S1023" s="5"/>
      <c r="T1023" s="5"/>
    </row>
    <row r="1024" spans="6:20" ht="12.75">
      <c r="F1024" s="11"/>
      <c r="G1024" s="19"/>
      <c r="H1024" s="20"/>
      <c r="I1024" s="21"/>
      <c r="K1024" s="5"/>
      <c r="S1024" s="5"/>
      <c r="T1024" s="5"/>
    </row>
    <row r="1025" spans="6:20" ht="12.75">
      <c r="F1025" s="11"/>
      <c r="G1025" s="19"/>
      <c r="H1025" s="20"/>
      <c r="I1025" s="21"/>
      <c r="K1025" s="5"/>
      <c r="S1025" s="5"/>
      <c r="T1025" s="5"/>
    </row>
    <row r="1026" spans="6:20" ht="12.75">
      <c r="F1026" s="11"/>
      <c r="G1026" s="19"/>
      <c r="H1026" s="20"/>
      <c r="I1026" s="21"/>
      <c r="K1026" s="5"/>
      <c r="S1026" s="5"/>
      <c r="T1026" s="5"/>
    </row>
    <row r="1027" spans="6:20" ht="12.75">
      <c r="F1027" s="11"/>
      <c r="G1027" s="19"/>
      <c r="H1027" s="20"/>
      <c r="I1027" s="21"/>
      <c r="K1027" s="5"/>
      <c r="S1027" s="5"/>
      <c r="T1027" s="5"/>
    </row>
    <row r="1028" spans="6:20" ht="12.75">
      <c r="F1028" s="11"/>
      <c r="G1028" s="19"/>
      <c r="H1028" s="20"/>
      <c r="I1028" s="21"/>
      <c r="K1028" s="5"/>
      <c r="S1028" s="5"/>
      <c r="T1028" s="5"/>
    </row>
    <row r="1029" spans="6:20" ht="12.75">
      <c r="F1029" s="11"/>
      <c r="G1029" s="19"/>
      <c r="H1029" s="20"/>
      <c r="I1029" s="21"/>
      <c r="K1029" s="5"/>
      <c r="S1029" s="5"/>
      <c r="T1029" s="5"/>
    </row>
    <row r="1030" spans="6:20" ht="12.75">
      <c r="F1030" s="11"/>
      <c r="G1030" s="19"/>
      <c r="H1030" s="20"/>
      <c r="I1030" s="21"/>
      <c r="K1030" s="5"/>
      <c r="S1030" s="5"/>
      <c r="T1030" s="5"/>
    </row>
    <row r="1031" spans="6:20" ht="12.75">
      <c r="F1031" s="11"/>
      <c r="G1031" s="19"/>
      <c r="H1031" s="20"/>
      <c r="I1031" s="21"/>
      <c r="K1031" s="5"/>
      <c r="S1031" s="5"/>
      <c r="T1031" s="5"/>
    </row>
    <row r="1032" spans="6:20" ht="12.75">
      <c r="F1032" s="11"/>
      <c r="G1032" s="19"/>
      <c r="H1032" s="20"/>
      <c r="I1032" s="21"/>
      <c r="K1032" s="5"/>
      <c r="S1032" s="5"/>
      <c r="T1032" s="5"/>
    </row>
    <row r="1033" spans="6:20" ht="12.75">
      <c r="F1033" s="11"/>
      <c r="G1033" s="19"/>
      <c r="H1033" s="20"/>
      <c r="I1033" s="21"/>
      <c r="K1033" s="5"/>
      <c r="S1033" s="5"/>
      <c r="T1033" s="5"/>
    </row>
    <row r="1034" spans="6:20" ht="12.75">
      <c r="F1034" s="11"/>
      <c r="G1034" s="19"/>
      <c r="H1034" s="20"/>
      <c r="I1034" s="21"/>
      <c r="K1034" s="5"/>
      <c r="S1034" s="5"/>
      <c r="T1034" s="5"/>
    </row>
    <row r="1035" spans="6:20" ht="12.75">
      <c r="F1035" s="11"/>
      <c r="G1035" s="19"/>
      <c r="H1035" s="20"/>
      <c r="I1035" s="21"/>
      <c r="K1035" s="5"/>
      <c r="S1035" s="5"/>
      <c r="T1035" s="5"/>
    </row>
    <row r="1036" spans="6:20" ht="12.75">
      <c r="F1036" s="11"/>
      <c r="G1036" s="19"/>
      <c r="H1036" s="20"/>
      <c r="I1036" s="21"/>
      <c r="K1036" s="5"/>
      <c r="S1036" s="5"/>
      <c r="T1036" s="5"/>
    </row>
    <row r="1037" spans="6:20" ht="12.75">
      <c r="F1037" s="11"/>
      <c r="G1037" s="19"/>
      <c r="H1037" s="20"/>
      <c r="I1037" s="21"/>
      <c r="K1037" s="5"/>
      <c r="S1037" s="5"/>
      <c r="T1037" s="5"/>
    </row>
    <row r="1038" spans="6:20" ht="12.75">
      <c r="F1038" s="11"/>
      <c r="G1038" s="19"/>
      <c r="H1038" s="20"/>
      <c r="I1038" s="21"/>
      <c r="K1038" s="5"/>
      <c r="S1038" s="5"/>
      <c r="T1038" s="5"/>
    </row>
    <row r="1039" spans="6:20" ht="12.75">
      <c r="F1039" s="11"/>
      <c r="G1039" s="19"/>
      <c r="H1039" s="20"/>
      <c r="I1039" s="21"/>
      <c r="K1039" s="5"/>
      <c r="S1039" s="5"/>
      <c r="T1039" s="5"/>
    </row>
    <row r="1040" spans="6:20" ht="12.75">
      <c r="F1040" s="11"/>
      <c r="G1040" s="19"/>
      <c r="H1040" s="20"/>
      <c r="I1040" s="21"/>
      <c r="K1040" s="5"/>
      <c r="S1040" s="5"/>
      <c r="T1040" s="5"/>
    </row>
    <row r="1041" spans="6:20" ht="12.75">
      <c r="F1041" s="11"/>
      <c r="G1041" s="19"/>
      <c r="H1041" s="20"/>
      <c r="I1041" s="21"/>
      <c r="K1041" s="5"/>
      <c r="S1041" s="5"/>
      <c r="T1041" s="5"/>
    </row>
    <row r="1042" spans="6:20" ht="12.75">
      <c r="F1042" s="11"/>
      <c r="G1042" s="19"/>
      <c r="H1042" s="20"/>
      <c r="I1042" s="21"/>
      <c r="K1042" s="5"/>
      <c r="S1042" s="5"/>
      <c r="T1042" s="5"/>
    </row>
    <row r="1043" spans="6:20" ht="12.75">
      <c r="F1043" s="11"/>
      <c r="G1043" s="19"/>
      <c r="H1043" s="20"/>
      <c r="I1043" s="21"/>
      <c r="K1043" s="5"/>
      <c r="S1043" s="5"/>
      <c r="T1043" s="5"/>
    </row>
    <row r="1044" spans="6:20" ht="12.75">
      <c r="F1044" s="11"/>
      <c r="G1044" s="19"/>
      <c r="H1044" s="20"/>
      <c r="I1044" s="21"/>
      <c r="K1044" s="5"/>
      <c r="S1044" s="5"/>
      <c r="T1044" s="5"/>
    </row>
    <row r="1045" spans="6:20" ht="12.75">
      <c r="F1045" s="11"/>
      <c r="G1045" s="19"/>
      <c r="H1045" s="20"/>
      <c r="I1045" s="21"/>
      <c r="K1045" s="5"/>
      <c r="S1045" s="5"/>
      <c r="T1045" s="5"/>
    </row>
    <row r="1046" spans="6:20" ht="12.75">
      <c r="F1046" s="11"/>
      <c r="G1046" s="19"/>
      <c r="H1046" s="20"/>
      <c r="I1046" s="21"/>
      <c r="K1046" s="5"/>
      <c r="S1046" s="5"/>
      <c r="T1046" s="5"/>
    </row>
    <row r="1047" spans="6:20" ht="12.75">
      <c r="F1047" s="11"/>
      <c r="G1047" s="19"/>
      <c r="H1047" s="20"/>
      <c r="I1047" s="21"/>
      <c r="K1047" s="5"/>
      <c r="S1047" s="5"/>
      <c r="T1047" s="5"/>
    </row>
    <row r="1048" spans="6:20" ht="12.75">
      <c r="F1048" s="11"/>
      <c r="G1048" s="19"/>
      <c r="H1048" s="20"/>
      <c r="I1048" s="21"/>
      <c r="K1048" s="5"/>
      <c r="S1048" s="5"/>
      <c r="T1048" s="5"/>
    </row>
    <row r="1049" spans="6:20" ht="12.75">
      <c r="F1049" s="11"/>
      <c r="G1049" s="19"/>
      <c r="H1049" s="20"/>
      <c r="I1049" s="21"/>
      <c r="K1049" s="5"/>
      <c r="S1049" s="5"/>
      <c r="T1049" s="5"/>
    </row>
    <row r="1050" spans="6:20" ht="12.75">
      <c r="F1050" s="11"/>
      <c r="G1050" s="19"/>
      <c r="H1050" s="20"/>
      <c r="I1050" s="21"/>
      <c r="K1050" s="5"/>
      <c r="S1050" s="5"/>
      <c r="T1050" s="5"/>
    </row>
    <row r="1051" spans="6:20" ht="12.75">
      <c r="F1051" s="11"/>
      <c r="G1051" s="19"/>
      <c r="H1051" s="20"/>
      <c r="I1051" s="21"/>
      <c r="K1051" s="5"/>
      <c r="S1051" s="5"/>
      <c r="T1051" s="5"/>
    </row>
    <row r="1052" spans="6:20" ht="12.75">
      <c r="F1052" s="11"/>
      <c r="G1052" s="19"/>
      <c r="H1052" s="20"/>
      <c r="I1052" s="21"/>
      <c r="K1052" s="5"/>
      <c r="S1052" s="5"/>
      <c r="T1052" s="5"/>
    </row>
    <row r="1053" spans="6:20" ht="12.75">
      <c r="F1053" s="11"/>
      <c r="G1053" s="19"/>
      <c r="H1053" s="20"/>
      <c r="I1053" s="21"/>
      <c r="K1053" s="5"/>
      <c r="S1053" s="5"/>
      <c r="T1053" s="5"/>
    </row>
    <row r="1054" spans="6:20" ht="12.75">
      <c r="F1054" s="11"/>
      <c r="G1054" s="19"/>
      <c r="H1054" s="20"/>
      <c r="I1054" s="21"/>
      <c r="K1054" s="5"/>
      <c r="S1054" s="5"/>
      <c r="T1054" s="5"/>
    </row>
    <row r="1055" spans="6:20" ht="12.75">
      <c r="F1055" s="11"/>
      <c r="G1055" s="19"/>
      <c r="H1055" s="20"/>
      <c r="I1055" s="21"/>
      <c r="K1055" s="5"/>
      <c r="S1055" s="5"/>
      <c r="T1055" s="5"/>
    </row>
    <row r="1056" spans="6:20" ht="12.75">
      <c r="F1056" s="11"/>
      <c r="G1056" s="19"/>
      <c r="H1056" s="20"/>
      <c r="I1056" s="21"/>
      <c r="K1056" s="5"/>
      <c r="S1056" s="5"/>
      <c r="T1056" s="5"/>
    </row>
    <row r="1057" spans="6:20" ht="12.75">
      <c r="F1057" s="11"/>
      <c r="G1057" s="19"/>
      <c r="H1057" s="20"/>
      <c r="I1057" s="21"/>
      <c r="K1057" s="5"/>
      <c r="S1057" s="5"/>
      <c r="T1057" s="5"/>
    </row>
    <row r="1058" spans="6:20" ht="12.75">
      <c r="F1058" s="11"/>
      <c r="G1058" s="19"/>
      <c r="H1058" s="20"/>
      <c r="I1058" s="21"/>
      <c r="K1058" s="5"/>
      <c r="S1058" s="5"/>
      <c r="T1058" s="5"/>
    </row>
    <row r="1059" spans="6:20" ht="12.75">
      <c r="F1059" s="11"/>
      <c r="G1059" s="19"/>
      <c r="H1059" s="20"/>
      <c r="I1059" s="21"/>
      <c r="K1059" s="5"/>
      <c r="S1059" s="5"/>
      <c r="T1059" s="5"/>
    </row>
    <row r="1060" spans="6:20" ht="12.75">
      <c r="F1060" s="11"/>
      <c r="G1060" s="19"/>
      <c r="H1060" s="20"/>
      <c r="I1060" s="21"/>
      <c r="K1060" s="5"/>
      <c r="S1060" s="5"/>
      <c r="T1060" s="5"/>
    </row>
    <row r="1061" spans="6:20" ht="12.75">
      <c r="F1061" s="11"/>
      <c r="G1061" s="19"/>
      <c r="H1061" s="20"/>
      <c r="I1061" s="21"/>
      <c r="K1061" s="5"/>
      <c r="S1061" s="5"/>
      <c r="T1061" s="5"/>
    </row>
    <row r="1062" spans="6:20" ht="12.75">
      <c r="F1062" s="11"/>
      <c r="G1062" s="19"/>
      <c r="H1062" s="20"/>
      <c r="I1062" s="21"/>
      <c r="K1062" s="5"/>
      <c r="S1062" s="5"/>
      <c r="T1062" s="5"/>
    </row>
    <row r="1063" spans="6:20" ht="12.75">
      <c r="F1063" s="11"/>
      <c r="G1063" s="19"/>
      <c r="H1063" s="20"/>
      <c r="I1063" s="21"/>
      <c r="K1063" s="5"/>
      <c r="S1063" s="5"/>
      <c r="T1063" s="5"/>
    </row>
    <row r="1064" spans="6:20" ht="12.75">
      <c r="F1064" s="11"/>
      <c r="G1064" s="19"/>
      <c r="H1064" s="20"/>
      <c r="I1064" s="21"/>
      <c r="K1064" s="5"/>
      <c r="S1064" s="5"/>
      <c r="T1064" s="5"/>
    </row>
    <row r="1065" spans="6:20" ht="12.75">
      <c r="F1065" s="11"/>
      <c r="G1065" s="19"/>
      <c r="H1065" s="20"/>
      <c r="I1065" s="21"/>
      <c r="K1065" s="5"/>
      <c r="S1065" s="5"/>
      <c r="T1065" s="5"/>
    </row>
    <row r="1066" spans="6:20" ht="12.75">
      <c r="F1066" s="11"/>
      <c r="G1066" s="19"/>
      <c r="H1066" s="20"/>
      <c r="I1066" s="21"/>
      <c r="K1066" s="5"/>
      <c r="S1066" s="5"/>
      <c r="T1066" s="5"/>
    </row>
    <row r="1067" spans="6:20" ht="12.75">
      <c r="F1067" s="11"/>
      <c r="G1067" s="19"/>
      <c r="H1067" s="20"/>
      <c r="I1067" s="21"/>
      <c r="K1067" s="5"/>
      <c r="S1067" s="5"/>
      <c r="T1067" s="5"/>
    </row>
    <row r="1068" spans="6:20" ht="12.75">
      <c r="F1068" s="11"/>
      <c r="G1068" s="19"/>
      <c r="H1068" s="20"/>
      <c r="I1068" s="21"/>
      <c r="K1068" s="5"/>
      <c r="S1068" s="5"/>
      <c r="T1068" s="5"/>
    </row>
    <row r="1069" spans="6:20" ht="12.75">
      <c r="F1069" s="11"/>
      <c r="G1069" s="19"/>
      <c r="H1069" s="20"/>
      <c r="I1069" s="21"/>
      <c r="K1069" s="5"/>
      <c r="S1069" s="5"/>
      <c r="T1069" s="5"/>
    </row>
    <row r="1070" spans="6:20" ht="12.75">
      <c r="F1070" s="11"/>
      <c r="G1070" s="19"/>
      <c r="H1070" s="20"/>
      <c r="I1070" s="21"/>
      <c r="K1070" s="5"/>
      <c r="S1070" s="5"/>
      <c r="T1070" s="5"/>
    </row>
    <row r="1071" spans="6:20" ht="12.75">
      <c r="F1071" s="11"/>
      <c r="G1071" s="19"/>
      <c r="H1071" s="20"/>
      <c r="I1071" s="21"/>
      <c r="K1071" s="5"/>
      <c r="S1071" s="5"/>
      <c r="T1071" s="5"/>
    </row>
    <row r="1072" spans="6:20" ht="12.75">
      <c r="F1072" s="11"/>
      <c r="G1072" s="19"/>
      <c r="H1072" s="20"/>
      <c r="I1072" s="21"/>
      <c r="K1072" s="5"/>
      <c r="S1072" s="5"/>
      <c r="T1072" s="5"/>
    </row>
    <row r="1073" spans="6:20" ht="12.75">
      <c r="F1073" s="11"/>
      <c r="G1073" s="19"/>
      <c r="H1073" s="20"/>
      <c r="I1073" s="21"/>
      <c r="K1073" s="5"/>
      <c r="S1073" s="5"/>
      <c r="T1073" s="5"/>
    </row>
    <row r="1074" spans="6:20" ht="12.75">
      <c r="F1074" s="11"/>
      <c r="G1074" s="19"/>
      <c r="H1074" s="20"/>
      <c r="I1074" s="21"/>
      <c r="K1074" s="5"/>
      <c r="S1074" s="5"/>
      <c r="T1074" s="5"/>
    </row>
    <row r="1075" spans="6:20" ht="12.75">
      <c r="F1075" s="11"/>
      <c r="G1075" s="19"/>
      <c r="H1075" s="20"/>
      <c r="I1075" s="21"/>
      <c r="K1075" s="5"/>
      <c r="S1075" s="5"/>
      <c r="T1075" s="5"/>
    </row>
    <row r="1076" spans="6:20" ht="12.75">
      <c r="F1076" s="11"/>
      <c r="G1076" s="19"/>
      <c r="H1076" s="20"/>
      <c r="I1076" s="21"/>
      <c r="K1076" s="5"/>
      <c r="S1076" s="5"/>
      <c r="T1076" s="5"/>
    </row>
    <row r="1077" spans="6:20" ht="12.75">
      <c r="F1077" s="11"/>
      <c r="G1077" s="19"/>
      <c r="H1077" s="20"/>
      <c r="I1077" s="21"/>
      <c r="K1077" s="5"/>
      <c r="S1077" s="5"/>
      <c r="T1077" s="5"/>
    </row>
    <row r="1078" spans="6:20" ht="12.75">
      <c r="F1078" s="11"/>
      <c r="G1078" s="19"/>
      <c r="H1078" s="20"/>
      <c r="I1078" s="21"/>
      <c r="K1078" s="5"/>
      <c r="S1078" s="5"/>
      <c r="T1078" s="5"/>
    </row>
    <row r="1079" spans="6:20" ht="12.75">
      <c r="F1079" s="11"/>
      <c r="G1079" s="19"/>
      <c r="H1079" s="20"/>
      <c r="I1079" s="21"/>
      <c r="K1079" s="5"/>
      <c r="S1079" s="5"/>
      <c r="T1079" s="5"/>
    </row>
    <row r="1080" spans="6:20" ht="12.75">
      <c r="F1080" s="11"/>
      <c r="G1080" s="19"/>
      <c r="H1080" s="20"/>
      <c r="I1080" s="21"/>
      <c r="K1080" s="5"/>
      <c r="S1080" s="5"/>
      <c r="T1080" s="5"/>
    </row>
    <row r="1081" spans="6:20" ht="12.75">
      <c r="F1081" s="11"/>
      <c r="G1081" s="19"/>
      <c r="H1081" s="20"/>
      <c r="I1081" s="21"/>
      <c r="K1081" s="5"/>
      <c r="S1081" s="5"/>
      <c r="T1081" s="5"/>
    </row>
    <row r="1082" spans="6:20" ht="12.75">
      <c r="F1082" s="11"/>
      <c r="G1082" s="19"/>
      <c r="H1082" s="20"/>
      <c r="I1082" s="21"/>
      <c r="K1082" s="5"/>
      <c r="S1082" s="5"/>
      <c r="T1082" s="5"/>
    </row>
    <row r="1083" spans="6:20" ht="12.75">
      <c r="F1083" s="11"/>
      <c r="G1083" s="19"/>
      <c r="H1083" s="20"/>
      <c r="I1083" s="21"/>
      <c r="K1083" s="5"/>
      <c r="S1083" s="5"/>
      <c r="T1083" s="5"/>
    </row>
    <row r="1084" spans="6:20" ht="12.75">
      <c r="F1084" s="11"/>
      <c r="G1084" s="19"/>
      <c r="H1084" s="20"/>
      <c r="I1084" s="21"/>
      <c r="K1084" s="5"/>
      <c r="S1084" s="5"/>
      <c r="T1084" s="5"/>
    </row>
    <row r="1085" spans="6:20" ht="12.75">
      <c r="F1085" s="11"/>
      <c r="G1085" s="19"/>
      <c r="H1085" s="20"/>
      <c r="I1085" s="21"/>
      <c r="K1085" s="5"/>
      <c r="S1085" s="5"/>
      <c r="T1085" s="5"/>
    </row>
    <row r="1086" spans="6:20" ht="12.75">
      <c r="F1086" s="11"/>
      <c r="G1086" s="19"/>
      <c r="H1086" s="20"/>
      <c r="I1086" s="21"/>
      <c r="K1086" s="5"/>
      <c r="S1086" s="5"/>
      <c r="T1086" s="5"/>
    </row>
    <row r="1087" spans="6:20" ht="12.75">
      <c r="F1087" s="11"/>
      <c r="G1087" s="19"/>
      <c r="H1087" s="20"/>
      <c r="I1087" s="21"/>
      <c r="K1087" s="5"/>
      <c r="S1087" s="5"/>
      <c r="T1087" s="5"/>
    </row>
    <row r="1088" spans="6:20" ht="12.75">
      <c r="F1088" s="11"/>
      <c r="G1088" s="19"/>
      <c r="H1088" s="20"/>
      <c r="I1088" s="21"/>
      <c r="K1088" s="5"/>
      <c r="S1088" s="5"/>
      <c r="T1088" s="5"/>
    </row>
    <row r="1089" spans="6:20" ht="12.75">
      <c r="F1089" s="11"/>
      <c r="G1089" s="19"/>
      <c r="H1089" s="20"/>
      <c r="I1089" s="21"/>
      <c r="K1089" s="5"/>
      <c r="S1089" s="5"/>
      <c r="T1089" s="5"/>
    </row>
    <row r="1090" spans="6:20" ht="12.75">
      <c r="F1090" s="11"/>
      <c r="G1090" s="19"/>
      <c r="H1090" s="20"/>
      <c r="I1090" s="21"/>
      <c r="K1090" s="5"/>
      <c r="S1090" s="5"/>
      <c r="T1090" s="5"/>
    </row>
    <row r="1091" spans="6:20" ht="12.75">
      <c r="F1091" s="11"/>
      <c r="G1091" s="19"/>
      <c r="H1091" s="20"/>
      <c r="I1091" s="21"/>
      <c r="K1091" s="5"/>
      <c r="S1091" s="5"/>
      <c r="T1091" s="5"/>
    </row>
    <row r="1092" spans="6:20" ht="12.75">
      <c r="F1092" s="11"/>
      <c r="G1092" s="19"/>
      <c r="H1092" s="20"/>
      <c r="I1092" s="21"/>
      <c r="K1092" s="5"/>
      <c r="S1092" s="5"/>
      <c r="T1092" s="5"/>
    </row>
    <row r="1093" spans="6:20" ht="12.75">
      <c r="F1093" s="11"/>
      <c r="G1093" s="19"/>
      <c r="H1093" s="20"/>
      <c r="I1093" s="21"/>
      <c r="K1093" s="5"/>
      <c r="S1093" s="5"/>
      <c r="T1093" s="5"/>
    </row>
    <row r="1094" spans="6:20" ht="12.75">
      <c r="F1094" s="11"/>
      <c r="G1094" s="19"/>
      <c r="H1094" s="20"/>
      <c r="I1094" s="21"/>
      <c r="K1094" s="5"/>
      <c r="S1094" s="5"/>
      <c r="T1094" s="5"/>
    </row>
    <row r="1095" spans="6:20" ht="12.75">
      <c r="F1095" s="11"/>
      <c r="G1095" s="19"/>
      <c r="H1095" s="20"/>
      <c r="I1095" s="21"/>
      <c r="K1095" s="5"/>
      <c r="S1095" s="5"/>
      <c r="T1095" s="5"/>
    </row>
    <row r="1096" spans="6:20" ht="12.75">
      <c r="F1096" s="11"/>
      <c r="G1096" s="19"/>
      <c r="H1096" s="20"/>
      <c r="I1096" s="21"/>
      <c r="K1096" s="5"/>
      <c r="S1096" s="5"/>
      <c r="T1096" s="5"/>
    </row>
    <row r="1097" spans="6:20" ht="12.75">
      <c r="F1097" s="11"/>
      <c r="G1097" s="19"/>
      <c r="H1097" s="20"/>
      <c r="I1097" s="21"/>
      <c r="K1097" s="5"/>
      <c r="S1097" s="5"/>
      <c r="T1097" s="5"/>
    </row>
    <row r="1098" spans="6:20" ht="12.75">
      <c r="F1098" s="11"/>
      <c r="G1098" s="19"/>
      <c r="H1098" s="20"/>
      <c r="I1098" s="21"/>
      <c r="K1098" s="5"/>
      <c r="S1098" s="5"/>
      <c r="T1098" s="5"/>
    </row>
    <row r="1099" spans="6:20" ht="12.75">
      <c r="F1099" s="11"/>
      <c r="G1099" s="19"/>
      <c r="H1099" s="20"/>
      <c r="I1099" s="21"/>
      <c r="K1099" s="5"/>
      <c r="S1099" s="5"/>
      <c r="T1099" s="5"/>
    </row>
    <row r="1100" spans="6:20" ht="12.75">
      <c r="F1100" s="11"/>
      <c r="G1100" s="19"/>
      <c r="H1100" s="20"/>
      <c r="I1100" s="21"/>
      <c r="K1100" s="5"/>
      <c r="S1100" s="5"/>
      <c r="T1100" s="5"/>
    </row>
    <row r="1101" spans="6:20" ht="12.75">
      <c r="F1101" s="11"/>
      <c r="G1101" s="19"/>
      <c r="H1101" s="20"/>
      <c r="I1101" s="21"/>
      <c r="K1101" s="5"/>
      <c r="S1101" s="5"/>
      <c r="T1101" s="5"/>
    </row>
    <row r="1102" spans="6:20" ht="12.75">
      <c r="F1102" s="11"/>
      <c r="G1102" s="19"/>
      <c r="H1102" s="20"/>
      <c r="I1102" s="21"/>
      <c r="K1102" s="5"/>
      <c r="S1102" s="5"/>
      <c r="T1102" s="5"/>
    </row>
    <row r="1103" spans="6:20" ht="12.75">
      <c r="F1103" s="11"/>
      <c r="G1103" s="19"/>
      <c r="H1103" s="20"/>
      <c r="I1103" s="21"/>
      <c r="K1103" s="5"/>
      <c r="S1103" s="5"/>
      <c r="T1103" s="5"/>
    </row>
    <row r="1104" spans="6:20" ht="12.75">
      <c r="F1104" s="11"/>
      <c r="G1104" s="19"/>
      <c r="H1104" s="20"/>
      <c r="I1104" s="21"/>
      <c r="K1104" s="5"/>
      <c r="S1104" s="5"/>
      <c r="T1104" s="5"/>
    </row>
    <row r="1105" spans="6:20" ht="12.75">
      <c r="F1105" s="11"/>
      <c r="G1105" s="19"/>
      <c r="H1105" s="20"/>
      <c r="I1105" s="21"/>
      <c r="K1105" s="5"/>
      <c r="S1105" s="5"/>
      <c r="T1105" s="5"/>
    </row>
    <row r="1106" spans="6:20" ht="12.75">
      <c r="F1106" s="11"/>
      <c r="G1106" s="19"/>
      <c r="H1106" s="20"/>
      <c r="I1106" s="21"/>
      <c r="K1106" s="5"/>
      <c r="S1106" s="5"/>
      <c r="T1106" s="5"/>
    </row>
    <row r="1107" spans="6:20" ht="12.75">
      <c r="F1107" s="11"/>
      <c r="G1107" s="19"/>
      <c r="H1107" s="20"/>
      <c r="I1107" s="21"/>
      <c r="K1107" s="5"/>
      <c r="S1107" s="5"/>
      <c r="T1107" s="5"/>
    </row>
    <row r="1108" spans="6:20" ht="12.75">
      <c r="F1108" s="11"/>
      <c r="G1108" s="19"/>
      <c r="H1108" s="20"/>
      <c r="I1108" s="21"/>
      <c r="K1108" s="5"/>
      <c r="S1108" s="5"/>
      <c r="T1108" s="5"/>
    </row>
    <row r="1109" spans="6:20" ht="12.75">
      <c r="F1109" s="11"/>
      <c r="G1109" s="19"/>
      <c r="H1109" s="20"/>
      <c r="I1109" s="21"/>
      <c r="K1109" s="5"/>
      <c r="S1109" s="5"/>
      <c r="T1109" s="5"/>
    </row>
    <row r="1110" spans="6:20" ht="12.75">
      <c r="F1110" s="11"/>
      <c r="G1110" s="19"/>
      <c r="H1110" s="20"/>
      <c r="I1110" s="21"/>
      <c r="K1110" s="5"/>
      <c r="S1110" s="5"/>
      <c r="T1110" s="5"/>
    </row>
    <row r="1111" spans="6:20" ht="12.75">
      <c r="F1111" s="11"/>
      <c r="G1111" s="19"/>
      <c r="H1111" s="20"/>
      <c r="I1111" s="21"/>
      <c r="K1111" s="5"/>
      <c r="S1111" s="5"/>
      <c r="T1111" s="5"/>
    </row>
    <row r="1112" spans="6:20" ht="12.75">
      <c r="F1112" s="11"/>
      <c r="G1112" s="19"/>
      <c r="H1112" s="20"/>
      <c r="I1112" s="21"/>
      <c r="K1112" s="5"/>
      <c r="S1112" s="5"/>
      <c r="T1112" s="5"/>
    </row>
    <row r="1113" spans="6:20" ht="12.75">
      <c r="F1113" s="11"/>
      <c r="G1113" s="19"/>
      <c r="H1113" s="20"/>
      <c r="I1113" s="21"/>
      <c r="K1113" s="5"/>
      <c r="S1113" s="5"/>
      <c r="T1113" s="5"/>
    </row>
    <row r="1114" spans="6:20" ht="12.75">
      <c r="F1114" s="11"/>
      <c r="G1114" s="19"/>
      <c r="H1114" s="20"/>
      <c r="I1114" s="21"/>
      <c r="K1114" s="5"/>
      <c r="S1114" s="5"/>
      <c r="T1114" s="5"/>
    </row>
    <row r="1115" spans="6:20" ht="12.75">
      <c r="F1115" s="11"/>
      <c r="G1115" s="19"/>
      <c r="H1115" s="20"/>
      <c r="I1115" s="21"/>
      <c r="K1115" s="5"/>
      <c r="S1115" s="5"/>
      <c r="T1115" s="5"/>
    </row>
    <row r="1116" spans="6:20" ht="12.75">
      <c r="F1116" s="11"/>
      <c r="G1116" s="19"/>
      <c r="H1116" s="20"/>
      <c r="I1116" s="21"/>
      <c r="K1116" s="5"/>
      <c r="S1116" s="5"/>
      <c r="T1116" s="5"/>
    </row>
    <row r="1117" spans="6:20" ht="12.75">
      <c r="F1117" s="11"/>
      <c r="G1117" s="19"/>
      <c r="H1117" s="20"/>
      <c r="I1117" s="21"/>
      <c r="K1117" s="5"/>
      <c r="S1117" s="5"/>
      <c r="T1117" s="5"/>
    </row>
    <row r="1118" spans="6:20" ht="12.75">
      <c r="F1118" s="11"/>
      <c r="G1118" s="19"/>
      <c r="H1118" s="20"/>
      <c r="I1118" s="21"/>
      <c r="K1118" s="5"/>
      <c r="S1118" s="5"/>
      <c r="T1118" s="5"/>
    </row>
    <row r="1119" spans="6:20" ht="12.75">
      <c r="F1119" s="11"/>
      <c r="G1119" s="19"/>
      <c r="H1119" s="20"/>
      <c r="I1119" s="21"/>
      <c r="K1119" s="5"/>
      <c r="S1119" s="5"/>
      <c r="T1119" s="5"/>
    </row>
    <row r="1120" spans="6:20" ht="12.75">
      <c r="F1120" s="11"/>
      <c r="G1120" s="19"/>
      <c r="H1120" s="20"/>
      <c r="I1120" s="21"/>
      <c r="K1120" s="5"/>
      <c r="S1120" s="5"/>
      <c r="T1120" s="5"/>
    </row>
    <row r="1121" spans="6:20" ht="12.75">
      <c r="F1121" s="11"/>
      <c r="G1121" s="19"/>
      <c r="H1121" s="20"/>
      <c r="I1121" s="21"/>
      <c r="K1121" s="5"/>
      <c r="S1121" s="5"/>
      <c r="T1121" s="5"/>
    </row>
    <row r="1122" spans="6:20" ht="12.75">
      <c r="F1122" s="11"/>
      <c r="G1122" s="19"/>
      <c r="H1122" s="20"/>
      <c r="I1122" s="21"/>
      <c r="K1122" s="5"/>
      <c r="S1122" s="5"/>
      <c r="T1122" s="5"/>
    </row>
    <row r="1123" spans="6:20" ht="12.75">
      <c r="F1123" s="11"/>
      <c r="G1123" s="19"/>
      <c r="H1123" s="20"/>
      <c r="I1123" s="21"/>
      <c r="K1123" s="5"/>
      <c r="S1123" s="5"/>
      <c r="T1123" s="5"/>
    </row>
    <row r="1124" spans="6:20" ht="12.75">
      <c r="F1124" s="11"/>
      <c r="G1124" s="19"/>
      <c r="H1124" s="20"/>
      <c r="I1124" s="21"/>
      <c r="K1124" s="5"/>
      <c r="S1124" s="5"/>
      <c r="T1124" s="5"/>
    </row>
    <row r="1125" spans="6:20" ht="12.75">
      <c r="F1125" s="11"/>
      <c r="G1125" s="19"/>
      <c r="H1125" s="20"/>
      <c r="I1125" s="21"/>
      <c r="K1125" s="5"/>
      <c r="S1125" s="5"/>
      <c r="T1125" s="5"/>
    </row>
    <row r="1126" spans="6:20" ht="12.75">
      <c r="F1126" s="11"/>
      <c r="G1126" s="19"/>
      <c r="H1126" s="20"/>
      <c r="I1126" s="21"/>
      <c r="K1126" s="5"/>
      <c r="S1126" s="5"/>
      <c r="T1126" s="5"/>
    </row>
    <row r="1127" spans="6:20" ht="12.75">
      <c r="F1127" s="11"/>
      <c r="G1127" s="19"/>
      <c r="H1127" s="20"/>
      <c r="I1127" s="21"/>
      <c r="K1127" s="5"/>
      <c r="S1127" s="5"/>
      <c r="T1127" s="5"/>
    </row>
    <row r="1128" spans="6:20" ht="12.75">
      <c r="F1128" s="11"/>
      <c r="G1128" s="19"/>
      <c r="H1128" s="20"/>
      <c r="I1128" s="21"/>
      <c r="K1128" s="5"/>
      <c r="S1128" s="5"/>
      <c r="T1128" s="5"/>
    </row>
    <row r="1129" spans="6:20" ht="12.75">
      <c r="F1129" s="11"/>
      <c r="G1129" s="19"/>
      <c r="H1129" s="20"/>
      <c r="I1129" s="21"/>
      <c r="K1129" s="5"/>
      <c r="S1129" s="5"/>
      <c r="T1129" s="5"/>
    </row>
    <row r="1130" spans="6:20" ht="12.75">
      <c r="F1130" s="11"/>
      <c r="G1130" s="19"/>
      <c r="H1130" s="20"/>
      <c r="I1130" s="21"/>
      <c r="K1130" s="5"/>
      <c r="S1130" s="5"/>
      <c r="T1130" s="5"/>
    </row>
    <row r="1131" spans="6:20" ht="12.75">
      <c r="F1131" s="11"/>
      <c r="G1131" s="19"/>
      <c r="H1131" s="20"/>
      <c r="I1131" s="21"/>
      <c r="K1131" s="5"/>
      <c r="S1131" s="5"/>
      <c r="T1131" s="5"/>
    </row>
    <row r="1132" spans="6:20" ht="12.75">
      <c r="F1132" s="11"/>
      <c r="G1132" s="19"/>
      <c r="H1132" s="20"/>
      <c r="I1132" s="21"/>
      <c r="K1132" s="5"/>
      <c r="S1132" s="5"/>
      <c r="T1132" s="5"/>
    </row>
    <row r="1133" spans="6:20" ht="12.75">
      <c r="F1133" s="11"/>
      <c r="G1133" s="19"/>
      <c r="H1133" s="20"/>
      <c r="I1133" s="21"/>
      <c r="K1133" s="5"/>
      <c r="S1133" s="5"/>
      <c r="T1133" s="5"/>
    </row>
    <row r="1134" spans="6:20" ht="12.75">
      <c r="F1134" s="11"/>
      <c r="G1134" s="19"/>
      <c r="H1134" s="20"/>
      <c r="I1134" s="21"/>
      <c r="K1134" s="5"/>
      <c r="S1134" s="5"/>
      <c r="T1134" s="5"/>
    </row>
    <row r="1135" spans="6:20" ht="12.75">
      <c r="F1135" s="11"/>
      <c r="G1135" s="19"/>
      <c r="H1135" s="20"/>
      <c r="I1135" s="21"/>
      <c r="K1135" s="5"/>
      <c r="S1135" s="5"/>
      <c r="T1135" s="5"/>
    </row>
    <row r="1136" spans="6:20" ht="12.75">
      <c r="F1136" s="11"/>
      <c r="G1136" s="19"/>
      <c r="H1136" s="20"/>
      <c r="I1136" s="21"/>
      <c r="K1136" s="5"/>
      <c r="S1136" s="5"/>
      <c r="T1136" s="5"/>
    </row>
    <row r="1137" spans="6:20" ht="12.75">
      <c r="F1137" s="11"/>
      <c r="G1137" s="19"/>
      <c r="H1137" s="20"/>
      <c r="I1137" s="21"/>
      <c r="K1137" s="5"/>
      <c r="S1137" s="5"/>
      <c r="T1137" s="5"/>
    </row>
    <row r="1138" spans="6:20" ht="12.75">
      <c r="F1138" s="11"/>
      <c r="G1138" s="19"/>
      <c r="H1138" s="20"/>
      <c r="I1138" s="21"/>
      <c r="K1138" s="5"/>
      <c r="S1138" s="5"/>
      <c r="T1138" s="5"/>
    </row>
    <row r="1139" spans="6:20" ht="12.75">
      <c r="F1139" s="11"/>
      <c r="G1139" s="19"/>
      <c r="H1139" s="20"/>
      <c r="I1139" s="21"/>
      <c r="K1139" s="5"/>
      <c r="S1139" s="5"/>
      <c r="T1139" s="5"/>
    </row>
    <row r="1140" spans="6:20" ht="12.75">
      <c r="F1140" s="11"/>
      <c r="G1140" s="19"/>
      <c r="H1140" s="20"/>
      <c r="I1140" s="21"/>
      <c r="K1140" s="5"/>
      <c r="S1140" s="5"/>
      <c r="T1140" s="5"/>
    </row>
    <row r="1141" spans="6:20" ht="12.75">
      <c r="F1141" s="11"/>
      <c r="G1141" s="19"/>
      <c r="H1141" s="20"/>
      <c r="I1141" s="21"/>
      <c r="K1141" s="5"/>
      <c r="S1141" s="5"/>
      <c r="T1141" s="5"/>
    </row>
    <row r="1142" spans="6:20" ht="12.75">
      <c r="F1142" s="11"/>
      <c r="G1142" s="19"/>
      <c r="H1142" s="20"/>
      <c r="I1142" s="21"/>
      <c r="K1142" s="5"/>
      <c r="S1142" s="5"/>
      <c r="T1142" s="5"/>
    </row>
    <row r="1143" spans="6:20" ht="12.75">
      <c r="F1143" s="11"/>
      <c r="G1143" s="19"/>
      <c r="H1143" s="20"/>
      <c r="I1143" s="21"/>
      <c r="K1143" s="5"/>
      <c r="S1143" s="5"/>
      <c r="T1143" s="5"/>
    </row>
    <row r="1144" spans="6:20" ht="12.75">
      <c r="F1144" s="11"/>
      <c r="G1144" s="19"/>
      <c r="H1144" s="20"/>
      <c r="I1144" s="21"/>
      <c r="K1144" s="5"/>
      <c r="S1144" s="5"/>
      <c r="T1144" s="5"/>
    </row>
    <row r="1145" spans="6:20" ht="12.75">
      <c r="F1145" s="11"/>
      <c r="G1145" s="19"/>
      <c r="H1145" s="20"/>
      <c r="I1145" s="21"/>
      <c r="K1145" s="5"/>
      <c r="S1145" s="5"/>
      <c r="T1145" s="5"/>
    </row>
    <row r="1146" spans="6:20" ht="12.75">
      <c r="F1146" s="11"/>
      <c r="G1146" s="19"/>
      <c r="H1146" s="20"/>
      <c r="I1146" s="21"/>
      <c r="K1146" s="5"/>
      <c r="S1146" s="5"/>
      <c r="T1146" s="5"/>
    </row>
    <row r="1147" spans="6:20" ht="12.75">
      <c r="F1147" s="11"/>
      <c r="G1147" s="19"/>
      <c r="H1147" s="20"/>
      <c r="I1147" s="21"/>
      <c r="K1147" s="5"/>
      <c r="S1147" s="5"/>
      <c r="T1147" s="5"/>
    </row>
    <row r="1148" spans="6:20" ht="12.75">
      <c r="F1148" s="11"/>
      <c r="G1148" s="19"/>
      <c r="H1148" s="20"/>
      <c r="I1148" s="21"/>
      <c r="K1148" s="5"/>
      <c r="S1148" s="5"/>
      <c r="T1148" s="5"/>
    </row>
    <row r="1149" spans="6:20" ht="12.75">
      <c r="F1149" s="11"/>
      <c r="G1149" s="19"/>
      <c r="H1149" s="20"/>
      <c r="I1149" s="21"/>
      <c r="K1149" s="5"/>
      <c r="S1149" s="5"/>
      <c r="T1149" s="5"/>
    </row>
    <row r="1150" spans="6:20" ht="12.75">
      <c r="F1150" s="11"/>
      <c r="G1150" s="19"/>
      <c r="H1150" s="20"/>
      <c r="I1150" s="21"/>
      <c r="K1150" s="5"/>
      <c r="S1150" s="5"/>
      <c r="T1150" s="5"/>
    </row>
    <row r="1151" spans="6:20" ht="12.75">
      <c r="F1151" s="11"/>
      <c r="G1151" s="19"/>
      <c r="H1151" s="20"/>
      <c r="I1151" s="21"/>
      <c r="K1151" s="5"/>
      <c r="S1151" s="5"/>
      <c r="T1151" s="5"/>
    </row>
    <row r="1152" spans="6:20" ht="12.75">
      <c r="F1152" s="11"/>
      <c r="G1152" s="19"/>
      <c r="H1152" s="20"/>
      <c r="I1152" s="21"/>
      <c r="K1152" s="5"/>
      <c r="S1152" s="5"/>
      <c r="T1152" s="5"/>
    </row>
    <row r="1153" spans="6:20" ht="12.75">
      <c r="F1153" s="11"/>
      <c r="G1153" s="19"/>
      <c r="H1153" s="20"/>
      <c r="I1153" s="21"/>
      <c r="K1153" s="5"/>
      <c r="S1153" s="5"/>
      <c r="T1153" s="5"/>
    </row>
    <row r="1154" spans="6:20" ht="12.75">
      <c r="F1154" s="11"/>
      <c r="G1154" s="19"/>
      <c r="H1154" s="20"/>
      <c r="I1154" s="21"/>
      <c r="K1154" s="5"/>
      <c r="S1154" s="5"/>
      <c r="T1154" s="5"/>
    </row>
    <row r="1155" spans="6:20" ht="12.75">
      <c r="F1155" s="11"/>
      <c r="G1155" s="19"/>
      <c r="H1155" s="20"/>
      <c r="I1155" s="21"/>
      <c r="K1155" s="5"/>
      <c r="S1155" s="5"/>
      <c r="T1155" s="5"/>
    </row>
    <row r="1156" spans="6:20" ht="12.75">
      <c r="F1156" s="11"/>
      <c r="G1156" s="19"/>
      <c r="H1156" s="20"/>
      <c r="I1156" s="21"/>
      <c r="K1156" s="5"/>
      <c r="S1156" s="5"/>
      <c r="T1156" s="5"/>
    </row>
    <row r="1157" spans="6:20" ht="12.75">
      <c r="F1157" s="11"/>
      <c r="G1157" s="19"/>
      <c r="H1157" s="20"/>
      <c r="I1157" s="21"/>
      <c r="K1157" s="5"/>
      <c r="S1157" s="5"/>
      <c r="T1157" s="5"/>
    </row>
    <row r="1158" spans="6:20" ht="12.75">
      <c r="F1158" s="11"/>
      <c r="G1158" s="19"/>
      <c r="H1158" s="20"/>
      <c r="I1158" s="21"/>
      <c r="K1158" s="5"/>
      <c r="S1158" s="5"/>
      <c r="T1158" s="5"/>
    </row>
    <row r="1159" spans="6:20" ht="12.75">
      <c r="F1159" s="11"/>
      <c r="G1159" s="19"/>
      <c r="H1159" s="20"/>
      <c r="I1159" s="21"/>
      <c r="K1159" s="5"/>
      <c r="S1159" s="5"/>
      <c r="T1159" s="5"/>
    </row>
    <row r="1160" spans="6:20" ht="12.75">
      <c r="F1160" s="11"/>
      <c r="G1160" s="19"/>
      <c r="H1160" s="20"/>
      <c r="I1160" s="21"/>
      <c r="K1160" s="5"/>
      <c r="S1160" s="5"/>
      <c r="T1160" s="5"/>
    </row>
    <row r="1161" spans="6:20" ht="12.75">
      <c r="F1161" s="11"/>
      <c r="G1161" s="19"/>
      <c r="H1161" s="20"/>
      <c r="I1161" s="21"/>
      <c r="K1161" s="5"/>
      <c r="S1161" s="5"/>
      <c r="T1161" s="5"/>
    </row>
    <row r="1162" spans="6:20" ht="12.75">
      <c r="F1162" s="11"/>
      <c r="G1162" s="19"/>
      <c r="H1162" s="20"/>
      <c r="I1162" s="21"/>
      <c r="K1162" s="5"/>
      <c r="S1162" s="5"/>
      <c r="T1162" s="5"/>
    </row>
    <row r="1163" spans="6:20" ht="12.75">
      <c r="F1163" s="11"/>
      <c r="G1163" s="19"/>
      <c r="H1163" s="20"/>
      <c r="I1163" s="21"/>
      <c r="K1163" s="5"/>
      <c r="S1163" s="5"/>
      <c r="T1163" s="5"/>
    </row>
    <row r="1164" spans="6:20" ht="12.75">
      <c r="F1164" s="11"/>
      <c r="G1164" s="19"/>
      <c r="H1164" s="20"/>
      <c r="I1164" s="21"/>
      <c r="K1164" s="5"/>
      <c r="S1164" s="5"/>
      <c r="T1164" s="5"/>
    </row>
    <row r="1165" spans="6:20" ht="12.75">
      <c r="F1165" s="11"/>
      <c r="G1165" s="19"/>
      <c r="H1165" s="20"/>
      <c r="I1165" s="21"/>
      <c r="K1165" s="5"/>
      <c r="S1165" s="5"/>
      <c r="T1165" s="5"/>
    </row>
    <row r="1166" spans="6:20" ht="12.75">
      <c r="F1166" s="11"/>
      <c r="G1166" s="19"/>
      <c r="H1166" s="20"/>
      <c r="I1166" s="21"/>
      <c r="K1166" s="5"/>
      <c r="S1166" s="5"/>
      <c r="T1166" s="5"/>
    </row>
    <row r="1167" spans="6:20" ht="12.75">
      <c r="F1167" s="11"/>
      <c r="G1167" s="19"/>
      <c r="H1167" s="20"/>
      <c r="I1167" s="21"/>
      <c r="K1167" s="5"/>
      <c r="S1167" s="5"/>
      <c r="T1167" s="5"/>
    </row>
    <row r="1168" spans="6:20" ht="12.75">
      <c r="F1168" s="11"/>
      <c r="G1168" s="19"/>
      <c r="H1168" s="20"/>
      <c r="I1168" s="21"/>
      <c r="K1168" s="5"/>
      <c r="S1168" s="5"/>
      <c r="T1168" s="5"/>
    </row>
    <row r="1169" spans="6:20" ht="12.75">
      <c r="F1169" s="11"/>
      <c r="G1169" s="19"/>
      <c r="H1169" s="20"/>
      <c r="I1169" s="21"/>
      <c r="K1169" s="5"/>
      <c r="S1169" s="5"/>
      <c r="T1169" s="5"/>
    </row>
    <row r="1170" spans="6:20" ht="12.75">
      <c r="F1170" s="11"/>
      <c r="G1170" s="19"/>
      <c r="H1170" s="20"/>
      <c r="I1170" s="21"/>
      <c r="K1170" s="5"/>
      <c r="S1170" s="5"/>
      <c r="T1170" s="5"/>
    </row>
    <row r="1171" spans="6:20" ht="12.75">
      <c r="F1171" s="11"/>
      <c r="G1171" s="19"/>
      <c r="H1171" s="20"/>
      <c r="I1171" s="21"/>
      <c r="K1171" s="5"/>
      <c r="S1171" s="5"/>
      <c r="T1171" s="5"/>
    </row>
    <row r="1172" spans="6:20" ht="12.75">
      <c r="F1172" s="11"/>
      <c r="G1172" s="19"/>
      <c r="H1172" s="20"/>
      <c r="I1172" s="21"/>
      <c r="K1172" s="5"/>
      <c r="S1172" s="5"/>
      <c r="T1172" s="5"/>
    </row>
    <row r="1173" spans="6:20" ht="12.75">
      <c r="F1173" s="11"/>
      <c r="G1173" s="19"/>
      <c r="H1173" s="20"/>
      <c r="I1173" s="21"/>
      <c r="K1173" s="5"/>
      <c r="S1173" s="5"/>
      <c r="T1173" s="5"/>
    </row>
    <row r="1174" spans="6:20" ht="12.75">
      <c r="F1174" s="11"/>
      <c r="G1174" s="19"/>
      <c r="H1174" s="20"/>
      <c r="I1174" s="21"/>
      <c r="K1174" s="5"/>
      <c r="S1174" s="5"/>
      <c r="T1174" s="5"/>
    </row>
    <row r="1175" spans="6:20" ht="12.75">
      <c r="F1175" s="11"/>
      <c r="G1175" s="19"/>
      <c r="H1175" s="20"/>
      <c r="I1175" s="21"/>
      <c r="K1175" s="5"/>
      <c r="S1175" s="5"/>
      <c r="T1175" s="5"/>
    </row>
    <row r="1176" spans="6:20" ht="12.75">
      <c r="F1176" s="11"/>
      <c r="G1176" s="19"/>
      <c r="H1176" s="20"/>
      <c r="I1176" s="21"/>
      <c r="K1176" s="5"/>
      <c r="S1176" s="5"/>
      <c r="T1176" s="5"/>
    </row>
    <row r="1177" spans="6:20" ht="12.75">
      <c r="F1177" s="11"/>
      <c r="G1177" s="19"/>
      <c r="H1177" s="20"/>
      <c r="I1177" s="21"/>
      <c r="K1177" s="5"/>
      <c r="S1177" s="5"/>
      <c r="T1177" s="5"/>
    </row>
    <row r="1178" spans="6:20" ht="12.75">
      <c r="F1178" s="11"/>
      <c r="G1178" s="19"/>
      <c r="H1178" s="20"/>
      <c r="I1178" s="21"/>
      <c r="K1178" s="5"/>
      <c r="S1178" s="5"/>
      <c r="T1178" s="5"/>
    </row>
    <row r="1179" spans="6:20" ht="12.75">
      <c r="F1179" s="11"/>
      <c r="G1179" s="19"/>
      <c r="H1179" s="20"/>
      <c r="I1179" s="21"/>
      <c r="K1179" s="5"/>
      <c r="S1179" s="5"/>
      <c r="T1179" s="5"/>
    </row>
    <row r="1180" spans="6:20" ht="12.75">
      <c r="F1180" s="11"/>
      <c r="G1180" s="19"/>
      <c r="H1180" s="20"/>
      <c r="I1180" s="21"/>
      <c r="K1180" s="5"/>
      <c r="S1180" s="5"/>
      <c r="T1180" s="5"/>
    </row>
    <row r="1181" spans="6:20" ht="12.75">
      <c r="F1181" s="11"/>
      <c r="G1181" s="19"/>
      <c r="H1181" s="20"/>
      <c r="I1181" s="21"/>
      <c r="K1181" s="5"/>
      <c r="S1181" s="5"/>
      <c r="T1181" s="5"/>
    </row>
    <row r="1182" spans="6:20" ht="12.75">
      <c r="F1182" s="11"/>
      <c r="G1182" s="19"/>
      <c r="H1182" s="20"/>
      <c r="I1182" s="21"/>
      <c r="K1182" s="5"/>
      <c r="S1182" s="5"/>
      <c r="T1182" s="5"/>
    </row>
    <row r="1183" spans="6:20" ht="12.75">
      <c r="F1183" s="11"/>
      <c r="G1183" s="19"/>
      <c r="H1183" s="20"/>
      <c r="I1183" s="21"/>
      <c r="K1183" s="5"/>
      <c r="S1183" s="5"/>
      <c r="T1183" s="5"/>
    </row>
    <row r="1184" spans="6:20" ht="12.75">
      <c r="F1184" s="11"/>
      <c r="G1184" s="19"/>
      <c r="H1184" s="20"/>
      <c r="I1184" s="21"/>
      <c r="K1184" s="5"/>
      <c r="S1184" s="5"/>
      <c r="T1184" s="5"/>
    </row>
    <row r="1185" spans="6:20" ht="12.75">
      <c r="F1185" s="11"/>
      <c r="G1185" s="19"/>
      <c r="H1185" s="20"/>
      <c r="I1185" s="21"/>
      <c r="K1185" s="5"/>
      <c r="S1185" s="5"/>
      <c r="T1185" s="5"/>
    </row>
    <row r="1186" spans="6:20" ht="12.75">
      <c r="F1186" s="11"/>
      <c r="G1186" s="19"/>
      <c r="H1186" s="20"/>
      <c r="I1186" s="21"/>
      <c r="K1186" s="5"/>
      <c r="S1186" s="5"/>
      <c r="T1186" s="5"/>
    </row>
    <row r="1187" spans="6:20" ht="12.75">
      <c r="F1187" s="11"/>
      <c r="G1187" s="19"/>
      <c r="H1187" s="20"/>
      <c r="I1187" s="21"/>
      <c r="K1187" s="5"/>
      <c r="S1187" s="5"/>
      <c r="T1187" s="5"/>
    </row>
    <row r="1188" spans="6:20" ht="12.75">
      <c r="F1188" s="11"/>
      <c r="G1188" s="19"/>
      <c r="H1188" s="20"/>
      <c r="I1188" s="21"/>
      <c r="K1188" s="5"/>
      <c r="S1188" s="5"/>
      <c r="T1188" s="5"/>
    </row>
    <row r="1189" spans="6:20" ht="12.75">
      <c r="F1189" s="11"/>
      <c r="G1189" s="19"/>
      <c r="H1189" s="20"/>
      <c r="I1189" s="21"/>
      <c r="K1189" s="5"/>
      <c r="S1189" s="5"/>
      <c r="T1189" s="5"/>
    </row>
    <row r="1190" spans="6:20" ht="12.75">
      <c r="F1190" s="11"/>
      <c r="G1190" s="19"/>
      <c r="H1190" s="20"/>
      <c r="I1190" s="21"/>
      <c r="K1190" s="5"/>
      <c r="S1190" s="5"/>
      <c r="T1190" s="5"/>
    </row>
    <row r="1191" spans="6:20" ht="12.75">
      <c r="F1191" s="11"/>
      <c r="G1191" s="19"/>
      <c r="H1191" s="20"/>
      <c r="I1191" s="21"/>
      <c r="K1191" s="5"/>
      <c r="S1191" s="5"/>
      <c r="T1191" s="5"/>
    </row>
    <row r="1192" spans="6:20" ht="12.75">
      <c r="F1192" s="11"/>
      <c r="G1192" s="19"/>
      <c r="H1192" s="20"/>
      <c r="I1192" s="21"/>
      <c r="K1192" s="5"/>
      <c r="S1192" s="5"/>
      <c r="T1192" s="5"/>
    </row>
    <row r="1193" spans="6:20" ht="12.75">
      <c r="F1193" s="11"/>
      <c r="G1193" s="19"/>
      <c r="H1193" s="20"/>
      <c r="I1193" s="21"/>
      <c r="K1193" s="5"/>
      <c r="S1193" s="5"/>
      <c r="T1193" s="5"/>
    </row>
    <row r="1194" spans="6:20" ht="12.75">
      <c r="F1194" s="11"/>
      <c r="G1194" s="19"/>
      <c r="H1194" s="20"/>
      <c r="I1194" s="21"/>
      <c r="K1194" s="5"/>
      <c r="S1194" s="5"/>
      <c r="T1194" s="5"/>
    </row>
    <row r="1195" spans="6:20" ht="12.75">
      <c r="F1195" s="11"/>
      <c r="G1195" s="19"/>
      <c r="H1195" s="20"/>
      <c r="I1195" s="21"/>
      <c r="K1195" s="5"/>
      <c r="S1195" s="5"/>
      <c r="T1195" s="5"/>
    </row>
    <row r="1196" spans="6:20" ht="12.75">
      <c r="F1196" s="11"/>
      <c r="G1196" s="19"/>
      <c r="H1196" s="20"/>
      <c r="I1196" s="21"/>
      <c r="K1196" s="5"/>
      <c r="S1196" s="5"/>
      <c r="T1196" s="5"/>
    </row>
    <row r="1197" spans="6:20" ht="12.75">
      <c r="F1197" s="11"/>
      <c r="G1197" s="19"/>
      <c r="H1197" s="20"/>
      <c r="I1197" s="21"/>
      <c r="K1197" s="5"/>
      <c r="S1197" s="5"/>
      <c r="T1197" s="5"/>
    </row>
    <row r="1198" spans="6:20" ht="12.75">
      <c r="F1198" s="11"/>
      <c r="G1198" s="19"/>
      <c r="H1198" s="20"/>
      <c r="I1198" s="21"/>
      <c r="K1198" s="5"/>
      <c r="S1198" s="5"/>
      <c r="T1198" s="5"/>
    </row>
    <row r="1199" spans="6:20" ht="12.75">
      <c r="F1199" s="11"/>
      <c r="G1199" s="19"/>
      <c r="H1199" s="20"/>
      <c r="I1199" s="21"/>
      <c r="K1199" s="5"/>
      <c r="S1199" s="5"/>
      <c r="T1199" s="5"/>
    </row>
    <row r="1200" spans="6:20" ht="12.75">
      <c r="F1200" s="11"/>
      <c r="G1200" s="19"/>
      <c r="H1200" s="20"/>
      <c r="I1200" s="21"/>
      <c r="K1200" s="5"/>
      <c r="S1200" s="5"/>
      <c r="T1200" s="5"/>
    </row>
    <row r="1201" spans="6:20" ht="12.75">
      <c r="F1201" s="11"/>
      <c r="G1201" s="19"/>
      <c r="H1201" s="20"/>
      <c r="I1201" s="21"/>
      <c r="K1201" s="5"/>
      <c r="S1201" s="5"/>
      <c r="T1201" s="5"/>
    </row>
    <row r="1202" spans="6:20" ht="12.75">
      <c r="F1202" s="11"/>
      <c r="G1202" s="19"/>
      <c r="H1202" s="20"/>
      <c r="I1202" s="21"/>
      <c r="K1202" s="5"/>
      <c r="S1202" s="5"/>
      <c r="T1202" s="5"/>
    </row>
    <row r="1203" spans="6:20" ht="12.75">
      <c r="F1203" s="11"/>
      <c r="G1203" s="19"/>
      <c r="H1203" s="20"/>
      <c r="I1203" s="21"/>
      <c r="K1203" s="5"/>
      <c r="S1203" s="5"/>
      <c r="T1203" s="5"/>
    </row>
    <row r="1204" spans="6:20" ht="12.75">
      <c r="F1204" s="11"/>
      <c r="G1204" s="19"/>
      <c r="H1204" s="20"/>
      <c r="I1204" s="21"/>
      <c r="K1204" s="5"/>
      <c r="S1204" s="5"/>
      <c r="T1204" s="5"/>
    </row>
    <row r="1205" spans="6:20" ht="12.75">
      <c r="F1205" s="11"/>
      <c r="G1205" s="19"/>
      <c r="H1205" s="20"/>
      <c r="I1205" s="21"/>
      <c r="K1205" s="5"/>
      <c r="S1205" s="5"/>
      <c r="T1205" s="5"/>
    </row>
    <row r="1206" spans="6:20" ht="12.75">
      <c r="F1206" s="11"/>
      <c r="G1206" s="19"/>
      <c r="H1206" s="20"/>
      <c r="I1206" s="21"/>
      <c r="K1206" s="5"/>
      <c r="S1206" s="5"/>
      <c r="T1206" s="5"/>
    </row>
    <row r="1207" spans="6:20" ht="12.75">
      <c r="F1207" s="11"/>
      <c r="G1207" s="19"/>
      <c r="H1207" s="20"/>
      <c r="I1207" s="21"/>
      <c r="K1207" s="5"/>
      <c r="S1207" s="5"/>
      <c r="T1207" s="5"/>
    </row>
    <row r="1208" spans="6:20" ht="12.75">
      <c r="F1208" s="11"/>
      <c r="G1208" s="19"/>
      <c r="H1208" s="20"/>
      <c r="I1208" s="21"/>
      <c r="K1208" s="5"/>
      <c r="S1208" s="5"/>
      <c r="T1208" s="5"/>
    </row>
    <row r="1209" spans="6:20" ht="12.75">
      <c r="F1209" s="11"/>
      <c r="G1209" s="19"/>
      <c r="H1209" s="20"/>
      <c r="I1209" s="21"/>
      <c r="K1209" s="5"/>
      <c r="S1209" s="5"/>
      <c r="T1209" s="5"/>
    </row>
    <row r="1210" spans="6:20" ht="12.75">
      <c r="F1210" s="11"/>
      <c r="G1210" s="19"/>
      <c r="H1210" s="20"/>
      <c r="I1210" s="21"/>
      <c r="K1210" s="5"/>
      <c r="S1210" s="5"/>
      <c r="T1210" s="5"/>
    </row>
    <row r="1211" spans="6:20" ht="12.75">
      <c r="F1211" s="11"/>
      <c r="G1211" s="19"/>
      <c r="H1211" s="20"/>
      <c r="I1211" s="21"/>
      <c r="K1211" s="5"/>
      <c r="S1211" s="5"/>
      <c r="T1211" s="5"/>
    </row>
    <row r="1212" spans="6:20" ht="12.75">
      <c r="F1212" s="11"/>
      <c r="G1212" s="19"/>
      <c r="H1212" s="20"/>
      <c r="I1212" s="21"/>
      <c r="K1212" s="5"/>
      <c r="S1212" s="5"/>
      <c r="T1212" s="5"/>
    </row>
    <row r="1213" spans="6:20" ht="12.75">
      <c r="F1213" s="11"/>
      <c r="G1213" s="19"/>
      <c r="H1213" s="20"/>
      <c r="I1213" s="21"/>
      <c r="K1213" s="5"/>
      <c r="S1213" s="5"/>
      <c r="T1213" s="5"/>
    </row>
    <row r="1214" spans="6:20" ht="12.75">
      <c r="F1214" s="11"/>
      <c r="G1214" s="19"/>
      <c r="H1214" s="20"/>
      <c r="I1214" s="21"/>
      <c r="K1214" s="5"/>
      <c r="S1214" s="5"/>
      <c r="T1214" s="5"/>
    </row>
    <row r="1215" spans="6:20" ht="12.75">
      <c r="F1215" s="11"/>
      <c r="G1215" s="19"/>
      <c r="H1215" s="20"/>
      <c r="I1215" s="21"/>
      <c r="K1215" s="5"/>
      <c r="S1215" s="5"/>
      <c r="T1215" s="5"/>
    </row>
    <row r="1216" spans="6:20" ht="12.75">
      <c r="F1216" s="11"/>
      <c r="G1216" s="19"/>
      <c r="H1216" s="20"/>
      <c r="I1216" s="21"/>
      <c r="K1216" s="5"/>
      <c r="S1216" s="5"/>
      <c r="T1216" s="5"/>
    </row>
    <row r="1217" spans="6:20" ht="12.75">
      <c r="F1217" s="11"/>
      <c r="G1217" s="19"/>
      <c r="H1217" s="20"/>
      <c r="I1217" s="21"/>
      <c r="K1217" s="5"/>
      <c r="S1217" s="5"/>
      <c r="T1217" s="5"/>
    </row>
    <row r="1218" spans="6:20" ht="12.75">
      <c r="F1218" s="11"/>
      <c r="G1218" s="19"/>
      <c r="H1218" s="20"/>
      <c r="I1218" s="21"/>
      <c r="K1218" s="5"/>
      <c r="S1218" s="5"/>
      <c r="T1218" s="5"/>
    </row>
    <row r="1219" spans="6:20" ht="12.75">
      <c r="F1219" s="11"/>
      <c r="G1219" s="19"/>
      <c r="H1219" s="20"/>
      <c r="I1219" s="21"/>
      <c r="K1219" s="5"/>
      <c r="S1219" s="5"/>
      <c r="T1219" s="5"/>
    </row>
    <row r="1220" spans="6:20" ht="12.75">
      <c r="F1220" s="11"/>
      <c r="G1220" s="19"/>
      <c r="H1220" s="20"/>
      <c r="I1220" s="21"/>
      <c r="K1220" s="5"/>
      <c r="S1220" s="5"/>
      <c r="T1220" s="5"/>
    </row>
    <row r="1221" spans="6:20" ht="12.75">
      <c r="F1221" s="11"/>
      <c r="G1221" s="19"/>
      <c r="H1221" s="20"/>
      <c r="I1221" s="21"/>
      <c r="K1221" s="5"/>
      <c r="S1221" s="5"/>
      <c r="T1221" s="5"/>
    </row>
    <row r="1222" spans="6:20" ht="12.75">
      <c r="F1222" s="11"/>
      <c r="G1222" s="19"/>
      <c r="H1222" s="20"/>
      <c r="I1222" s="21"/>
      <c r="K1222" s="5"/>
      <c r="S1222" s="5"/>
      <c r="T1222" s="5"/>
    </row>
    <row r="1223" spans="6:20" ht="12.75">
      <c r="F1223" s="11"/>
      <c r="G1223" s="19"/>
      <c r="H1223" s="20"/>
      <c r="I1223" s="21"/>
      <c r="K1223" s="5"/>
      <c r="S1223" s="5"/>
      <c r="T1223" s="5"/>
    </row>
    <row r="1224" spans="6:20" ht="12.75">
      <c r="F1224" s="11"/>
      <c r="G1224" s="19"/>
      <c r="H1224" s="20"/>
      <c r="I1224" s="21"/>
      <c r="K1224" s="5"/>
      <c r="S1224" s="5"/>
      <c r="T1224" s="5"/>
    </row>
    <row r="1225" spans="6:20" ht="12.75">
      <c r="F1225" s="11"/>
      <c r="G1225" s="19"/>
      <c r="H1225" s="20"/>
      <c r="I1225" s="21"/>
      <c r="K1225" s="5"/>
      <c r="S1225" s="5"/>
      <c r="T1225" s="5"/>
    </row>
    <row r="1226" spans="6:20" ht="12.75">
      <c r="F1226" s="11"/>
      <c r="G1226" s="19"/>
      <c r="H1226" s="20"/>
      <c r="I1226" s="21"/>
      <c r="K1226" s="5"/>
      <c r="S1226" s="5"/>
      <c r="T1226" s="5"/>
    </row>
    <row r="1227" spans="6:20" ht="12.75">
      <c r="F1227" s="11"/>
      <c r="G1227" s="19"/>
      <c r="H1227" s="20"/>
      <c r="I1227" s="21"/>
      <c r="K1227" s="5"/>
      <c r="S1227" s="5"/>
      <c r="T1227" s="5"/>
    </row>
    <row r="1228" spans="6:20" ht="12.75">
      <c r="F1228" s="11"/>
      <c r="G1228" s="19"/>
      <c r="H1228" s="20"/>
      <c r="I1228" s="21"/>
      <c r="K1228" s="5"/>
      <c r="S1228" s="5"/>
      <c r="T1228" s="5"/>
    </row>
    <row r="1229" spans="6:20" ht="12.75">
      <c r="F1229" s="11"/>
      <c r="G1229" s="19"/>
      <c r="H1229" s="20"/>
      <c r="I1229" s="21"/>
      <c r="K1229" s="5"/>
      <c r="S1229" s="5"/>
      <c r="T1229" s="5"/>
    </row>
    <row r="1230" spans="6:20" ht="12.75">
      <c r="F1230" s="11"/>
      <c r="G1230" s="19"/>
      <c r="H1230" s="20"/>
      <c r="I1230" s="21"/>
      <c r="K1230" s="5"/>
      <c r="S1230" s="5"/>
      <c r="T1230" s="5"/>
    </row>
    <row r="1231" spans="6:20" ht="12.75">
      <c r="F1231" s="11"/>
      <c r="G1231" s="19"/>
      <c r="H1231" s="20"/>
      <c r="I1231" s="21"/>
      <c r="K1231" s="5"/>
      <c r="S1231" s="5"/>
      <c r="T1231" s="5"/>
    </row>
    <row r="1232" spans="6:20" ht="12.75">
      <c r="F1232" s="11"/>
      <c r="G1232" s="19"/>
      <c r="H1232" s="20"/>
      <c r="I1232" s="21"/>
      <c r="K1232" s="5"/>
      <c r="S1232" s="5"/>
      <c r="T1232" s="5"/>
    </row>
    <row r="1233" spans="6:20" ht="12.75">
      <c r="F1233" s="11"/>
      <c r="G1233" s="19"/>
      <c r="H1233" s="20"/>
      <c r="I1233" s="21"/>
      <c r="K1233" s="5"/>
      <c r="S1233" s="5"/>
      <c r="T1233" s="5"/>
    </row>
    <row r="1234" spans="6:20" ht="12.75">
      <c r="F1234" s="11"/>
      <c r="G1234" s="19"/>
      <c r="H1234" s="20"/>
      <c r="I1234" s="21"/>
      <c r="K1234" s="5"/>
      <c r="S1234" s="5"/>
      <c r="T1234" s="5"/>
    </row>
    <row r="1235" spans="6:20" ht="12.75">
      <c r="F1235" s="11"/>
      <c r="G1235" s="19"/>
      <c r="H1235" s="20"/>
      <c r="I1235" s="21"/>
      <c r="K1235" s="5"/>
      <c r="S1235" s="5"/>
      <c r="T1235" s="5"/>
    </row>
    <row r="1236" spans="6:20" ht="12.75">
      <c r="F1236" s="11"/>
      <c r="G1236" s="19"/>
      <c r="H1236" s="20"/>
      <c r="I1236" s="21"/>
      <c r="K1236" s="5"/>
      <c r="S1236" s="5"/>
      <c r="T1236" s="5"/>
    </row>
    <row r="1237" spans="6:20" ht="12.75">
      <c r="F1237" s="11"/>
      <c r="G1237" s="19"/>
      <c r="H1237" s="20"/>
      <c r="I1237" s="21"/>
      <c r="K1237" s="5"/>
      <c r="S1237" s="5"/>
      <c r="T1237" s="5"/>
    </row>
    <row r="1238" spans="6:20" ht="12.75">
      <c r="F1238" s="11"/>
      <c r="G1238" s="19"/>
      <c r="H1238" s="20"/>
      <c r="I1238" s="21"/>
      <c r="K1238" s="5"/>
      <c r="S1238" s="5"/>
      <c r="T1238" s="5"/>
    </row>
    <row r="1239" spans="6:20" ht="12.75">
      <c r="F1239" s="11"/>
      <c r="G1239" s="19"/>
      <c r="H1239" s="20"/>
      <c r="I1239" s="21"/>
      <c r="K1239" s="5"/>
      <c r="S1239" s="5"/>
      <c r="T1239" s="5"/>
    </row>
    <row r="1240" spans="6:20" ht="12.75">
      <c r="F1240" s="11"/>
      <c r="G1240" s="19"/>
      <c r="H1240" s="20"/>
      <c r="I1240" s="21"/>
      <c r="K1240" s="5"/>
      <c r="S1240" s="5"/>
      <c r="T1240" s="5"/>
    </row>
    <row r="1241" spans="6:20" ht="12.75">
      <c r="F1241" s="11"/>
      <c r="G1241" s="19"/>
      <c r="H1241" s="20"/>
      <c r="I1241" s="21"/>
      <c r="K1241" s="5"/>
      <c r="S1241" s="5"/>
      <c r="T1241" s="5"/>
    </row>
    <row r="1242" spans="6:20" ht="12.75">
      <c r="F1242" s="11"/>
      <c r="G1242" s="19"/>
      <c r="H1242" s="20"/>
      <c r="I1242" s="21"/>
      <c r="K1242" s="5"/>
      <c r="S1242" s="5"/>
      <c r="T1242" s="5"/>
    </row>
    <row r="1243" spans="6:20" ht="12.75">
      <c r="F1243" s="11"/>
      <c r="G1243" s="19"/>
      <c r="H1243" s="20"/>
      <c r="I1243" s="21"/>
      <c r="K1243" s="5"/>
      <c r="S1243" s="5"/>
      <c r="T1243" s="5"/>
    </row>
    <row r="1244" spans="6:20" ht="12.75">
      <c r="F1244" s="11"/>
      <c r="G1244" s="19"/>
      <c r="H1244" s="20"/>
      <c r="I1244" s="21"/>
      <c r="K1244" s="5"/>
      <c r="S1244" s="5"/>
      <c r="T1244" s="5"/>
    </row>
    <row r="1245" spans="6:20" ht="12.75">
      <c r="F1245" s="11"/>
      <c r="G1245" s="19"/>
      <c r="H1245" s="20"/>
      <c r="I1245" s="21"/>
      <c r="K1245" s="5"/>
      <c r="S1245" s="5"/>
      <c r="T1245" s="5"/>
    </row>
    <row r="1246" spans="6:20" ht="12.75">
      <c r="F1246" s="11"/>
      <c r="G1246" s="19"/>
      <c r="H1246" s="20"/>
      <c r="I1246" s="21"/>
      <c r="K1246" s="5"/>
      <c r="S1246" s="5"/>
      <c r="T1246" s="5"/>
    </row>
    <row r="1247" spans="6:20" ht="12.75">
      <c r="F1247" s="11"/>
      <c r="G1247" s="19"/>
      <c r="H1247" s="20"/>
      <c r="I1247" s="21"/>
      <c r="K1247" s="5"/>
      <c r="S1247" s="5"/>
      <c r="T1247" s="5"/>
    </row>
    <row r="1248" spans="6:20" ht="12.75">
      <c r="F1248" s="11"/>
      <c r="G1248" s="19"/>
      <c r="H1248" s="20"/>
      <c r="I1248" s="21"/>
      <c r="K1248" s="5"/>
      <c r="S1248" s="5"/>
      <c r="T1248" s="5"/>
    </row>
    <row r="1249" spans="6:20" ht="12.75">
      <c r="F1249" s="11"/>
      <c r="G1249" s="19"/>
      <c r="H1249" s="20"/>
      <c r="I1249" s="21"/>
      <c r="K1249" s="5"/>
      <c r="S1249" s="5"/>
      <c r="T1249" s="5"/>
    </row>
    <row r="1250" spans="6:20" ht="12.75">
      <c r="F1250" s="11"/>
      <c r="G1250" s="19"/>
      <c r="H1250" s="20"/>
      <c r="I1250" s="21"/>
      <c r="K1250" s="5"/>
      <c r="S1250" s="5"/>
      <c r="T1250" s="5"/>
    </row>
    <row r="1251" spans="6:20" ht="12.75">
      <c r="F1251" s="11"/>
      <c r="G1251" s="19"/>
      <c r="H1251" s="20"/>
      <c r="I1251" s="21"/>
      <c r="K1251" s="5"/>
      <c r="S1251" s="5"/>
      <c r="T1251" s="5"/>
    </row>
    <row r="1252" spans="6:20" ht="12.75">
      <c r="F1252" s="11"/>
      <c r="G1252" s="19"/>
      <c r="H1252" s="20"/>
      <c r="I1252" s="21"/>
      <c r="K1252" s="5"/>
      <c r="S1252" s="5"/>
      <c r="T1252" s="5"/>
    </row>
    <row r="1253" spans="6:20" ht="12.75">
      <c r="F1253" s="11"/>
      <c r="G1253" s="19"/>
      <c r="H1253" s="20"/>
      <c r="I1253" s="21"/>
      <c r="K1253" s="5"/>
      <c r="S1253" s="5"/>
      <c r="T1253" s="5"/>
    </row>
    <row r="1254" spans="6:20" ht="12.75">
      <c r="F1254" s="11"/>
      <c r="G1254" s="19"/>
      <c r="H1254" s="20"/>
      <c r="I1254" s="21"/>
      <c r="K1254" s="5"/>
      <c r="S1254" s="5"/>
      <c r="T1254" s="5"/>
    </row>
    <row r="1255" spans="6:20" ht="12.75">
      <c r="F1255" s="11"/>
      <c r="G1255" s="19"/>
      <c r="H1255" s="20"/>
      <c r="I1255" s="21"/>
      <c r="K1255" s="5"/>
      <c r="S1255" s="5"/>
      <c r="T1255" s="5"/>
    </row>
    <row r="1256" spans="6:20" ht="12.75">
      <c r="F1256" s="11"/>
      <c r="G1256" s="19"/>
      <c r="H1256" s="20"/>
      <c r="I1256" s="21"/>
      <c r="K1256" s="5"/>
      <c r="S1256" s="5"/>
      <c r="T1256" s="5"/>
    </row>
    <row r="1257" spans="6:20" ht="12.75">
      <c r="F1257" s="11"/>
      <c r="G1257" s="19"/>
      <c r="H1257" s="20"/>
      <c r="I1257" s="21"/>
      <c r="K1257" s="5"/>
      <c r="S1257" s="5"/>
      <c r="T1257" s="5"/>
    </row>
    <row r="1258" spans="6:20" ht="12.75">
      <c r="F1258" s="11"/>
      <c r="G1258" s="19"/>
      <c r="H1258" s="20"/>
      <c r="I1258" s="21"/>
      <c r="K1258" s="5"/>
      <c r="S1258" s="5"/>
      <c r="T1258" s="5"/>
    </row>
    <row r="1259" spans="6:20" ht="12.75">
      <c r="F1259" s="11"/>
      <c r="G1259" s="19"/>
      <c r="H1259" s="20"/>
      <c r="I1259" s="21"/>
      <c r="K1259" s="5"/>
      <c r="S1259" s="5"/>
      <c r="T1259" s="5"/>
    </row>
    <row r="1260" spans="6:20" ht="12.75">
      <c r="F1260" s="11"/>
      <c r="G1260" s="19"/>
      <c r="H1260" s="20"/>
      <c r="I1260" s="21"/>
      <c r="K1260" s="5"/>
      <c r="S1260" s="5"/>
      <c r="T1260" s="5"/>
    </row>
    <row r="1261" spans="6:20" ht="12.75">
      <c r="F1261" s="11"/>
      <c r="G1261" s="19"/>
      <c r="H1261" s="20"/>
      <c r="I1261" s="21"/>
      <c r="K1261" s="5"/>
      <c r="S1261" s="5"/>
      <c r="T1261" s="5"/>
    </row>
    <row r="1262" spans="6:20" ht="12.75">
      <c r="F1262" s="11"/>
      <c r="G1262" s="19"/>
      <c r="H1262" s="20"/>
      <c r="I1262" s="21"/>
      <c r="K1262" s="5"/>
      <c r="S1262" s="5"/>
      <c r="T1262" s="5"/>
    </row>
    <row r="1263" spans="6:20" ht="12.75">
      <c r="F1263" s="11"/>
      <c r="G1263" s="19"/>
      <c r="H1263" s="20"/>
      <c r="I1263" s="21"/>
      <c r="K1263" s="5"/>
      <c r="S1263" s="5"/>
      <c r="T1263" s="5"/>
    </row>
    <row r="1264" spans="6:20" ht="12.75">
      <c r="F1264" s="11"/>
      <c r="G1264" s="19"/>
      <c r="H1264" s="20"/>
      <c r="I1264" s="21"/>
      <c r="K1264" s="5"/>
      <c r="S1264" s="5"/>
      <c r="T1264" s="5"/>
    </row>
    <row r="1265" spans="6:20" ht="12.75">
      <c r="F1265" s="11"/>
      <c r="G1265" s="19"/>
      <c r="H1265" s="20"/>
      <c r="I1265" s="21"/>
      <c r="K1265" s="5"/>
      <c r="S1265" s="5"/>
      <c r="T1265" s="5"/>
    </row>
    <row r="1266" spans="6:20" ht="12.75">
      <c r="F1266" s="11"/>
      <c r="G1266" s="19"/>
      <c r="H1266" s="20"/>
      <c r="I1266" s="21"/>
      <c r="K1266" s="5"/>
      <c r="S1266" s="5"/>
      <c r="T1266" s="5"/>
    </row>
    <row r="1267" spans="6:20" ht="12.75">
      <c r="F1267" s="11"/>
      <c r="G1267" s="19"/>
      <c r="H1267" s="20"/>
      <c r="I1267" s="21"/>
      <c r="K1267" s="5"/>
      <c r="S1267" s="5"/>
      <c r="T1267" s="5"/>
    </row>
    <row r="1268" spans="6:20" ht="12.75">
      <c r="F1268" s="11"/>
      <c r="G1268" s="19"/>
      <c r="H1268" s="20"/>
      <c r="I1268" s="21"/>
      <c r="K1268" s="5"/>
      <c r="S1268" s="5"/>
      <c r="T1268" s="5"/>
    </row>
    <row r="1269" spans="6:20" ht="12.75">
      <c r="F1269" s="11"/>
      <c r="G1269" s="19"/>
      <c r="H1269" s="20"/>
      <c r="I1269" s="21"/>
      <c r="K1269" s="5"/>
      <c r="S1269" s="5"/>
      <c r="T1269" s="5"/>
    </row>
    <row r="1270" spans="6:20" ht="12.75">
      <c r="F1270" s="11"/>
      <c r="G1270" s="19"/>
      <c r="H1270" s="20"/>
      <c r="I1270" s="21"/>
      <c r="K1270" s="5"/>
      <c r="S1270" s="5"/>
      <c r="T1270" s="5"/>
    </row>
    <row r="1271" spans="6:20" ht="12.75">
      <c r="F1271" s="11"/>
      <c r="G1271" s="19"/>
      <c r="H1271" s="20"/>
      <c r="I1271" s="21"/>
      <c r="K1271" s="5"/>
      <c r="S1271" s="5"/>
      <c r="T1271" s="5"/>
    </row>
    <row r="1272" spans="6:20" ht="12.75">
      <c r="F1272" s="11"/>
      <c r="G1272" s="19"/>
      <c r="H1272" s="20"/>
      <c r="I1272" s="21"/>
      <c r="K1272" s="5"/>
      <c r="S1272" s="5"/>
      <c r="T1272" s="5"/>
    </row>
    <row r="1273" spans="6:20" ht="12.75">
      <c r="F1273" s="11"/>
      <c r="G1273" s="19"/>
      <c r="H1273" s="20"/>
      <c r="I1273" s="21"/>
      <c r="K1273" s="5"/>
      <c r="S1273" s="5"/>
      <c r="T1273" s="5"/>
    </row>
    <row r="1274" spans="6:20" ht="12.75">
      <c r="F1274" s="11"/>
      <c r="G1274" s="19"/>
      <c r="H1274" s="20"/>
      <c r="I1274" s="21"/>
      <c r="K1274" s="5"/>
      <c r="S1274" s="5"/>
      <c r="T1274" s="5"/>
    </row>
    <row r="1275" spans="6:20" ht="12.75">
      <c r="F1275" s="11"/>
      <c r="G1275" s="19"/>
      <c r="H1275" s="20"/>
      <c r="I1275" s="21"/>
      <c r="K1275" s="5"/>
      <c r="S1275" s="5"/>
      <c r="T1275" s="5"/>
    </row>
    <row r="1276" spans="6:20" ht="12.75">
      <c r="F1276" s="11"/>
      <c r="G1276" s="19"/>
      <c r="H1276" s="20"/>
      <c r="I1276" s="21"/>
      <c r="K1276" s="5"/>
      <c r="S1276" s="5"/>
      <c r="T1276" s="5"/>
    </row>
    <row r="1277" spans="6:20" ht="12.75">
      <c r="F1277" s="11"/>
      <c r="G1277" s="19"/>
      <c r="H1277" s="20"/>
      <c r="I1277" s="21"/>
      <c r="K1277" s="5"/>
      <c r="S1277" s="5"/>
      <c r="T1277" s="5"/>
    </row>
    <row r="1278" spans="6:20" ht="12.75">
      <c r="F1278" s="11"/>
      <c r="G1278" s="19"/>
      <c r="H1278" s="20"/>
      <c r="I1278" s="21"/>
      <c r="K1278" s="5"/>
      <c r="S1278" s="5"/>
      <c r="T1278" s="5"/>
    </row>
    <row r="1279" spans="6:20" ht="12.75">
      <c r="F1279" s="11"/>
      <c r="G1279" s="19"/>
      <c r="H1279" s="20"/>
      <c r="I1279" s="21"/>
      <c r="K1279" s="5"/>
      <c r="S1279" s="5"/>
      <c r="T1279" s="5"/>
    </row>
    <row r="1280" spans="6:20" ht="12.75">
      <c r="F1280" s="11"/>
      <c r="G1280" s="19"/>
      <c r="H1280" s="20"/>
      <c r="I1280" s="21"/>
      <c r="K1280" s="5"/>
      <c r="S1280" s="5"/>
      <c r="T1280" s="5"/>
    </row>
    <row r="1281" spans="6:20" ht="12.75">
      <c r="F1281" s="11"/>
      <c r="G1281" s="19"/>
      <c r="H1281" s="20"/>
      <c r="I1281" s="21"/>
      <c r="K1281" s="5"/>
      <c r="S1281" s="5"/>
      <c r="T1281" s="5"/>
    </row>
    <row r="1282" spans="6:20" ht="12.75">
      <c r="F1282" s="11"/>
      <c r="G1282" s="19"/>
      <c r="H1282" s="20"/>
      <c r="I1282" s="21"/>
      <c r="K1282" s="5"/>
      <c r="S1282" s="5"/>
      <c r="T1282" s="5"/>
    </row>
    <row r="1283" spans="6:20" ht="12.75">
      <c r="F1283" s="11"/>
      <c r="G1283" s="19"/>
      <c r="H1283" s="20"/>
      <c r="I1283" s="21"/>
      <c r="K1283" s="5"/>
      <c r="S1283" s="5"/>
      <c r="T1283" s="5"/>
    </row>
    <row r="1284" spans="6:20" ht="12.75">
      <c r="F1284" s="11"/>
      <c r="G1284" s="19"/>
      <c r="H1284" s="20"/>
      <c r="I1284" s="21"/>
      <c r="K1284" s="5"/>
      <c r="S1284" s="5"/>
      <c r="T1284" s="5"/>
    </row>
    <row r="1285" spans="6:20" ht="12.75">
      <c r="F1285" s="11"/>
      <c r="G1285" s="19"/>
      <c r="H1285" s="20"/>
      <c r="I1285" s="21"/>
      <c r="K1285" s="5"/>
      <c r="S1285" s="5"/>
      <c r="T1285" s="5"/>
    </row>
    <row r="1286" spans="6:20" ht="12.75">
      <c r="F1286" s="11"/>
      <c r="G1286" s="19"/>
      <c r="H1286" s="20"/>
      <c r="I1286" s="21"/>
      <c r="K1286" s="5"/>
      <c r="S1286" s="5"/>
      <c r="T1286" s="5"/>
    </row>
    <row r="1287" spans="6:20" ht="12.75">
      <c r="F1287" s="11"/>
      <c r="G1287" s="19"/>
      <c r="H1287" s="20"/>
      <c r="I1287" s="21"/>
      <c r="K1287" s="5"/>
      <c r="S1287" s="5"/>
      <c r="T1287" s="5"/>
    </row>
    <row r="1288" spans="6:20" ht="12.75">
      <c r="F1288" s="11"/>
      <c r="G1288" s="19"/>
      <c r="H1288" s="20"/>
      <c r="I1288" s="21"/>
      <c r="K1288" s="5"/>
      <c r="S1288" s="5"/>
      <c r="T1288" s="5"/>
    </row>
    <row r="1289" spans="6:20" ht="12.75">
      <c r="F1289" s="11"/>
      <c r="G1289" s="19"/>
      <c r="H1289" s="20"/>
      <c r="I1289" s="21"/>
      <c r="K1289" s="5"/>
      <c r="S1289" s="5"/>
      <c r="T1289" s="5"/>
    </row>
    <row r="1290" spans="6:20" ht="12.75">
      <c r="F1290" s="11"/>
      <c r="G1290" s="19"/>
      <c r="H1290" s="20"/>
      <c r="I1290" s="21"/>
      <c r="K1290" s="5"/>
      <c r="S1290" s="5"/>
      <c r="T1290" s="5"/>
    </row>
    <row r="1291" spans="6:20" ht="12.75">
      <c r="F1291" s="11"/>
      <c r="G1291" s="19"/>
      <c r="H1291" s="20"/>
      <c r="I1291" s="21"/>
      <c r="K1291" s="5"/>
      <c r="S1291" s="5"/>
      <c r="T1291" s="5"/>
    </row>
    <row r="1292" spans="6:20" ht="12.75">
      <c r="F1292" s="11"/>
      <c r="G1292" s="19"/>
      <c r="H1292" s="20"/>
      <c r="I1292" s="21"/>
      <c r="K1292" s="5"/>
      <c r="S1292" s="5"/>
      <c r="T1292" s="5"/>
    </row>
    <row r="1293" spans="6:20" ht="12.75">
      <c r="F1293" s="11"/>
      <c r="G1293" s="19"/>
      <c r="H1293" s="20"/>
      <c r="I1293" s="21"/>
      <c r="K1293" s="5"/>
      <c r="S1293" s="5"/>
      <c r="T1293" s="5"/>
    </row>
    <row r="1294" spans="6:20" ht="12.75">
      <c r="F1294" s="11"/>
      <c r="G1294" s="19"/>
      <c r="H1294" s="20"/>
      <c r="I1294" s="21"/>
      <c r="K1294" s="5"/>
      <c r="S1294" s="5"/>
      <c r="T1294" s="5"/>
    </row>
    <row r="1295" spans="6:20" ht="12.75">
      <c r="F1295" s="11"/>
      <c r="G1295" s="19"/>
      <c r="H1295" s="20"/>
      <c r="I1295" s="21"/>
      <c r="K1295" s="5"/>
      <c r="S1295" s="5"/>
      <c r="T1295" s="5"/>
    </row>
    <row r="1296" spans="6:20" ht="12.75">
      <c r="F1296" s="11"/>
      <c r="G1296" s="19"/>
      <c r="H1296" s="20"/>
      <c r="I1296" s="21"/>
      <c r="K1296" s="5"/>
      <c r="S1296" s="5"/>
      <c r="T1296" s="5"/>
    </row>
    <row r="1297" spans="6:20" ht="12.75">
      <c r="F1297" s="11"/>
      <c r="G1297" s="19"/>
      <c r="H1297" s="20"/>
      <c r="I1297" s="21"/>
      <c r="K1297" s="5"/>
      <c r="S1297" s="5"/>
      <c r="T1297" s="5"/>
    </row>
    <row r="1298" spans="6:20" ht="12.75">
      <c r="F1298" s="11"/>
      <c r="G1298" s="19"/>
      <c r="H1298" s="20"/>
      <c r="I1298" s="21"/>
      <c r="K1298" s="5"/>
      <c r="S1298" s="5"/>
      <c r="T1298" s="5"/>
    </row>
    <row r="1299" spans="6:20" ht="12.75">
      <c r="F1299" s="11"/>
      <c r="G1299" s="19"/>
      <c r="H1299" s="20"/>
      <c r="I1299" s="21"/>
      <c r="K1299" s="5"/>
      <c r="S1299" s="5"/>
      <c r="T1299" s="5"/>
    </row>
    <row r="1300" spans="6:20" ht="12.75">
      <c r="F1300" s="11"/>
      <c r="G1300" s="19"/>
      <c r="H1300" s="20"/>
      <c r="I1300" s="21"/>
      <c r="K1300" s="5"/>
      <c r="S1300" s="5"/>
      <c r="T1300" s="5"/>
    </row>
    <row r="1301" spans="6:20" ht="12.75">
      <c r="F1301" s="11"/>
      <c r="G1301" s="19"/>
      <c r="H1301" s="20"/>
      <c r="I1301" s="21"/>
      <c r="K1301" s="5"/>
      <c r="S1301" s="5"/>
      <c r="T1301" s="5"/>
    </row>
    <row r="1302" spans="6:20" ht="12.75">
      <c r="F1302" s="11"/>
      <c r="G1302" s="19"/>
      <c r="H1302" s="20"/>
      <c r="I1302" s="21"/>
      <c r="K1302" s="5"/>
      <c r="S1302" s="5"/>
      <c r="T1302" s="5"/>
    </row>
    <row r="1303" spans="6:20" ht="12.75">
      <c r="F1303" s="11"/>
      <c r="G1303" s="19"/>
      <c r="H1303" s="20"/>
      <c r="I1303" s="21"/>
      <c r="K1303" s="5"/>
      <c r="S1303" s="5"/>
      <c r="T1303" s="5"/>
    </row>
    <row r="1304" spans="6:20" ht="12.75">
      <c r="F1304" s="11"/>
      <c r="G1304" s="19"/>
      <c r="H1304" s="20"/>
      <c r="I1304" s="21"/>
      <c r="K1304" s="5"/>
      <c r="S1304" s="5"/>
      <c r="T1304" s="5"/>
    </row>
    <row r="1305" spans="6:20" ht="12.75">
      <c r="F1305" s="11"/>
      <c r="G1305" s="19"/>
      <c r="H1305" s="20"/>
      <c r="I1305" s="21"/>
      <c r="K1305" s="5"/>
      <c r="S1305" s="5"/>
      <c r="T1305" s="5"/>
    </row>
    <row r="1306" spans="6:20" ht="12.75">
      <c r="F1306" s="11"/>
      <c r="G1306" s="19"/>
      <c r="H1306" s="20"/>
      <c r="I1306" s="21"/>
      <c r="K1306" s="5"/>
      <c r="S1306" s="5"/>
      <c r="T1306" s="5"/>
    </row>
    <row r="1307" spans="6:20" ht="12.75">
      <c r="F1307" s="11"/>
      <c r="G1307" s="19"/>
      <c r="H1307" s="20"/>
      <c r="I1307" s="21"/>
      <c r="K1307" s="5"/>
      <c r="S1307" s="5"/>
      <c r="T1307" s="5"/>
    </row>
    <row r="1308" spans="6:20" ht="12.75">
      <c r="F1308" s="11"/>
      <c r="G1308" s="19"/>
      <c r="H1308" s="20"/>
      <c r="I1308" s="21"/>
      <c r="K1308" s="5"/>
      <c r="S1308" s="5"/>
      <c r="T1308" s="5"/>
    </row>
    <row r="1309" spans="6:20" ht="12.75">
      <c r="F1309" s="11"/>
      <c r="G1309" s="19"/>
      <c r="H1309" s="20"/>
      <c r="I1309" s="21"/>
      <c r="K1309" s="5"/>
      <c r="S1309" s="5"/>
      <c r="T1309" s="5"/>
    </row>
    <row r="1310" spans="6:20" ht="12.75">
      <c r="F1310" s="11"/>
      <c r="G1310" s="19"/>
      <c r="H1310" s="20"/>
      <c r="I1310" s="21"/>
      <c r="K1310" s="5"/>
      <c r="S1310" s="5"/>
      <c r="T1310" s="5"/>
    </row>
    <row r="1311" spans="6:20" ht="12.75">
      <c r="F1311" s="11"/>
      <c r="G1311" s="19"/>
      <c r="H1311" s="20"/>
      <c r="I1311" s="21"/>
      <c r="K1311" s="5"/>
      <c r="S1311" s="5"/>
      <c r="T1311" s="5"/>
    </row>
    <row r="1312" spans="6:20" ht="12.75">
      <c r="F1312" s="11"/>
      <c r="G1312" s="19"/>
      <c r="H1312" s="20"/>
      <c r="I1312" s="21"/>
      <c r="K1312" s="5"/>
      <c r="S1312" s="5"/>
      <c r="T1312" s="5"/>
    </row>
    <row r="1313" spans="6:20" ht="12.75">
      <c r="F1313" s="11"/>
      <c r="G1313" s="19"/>
      <c r="H1313" s="20"/>
      <c r="I1313" s="21"/>
      <c r="K1313" s="5"/>
      <c r="S1313" s="5"/>
      <c r="T1313" s="5"/>
    </row>
    <row r="1314" spans="6:20" ht="12.75">
      <c r="F1314" s="11"/>
      <c r="G1314" s="19"/>
      <c r="H1314" s="20"/>
      <c r="I1314" s="21"/>
      <c r="K1314" s="5"/>
      <c r="S1314" s="5"/>
      <c r="T1314" s="5"/>
    </row>
    <row r="1315" spans="6:20" ht="12.75">
      <c r="F1315" s="11"/>
      <c r="G1315" s="19"/>
      <c r="H1315" s="20"/>
      <c r="I1315" s="21"/>
      <c r="K1315" s="5"/>
      <c r="S1315" s="5"/>
      <c r="T1315" s="5"/>
    </row>
    <row r="1316" spans="6:20" ht="12.75">
      <c r="F1316" s="11"/>
      <c r="G1316" s="19"/>
      <c r="H1316" s="20"/>
      <c r="I1316" s="21"/>
      <c r="K1316" s="5"/>
      <c r="S1316" s="5"/>
      <c r="T1316" s="5"/>
    </row>
    <row r="1317" spans="6:20" ht="12.75">
      <c r="F1317" s="11"/>
      <c r="G1317" s="19"/>
      <c r="H1317" s="20"/>
      <c r="I1317" s="21"/>
      <c r="K1317" s="5"/>
      <c r="S1317" s="5"/>
      <c r="T1317" s="5"/>
    </row>
    <row r="1318" spans="6:20" ht="12.75">
      <c r="F1318" s="11"/>
      <c r="G1318" s="19"/>
      <c r="H1318" s="20"/>
      <c r="I1318" s="21"/>
      <c r="K1318" s="5"/>
      <c r="S1318" s="5"/>
      <c r="T1318" s="5"/>
    </row>
    <row r="1319" spans="6:20" ht="12.75">
      <c r="F1319" s="11"/>
      <c r="G1319" s="19"/>
      <c r="H1319" s="20"/>
      <c r="I1319" s="21"/>
      <c r="K1319" s="5"/>
      <c r="S1319" s="5"/>
      <c r="T1319" s="5"/>
    </row>
    <row r="1320" spans="6:20" ht="12.75">
      <c r="F1320" s="11"/>
      <c r="G1320" s="19"/>
      <c r="H1320" s="20"/>
      <c r="I1320" s="21"/>
      <c r="K1320" s="5"/>
      <c r="S1320" s="5"/>
      <c r="T1320" s="5"/>
    </row>
    <row r="1321" spans="6:20" ht="12.75">
      <c r="F1321" s="11"/>
      <c r="G1321" s="19"/>
      <c r="H1321" s="20"/>
      <c r="I1321" s="21"/>
      <c r="K1321" s="5"/>
      <c r="S1321" s="5"/>
      <c r="T1321" s="5"/>
    </row>
    <row r="1322" spans="6:20" ht="12.75">
      <c r="F1322" s="11"/>
      <c r="G1322" s="19"/>
      <c r="H1322" s="20"/>
      <c r="I1322" s="21"/>
      <c r="K1322" s="5"/>
      <c r="S1322" s="5"/>
      <c r="T1322" s="5"/>
    </row>
    <row r="1323" spans="6:20" ht="12.75">
      <c r="F1323" s="11"/>
      <c r="G1323" s="19"/>
      <c r="H1323" s="20"/>
      <c r="I1323" s="21"/>
      <c r="K1323" s="5"/>
      <c r="S1323" s="5"/>
      <c r="T1323" s="5"/>
    </row>
    <row r="1324" spans="6:20" ht="12.75">
      <c r="F1324" s="11"/>
      <c r="G1324" s="19"/>
      <c r="H1324" s="20"/>
      <c r="I1324" s="21"/>
      <c r="K1324" s="5"/>
      <c r="S1324" s="5"/>
      <c r="T1324" s="5"/>
    </row>
    <row r="1325" spans="6:20" ht="12.75">
      <c r="F1325" s="11"/>
      <c r="G1325" s="19"/>
      <c r="H1325" s="20"/>
      <c r="I1325" s="21"/>
      <c r="K1325" s="5"/>
      <c r="S1325" s="5"/>
      <c r="T1325" s="5"/>
    </row>
    <row r="1326" spans="6:20" ht="12.75">
      <c r="F1326" s="11"/>
      <c r="G1326" s="19"/>
      <c r="H1326" s="20"/>
      <c r="I1326" s="21"/>
      <c r="K1326" s="5"/>
      <c r="S1326" s="5"/>
      <c r="T1326" s="5"/>
    </row>
    <row r="1327" spans="6:20" ht="12.75">
      <c r="F1327" s="11"/>
      <c r="G1327" s="19"/>
      <c r="H1327" s="20"/>
      <c r="I1327" s="21"/>
      <c r="K1327" s="5"/>
      <c r="S1327" s="5"/>
      <c r="T1327" s="5"/>
    </row>
    <row r="1328" spans="6:20" ht="12.75">
      <c r="F1328" s="11"/>
      <c r="G1328" s="19"/>
      <c r="H1328" s="20"/>
      <c r="I1328" s="21"/>
      <c r="K1328" s="5"/>
      <c r="S1328" s="5"/>
      <c r="T1328" s="5"/>
    </row>
    <row r="1329" spans="6:20" ht="12.75">
      <c r="F1329" s="11"/>
      <c r="G1329" s="19"/>
      <c r="H1329" s="20"/>
      <c r="I1329" s="21"/>
      <c r="K1329" s="5"/>
      <c r="S1329" s="5"/>
      <c r="T1329" s="5"/>
    </row>
    <row r="1330" spans="6:20" ht="12.75">
      <c r="F1330" s="11"/>
      <c r="G1330" s="19"/>
      <c r="H1330" s="20"/>
      <c r="I1330" s="21"/>
      <c r="K1330" s="5"/>
      <c r="S1330" s="5"/>
      <c r="T1330" s="5"/>
    </row>
    <row r="1331" spans="6:20" ht="12.75">
      <c r="F1331" s="11"/>
      <c r="G1331" s="19"/>
      <c r="H1331" s="20"/>
      <c r="I1331" s="21"/>
      <c r="K1331" s="5"/>
      <c r="S1331" s="5"/>
      <c r="T1331" s="5"/>
    </row>
    <row r="1332" spans="6:20" ht="12.75">
      <c r="F1332" s="11"/>
      <c r="G1332" s="19"/>
      <c r="H1332" s="20"/>
      <c r="I1332" s="21"/>
      <c r="K1332" s="5"/>
      <c r="S1332" s="5"/>
      <c r="T1332" s="5"/>
    </row>
    <row r="1333" spans="6:20" ht="12.75">
      <c r="F1333" s="11"/>
      <c r="G1333" s="19"/>
      <c r="H1333" s="20"/>
      <c r="I1333" s="21"/>
      <c r="K1333" s="5"/>
      <c r="S1333" s="5"/>
      <c r="T1333" s="5"/>
    </row>
    <row r="1334" spans="6:20" ht="12.75">
      <c r="F1334" s="11"/>
      <c r="G1334" s="19"/>
      <c r="H1334" s="20"/>
      <c r="I1334" s="21"/>
      <c r="K1334" s="5"/>
      <c r="S1334" s="5"/>
      <c r="T1334" s="5"/>
    </row>
    <row r="1335" spans="6:20" ht="12.75">
      <c r="F1335" s="11"/>
      <c r="G1335" s="19"/>
      <c r="H1335" s="20"/>
      <c r="I1335" s="21"/>
      <c r="K1335" s="5"/>
      <c r="S1335" s="5"/>
      <c r="T1335" s="5"/>
    </row>
    <row r="1336" spans="6:20" ht="12.75">
      <c r="F1336" s="11"/>
      <c r="G1336" s="19"/>
      <c r="H1336" s="20"/>
      <c r="I1336" s="21"/>
      <c r="K1336" s="5"/>
      <c r="S1336" s="5"/>
      <c r="T1336" s="5"/>
    </row>
    <row r="1337" spans="6:20" ht="12.75">
      <c r="F1337" s="11"/>
      <c r="G1337" s="19"/>
      <c r="H1337" s="20"/>
      <c r="I1337" s="21"/>
      <c r="K1337" s="5"/>
      <c r="S1337" s="5"/>
      <c r="T1337" s="5"/>
    </row>
    <row r="1338" spans="6:20" ht="12.75">
      <c r="F1338" s="11"/>
      <c r="G1338" s="19"/>
      <c r="H1338" s="20"/>
      <c r="I1338" s="21"/>
      <c r="K1338" s="5"/>
      <c r="S1338" s="5"/>
      <c r="T1338" s="5"/>
    </row>
    <row r="1339" spans="6:20" ht="12.75">
      <c r="F1339" s="11"/>
      <c r="G1339" s="19"/>
      <c r="H1339" s="20"/>
      <c r="I1339" s="21"/>
      <c r="K1339" s="5"/>
      <c r="S1339" s="5"/>
      <c r="T1339" s="5"/>
    </row>
    <row r="1340" spans="6:20" ht="12.75">
      <c r="F1340" s="11"/>
      <c r="G1340" s="19"/>
      <c r="H1340" s="20"/>
      <c r="I1340" s="21"/>
      <c r="K1340" s="5"/>
      <c r="S1340" s="5"/>
      <c r="T1340" s="5"/>
    </row>
    <row r="1341" spans="6:20" ht="12.75">
      <c r="F1341" s="11"/>
      <c r="G1341" s="19"/>
      <c r="H1341" s="20"/>
      <c r="I1341" s="21"/>
      <c r="K1341" s="5"/>
      <c r="S1341" s="5"/>
      <c r="T1341" s="5"/>
    </row>
    <row r="1342" spans="6:20" ht="12.75">
      <c r="F1342" s="11"/>
      <c r="G1342" s="19"/>
      <c r="H1342" s="20"/>
      <c r="I1342" s="21"/>
      <c r="K1342" s="5"/>
      <c r="S1342" s="5"/>
      <c r="T1342" s="5"/>
    </row>
    <row r="1343" spans="6:20" ht="12.75">
      <c r="F1343" s="11"/>
      <c r="G1343" s="19"/>
      <c r="H1343" s="20"/>
      <c r="I1343" s="21"/>
      <c r="K1343" s="5"/>
      <c r="S1343" s="5"/>
      <c r="T1343" s="5"/>
    </row>
    <row r="1344" spans="6:20" ht="12.75">
      <c r="F1344" s="11"/>
      <c r="G1344" s="19"/>
      <c r="H1344" s="20"/>
      <c r="I1344" s="21"/>
      <c r="K1344" s="5"/>
      <c r="S1344" s="5"/>
      <c r="T1344" s="5"/>
    </row>
    <row r="1345" spans="6:20" ht="12.75">
      <c r="F1345" s="11"/>
      <c r="G1345" s="19"/>
      <c r="H1345" s="20"/>
      <c r="I1345" s="21"/>
      <c r="K1345" s="5"/>
      <c r="S1345" s="5"/>
      <c r="T1345" s="5"/>
    </row>
    <row r="1346" spans="6:20" ht="12.75">
      <c r="F1346" s="11"/>
      <c r="G1346" s="19"/>
      <c r="H1346" s="20"/>
      <c r="I1346" s="21"/>
      <c r="K1346" s="5"/>
      <c r="S1346" s="5"/>
      <c r="T1346" s="5"/>
    </row>
    <row r="1347" spans="6:20" ht="12.75">
      <c r="F1347" s="11"/>
      <c r="G1347" s="19"/>
      <c r="H1347" s="20"/>
      <c r="I1347" s="21"/>
      <c r="K1347" s="5"/>
      <c r="S1347" s="5"/>
      <c r="T1347" s="5"/>
    </row>
    <row r="1348" spans="6:20" ht="12.75">
      <c r="F1348" s="11"/>
      <c r="G1348" s="19"/>
      <c r="H1348" s="20"/>
      <c r="I1348" s="21"/>
      <c r="K1348" s="5"/>
      <c r="S1348" s="5"/>
      <c r="T1348" s="5"/>
    </row>
    <row r="1349" spans="6:20" ht="12.75">
      <c r="F1349" s="11"/>
      <c r="G1349" s="19"/>
      <c r="H1349" s="20"/>
      <c r="I1349" s="21"/>
      <c r="K1349" s="5"/>
      <c r="S1349" s="5"/>
      <c r="T1349" s="5"/>
    </row>
    <row r="1350" spans="6:20" ht="12.75">
      <c r="F1350" s="11"/>
      <c r="G1350" s="19"/>
      <c r="H1350" s="20"/>
      <c r="I1350" s="21"/>
      <c r="K1350" s="5"/>
      <c r="S1350" s="5"/>
      <c r="T1350" s="5"/>
    </row>
    <row r="1351" spans="6:20" ht="12.75">
      <c r="F1351" s="11"/>
      <c r="G1351" s="19"/>
      <c r="H1351" s="20"/>
      <c r="I1351" s="21"/>
      <c r="K1351" s="5"/>
      <c r="S1351" s="5"/>
      <c r="T1351" s="5"/>
    </row>
    <row r="1352" spans="6:20" ht="12.75">
      <c r="F1352" s="11"/>
      <c r="G1352" s="19"/>
      <c r="H1352" s="20"/>
      <c r="I1352" s="21"/>
      <c r="K1352" s="5"/>
      <c r="S1352" s="5"/>
      <c r="T1352" s="5"/>
    </row>
    <row r="1353" spans="6:20" ht="12.75">
      <c r="F1353" s="11"/>
      <c r="G1353" s="19"/>
      <c r="H1353" s="20"/>
      <c r="I1353" s="21"/>
      <c r="K1353" s="5"/>
      <c r="S1353" s="5"/>
      <c r="T1353" s="5"/>
    </row>
    <row r="1354" spans="6:20" ht="12.75">
      <c r="F1354" s="11"/>
      <c r="G1354" s="19"/>
      <c r="H1354" s="20"/>
      <c r="I1354" s="21"/>
      <c r="K1354" s="5"/>
      <c r="S1354" s="5"/>
      <c r="T1354" s="5"/>
    </row>
    <row r="1355" spans="6:20" ht="12.75">
      <c r="F1355" s="11"/>
      <c r="G1355" s="19"/>
      <c r="H1355" s="20"/>
      <c r="I1355" s="21"/>
      <c r="K1355" s="5"/>
      <c r="S1355" s="5"/>
      <c r="T1355" s="5"/>
    </row>
    <row r="1356" spans="6:20" ht="12.75">
      <c r="F1356" s="11"/>
      <c r="G1356" s="19"/>
      <c r="H1356" s="20"/>
      <c r="I1356" s="21"/>
      <c r="K1356" s="5"/>
      <c r="S1356" s="5"/>
      <c r="T1356" s="5"/>
    </row>
    <row r="1357" spans="6:20" ht="12.75">
      <c r="F1357" s="11"/>
      <c r="G1357" s="19"/>
      <c r="H1357" s="20"/>
      <c r="I1357" s="21"/>
      <c r="K1357" s="5"/>
      <c r="S1357" s="5"/>
      <c r="T1357" s="5"/>
    </row>
    <row r="1358" spans="6:20" ht="12.75">
      <c r="F1358" s="11"/>
      <c r="G1358" s="19"/>
      <c r="H1358" s="20"/>
      <c r="I1358" s="21"/>
      <c r="K1358" s="5"/>
      <c r="S1358" s="5"/>
      <c r="T1358" s="5"/>
    </row>
    <row r="1359" spans="6:20" ht="12.75">
      <c r="F1359" s="11"/>
      <c r="G1359" s="19"/>
      <c r="H1359" s="20"/>
      <c r="I1359" s="21"/>
      <c r="K1359" s="5"/>
      <c r="S1359" s="5"/>
      <c r="T1359" s="5"/>
    </row>
    <row r="1360" spans="6:20" ht="12.75">
      <c r="F1360" s="11"/>
      <c r="G1360" s="19"/>
      <c r="H1360" s="20"/>
      <c r="I1360" s="21"/>
      <c r="K1360" s="5"/>
      <c r="S1360" s="5"/>
      <c r="T1360" s="5"/>
    </row>
    <row r="1361" spans="6:20" ht="12.75">
      <c r="F1361" s="11"/>
      <c r="G1361" s="19"/>
      <c r="H1361" s="20"/>
      <c r="I1361" s="21"/>
      <c r="K1361" s="5"/>
      <c r="S1361" s="5"/>
      <c r="T1361" s="5"/>
    </row>
    <row r="1362" spans="6:20" ht="12.75">
      <c r="F1362" s="11"/>
      <c r="G1362" s="19"/>
      <c r="H1362" s="20"/>
      <c r="I1362" s="21"/>
      <c r="K1362" s="5"/>
      <c r="S1362" s="5"/>
      <c r="T1362" s="5"/>
    </row>
    <row r="1363" spans="6:20" ht="12.75">
      <c r="F1363" s="11"/>
      <c r="G1363" s="19"/>
      <c r="H1363" s="20"/>
      <c r="I1363" s="21"/>
      <c r="K1363" s="5"/>
      <c r="S1363" s="5"/>
      <c r="T1363" s="5"/>
    </row>
    <row r="1364" spans="6:20" ht="12.75">
      <c r="F1364" s="11"/>
      <c r="G1364" s="19"/>
      <c r="H1364" s="20"/>
      <c r="I1364" s="21"/>
      <c r="K1364" s="5"/>
      <c r="S1364" s="5"/>
      <c r="T1364" s="5"/>
    </row>
    <row r="1365" spans="6:20" ht="12.75">
      <c r="F1365" s="11"/>
      <c r="G1365" s="19"/>
      <c r="H1365" s="20"/>
      <c r="I1365" s="21"/>
      <c r="K1365" s="5"/>
      <c r="S1365" s="5"/>
      <c r="T1365" s="5"/>
    </row>
    <row r="1366" spans="6:20" ht="12.75">
      <c r="F1366" s="11"/>
      <c r="G1366" s="19"/>
      <c r="H1366" s="20"/>
      <c r="I1366" s="21"/>
      <c r="K1366" s="5"/>
      <c r="S1366" s="5"/>
      <c r="T1366" s="5"/>
    </row>
    <row r="1367" spans="6:20" ht="12.75">
      <c r="F1367" s="11"/>
      <c r="G1367" s="19"/>
      <c r="H1367" s="20"/>
      <c r="I1367" s="21"/>
      <c r="K1367" s="5"/>
      <c r="S1367" s="5"/>
      <c r="T1367" s="5"/>
    </row>
    <row r="1368" spans="6:20" ht="12.75">
      <c r="F1368" s="11"/>
      <c r="G1368" s="19"/>
      <c r="H1368" s="20"/>
      <c r="I1368" s="21"/>
      <c r="K1368" s="5"/>
      <c r="S1368" s="5"/>
      <c r="T1368" s="5"/>
    </row>
    <row r="1369" spans="6:20" ht="12.75">
      <c r="F1369" s="11"/>
      <c r="G1369" s="19"/>
      <c r="H1369" s="20"/>
      <c r="I1369" s="21"/>
      <c r="K1369" s="5"/>
      <c r="S1369" s="5"/>
      <c r="T1369" s="5"/>
    </row>
    <row r="1370" spans="6:20" ht="12.75">
      <c r="F1370" s="11"/>
      <c r="G1370" s="19"/>
      <c r="H1370" s="20"/>
      <c r="I1370" s="21"/>
      <c r="K1370" s="5"/>
      <c r="S1370" s="5"/>
      <c r="T1370" s="5"/>
    </row>
    <row r="1371" spans="6:20" ht="12.75">
      <c r="F1371" s="11"/>
      <c r="G1371" s="19"/>
      <c r="H1371" s="20"/>
      <c r="I1371" s="21"/>
      <c r="K1371" s="5"/>
      <c r="S1371" s="5"/>
      <c r="T1371" s="5"/>
    </row>
    <row r="1372" spans="6:20" ht="12.75">
      <c r="F1372" s="11"/>
      <c r="G1372" s="19"/>
      <c r="H1372" s="20"/>
      <c r="I1372" s="21"/>
      <c r="K1372" s="5"/>
      <c r="S1372" s="5"/>
      <c r="T1372" s="5"/>
    </row>
    <row r="1373" spans="6:20" ht="12.75">
      <c r="F1373" s="11"/>
      <c r="G1373" s="19"/>
      <c r="H1373" s="20"/>
      <c r="I1373" s="21"/>
      <c r="K1373" s="5"/>
      <c r="S1373" s="5"/>
      <c r="T1373" s="5"/>
    </row>
    <row r="1374" spans="6:20" ht="12.75">
      <c r="F1374" s="11"/>
      <c r="G1374" s="19"/>
      <c r="H1374" s="20"/>
      <c r="I1374" s="21"/>
      <c r="K1374" s="5"/>
      <c r="S1374" s="5"/>
      <c r="T1374" s="5"/>
    </row>
    <row r="1375" spans="6:20" ht="12.75">
      <c r="F1375" s="11"/>
      <c r="G1375" s="19"/>
      <c r="H1375" s="20"/>
      <c r="I1375" s="21"/>
      <c r="K1375" s="5"/>
      <c r="S1375" s="5"/>
      <c r="T1375" s="5"/>
    </row>
    <row r="1376" spans="6:20" ht="12.75">
      <c r="F1376" s="11"/>
      <c r="G1376" s="19"/>
      <c r="H1376" s="20"/>
      <c r="I1376" s="21"/>
      <c r="K1376" s="5"/>
      <c r="S1376" s="5"/>
      <c r="T1376" s="5"/>
    </row>
    <row r="1377" spans="6:20" ht="12.75">
      <c r="F1377" s="11"/>
      <c r="G1377" s="19"/>
      <c r="H1377" s="20"/>
      <c r="I1377" s="21"/>
      <c r="K1377" s="5"/>
      <c r="S1377" s="5"/>
      <c r="T1377" s="5"/>
    </row>
    <row r="1378" spans="6:20" ht="12.75">
      <c r="F1378" s="11"/>
      <c r="G1378" s="19"/>
      <c r="H1378" s="20"/>
      <c r="I1378" s="21"/>
      <c r="K1378" s="5"/>
      <c r="S1378" s="5"/>
      <c r="T1378" s="5"/>
    </row>
    <row r="1379" spans="6:20" ht="12.75">
      <c r="F1379" s="11"/>
      <c r="G1379" s="19"/>
      <c r="H1379" s="20"/>
      <c r="I1379" s="21"/>
      <c r="K1379" s="5"/>
      <c r="S1379" s="5"/>
      <c r="T1379" s="5"/>
    </row>
    <row r="1380" spans="6:20" ht="12.75">
      <c r="F1380" s="11"/>
      <c r="G1380" s="19"/>
      <c r="H1380" s="20"/>
      <c r="I1380" s="21"/>
      <c r="K1380" s="5"/>
      <c r="S1380" s="5"/>
      <c r="T1380" s="5"/>
    </row>
    <row r="1381" spans="6:20" ht="12.75">
      <c r="F1381" s="11"/>
      <c r="G1381" s="19"/>
      <c r="H1381" s="20"/>
      <c r="I1381" s="21"/>
      <c r="K1381" s="5"/>
      <c r="S1381" s="5"/>
      <c r="T1381" s="5"/>
    </row>
    <row r="1382" spans="6:20" ht="12.75">
      <c r="F1382" s="11"/>
      <c r="G1382" s="19"/>
      <c r="H1382" s="20"/>
      <c r="I1382" s="21"/>
      <c r="K1382" s="5"/>
      <c r="S1382" s="5"/>
      <c r="T1382" s="5"/>
    </row>
    <row r="1383" spans="6:20" ht="12.75">
      <c r="F1383" s="11"/>
      <c r="G1383" s="19"/>
      <c r="H1383" s="20"/>
      <c r="I1383" s="21"/>
      <c r="K1383" s="5"/>
      <c r="S1383" s="5"/>
      <c r="T1383" s="5"/>
    </row>
    <row r="1384" spans="6:20" ht="12.75">
      <c r="F1384" s="11"/>
      <c r="G1384" s="19"/>
      <c r="H1384" s="20"/>
      <c r="I1384" s="21"/>
      <c r="K1384" s="5"/>
      <c r="S1384" s="5"/>
      <c r="T1384" s="5"/>
    </row>
    <row r="1385" spans="6:20" ht="12.75">
      <c r="F1385" s="11"/>
      <c r="G1385" s="19"/>
      <c r="H1385" s="20"/>
      <c r="I1385" s="21"/>
      <c r="K1385" s="5"/>
      <c r="S1385" s="5"/>
      <c r="T1385" s="5"/>
    </row>
    <row r="1386" spans="6:20" ht="12.75">
      <c r="F1386" s="11"/>
      <c r="G1386" s="19"/>
      <c r="H1386" s="20"/>
      <c r="I1386" s="21"/>
      <c r="K1386" s="5"/>
      <c r="S1386" s="5"/>
      <c r="T1386" s="5"/>
    </row>
    <row r="1387" spans="6:20" ht="12.75">
      <c r="F1387" s="11"/>
      <c r="G1387" s="19"/>
      <c r="H1387" s="20"/>
      <c r="I1387" s="21"/>
      <c r="K1387" s="5"/>
      <c r="S1387" s="5"/>
      <c r="T1387" s="5"/>
    </row>
    <row r="1388" spans="6:20" ht="12.75">
      <c r="F1388" s="11"/>
      <c r="G1388" s="19"/>
      <c r="H1388" s="20"/>
      <c r="I1388" s="21"/>
      <c r="K1388" s="5"/>
      <c r="S1388" s="5"/>
      <c r="T1388" s="5"/>
    </row>
    <row r="1389" spans="6:20" ht="12.75">
      <c r="F1389" s="11"/>
      <c r="G1389" s="19"/>
      <c r="H1389" s="20"/>
      <c r="I1389" s="21"/>
      <c r="K1389" s="5"/>
      <c r="S1389" s="5"/>
      <c r="T1389" s="5"/>
    </row>
    <row r="1390" spans="6:20" ht="12.75">
      <c r="F1390" s="11"/>
      <c r="G1390" s="19"/>
      <c r="H1390" s="20"/>
      <c r="I1390" s="21"/>
      <c r="K1390" s="5"/>
      <c r="S1390" s="5"/>
      <c r="T1390" s="5"/>
    </row>
    <row r="1391" spans="6:20" ht="12.75">
      <c r="F1391" s="11"/>
      <c r="G1391" s="19"/>
      <c r="H1391" s="20"/>
      <c r="I1391" s="21"/>
      <c r="K1391" s="5"/>
      <c r="S1391" s="5"/>
      <c r="T1391" s="5"/>
    </row>
    <row r="1392" spans="6:20" ht="12.75">
      <c r="F1392" s="11"/>
      <c r="G1392" s="19"/>
      <c r="H1392" s="20"/>
      <c r="I1392" s="21"/>
      <c r="K1392" s="5"/>
      <c r="S1392" s="5"/>
      <c r="T1392" s="5"/>
    </row>
    <row r="1393" spans="6:20" ht="12.75">
      <c r="F1393" s="11"/>
      <c r="G1393" s="19"/>
      <c r="H1393" s="20"/>
      <c r="I1393" s="21"/>
      <c r="K1393" s="5"/>
      <c r="S1393" s="5"/>
      <c r="T1393" s="5"/>
    </row>
    <row r="1394" spans="6:20" ht="12.75">
      <c r="F1394" s="11"/>
      <c r="G1394" s="19"/>
      <c r="H1394" s="20"/>
      <c r="I1394" s="21"/>
      <c r="K1394" s="5"/>
      <c r="S1394" s="5"/>
      <c r="T1394" s="5"/>
    </row>
    <row r="1395" spans="6:20" ht="12.75">
      <c r="F1395" s="11"/>
      <c r="G1395" s="19"/>
      <c r="H1395" s="20"/>
      <c r="I1395" s="21"/>
      <c r="K1395" s="5"/>
      <c r="S1395" s="5"/>
      <c r="T1395" s="5"/>
    </row>
    <row r="1396" spans="6:20" ht="12.75">
      <c r="F1396" s="11"/>
      <c r="G1396" s="19"/>
      <c r="H1396" s="20"/>
      <c r="I1396" s="21"/>
      <c r="K1396" s="5"/>
      <c r="S1396" s="5"/>
      <c r="T1396" s="5"/>
    </row>
    <row r="1397" spans="6:20" ht="12.75">
      <c r="F1397" s="11"/>
      <c r="G1397" s="19"/>
      <c r="H1397" s="20"/>
      <c r="I1397" s="21"/>
      <c r="K1397" s="5"/>
      <c r="S1397" s="5"/>
      <c r="T1397" s="5"/>
    </row>
    <row r="1398" spans="6:20" ht="12.75">
      <c r="F1398" s="11"/>
      <c r="G1398" s="19"/>
      <c r="H1398" s="20"/>
      <c r="I1398" s="21"/>
      <c r="K1398" s="5"/>
      <c r="S1398" s="5"/>
      <c r="T1398" s="5"/>
    </row>
    <row r="1399" spans="6:20" ht="12.75">
      <c r="F1399" s="11"/>
      <c r="G1399" s="19"/>
      <c r="H1399" s="20"/>
      <c r="I1399" s="21"/>
      <c r="K1399" s="5"/>
      <c r="S1399" s="5"/>
      <c r="T1399" s="5"/>
    </row>
    <row r="1400" spans="6:20" ht="12.75">
      <c r="F1400" s="11"/>
      <c r="G1400" s="19"/>
      <c r="H1400" s="20"/>
      <c r="I1400" s="21"/>
      <c r="K1400" s="5"/>
      <c r="S1400" s="5"/>
      <c r="T1400" s="5"/>
    </row>
    <row r="1401" spans="6:20" ht="12.75">
      <c r="F1401" s="11"/>
      <c r="G1401" s="19"/>
      <c r="H1401" s="20"/>
      <c r="I1401" s="21"/>
      <c r="K1401" s="5"/>
      <c r="S1401" s="5"/>
      <c r="T1401" s="5"/>
    </row>
    <row r="1402" spans="6:20" ht="12.75">
      <c r="F1402" s="11"/>
      <c r="G1402" s="19"/>
      <c r="H1402" s="20"/>
      <c r="I1402" s="21"/>
      <c r="K1402" s="5"/>
      <c r="S1402" s="5"/>
      <c r="T1402" s="5"/>
    </row>
    <row r="1403" spans="6:20" ht="12.75">
      <c r="F1403" s="11"/>
      <c r="G1403" s="19"/>
      <c r="H1403" s="20"/>
      <c r="I1403" s="21"/>
      <c r="K1403" s="5"/>
      <c r="S1403" s="5"/>
      <c r="T1403" s="5"/>
    </row>
    <row r="1404" spans="6:20" ht="12.75">
      <c r="F1404" s="11"/>
      <c r="G1404" s="19"/>
      <c r="H1404" s="20"/>
      <c r="I1404" s="21"/>
      <c r="K1404" s="5"/>
      <c r="S1404" s="5"/>
      <c r="T1404" s="5"/>
    </row>
    <row r="1405" spans="6:20" ht="12.75">
      <c r="F1405" s="11"/>
      <c r="G1405" s="19"/>
      <c r="H1405" s="20"/>
      <c r="I1405" s="21"/>
      <c r="K1405" s="5"/>
      <c r="S1405" s="5"/>
      <c r="T1405" s="5"/>
    </row>
    <row r="1406" spans="6:20" ht="12.75">
      <c r="F1406" s="11"/>
      <c r="G1406" s="19"/>
      <c r="H1406" s="20"/>
      <c r="I1406" s="21"/>
      <c r="K1406" s="5"/>
      <c r="S1406" s="5"/>
      <c r="T1406" s="5"/>
    </row>
    <row r="1407" spans="6:20" ht="12.75">
      <c r="F1407" s="11"/>
      <c r="G1407" s="19"/>
      <c r="H1407" s="20"/>
      <c r="I1407" s="21"/>
      <c r="K1407" s="5"/>
      <c r="S1407" s="5"/>
      <c r="T1407" s="5"/>
    </row>
    <row r="1408" spans="6:20" ht="12.75">
      <c r="F1408" s="11"/>
      <c r="G1408" s="19"/>
      <c r="H1408" s="20"/>
      <c r="I1408" s="21"/>
      <c r="K1408" s="5"/>
      <c r="S1408" s="5"/>
      <c r="T1408" s="5"/>
    </row>
    <row r="1409" spans="6:20" ht="12.75">
      <c r="F1409" s="11"/>
      <c r="G1409" s="19"/>
      <c r="H1409" s="20"/>
      <c r="I1409" s="21"/>
      <c r="K1409" s="5"/>
      <c r="S1409" s="5"/>
      <c r="T1409" s="5"/>
    </row>
    <row r="1410" spans="6:20" ht="12.75">
      <c r="F1410" s="11"/>
      <c r="G1410" s="19"/>
      <c r="H1410" s="20"/>
      <c r="I1410" s="21"/>
      <c r="K1410" s="5"/>
      <c r="S1410" s="5"/>
      <c r="T1410" s="5"/>
    </row>
    <row r="1411" spans="6:20" ht="12.75">
      <c r="F1411" s="11"/>
      <c r="G1411" s="19"/>
      <c r="H1411" s="20"/>
      <c r="I1411" s="21"/>
      <c r="K1411" s="5"/>
      <c r="S1411" s="5"/>
      <c r="T1411" s="5"/>
    </row>
    <row r="1412" spans="6:20" ht="12.75">
      <c r="F1412" s="11"/>
      <c r="G1412" s="19"/>
      <c r="H1412" s="20"/>
      <c r="I1412" s="21"/>
      <c r="K1412" s="5"/>
      <c r="S1412" s="5"/>
      <c r="T1412" s="5"/>
    </row>
    <row r="1413" spans="6:20" ht="12.75">
      <c r="F1413" s="11"/>
      <c r="G1413" s="19"/>
      <c r="H1413" s="20"/>
      <c r="I1413" s="21"/>
      <c r="K1413" s="5"/>
      <c r="S1413" s="5"/>
      <c r="T1413" s="5"/>
    </row>
    <row r="1414" spans="6:20" ht="12.75">
      <c r="F1414" s="11"/>
      <c r="G1414" s="19"/>
      <c r="H1414" s="20"/>
      <c r="I1414" s="21"/>
      <c r="K1414" s="5"/>
      <c r="S1414" s="5"/>
      <c r="T1414" s="5"/>
    </row>
    <row r="1415" spans="6:20" ht="12.75">
      <c r="F1415" s="11"/>
      <c r="G1415" s="19"/>
      <c r="H1415" s="20"/>
      <c r="I1415" s="21"/>
      <c r="K1415" s="5"/>
      <c r="S1415" s="5"/>
      <c r="T1415" s="5"/>
    </row>
    <row r="1416" spans="6:20" ht="12.75">
      <c r="F1416" s="11"/>
      <c r="G1416" s="19"/>
      <c r="H1416" s="20"/>
      <c r="I1416" s="21"/>
      <c r="K1416" s="5"/>
      <c r="S1416" s="5"/>
      <c r="T1416" s="5"/>
    </row>
    <row r="1417" spans="6:20" ht="12.75">
      <c r="F1417" s="11"/>
      <c r="G1417" s="19"/>
      <c r="H1417" s="20"/>
      <c r="I1417" s="21"/>
      <c r="K1417" s="5"/>
      <c r="S1417" s="5"/>
      <c r="T1417" s="5"/>
    </row>
    <row r="1418" spans="6:20" ht="12.75">
      <c r="F1418" s="11"/>
      <c r="G1418" s="19"/>
      <c r="H1418" s="20"/>
      <c r="I1418" s="21"/>
      <c r="K1418" s="5"/>
      <c r="S1418" s="5"/>
      <c r="T1418" s="5"/>
    </row>
    <row r="1419" spans="6:20" ht="12.75">
      <c r="F1419" s="11"/>
      <c r="G1419" s="19"/>
      <c r="H1419" s="20"/>
      <c r="I1419" s="21"/>
      <c r="K1419" s="5"/>
      <c r="S1419" s="5"/>
      <c r="T1419" s="5"/>
    </row>
    <row r="1420" spans="6:20" ht="12.75">
      <c r="F1420" s="11"/>
      <c r="G1420" s="19"/>
      <c r="H1420" s="20"/>
      <c r="I1420" s="21"/>
      <c r="K1420" s="5"/>
      <c r="S1420" s="5"/>
      <c r="T1420" s="5"/>
    </row>
    <row r="1421" spans="6:20" ht="12.75">
      <c r="F1421" s="11"/>
      <c r="G1421" s="19"/>
      <c r="H1421" s="20"/>
      <c r="I1421" s="21"/>
      <c r="K1421" s="5"/>
      <c r="S1421" s="5"/>
      <c r="T1421" s="5"/>
    </row>
    <row r="1422" spans="6:20" ht="12.75">
      <c r="F1422" s="11"/>
      <c r="G1422" s="19"/>
      <c r="H1422" s="20"/>
      <c r="I1422" s="21"/>
      <c r="K1422" s="5"/>
      <c r="S1422" s="5"/>
      <c r="T1422" s="5"/>
    </row>
    <row r="1423" spans="6:20" ht="12.75">
      <c r="F1423" s="11"/>
      <c r="G1423" s="19"/>
      <c r="H1423" s="20"/>
      <c r="I1423" s="21"/>
      <c r="K1423" s="5"/>
      <c r="S1423" s="5"/>
      <c r="T1423" s="5"/>
    </row>
    <row r="1424" spans="6:20" ht="12.75">
      <c r="F1424" s="11"/>
      <c r="G1424" s="19"/>
      <c r="H1424" s="20"/>
      <c r="I1424" s="21"/>
      <c r="K1424" s="5"/>
      <c r="S1424" s="5"/>
      <c r="T1424" s="5"/>
    </row>
    <row r="1425" spans="6:20" ht="12.75">
      <c r="F1425" s="11"/>
      <c r="G1425" s="19"/>
      <c r="H1425" s="20"/>
      <c r="I1425" s="21"/>
      <c r="K1425" s="5"/>
      <c r="S1425" s="5"/>
      <c r="T1425" s="5"/>
    </row>
    <row r="1426" spans="6:20" ht="12.75">
      <c r="F1426" s="11"/>
      <c r="G1426" s="19"/>
      <c r="H1426" s="20"/>
      <c r="I1426" s="21"/>
      <c r="K1426" s="5"/>
      <c r="S1426" s="5"/>
      <c r="T1426" s="5"/>
    </row>
    <row r="1427" spans="6:20" ht="12.75">
      <c r="F1427" s="11"/>
      <c r="G1427" s="19"/>
      <c r="H1427" s="20"/>
      <c r="I1427" s="21"/>
      <c r="K1427" s="5"/>
      <c r="S1427" s="5"/>
      <c r="T1427" s="5"/>
    </row>
    <row r="1428" spans="6:20" ht="12.75">
      <c r="F1428" s="11"/>
      <c r="G1428" s="19"/>
      <c r="H1428" s="20"/>
      <c r="I1428" s="21"/>
      <c r="K1428" s="5"/>
      <c r="S1428" s="5"/>
      <c r="T1428" s="5"/>
    </row>
    <row r="1429" spans="6:20" ht="12.75">
      <c r="F1429" s="11"/>
      <c r="G1429" s="19"/>
      <c r="H1429" s="20"/>
      <c r="I1429" s="21"/>
      <c r="K1429" s="5"/>
      <c r="S1429" s="5"/>
      <c r="T1429" s="5"/>
    </row>
    <row r="1430" spans="6:20" ht="12.75">
      <c r="F1430" s="11"/>
      <c r="G1430" s="19"/>
      <c r="H1430" s="20"/>
      <c r="I1430" s="21"/>
      <c r="K1430" s="5"/>
      <c r="S1430" s="5"/>
      <c r="T1430" s="5"/>
    </row>
    <row r="1431" spans="6:20" ht="12.75">
      <c r="F1431" s="11"/>
      <c r="G1431" s="19"/>
      <c r="H1431" s="20"/>
      <c r="I1431" s="21"/>
      <c r="K1431" s="5"/>
      <c r="S1431" s="5"/>
      <c r="T1431" s="5"/>
    </row>
    <row r="1432" spans="6:20" ht="12.75">
      <c r="F1432" s="11"/>
      <c r="G1432" s="19"/>
      <c r="H1432" s="20"/>
      <c r="I1432" s="21"/>
      <c r="K1432" s="5"/>
      <c r="S1432" s="5"/>
      <c r="T1432" s="5"/>
    </row>
    <row r="1433" spans="6:20" ht="12.75">
      <c r="F1433" s="11"/>
      <c r="G1433" s="19"/>
      <c r="H1433" s="20"/>
      <c r="I1433" s="21"/>
      <c r="K1433" s="5"/>
      <c r="S1433" s="5"/>
      <c r="T1433" s="5"/>
    </row>
    <row r="1434" spans="6:20" ht="12.75">
      <c r="F1434" s="11"/>
      <c r="G1434" s="19"/>
      <c r="H1434" s="20"/>
      <c r="I1434" s="21"/>
      <c r="K1434" s="5"/>
      <c r="S1434" s="5"/>
      <c r="T1434" s="5"/>
    </row>
    <row r="1435" spans="6:20" ht="12.75">
      <c r="F1435" s="11"/>
      <c r="G1435" s="19"/>
      <c r="H1435" s="20"/>
      <c r="I1435" s="21"/>
      <c r="K1435" s="5"/>
      <c r="S1435" s="5"/>
      <c r="T1435" s="5"/>
    </row>
    <row r="1436" spans="6:20" ht="12.75">
      <c r="F1436" s="11"/>
      <c r="G1436" s="19"/>
      <c r="H1436" s="20"/>
      <c r="I1436" s="21"/>
      <c r="K1436" s="5"/>
      <c r="S1436" s="5"/>
      <c r="T1436" s="5"/>
    </row>
    <row r="1437" spans="6:20" ht="12.75">
      <c r="F1437" s="11"/>
      <c r="G1437" s="19"/>
      <c r="H1437" s="20"/>
      <c r="I1437" s="21"/>
      <c r="K1437" s="5"/>
      <c r="S1437" s="5"/>
      <c r="T1437" s="5"/>
    </row>
    <row r="1438" spans="6:20" ht="12.75">
      <c r="F1438" s="11"/>
      <c r="G1438" s="19"/>
      <c r="H1438" s="20"/>
      <c r="I1438" s="21"/>
      <c r="K1438" s="5"/>
      <c r="S1438" s="5"/>
      <c r="T1438" s="5"/>
    </row>
    <row r="1439" spans="6:20" ht="12.75">
      <c r="F1439" s="11"/>
      <c r="G1439" s="19"/>
      <c r="H1439" s="20"/>
      <c r="I1439" s="21"/>
      <c r="K1439" s="5"/>
      <c r="S1439" s="5"/>
      <c r="T1439" s="5"/>
    </row>
    <row r="1440" spans="6:20" ht="12.75">
      <c r="F1440" s="11"/>
      <c r="G1440" s="19"/>
      <c r="H1440" s="20"/>
      <c r="I1440" s="21"/>
      <c r="K1440" s="5"/>
      <c r="S1440" s="5"/>
      <c r="T1440" s="5"/>
    </row>
    <row r="1441" spans="6:20" ht="12.75">
      <c r="F1441" s="11"/>
      <c r="G1441" s="19"/>
      <c r="H1441" s="20"/>
      <c r="I1441" s="21"/>
      <c r="K1441" s="5"/>
      <c r="S1441" s="5"/>
      <c r="T1441" s="5"/>
    </row>
    <row r="1442" spans="6:20" ht="12.75">
      <c r="F1442" s="11"/>
      <c r="G1442" s="19"/>
      <c r="H1442" s="20"/>
      <c r="I1442" s="21"/>
      <c r="K1442" s="5"/>
      <c r="S1442" s="5"/>
      <c r="T1442" s="5"/>
    </row>
    <row r="1443" spans="6:20" ht="12.75">
      <c r="F1443" s="11"/>
      <c r="G1443" s="19"/>
      <c r="H1443" s="20"/>
      <c r="I1443" s="21"/>
      <c r="K1443" s="5"/>
      <c r="S1443" s="5"/>
      <c r="T1443" s="5"/>
    </row>
    <row r="1444" spans="6:20" ht="12.75">
      <c r="F1444" s="11"/>
      <c r="G1444" s="19"/>
      <c r="H1444" s="20"/>
      <c r="I1444" s="21"/>
      <c r="K1444" s="5"/>
      <c r="S1444" s="5"/>
      <c r="T1444" s="5"/>
    </row>
    <row r="1445" spans="6:20" ht="12.75">
      <c r="F1445" s="11"/>
      <c r="G1445" s="19"/>
      <c r="H1445" s="20"/>
      <c r="I1445" s="21"/>
      <c r="K1445" s="5"/>
      <c r="S1445" s="5"/>
      <c r="T1445" s="5"/>
    </row>
    <row r="1446" spans="6:20" ht="12.75">
      <c r="F1446" s="11"/>
      <c r="G1446" s="19"/>
      <c r="H1446" s="20"/>
      <c r="I1446" s="21"/>
      <c r="K1446" s="5"/>
      <c r="S1446" s="5"/>
      <c r="T1446" s="5"/>
    </row>
    <row r="1447" spans="6:20" ht="12.75">
      <c r="F1447" s="11"/>
      <c r="G1447" s="19"/>
      <c r="H1447" s="20"/>
      <c r="I1447" s="21"/>
      <c r="K1447" s="5"/>
      <c r="S1447" s="5"/>
      <c r="T1447" s="5"/>
    </row>
    <row r="1448" spans="6:20" ht="12.75">
      <c r="F1448" s="11"/>
      <c r="G1448" s="19"/>
      <c r="H1448" s="20"/>
      <c r="I1448" s="21"/>
      <c r="K1448" s="5"/>
      <c r="S1448" s="5"/>
      <c r="T1448" s="5"/>
    </row>
    <row r="1449" spans="6:20" ht="12.75">
      <c r="F1449" s="11"/>
      <c r="G1449" s="19"/>
      <c r="H1449" s="20"/>
      <c r="I1449" s="21"/>
      <c r="K1449" s="5"/>
      <c r="S1449" s="5"/>
      <c r="T1449" s="5"/>
    </row>
    <row r="1450" spans="6:20" ht="12.75">
      <c r="F1450" s="11"/>
      <c r="G1450" s="19"/>
      <c r="H1450" s="20"/>
      <c r="I1450" s="21"/>
      <c r="K1450" s="5"/>
      <c r="S1450" s="5"/>
      <c r="T1450" s="5"/>
    </row>
    <row r="1451" spans="6:20" ht="12.75">
      <c r="F1451" s="11"/>
      <c r="G1451" s="19"/>
      <c r="H1451" s="20"/>
      <c r="I1451" s="21"/>
      <c r="K1451" s="5"/>
      <c r="S1451" s="5"/>
      <c r="T1451" s="5"/>
    </row>
    <row r="1452" spans="6:20" ht="12.75">
      <c r="F1452" s="11"/>
      <c r="G1452" s="19"/>
      <c r="H1452" s="20"/>
      <c r="I1452" s="21"/>
      <c r="K1452" s="5"/>
      <c r="S1452" s="5"/>
      <c r="T1452" s="5"/>
    </row>
    <row r="1453" spans="6:20" ht="12.75">
      <c r="F1453" s="11"/>
      <c r="G1453" s="19"/>
      <c r="H1453" s="20"/>
      <c r="I1453" s="21"/>
      <c r="K1453" s="5"/>
      <c r="S1453" s="5"/>
      <c r="T1453" s="5"/>
    </row>
    <row r="1454" spans="6:20" ht="12.75">
      <c r="F1454" s="11"/>
      <c r="G1454" s="19"/>
      <c r="H1454" s="20"/>
      <c r="I1454" s="21"/>
      <c r="K1454" s="5"/>
      <c r="S1454" s="5"/>
      <c r="T1454" s="5"/>
    </row>
    <row r="1455" spans="6:20" ht="12.75">
      <c r="F1455" s="11"/>
      <c r="G1455" s="19"/>
      <c r="H1455" s="20"/>
      <c r="I1455" s="21"/>
      <c r="K1455" s="5"/>
      <c r="S1455" s="5"/>
      <c r="T1455" s="5"/>
    </row>
    <row r="1456" spans="6:20" ht="12.75">
      <c r="F1456" s="11"/>
      <c r="G1456" s="19"/>
      <c r="H1456" s="20"/>
      <c r="I1456" s="21"/>
      <c r="K1456" s="5"/>
      <c r="S1456" s="5"/>
      <c r="T1456" s="5"/>
    </row>
    <row r="1457" spans="6:20" ht="12.75">
      <c r="F1457" s="11"/>
      <c r="G1457" s="19"/>
      <c r="H1457" s="20"/>
      <c r="I1457" s="21"/>
      <c r="K1457" s="5"/>
      <c r="S1457" s="5"/>
      <c r="T1457" s="5"/>
    </row>
    <row r="1458" spans="6:20" ht="12.75">
      <c r="F1458" s="11"/>
      <c r="G1458" s="19"/>
      <c r="H1458" s="20"/>
      <c r="I1458" s="21"/>
      <c r="K1458" s="5"/>
      <c r="S1458" s="5"/>
      <c r="T1458" s="5"/>
    </row>
    <row r="1459" spans="6:20" ht="12.75">
      <c r="F1459" s="11"/>
      <c r="G1459" s="19"/>
      <c r="H1459" s="20"/>
      <c r="I1459" s="21"/>
      <c r="K1459" s="5"/>
      <c r="S1459" s="5"/>
      <c r="T1459" s="5"/>
    </row>
    <row r="1460" spans="6:20" ht="12.75">
      <c r="F1460" s="11"/>
      <c r="G1460" s="19"/>
      <c r="H1460" s="20"/>
      <c r="I1460" s="21"/>
      <c r="K1460" s="5"/>
      <c r="S1460" s="5"/>
      <c r="T1460" s="5"/>
    </row>
    <row r="1461" spans="6:20" ht="12.75">
      <c r="F1461" s="11"/>
      <c r="G1461" s="19"/>
      <c r="H1461" s="20"/>
      <c r="I1461" s="21"/>
      <c r="K1461" s="5"/>
      <c r="S1461" s="5"/>
      <c r="T1461" s="5"/>
    </row>
    <row r="1462" spans="6:20" ht="12.75">
      <c r="F1462" s="11"/>
      <c r="G1462" s="19"/>
      <c r="H1462" s="20"/>
      <c r="I1462" s="21"/>
      <c r="K1462" s="5"/>
      <c r="S1462" s="5"/>
      <c r="T1462" s="5"/>
    </row>
    <row r="1463" spans="6:20" ht="12.75">
      <c r="F1463" s="11"/>
      <c r="G1463" s="19"/>
      <c r="H1463" s="20"/>
      <c r="I1463" s="21"/>
      <c r="K1463" s="5"/>
      <c r="S1463" s="5"/>
      <c r="T1463" s="5"/>
    </row>
    <row r="1464" spans="6:20" ht="12.75">
      <c r="F1464" s="11"/>
      <c r="G1464" s="19"/>
      <c r="H1464" s="20"/>
      <c r="I1464" s="21"/>
      <c r="K1464" s="5"/>
      <c r="S1464" s="5"/>
      <c r="T1464" s="5"/>
    </row>
    <row r="1465" spans="6:20" ht="12.75">
      <c r="F1465" s="11"/>
      <c r="G1465" s="19"/>
      <c r="H1465" s="20"/>
      <c r="I1465" s="21"/>
      <c r="K1465" s="5"/>
      <c r="S1465" s="5"/>
      <c r="T1465" s="5"/>
    </row>
    <row r="1466" spans="6:20" ht="12.75">
      <c r="F1466" s="11"/>
      <c r="G1466" s="19"/>
      <c r="H1466" s="20"/>
      <c r="I1466" s="21"/>
      <c r="K1466" s="5"/>
      <c r="S1466" s="5"/>
      <c r="T1466" s="5"/>
    </row>
    <row r="1467" spans="6:20" ht="12.75">
      <c r="F1467" s="11"/>
      <c r="G1467" s="19"/>
      <c r="H1467" s="20"/>
      <c r="I1467" s="21"/>
      <c r="K1467" s="5"/>
      <c r="S1467" s="5"/>
      <c r="T1467" s="5"/>
    </row>
    <row r="1468" spans="6:20" ht="12.75">
      <c r="F1468" s="11"/>
      <c r="G1468" s="19"/>
      <c r="H1468" s="20"/>
      <c r="I1468" s="21"/>
      <c r="K1468" s="5"/>
      <c r="S1468" s="5"/>
      <c r="T1468" s="5"/>
    </row>
    <row r="1469" spans="6:20" ht="12.75">
      <c r="F1469" s="11"/>
      <c r="G1469" s="19"/>
      <c r="H1469" s="20"/>
      <c r="I1469" s="21"/>
      <c r="K1469" s="5"/>
      <c r="S1469" s="5"/>
      <c r="T1469" s="5"/>
    </row>
    <row r="1470" spans="6:20" ht="12.75">
      <c r="F1470" s="11"/>
      <c r="G1470" s="19"/>
      <c r="H1470" s="20"/>
      <c r="I1470" s="21"/>
      <c r="K1470" s="5"/>
      <c r="S1470" s="5"/>
      <c r="T1470" s="5"/>
    </row>
    <row r="1471" spans="6:20" ht="12.75">
      <c r="F1471" s="11"/>
      <c r="G1471" s="19"/>
      <c r="H1471" s="20"/>
      <c r="I1471" s="21"/>
      <c r="K1471" s="5"/>
      <c r="S1471" s="5"/>
      <c r="T1471" s="5"/>
    </row>
    <row r="1472" spans="6:20" ht="12.75">
      <c r="F1472" s="11"/>
      <c r="G1472" s="19"/>
      <c r="H1472" s="20"/>
      <c r="I1472" s="21"/>
      <c r="K1472" s="5"/>
      <c r="S1472" s="5"/>
      <c r="T1472" s="5"/>
    </row>
    <row r="1473" spans="6:20" ht="12.75">
      <c r="F1473" s="11"/>
      <c r="G1473" s="19"/>
      <c r="H1473" s="20"/>
      <c r="I1473" s="21"/>
      <c r="K1473" s="5"/>
      <c r="S1473" s="5"/>
      <c r="T1473" s="5"/>
    </row>
    <row r="1474" spans="6:20" ht="12.75">
      <c r="F1474" s="11"/>
      <c r="G1474" s="19"/>
      <c r="H1474" s="20"/>
      <c r="I1474" s="21"/>
      <c r="K1474" s="5"/>
      <c r="S1474" s="5"/>
      <c r="T1474" s="5"/>
    </row>
    <row r="1475" spans="6:20" ht="12.75">
      <c r="F1475" s="11"/>
      <c r="G1475" s="19"/>
      <c r="H1475" s="20"/>
      <c r="I1475" s="21"/>
      <c r="K1475" s="5"/>
      <c r="S1475" s="5"/>
      <c r="T1475" s="5"/>
    </row>
    <row r="1476" spans="6:20" ht="12.75">
      <c r="F1476" s="11"/>
      <c r="G1476" s="19"/>
      <c r="H1476" s="20"/>
      <c r="I1476" s="21"/>
      <c r="K1476" s="5"/>
      <c r="S1476" s="5"/>
      <c r="T1476" s="5"/>
    </row>
    <row r="1477" spans="6:20" ht="12.75">
      <c r="F1477" s="11"/>
      <c r="G1477" s="19"/>
      <c r="H1477" s="20"/>
      <c r="I1477" s="21"/>
      <c r="K1477" s="5"/>
      <c r="S1477" s="5"/>
      <c r="T1477" s="5"/>
    </row>
    <row r="1478" spans="6:20" ht="12.75">
      <c r="F1478" s="11"/>
      <c r="G1478" s="19"/>
      <c r="H1478" s="20"/>
      <c r="I1478" s="21"/>
      <c r="K1478" s="5"/>
      <c r="S1478" s="5"/>
      <c r="T1478" s="5"/>
    </row>
    <row r="1479" spans="6:20" ht="12.75">
      <c r="F1479" s="11"/>
      <c r="G1479" s="19"/>
      <c r="H1479" s="20"/>
      <c r="I1479" s="21"/>
      <c r="K1479" s="5"/>
      <c r="S1479" s="5"/>
      <c r="T1479" s="5"/>
    </row>
    <row r="1480" spans="6:20" ht="12.75">
      <c r="F1480" s="11"/>
      <c r="G1480" s="19"/>
      <c r="H1480" s="20"/>
      <c r="I1480" s="21"/>
      <c r="K1480" s="5"/>
      <c r="S1480" s="5"/>
      <c r="T1480" s="5"/>
    </row>
    <row r="1481" spans="6:20" ht="12.75">
      <c r="F1481" s="11"/>
      <c r="G1481" s="19"/>
      <c r="H1481" s="20"/>
      <c r="I1481" s="21"/>
      <c r="K1481" s="5"/>
      <c r="S1481" s="5"/>
      <c r="T1481" s="5"/>
    </row>
    <row r="1482" spans="6:20" ht="12.75">
      <c r="F1482" s="11"/>
      <c r="G1482" s="19"/>
      <c r="H1482" s="20"/>
      <c r="I1482" s="21"/>
      <c r="K1482" s="5"/>
      <c r="S1482" s="5"/>
      <c r="T1482" s="5"/>
    </row>
    <row r="1483" spans="6:20" ht="12.75">
      <c r="F1483" s="11"/>
      <c r="G1483" s="19"/>
      <c r="H1483" s="20"/>
      <c r="I1483" s="21"/>
      <c r="K1483" s="5"/>
      <c r="S1483" s="5"/>
      <c r="T1483" s="5"/>
    </row>
    <row r="1484" spans="6:20" ht="12.75">
      <c r="F1484" s="11"/>
      <c r="G1484" s="19"/>
      <c r="H1484" s="20"/>
      <c r="I1484" s="21"/>
      <c r="K1484" s="5"/>
      <c r="S1484" s="5"/>
      <c r="T1484" s="5"/>
    </row>
    <row r="1485" spans="6:20" ht="12.75">
      <c r="F1485" s="11"/>
      <c r="G1485" s="19"/>
      <c r="H1485" s="20"/>
      <c r="I1485" s="21"/>
      <c r="K1485" s="5"/>
      <c r="S1485" s="5"/>
      <c r="T1485" s="5"/>
    </row>
    <row r="1486" spans="6:20" ht="12.75">
      <c r="F1486" s="11"/>
      <c r="G1486" s="19"/>
      <c r="H1486" s="20"/>
      <c r="I1486" s="21"/>
      <c r="K1486" s="5"/>
      <c r="S1486" s="5"/>
      <c r="T1486" s="5"/>
    </row>
    <row r="1487" spans="6:20" ht="12.75">
      <c r="F1487" s="11"/>
      <c r="G1487" s="19"/>
      <c r="H1487" s="20"/>
      <c r="I1487" s="21"/>
      <c r="K1487" s="5"/>
      <c r="S1487" s="5"/>
      <c r="T1487" s="5"/>
    </row>
    <row r="1488" spans="6:20" ht="12.75">
      <c r="F1488" s="11"/>
      <c r="G1488" s="19"/>
      <c r="H1488" s="20"/>
      <c r="I1488" s="21"/>
      <c r="K1488" s="5"/>
      <c r="S1488" s="5"/>
      <c r="T1488" s="5"/>
    </row>
    <row r="1489" spans="6:20" ht="12.75">
      <c r="F1489" s="11"/>
      <c r="G1489" s="19"/>
      <c r="H1489" s="20"/>
      <c r="I1489" s="21"/>
      <c r="K1489" s="5"/>
      <c r="S1489" s="5"/>
      <c r="T1489" s="5"/>
    </row>
    <row r="1490" spans="6:20" ht="12.75">
      <c r="F1490" s="11"/>
      <c r="G1490" s="19"/>
      <c r="H1490" s="20"/>
      <c r="I1490" s="21"/>
      <c r="K1490" s="5"/>
      <c r="S1490" s="5"/>
      <c r="T1490" s="5"/>
    </row>
    <row r="1491" spans="6:20" ht="12.75">
      <c r="F1491" s="11"/>
      <c r="G1491" s="19"/>
      <c r="H1491" s="20"/>
      <c r="I1491" s="21"/>
      <c r="K1491" s="5"/>
      <c r="S1491" s="5"/>
      <c r="T1491" s="5"/>
    </row>
    <row r="1492" spans="6:20" ht="12.75">
      <c r="F1492" s="11"/>
      <c r="G1492" s="19"/>
      <c r="H1492" s="20"/>
      <c r="I1492" s="21"/>
      <c r="K1492" s="5"/>
      <c r="S1492" s="5"/>
      <c r="T1492" s="5"/>
    </row>
    <row r="1493" spans="6:20" ht="12.75">
      <c r="F1493" s="11"/>
      <c r="G1493" s="19"/>
      <c r="H1493" s="20"/>
      <c r="I1493" s="21"/>
      <c r="K1493" s="5"/>
      <c r="S1493" s="5"/>
      <c r="T1493" s="5"/>
    </row>
    <row r="1494" spans="6:20" ht="12.75">
      <c r="F1494" s="11"/>
      <c r="G1494" s="19"/>
      <c r="H1494" s="20"/>
      <c r="I1494" s="21"/>
      <c r="K1494" s="5"/>
      <c r="S1494" s="5"/>
      <c r="T1494" s="5"/>
    </row>
    <row r="1495" spans="6:20" ht="12.75">
      <c r="F1495" s="11"/>
      <c r="G1495" s="19"/>
      <c r="H1495" s="20"/>
      <c r="I1495" s="21"/>
      <c r="K1495" s="5"/>
      <c r="S1495" s="5"/>
      <c r="T1495" s="5"/>
    </row>
    <row r="1496" spans="6:20" ht="12.75">
      <c r="F1496" s="11"/>
      <c r="G1496" s="19"/>
      <c r="H1496" s="20"/>
      <c r="I1496" s="21"/>
      <c r="K1496" s="5"/>
      <c r="S1496" s="5"/>
      <c r="T1496" s="5"/>
    </row>
    <row r="1497" spans="6:20" ht="12.75">
      <c r="F1497" s="11"/>
      <c r="G1497" s="19"/>
      <c r="H1497" s="20"/>
      <c r="I1497" s="21"/>
      <c r="K1497" s="5"/>
      <c r="S1497" s="5"/>
      <c r="T1497" s="5"/>
    </row>
    <row r="1498" spans="6:20" ht="12.75">
      <c r="F1498" s="11"/>
      <c r="G1498" s="19"/>
      <c r="H1498" s="20"/>
      <c r="I1498" s="21"/>
      <c r="K1498" s="5"/>
      <c r="S1498" s="5"/>
      <c r="T1498" s="5"/>
    </row>
    <row r="1499" spans="6:20" ht="12.75">
      <c r="F1499" s="11"/>
      <c r="G1499" s="19"/>
      <c r="H1499" s="20"/>
      <c r="I1499" s="21"/>
      <c r="K1499" s="5"/>
      <c r="S1499" s="5"/>
      <c r="T1499" s="5"/>
    </row>
    <row r="1500" spans="6:20" ht="12.75">
      <c r="F1500" s="11"/>
      <c r="G1500" s="19"/>
      <c r="H1500" s="20"/>
      <c r="I1500" s="21"/>
      <c r="K1500" s="5"/>
      <c r="S1500" s="5"/>
      <c r="T1500" s="5"/>
    </row>
    <row r="1501" spans="6:20" ht="12.75">
      <c r="F1501" s="11"/>
      <c r="G1501" s="19"/>
      <c r="H1501" s="20"/>
      <c r="I1501" s="21"/>
      <c r="K1501" s="5"/>
      <c r="S1501" s="5"/>
      <c r="T1501" s="5"/>
    </row>
    <row r="1502" spans="6:20" ht="12.75">
      <c r="F1502" s="11"/>
      <c r="G1502" s="19"/>
      <c r="H1502" s="20"/>
      <c r="I1502" s="21"/>
      <c r="K1502" s="5"/>
      <c r="S1502" s="5"/>
      <c r="T1502" s="5"/>
    </row>
    <row r="1503" spans="6:20" ht="12.75">
      <c r="F1503" s="11"/>
      <c r="G1503" s="19"/>
      <c r="H1503" s="20"/>
      <c r="I1503" s="21"/>
      <c r="K1503" s="5"/>
      <c r="S1503" s="5"/>
      <c r="T1503" s="5"/>
    </row>
    <row r="1504" spans="6:20" ht="12.75">
      <c r="F1504" s="11"/>
      <c r="G1504" s="19"/>
      <c r="H1504" s="20"/>
      <c r="I1504" s="21"/>
      <c r="K1504" s="5"/>
      <c r="S1504" s="5"/>
      <c r="T1504" s="5"/>
    </row>
    <row r="1505" spans="6:20" ht="12.75">
      <c r="F1505" s="11"/>
      <c r="G1505" s="19"/>
      <c r="H1505" s="20"/>
      <c r="I1505" s="21"/>
      <c r="K1505" s="5"/>
      <c r="S1505" s="5"/>
      <c r="T1505" s="5"/>
    </row>
    <row r="1506" spans="6:20" ht="12.75">
      <c r="F1506" s="11"/>
      <c r="G1506" s="19"/>
      <c r="H1506" s="20"/>
      <c r="I1506" s="21"/>
      <c r="K1506" s="5"/>
      <c r="S1506" s="5"/>
      <c r="T1506" s="5"/>
    </row>
    <row r="1507" spans="6:20" ht="12.75">
      <c r="F1507" s="11"/>
      <c r="G1507" s="19"/>
      <c r="H1507" s="20"/>
      <c r="I1507" s="21"/>
      <c r="K1507" s="5"/>
      <c r="S1507" s="5"/>
      <c r="T1507" s="5"/>
    </row>
    <row r="1508" spans="6:20" ht="12.75">
      <c r="F1508" s="11"/>
      <c r="G1508" s="19"/>
      <c r="H1508" s="20"/>
      <c r="I1508" s="21"/>
      <c r="K1508" s="5"/>
      <c r="S1508" s="5"/>
      <c r="T1508" s="5"/>
    </row>
    <row r="1509" spans="6:20" ht="12.75">
      <c r="F1509" s="11"/>
      <c r="G1509" s="19"/>
      <c r="H1509" s="20"/>
      <c r="I1509" s="21"/>
      <c r="K1509" s="5"/>
      <c r="S1509" s="5"/>
      <c r="T1509" s="5"/>
    </row>
    <row r="1510" spans="6:20" ht="12.75">
      <c r="F1510" s="11"/>
      <c r="G1510" s="19"/>
      <c r="H1510" s="20"/>
      <c r="I1510" s="21"/>
      <c r="K1510" s="5"/>
      <c r="S1510" s="5"/>
      <c r="T1510" s="5"/>
    </row>
    <row r="1511" spans="6:20" ht="12.75">
      <c r="F1511" s="11"/>
      <c r="G1511" s="19"/>
      <c r="H1511" s="20"/>
      <c r="I1511" s="21"/>
      <c r="K1511" s="5"/>
      <c r="S1511" s="5"/>
      <c r="T1511" s="5"/>
    </row>
    <row r="1512" spans="6:20" ht="12.75">
      <c r="F1512" s="11"/>
      <c r="G1512" s="19"/>
      <c r="H1512" s="20"/>
      <c r="I1512" s="21"/>
      <c r="K1512" s="5"/>
      <c r="S1512" s="5"/>
      <c r="T1512" s="5"/>
    </row>
    <row r="1513" spans="6:20" ht="12.75">
      <c r="F1513" s="11"/>
      <c r="G1513" s="19"/>
      <c r="H1513" s="20"/>
      <c r="I1513" s="21"/>
      <c r="K1513" s="5"/>
      <c r="S1513" s="5"/>
      <c r="T1513" s="5"/>
    </row>
    <row r="1514" spans="6:20" ht="12.75">
      <c r="F1514" s="11"/>
      <c r="G1514" s="19"/>
      <c r="H1514" s="20"/>
      <c r="I1514" s="21"/>
      <c r="K1514" s="5"/>
      <c r="S1514" s="5"/>
      <c r="T1514" s="5"/>
    </row>
    <row r="1515" spans="6:20" ht="12.75">
      <c r="F1515" s="11"/>
      <c r="G1515" s="19"/>
      <c r="H1515" s="20"/>
      <c r="I1515" s="21"/>
      <c r="K1515" s="5"/>
      <c r="S1515" s="5"/>
      <c r="T1515" s="5"/>
    </row>
    <row r="1516" spans="6:20" ht="12.75">
      <c r="F1516" s="11"/>
      <c r="G1516" s="19"/>
      <c r="H1516" s="20"/>
      <c r="I1516" s="21"/>
      <c r="K1516" s="5"/>
      <c r="S1516" s="5"/>
      <c r="T1516" s="5"/>
    </row>
    <row r="1517" spans="6:20" ht="12.75">
      <c r="F1517" s="11"/>
      <c r="G1517" s="19"/>
      <c r="H1517" s="20"/>
      <c r="I1517" s="21"/>
      <c r="K1517" s="5"/>
      <c r="S1517" s="5"/>
      <c r="T1517" s="5"/>
    </row>
    <row r="1518" spans="6:20" ht="12.75">
      <c r="F1518" s="11"/>
      <c r="G1518" s="19"/>
      <c r="H1518" s="20"/>
      <c r="I1518" s="21"/>
      <c r="K1518" s="5"/>
      <c r="S1518" s="5"/>
      <c r="T1518" s="5"/>
    </row>
    <row r="1519" spans="6:20" ht="12.75">
      <c r="F1519" s="11"/>
      <c r="G1519" s="19"/>
      <c r="H1519" s="20"/>
      <c r="I1519" s="21"/>
      <c r="K1519" s="5"/>
      <c r="S1519" s="5"/>
      <c r="T1519" s="5"/>
    </row>
    <row r="1520" spans="6:20" ht="12.75">
      <c r="F1520" s="11"/>
      <c r="G1520" s="19"/>
      <c r="H1520" s="20"/>
      <c r="I1520" s="21"/>
      <c r="K1520" s="5"/>
      <c r="S1520" s="5"/>
      <c r="T1520" s="5"/>
    </row>
    <row r="1521" spans="6:20" ht="12.75">
      <c r="F1521" s="11"/>
      <c r="G1521" s="19"/>
      <c r="H1521" s="20"/>
      <c r="I1521" s="21"/>
      <c r="K1521" s="5"/>
      <c r="S1521" s="5"/>
      <c r="T1521" s="5"/>
    </row>
    <row r="1522" spans="6:20" ht="12.75">
      <c r="F1522" s="11"/>
      <c r="G1522" s="19"/>
      <c r="H1522" s="20"/>
      <c r="I1522" s="21"/>
      <c r="K1522" s="5"/>
      <c r="S1522" s="5"/>
      <c r="T1522" s="5"/>
    </row>
    <row r="1523" spans="6:20" ht="12.75">
      <c r="F1523" s="11"/>
      <c r="G1523" s="19"/>
      <c r="H1523" s="20"/>
      <c r="I1523" s="21"/>
      <c r="K1523" s="5"/>
      <c r="S1523" s="5"/>
      <c r="T1523" s="5"/>
    </row>
    <row r="1524" spans="6:20" ht="12.75">
      <c r="F1524" s="11"/>
      <c r="G1524" s="19"/>
      <c r="H1524" s="20"/>
      <c r="I1524" s="21"/>
      <c r="K1524" s="5"/>
      <c r="S1524" s="5"/>
      <c r="T1524" s="5"/>
    </row>
    <row r="1525" spans="6:20" ht="12.75">
      <c r="F1525" s="11"/>
      <c r="G1525" s="19"/>
      <c r="H1525" s="20"/>
      <c r="I1525" s="21"/>
      <c r="K1525" s="5"/>
      <c r="S1525" s="5"/>
      <c r="T1525" s="5"/>
    </row>
    <row r="1526" spans="6:20" ht="12.75">
      <c r="F1526" s="11"/>
      <c r="G1526" s="19"/>
      <c r="H1526" s="20"/>
      <c r="I1526" s="21"/>
      <c r="K1526" s="5"/>
      <c r="S1526" s="5"/>
      <c r="T1526" s="5"/>
    </row>
    <row r="1527" spans="6:20" ht="12.75">
      <c r="F1527" s="11"/>
      <c r="G1527" s="19"/>
      <c r="H1527" s="20"/>
      <c r="I1527" s="21"/>
      <c r="K1527" s="5"/>
      <c r="S1527" s="5"/>
      <c r="T1527" s="5"/>
    </row>
    <row r="1528" spans="6:20" ht="12.75">
      <c r="F1528" s="11"/>
      <c r="G1528" s="19"/>
      <c r="H1528" s="20"/>
      <c r="I1528" s="21"/>
      <c r="K1528" s="5"/>
      <c r="S1528" s="5"/>
      <c r="T1528" s="5"/>
    </row>
    <row r="1529" spans="6:20" ht="12.75">
      <c r="F1529" s="11"/>
      <c r="G1529" s="19"/>
      <c r="H1529" s="20"/>
      <c r="I1529" s="21"/>
      <c r="K1529" s="5"/>
      <c r="S1529" s="5"/>
      <c r="T1529" s="5"/>
    </row>
    <row r="1530" spans="6:20" ht="12.75">
      <c r="F1530" s="11"/>
      <c r="G1530" s="19"/>
      <c r="H1530" s="20"/>
      <c r="I1530" s="21"/>
      <c r="K1530" s="5"/>
      <c r="S1530" s="5"/>
      <c r="T1530" s="5"/>
    </row>
    <row r="1531" spans="6:20" ht="12.75">
      <c r="F1531" s="11"/>
      <c r="G1531" s="19"/>
      <c r="H1531" s="20"/>
      <c r="I1531" s="21"/>
      <c r="K1531" s="5"/>
      <c r="S1531" s="5"/>
      <c r="T1531" s="5"/>
    </row>
    <row r="1532" spans="6:20" ht="12.75">
      <c r="F1532" s="11"/>
      <c r="G1532" s="19"/>
      <c r="H1532" s="20"/>
      <c r="I1532" s="21"/>
      <c r="K1532" s="5"/>
      <c r="S1532" s="5"/>
      <c r="T1532" s="5"/>
    </row>
    <row r="1533" spans="6:20" ht="12.75">
      <c r="F1533" s="11"/>
      <c r="G1533" s="19"/>
      <c r="H1533" s="20"/>
      <c r="I1533" s="21"/>
      <c r="K1533" s="5"/>
      <c r="S1533" s="5"/>
      <c r="T1533" s="5"/>
    </row>
    <row r="1534" spans="6:20" ht="12.75">
      <c r="F1534" s="11"/>
      <c r="G1534" s="19"/>
      <c r="H1534" s="20"/>
      <c r="I1534" s="21"/>
      <c r="K1534" s="5"/>
      <c r="S1534" s="5"/>
      <c r="T1534" s="5"/>
    </row>
    <row r="1535" spans="6:20" ht="12.75">
      <c r="F1535" s="11"/>
      <c r="G1535" s="19"/>
      <c r="H1535" s="20"/>
      <c r="I1535" s="21"/>
      <c r="K1535" s="5"/>
      <c r="S1535" s="5"/>
      <c r="T1535" s="5"/>
    </row>
    <row r="1536" spans="6:20" ht="12.75">
      <c r="F1536" s="11"/>
      <c r="G1536" s="19"/>
      <c r="H1536" s="20"/>
      <c r="I1536" s="21"/>
      <c r="K1536" s="5"/>
      <c r="S1536" s="5"/>
      <c r="T1536" s="5"/>
    </row>
    <row r="1537" spans="6:20" ht="12.75">
      <c r="F1537" s="11"/>
      <c r="G1537" s="19"/>
      <c r="H1537" s="20"/>
      <c r="I1537" s="21"/>
      <c r="K1537" s="5"/>
      <c r="S1537" s="5"/>
      <c r="T1537" s="5"/>
    </row>
    <row r="1538" spans="6:20" ht="12.75">
      <c r="F1538" s="11"/>
      <c r="G1538" s="19"/>
      <c r="H1538" s="20"/>
      <c r="I1538" s="21"/>
      <c r="K1538" s="5"/>
      <c r="S1538" s="5"/>
      <c r="T1538" s="5"/>
    </row>
    <row r="1539" spans="6:20" ht="12.75">
      <c r="F1539" s="11"/>
      <c r="G1539" s="19"/>
      <c r="H1539" s="20"/>
      <c r="I1539" s="21"/>
      <c r="K1539" s="5"/>
      <c r="S1539" s="5"/>
      <c r="T1539" s="5"/>
    </row>
    <row r="1540" spans="6:20" ht="12.75">
      <c r="F1540" s="11"/>
      <c r="G1540" s="19"/>
      <c r="H1540" s="20"/>
      <c r="I1540" s="21"/>
      <c r="K1540" s="5"/>
      <c r="S1540" s="5"/>
      <c r="T1540" s="5"/>
    </row>
    <row r="1541" spans="6:20" ht="12.75">
      <c r="F1541" s="11"/>
      <c r="G1541" s="19"/>
      <c r="H1541" s="20"/>
      <c r="I1541" s="21"/>
      <c r="K1541" s="5"/>
      <c r="S1541" s="5"/>
      <c r="T1541" s="5"/>
    </row>
    <row r="1542" spans="6:20" ht="12.75">
      <c r="F1542" s="11"/>
      <c r="G1542" s="19"/>
      <c r="H1542" s="20"/>
      <c r="I1542" s="21"/>
      <c r="K1542" s="5"/>
      <c r="S1542" s="5"/>
      <c r="T1542" s="5"/>
    </row>
    <row r="1543" spans="6:20" ht="12.75">
      <c r="F1543" s="11"/>
      <c r="G1543" s="19"/>
      <c r="H1543" s="20"/>
      <c r="I1543" s="21"/>
      <c r="K1543" s="5"/>
      <c r="S1543" s="5"/>
      <c r="T1543" s="5"/>
    </row>
    <row r="1544" spans="6:20" ht="12.75">
      <c r="F1544" s="11"/>
      <c r="G1544" s="19"/>
      <c r="H1544" s="20"/>
      <c r="I1544" s="21"/>
      <c r="K1544" s="5"/>
      <c r="S1544" s="5"/>
      <c r="T1544" s="5"/>
    </row>
    <row r="1545" spans="6:20" ht="12.75">
      <c r="F1545" s="11"/>
      <c r="G1545" s="19"/>
      <c r="H1545" s="20"/>
      <c r="I1545" s="21"/>
      <c r="K1545" s="5"/>
      <c r="S1545" s="5"/>
      <c r="T1545" s="5"/>
    </row>
    <row r="1546" spans="6:20" ht="12.75">
      <c r="F1546" s="11"/>
      <c r="G1546" s="19"/>
      <c r="H1546" s="20"/>
      <c r="I1546" s="21"/>
      <c r="K1546" s="5"/>
      <c r="S1546" s="5"/>
      <c r="T1546" s="5"/>
    </row>
    <row r="1547" spans="6:20" ht="12.75">
      <c r="F1547" s="11"/>
      <c r="G1547" s="19"/>
      <c r="H1547" s="20"/>
      <c r="I1547" s="21"/>
      <c r="K1547" s="5"/>
      <c r="S1547" s="5"/>
      <c r="T1547" s="5"/>
    </row>
    <row r="1548" spans="6:20" ht="12.75">
      <c r="F1548" s="11"/>
      <c r="G1548" s="19"/>
      <c r="H1548" s="20"/>
      <c r="I1548" s="21"/>
      <c r="K1548" s="5"/>
      <c r="S1548" s="5"/>
      <c r="T1548" s="5"/>
    </row>
    <row r="1549" spans="6:20" ht="12.75">
      <c r="F1549" s="11"/>
      <c r="G1549" s="19"/>
      <c r="H1549" s="20"/>
      <c r="I1549" s="21"/>
      <c r="K1549" s="5"/>
      <c r="S1549" s="5"/>
      <c r="T1549" s="5"/>
    </row>
    <row r="1550" spans="6:20" ht="12.75">
      <c r="F1550" s="11"/>
      <c r="G1550" s="19"/>
      <c r="H1550" s="20"/>
      <c r="I1550" s="21"/>
      <c r="K1550" s="5"/>
      <c r="S1550" s="5"/>
      <c r="T1550" s="5"/>
    </row>
    <row r="1551" spans="6:20" ht="12.75">
      <c r="F1551" s="11"/>
      <c r="G1551" s="19"/>
      <c r="H1551" s="20"/>
      <c r="I1551" s="21"/>
      <c r="K1551" s="5"/>
      <c r="S1551" s="5"/>
      <c r="T1551" s="5"/>
    </row>
    <row r="1552" spans="6:20" ht="12.75">
      <c r="F1552" s="11"/>
      <c r="G1552" s="19"/>
      <c r="H1552" s="20"/>
      <c r="I1552" s="21"/>
      <c r="K1552" s="5"/>
      <c r="S1552" s="5"/>
      <c r="T1552" s="5"/>
    </row>
    <row r="1553" spans="6:20" ht="12.75">
      <c r="F1553" s="11"/>
      <c r="G1553" s="19"/>
      <c r="H1553" s="20"/>
      <c r="I1553" s="21"/>
      <c r="K1553" s="5"/>
      <c r="S1553" s="5"/>
      <c r="T1553" s="5"/>
    </row>
    <row r="1554" spans="6:20" ht="12.75">
      <c r="F1554" s="11"/>
      <c r="G1554" s="19"/>
      <c r="H1554" s="20"/>
      <c r="I1554" s="21"/>
      <c r="K1554" s="5"/>
      <c r="S1554" s="5"/>
      <c r="T1554" s="5"/>
    </row>
    <row r="1555" spans="6:20" ht="12.75">
      <c r="F1555" s="11"/>
      <c r="G1555" s="19"/>
      <c r="H1555" s="20"/>
      <c r="I1555" s="21"/>
      <c r="K1555" s="5"/>
      <c r="S1555" s="5"/>
      <c r="T1555" s="5"/>
    </row>
    <row r="1556" spans="6:20" ht="12.75">
      <c r="F1556" s="11"/>
      <c r="G1556" s="19"/>
      <c r="H1556" s="20"/>
      <c r="I1556" s="21"/>
      <c r="K1556" s="5"/>
      <c r="S1556" s="5"/>
      <c r="T1556" s="5"/>
    </row>
    <row r="1557" spans="6:20" ht="12.75">
      <c r="F1557" s="11"/>
      <c r="G1557" s="19"/>
      <c r="H1557" s="20"/>
      <c r="I1557" s="21"/>
      <c r="K1557" s="5"/>
      <c r="S1557" s="5"/>
      <c r="T1557" s="5"/>
    </row>
    <row r="1558" spans="6:20" ht="12.75">
      <c r="F1558" s="11"/>
      <c r="G1558" s="19"/>
      <c r="H1558" s="20"/>
      <c r="I1558" s="21"/>
      <c r="K1558" s="5"/>
      <c r="S1558" s="5"/>
      <c r="T1558" s="5"/>
    </row>
    <row r="1559" spans="6:20" ht="12.75">
      <c r="F1559" s="11"/>
      <c r="G1559" s="19"/>
      <c r="H1559" s="20"/>
      <c r="I1559" s="21"/>
      <c r="K1559" s="5"/>
      <c r="S1559" s="5"/>
      <c r="T1559" s="5"/>
    </row>
    <row r="1560" spans="6:20" ht="12.75">
      <c r="F1560" s="11"/>
      <c r="G1560" s="19"/>
      <c r="H1560" s="20"/>
      <c r="I1560" s="21"/>
      <c r="K1560" s="5"/>
      <c r="S1560" s="5"/>
      <c r="T1560" s="5"/>
    </row>
    <row r="1561" spans="6:20" ht="12.75">
      <c r="F1561" s="11"/>
      <c r="G1561" s="19"/>
      <c r="H1561" s="20"/>
      <c r="I1561" s="21"/>
      <c r="K1561" s="5"/>
      <c r="S1561" s="5"/>
      <c r="T1561" s="5"/>
    </row>
    <row r="1562" spans="6:20" ht="12.75">
      <c r="F1562" s="11"/>
      <c r="G1562" s="19"/>
      <c r="H1562" s="20"/>
      <c r="I1562" s="21"/>
      <c r="K1562" s="5"/>
      <c r="S1562" s="5"/>
      <c r="T1562" s="5"/>
    </row>
    <row r="1563" spans="6:20" ht="12.75">
      <c r="F1563" s="11"/>
      <c r="G1563" s="19"/>
      <c r="H1563" s="20"/>
      <c r="I1563" s="21"/>
      <c r="K1563" s="5"/>
      <c r="S1563" s="5"/>
      <c r="T1563" s="5"/>
    </row>
    <row r="1564" spans="6:20" ht="12.75">
      <c r="F1564" s="11"/>
      <c r="G1564" s="19"/>
      <c r="H1564" s="20"/>
      <c r="I1564" s="21"/>
      <c r="K1564" s="5"/>
      <c r="S1564" s="5"/>
      <c r="T1564" s="5"/>
    </row>
    <row r="1565" spans="6:20" ht="12.75">
      <c r="F1565" s="11"/>
      <c r="G1565" s="19"/>
      <c r="H1565" s="20"/>
      <c r="I1565" s="21"/>
      <c r="K1565" s="5"/>
      <c r="S1565" s="5"/>
      <c r="T1565" s="5"/>
    </row>
    <row r="1566" spans="6:20" ht="12.75">
      <c r="F1566" s="11"/>
      <c r="G1566" s="19"/>
      <c r="H1566" s="20"/>
      <c r="I1566" s="21"/>
      <c r="K1566" s="5"/>
      <c r="S1566" s="5"/>
      <c r="T1566" s="5"/>
    </row>
    <row r="1567" spans="6:20" ht="12.75">
      <c r="F1567" s="11"/>
      <c r="G1567" s="19"/>
      <c r="H1567" s="20"/>
      <c r="I1567" s="21"/>
      <c r="K1567" s="5"/>
      <c r="S1567" s="5"/>
      <c r="T1567" s="5"/>
    </row>
    <row r="1568" spans="6:20" ht="12.75">
      <c r="F1568" s="11"/>
      <c r="G1568" s="19"/>
      <c r="H1568" s="20"/>
      <c r="I1568" s="21"/>
      <c r="K1568" s="5"/>
      <c r="S1568" s="5"/>
      <c r="T1568" s="5"/>
    </row>
    <row r="1569" spans="6:20" ht="12.75">
      <c r="F1569" s="11"/>
      <c r="G1569" s="19"/>
      <c r="H1569" s="20"/>
      <c r="I1569" s="21"/>
      <c r="K1569" s="5"/>
      <c r="S1569" s="5"/>
      <c r="T1569" s="5"/>
    </row>
    <row r="1570" spans="6:20" ht="12.75">
      <c r="F1570" s="11"/>
      <c r="G1570" s="19"/>
      <c r="H1570" s="20"/>
      <c r="I1570" s="21"/>
      <c r="K1570" s="5"/>
      <c r="S1570" s="5"/>
      <c r="T1570" s="5"/>
    </row>
    <row r="1571" spans="6:20" ht="12.75">
      <c r="F1571" s="11"/>
      <c r="G1571" s="19"/>
      <c r="H1571" s="20"/>
      <c r="I1571" s="21"/>
      <c r="K1571" s="5"/>
      <c r="S1571" s="5"/>
      <c r="T1571" s="5"/>
    </row>
    <row r="1572" spans="6:20" ht="12.75">
      <c r="F1572" s="11"/>
      <c r="G1572" s="19"/>
      <c r="H1572" s="20"/>
      <c r="I1572" s="21"/>
      <c r="K1572" s="5"/>
      <c r="S1572" s="5"/>
      <c r="T1572" s="5"/>
    </row>
    <row r="1573" spans="6:20" ht="12.75">
      <c r="F1573" s="11"/>
      <c r="G1573" s="19"/>
      <c r="H1573" s="20"/>
      <c r="I1573" s="21"/>
      <c r="K1573" s="5"/>
      <c r="S1573" s="5"/>
      <c r="T1573" s="5"/>
    </row>
    <row r="1574" spans="6:20" ht="12.75">
      <c r="F1574" s="11"/>
      <c r="G1574" s="19"/>
      <c r="H1574" s="20"/>
      <c r="I1574" s="21"/>
      <c r="K1574" s="5"/>
      <c r="S1574" s="5"/>
      <c r="T1574" s="5"/>
    </row>
    <row r="1575" spans="6:20" ht="12.75">
      <c r="F1575" s="11"/>
      <c r="G1575" s="19"/>
      <c r="H1575" s="20"/>
      <c r="I1575" s="21"/>
      <c r="K1575" s="5"/>
      <c r="S1575" s="5"/>
      <c r="T1575" s="5"/>
    </row>
    <row r="1576" spans="6:20" ht="12.75">
      <c r="F1576" s="11"/>
      <c r="G1576" s="19"/>
      <c r="H1576" s="20"/>
      <c r="I1576" s="21"/>
      <c r="K1576" s="5"/>
      <c r="S1576" s="5"/>
      <c r="T1576" s="5"/>
    </row>
    <row r="1577" spans="6:20" ht="12.75">
      <c r="F1577" s="11"/>
      <c r="G1577" s="19"/>
      <c r="H1577" s="20"/>
      <c r="I1577" s="21"/>
      <c r="K1577" s="5"/>
      <c r="S1577" s="5"/>
      <c r="T1577" s="5"/>
    </row>
    <row r="1578" spans="6:20" ht="12.75">
      <c r="F1578" s="11"/>
      <c r="G1578" s="19"/>
      <c r="H1578" s="20"/>
      <c r="I1578" s="21"/>
      <c r="K1578" s="5"/>
      <c r="S1578" s="5"/>
      <c r="T1578" s="5"/>
    </row>
    <row r="1579" spans="6:20" ht="12.75">
      <c r="F1579" s="11"/>
      <c r="G1579" s="19"/>
      <c r="H1579" s="20"/>
      <c r="I1579" s="21"/>
      <c r="K1579" s="5"/>
      <c r="S1579" s="5"/>
      <c r="T1579" s="5"/>
    </row>
    <row r="1580" spans="6:20" ht="12.75">
      <c r="F1580" s="11"/>
      <c r="G1580" s="19"/>
      <c r="H1580" s="20"/>
      <c r="I1580" s="21"/>
      <c r="K1580" s="5"/>
      <c r="S1580" s="5"/>
      <c r="T1580" s="5"/>
    </row>
    <row r="1581" spans="6:20" ht="12.75">
      <c r="F1581" s="11"/>
      <c r="G1581" s="19"/>
      <c r="H1581" s="20"/>
      <c r="I1581" s="21"/>
      <c r="K1581" s="5"/>
      <c r="S1581" s="5"/>
      <c r="T1581" s="5"/>
    </row>
    <row r="1582" spans="6:20" ht="12.75">
      <c r="F1582" s="11"/>
      <c r="G1582" s="19"/>
      <c r="H1582" s="20"/>
      <c r="I1582" s="21"/>
      <c r="K1582" s="5"/>
      <c r="S1582" s="5"/>
      <c r="T1582" s="5"/>
    </row>
    <row r="1583" spans="6:20" ht="12.75">
      <c r="F1583" s="11"/>
      <c r="G1583" s="19"/>
      <c r="H1583" s="20"/>
      <c r="I1583" s="21"/>
      <c r="K1583" s="5"/>
      <c r="S1583" s="5"/>
      <c r="T1583" s="5"/>
    </row>
    <row r="1584" spans="6:20" ht="12.75">
      <c r="F1584" s="11"/>
      <c r="G1584" s="19"/>
      <c r="H1584" s="20"/>
      <c r="I1584" s="21"/>
      <c r="K1584" s="5"/>
      <c r="S1584" s="5"/>
      <c r="T1584" s="5"/>
    </row>
    <row r="1585" spans="6:20" ht="12.75">
      <c r="F1585" s="11"/>
      <c r="G1585" s="19"/>
      <c r="H1585" s="20"/>
      <c r="I1585" s="21"/>
      <c r="K1585" s="5"/>
      <c r="S1585" s="5"/>
      <c r="T1585" s="5"/>
    </row>
    <row r="1586" spans="6:20" ht="12.75">
      <c r="F1586" s="11"/>
      <c r="G1586" s="19"/>
      <c r="H1586" s="20"/>
      <c r="I1586" s="21"/>
      <c r="K1586" s="5"/>
      <c r="S1586" s="5"/>
      <c r="T1586" s="5"/>
    </row>
    <row r="1587" spans="6:20" ht="12.75">
      <c r="F1587" s="11"/>
      <c r="G1587" s="19"/>
      <c r="H1587" s="20"/>
      <c r="I1587" s="21"/>
      <c r="K1587" s="5"/>
      <c r="S1587" s="5"/>
      <c r="T1587" s="5"/>
    </row>
    <row r="1588" spans="6:20" ht="12.75">
      <c r="F1588" s="11"/>
      <c r="G1588" s="19"/>
      <c r="H1588" s="20"/>
      <c r="I1588" s="21"/>
      <c r="K1588" s="5"/>
      <c r="S1588" s="5"/>
      <c r="T1588" s="5"/>
    </row>
    <row r="1589" spans="6:20" ht="12.75">
      <c r="F1589" s="11"/>
      <c r="G1589" s="19"/>
      <c r="H1589" s="20"/>
      <c r="I1589" s="21"/>
      <c r="K1589" s="5"/>
      <c r="S1589" s="5"/>
      <c r="T1589" s="5"/>
    </row>
    <row r="1590" spans="6:20" ht="12.75">
      <c r="F1590" s="11"/>
      <c r="G1590" s="19"/>
      <c r="H1590" s="20"/>
      <c r="I1590" s="21"/>
      <c r="K1590" s="5"/>
      <c r="S1590" s="5"/>
      <c r="T1590" s="5"/>
    </row>
    <row r="1591" spans="6:20" ht="12.75">
      <c r="F1591" s="11"/>
      <c r="G1591" s="19"/>
      <c r="H1591" s="20"/>
      <c r="I1591" s="21"/>
      <c r="K1591" s="5"/>
      <c r="S1591" s="5"/>
      <c r="T1591" s="5"/>
    </row>
    <row r="1592" spans="6:20" ht="12.75">
      <c r="F1592" s="11"/>
      <c r="G1592" s="19"/>
      <c r="H1592" s="20"/>
      <c r="I1592" s="21"/>
      <c r="K1592" s="5"/>
      <c r="S1592" s="5"/>
      <c r="T1592" s="5"/>
    </row>
    <row r="1593" spans="6:20" ht="12.75">
      <c r="F1593" s="11"/>
      <c r="G1593" s="19"/>
      <c r="H1593" s="20"/>
      <c r="I1593" s="21"/>
      <c r="K1593" s="5"/>
      <c r="S1593" s="5"/>
      <c r="T1593" s="5"/>
    </row>
    <row r="1594" spans="6:20" ht="12.75">
      <c r="F1594" s="11"/>
      <c r="G1594" s="19"/>
      <c r="H1594" s="20"/>
      <c r="I1594" s="21"/>
      <c r="K1594" s="5"/>
      <c r="S1594" s="5"/>
      <c r="T1594" s="5"/>
    </row>
    <row r="1595" spans="6:20" ht="12.75">
      <c r="F1595" s="11"/>
      <c r="G1595" s="19"/>
      <c r="H1595" s="20"/>
      <c r="I1595" s="21"/>
      <c r="K1595" s="5"/>
      <c r="S1595" s="5"/>
      <c r="T1595" s="5"/>
    </row>
    <row r="1596" spans="6:20" ht="12.75">
      <c r="F1596" s="11"/>
      <c r="G1596" s="19"/>
      <c r="H1596" s="20"/>
      <c r="I1596" s="21"/>
      <c r="K1596" s="5"/>
      <c r="S1596" s="5"/>
      <c r="T1596" s="5"/>
    </row>
    <row r="1597" spans="6:20" ht="12.75">
      <c r="F1597" s="11"/>
      <c r="G1597" s="19"/>
      <c r="H1597" s="20"/>
      <c r="I1597" s="21"/>
      <c r="K1597" s="5"/>
      <c r="S1597" s="5"/>
      <c r="T1597" s="5"/>
    </row>
    <row r="1598" spans="6:20" ht="12.75">
      <c r="F1598" s="11"/>
      <c r="G1598" s="19"/>
      <c r="H1598" s="20"/>
      <c r="I1598" s="21"/>
      <c r="K1598" s="5"/>
      <c r="S1598" s="5"/>
      <c r="T1598" s="5"/>
    </row>
    <row r="1599" spans="6:20" ht="12.75">
      <c r="F1599" s="11"/>
      <c r="G1599" s="19"/>
      <c r="H1599" s="20"/>
      <c r="I1599" s="21"/>
      <c r="K1599" s="5"/>
      <c r="S1599" s="5"/>
      <c r="T1599" s="5"/>
    </row>
    <row r="1600" spans="6:20" ht="12.75">
      <c r="F1600" s="11"/>
      <c r="G1600" s="19"/>
      <c r="H1600" s="20"/>
      <c r="I1600" s="21"/>
      <c r="K1600" s="5"/>
      <c r="S1600" s="5"/>
      <c r="T1600" s="5"/>
    </row>
    <row r="1601" spans="6:20" ht="12.75">
      <c r="F1601" s="11"/>
      <c r="G1601" s="19"/>
      <c r="H1601" s="20"/>
      <c r="I1601" s="21"/>
      <c r="K1601" s="5"/>
      <c r="S1601" s="5"/>
      <c r="T1601" s="5"/>
    </row>
    <row r="1602" spans="6:20" ht="12.75">
      <c r="F1602" s="11"/>
      <c r="G1602" s="19"/>
      <c r="H1602" s="20"/>
      <c r="I1602" s="21"/>
      <c r="K1602" s="5"/>
      <c r="S1602" s="5"/>
      <c r="T1602" s="5"/>
    </row>
    <row r="1603" spans="6:20" ht="12.75">
      <c r="F1603" s="11"/>
      <c r="G1603" s="19"/>
      <c r="H1603" s="20"/>
      <c r="I1603" s="21"/>
      <c r="K1603" s="5"/>
      <c r="S1603" s="5"/>
      <c r="T1603" s="5"/>
    </row>
    <row r="1604" spans="6:20" ht="12.75">
      <c r="F1604" s="11"/>
      <c r="G1604" s="19"/>
      <c r="H1604" s="20"/>
      <c r="I1604" s="21"/>
      <c r="K1604" s="5"/>
      <c r="S1604" s="5"/>
      <c r="T1604" s="5"/>
    </row>
    <row r="1605" spans="6:20" ht="12.75">
      <c r="F1605" s="11"/>
      <c r="G1605" s="19"/>
      <c r="H1605" s="20"/>
      <c r="I1605" s="21"/>
      <c r="K1605" s="5"/>
      <c r="S1605" s="5"/>
      <c r="T1605" s="5"/>
    </row>
    <row r="1606" spans="6:20" ht="12.75">
      <c r="F1606" s="11"/>
      <c r="G1606" s="19"/>
      <c r="H1606" s="20"/>
      <c r="I1606" s="21"/>
      <c r="K1606" s="5"/>
      <c r="S1606" s="5"/>
      <c r="T1606" s="5"/>
    </row>
    <row r="1607" spans="6:20" ht="12.75">
      <c r="F1607" s="11"/>
      <c r="G1607" s="19"/>
      <c r="H1607" s="20"/>
      <c r="I1607" s="21"/>
      <c r="K1607" s="5"/>
      <c r="S1607" s="5"/>
      <c r="T1607" s="5"/>
    </row>
    <row r="1608" spans="6:20" ht="12.75">
      <c r="F1608" s="11"/>
      <c r="G1608" s="19"/>
      <c r="H1608" s="20"/>
      <c r="I1608" s="21"/>
      <c r="K1608" s="5"/>
      <c r="S1608" s="5"/>
      <c r="T1608" s="5"/>
    </row>
    <row r="1609" spans="6:20" ht="12.75">
      <c r="F1609" s="11"/>
      <c r="G1609" s="19"/>
      <c r="H1609" s="20"/>
      <c r="I1609" s="21"/>
      <c r="K1609" s="5"/>
      <c r="S1609" s="5"/>
      <c r="T1609" s="5"/>
    </row>
    <row r="1610" spans="6:20" ht="12.75">
      <c r="F1610" s="11"/>
      <c r="G1610" s="19"/>
      <c r="H1610" s="20"/>
      <c r="I1610" s="21"/>
      <c r="K1610" s="5"/>
      <c r="S1610" s="5"/>
      <c r="T1610" s="5"/>
    </row>
    <row r="1611" spans="6:20" ht="12.75">
      <c r="F1611" s="11"/>
      <c r="G1611" s="19"/>
      <c r="H1611" s="20"/>
      <c r="I1611" s="21"/>
      <c r="K1611" s="5"/>
      <c r="S1611" s="5"/>
      <c r="T1611" s="5"/>
    </row>
    <row r="1612" spans="6:20" ht="12.75">
      <c r="F1612" s="11"/>
      <c r="G1612" s="19"/>
      <c r="H1612" s="20"/>
      <c r="I1612" s="21"/>
      <c r="K1612" s="5"/>
      <c r="S1612" s="5"/>
      <c r="T1612" s="5"/>
    </row>
    <row r="1613" spans="6:20" ht="12.75">
      <c r="F1613" s="11"/>
      <c r="G1613" s="19"/>
      <c r="H1613" s="20"/>
      <c r="I1613" s="21"/>
      <c r="K1613" s="5"/>
      <c r="S1613" s="5"/>
      <c r="T1613" s="5"/>
    </row>
    <row r="1614" spans="6:20" ht="12.75">
      <c r="F1614" s="11"/>
      <c r="G1614" s="19"/>
      <c r="H1614" s="20"/>
      <c r="I1614" s="21"/>
      <c r="K1614" s="5"/>
      <c r="S1614" s="5"/>
      <c r="T1614" s="5"/>
    </row>
    <row r="1615" spans="6:20" ht="12.75">
      <c r="F1615" s="11"/>
      <c r="G1615" s="19"/>
      <c r="H1615" s="20"/>
      <c r="I1615" s="21"/>
      <c r="K1615" s="5"/>
      <c r="S1615" s="5"/>
      <c r="T1615" s="5"/>
    </row>
    <row r="1616" spans="6:20" ht="12.75">
      <c r="F1616" s="11"/>
      <c r="G1616" s="19"/>
      <c r="H1616" s="20"/>
      <c r="I1616" s="21"/>
      <c r="K1616" s="5"/>
      <c r="S1616" s="5"/>
      <c r="T1616" s="5"/>
    </row>
    <row r="1617" spans="6:20" ht="12.75">
      <c r="F1617" s="11"/>
      <c r="G1617" s="19"/>
      <c r="H1617" s="20"/>
      <c r="I1617" s="21"/>
      <c r="K1617" s="5"/>
      <c r="S1617" s="5"/>
      <c r="T1617" s="5"/>
    </row>
    <row r="1618" spans="6:20" ht="12.75">
      <c r="F1618" s="11"/>
      <c r="G1618" s="19"/>
      <c r="H1618" s="20"/>
      <c r="I1618" s="21"/>
      <c r="K1618" s="5"/>
      <c r="S1618" s="5"/>
      <c r="T1618" s="5"/>
    </row>
    <row r="1619" spans="6:20" ht="12.75">
      <c r="F1619" s="11"/>
      <c r="G1619" s="19"/>
      <c r="H1619" s="20"/>
      <c r="I1619" s="21"/>
      <c r="K1619" s="5"/>
      <c r="S1619" s="5"/>
      <c r="T1619" s="5"/>
    </row>
    <row r="1620" spans="6:20" ht="12.75">
      <c r="F1620" s="11"/>
      <c r="G1620" s="19"/>
      <c r="H1620" s="20"/>
      <c r="I1620" s="21"/>
      <c r="K1620" s="5"/>
      <c r="S1620" s="5"/>
      <c r="T1620" s="5"/>
    </row>
    <row r="1621" spans="6:20" ht="12.75">
      <c r="F1621" s="11"/>
      <c r="G1621" s="19"/>
      <c r="H1621" s="20"/>
      <c r="I1621" s="21"/>
      <c r="K1621" s="5"/>
      <c r="S1621" s="5"/>
      <c r="T1621" s="5"/>
    </row>
    <row r="1622" spans="6:20" ht="12.75">
      <c r="F1622" s="11"/>
      <c r="G1622" s="19"/>
      <c r="H1622" s="20"/>
      <c r="I1622" s="21"/>
      <c r="K1622" s="5"/>
      <c r="S1622" s="5"/>
      <c r="T1622" s="5"/>
    </row>
    <row r="1623" spans="6:20" ht="12.75">
      <c r="F1623" s="11"/>
      <c r="G1623" s="19"/>
      <c r="H1623" s="20"/>
      <c r="I1623" s="21"/>
      <c r="K1623" s="5"/>
      <c r="S1623" s="5"/>
      <c r="T1623" s="5"/>
    </row>
    <row r="1624" spans="6:20" ht="12.75">
      <c r="F1624" s="11"/>
      <c r="G1624" s="19"/>
      <c r="H1624" s="20"/>
      <c r="I1624" s="21"/>
      <c r="K1624" s="5"/>
      <c r="S1624" s="5"/>
      <c r="T1624" s="5"/>
    </row>
    <row r="1625" spans="6:20" ht="12.75">
      <c r="F1625" s="11"/>
      <c r="G1625" s="19"/>
      <c r="H1625" s="20"/>
      <c r="I1625" s="21"/>
      <c r="K1625" s="5"/>
      <c r="S1625" s="5"/>
      <c r="T1625" s="5"/>
    </row>
    <row r="1626" spans="6:20" ht="12.75">
      <c r="F1626" s="11"/>
      <c r="G1626" s="19"/>
      <c r="H1626" s="20"/>
      <c r="I1626" s="21"/>
      <c r="K1626" s="5"/>
      <c r="S1626" s="5"/>
      <c r="T1626" s="5"/>
    </row>
    <row r="1627" spans="6:20" ht="12.75">
      <c r="F1627" s="11"/>
      <c r="G1627" s="19"/>
      <c r="H1627" s="20"/>
      <c r="I1627" s="21"/>
      <c r="K1627" s="5"/>
      <c r="S1627" s="5"/>
      <c r="T1627" s="5"/>
    </row>
    <row r="1628" spans="6:20" ht="12.75">
      <c r="F1628" s="11"/>
      <c r="G1628" s="19"/>
      <c r="H1628" s="20"/>
      <c r="I1628" s="21"/>
      <c r="K1628" s="5"/>
      <c r="S1628" s="5"/>
      <c r="T1628" s="5"/>
    </row>
    <row r="1629" spans="6:20" ht="12.75">
      <c r="F1629" s="11"/>
      <c r="G1629" s="19"/>
      <c r="H1629" s="20"/>
      <c r="I1629" s="21"/>
      <c r="K1629" s="5"/>
      <c r="S1629" s="5"/>
      <c r="T1629" s="5"/>
    </row>
    <row r="1630" spans="6:20" ht="12.75">
      <c r="F1630" s="11"/>
      <c r="G1630" s="19"/>
      <c r="H1630" s="20"/>
      <c r="I1630" s="21"/>
      <c r="K1630" s="5"/>
      <c r="S1630" s="5"/>
      <c r="T1630" s="5"/>
    </row>
    <row r="1631" spans="6:20" ht="12.75">
      <c r="F1631" s="11"/>
      <c r="G1631" s="19"/>
      <c r="H1631" s="20"/>
      <c r="I1631" s="21"/>
      <c r="K1631" s="5"/>
      <c r="S1631" s="5"/>
      <c r="T1631" s="5"/>
    </row>
    <row r="1632" spans="6:20" ht="12.75">
      <c r="F1632" s="11"/>
      <c r="G1632" s="19"/>
      <c r="H1632" s="20"/>
      <c r="I1632" s="21"/>
      <c r="K1632" s="5"/>
      <c r="S1632" s="5"/>
      <c r="T1632" s="5"/>
    </row>
    <row r="1633" spans="6:20" ht="12.75">
      <c r="F1633" s="11"/>
      <c r="G1633" s="19"/>
      <c r="H1633" s="20"/>
      <c r="I1633" s="21"/>
      <c r="K1633" s="5"/>
      <c r="S1633" s="5"/>
      <c r="T1633" s="5"/>
    </row>
    <row r="1634" spans="6:20" ht="12.75">
      <c r="F1634" s="11"/>
      <c r="G1634" s="19"/>
      <c r="H1634" s="20"/>
      <c r="I1634" s="21"/>
      <c r="K1634" s="5"/>
      <c r="S1634" s="5"/>
      <c r="T1634" s="5"/>
    </row>
    <row r="1635" spans="6:20" ht="12.75">
      <c r="F1635" s="11"/>
      <c r="G1635" s="19"/>
      <c r="H1635" s="20"/>
      <c r="I1635" s="21"/>
      <c r="K1635" s="5"/>
      <c r="S1635" s="5"/>
      <c r="T1635" s="5"/>
    </row>
    <row r="1636" spans="6:20" ht="12.75">
      <c r="F1636" s="11"/>
      <c r="G1636" s="19"/>
      <c r="H1636" s="20"/>
      <c r="I1636" s="21"/>
      <c r="K1636" s="5"/>
      <c r="S1636" s="5"/>
      <c r="T1636" s="5"/>
    </row>
    <row r="1637" spans="6:20" ht="12.75">
      <c r="F1637" s="11"/>
      <c r="G1637" s="19"/>
      <c r="H1637" s="20"/>
      <c r="I1637" s="21"/>
      <c r="K1637" s="5"/>
      <c r="S1637" s="5"/>
      <c r="T1637" s="5"/>
    </row>
    <row r="1638" spans="6:20" ht="12.75">
      <c r="F1638" s="11"/>
      <c r="G1638" s="19"/>
      <c r="H1638" s="20"/>
      <c r="I1638" s="21"/>
      <c r="K1638" s="5"/>
      <c r="S1638" s="5"/>
      <c r="T1638" s="5"/>
    </row>
    <row r="1639" spans="6:20" ht="12.75">
      <c r="F1639" s="11"/>
      <c r="G1639" s="19"/>
      <c r="H1639" s="20"/>
      <c r="I1639" s="21"/>
      <c r="K1639" s="5"/>
      <c r="S1639" s="5"/>
      <c r="T1639" s="5"/>
    </row>
    <row r="1640" spans="6:20" ht="12.75">
      <c r="F1640" s="11"/>
      <c r="G1640" s="19"/>
      <c r="H1640" s="20"/>
      <c r="I1640" s="21"/>
      <c r="K1640" s="5"/>
      <c r="S1640" s="5"/>
      <c r="T1640" s="5"/>
    </row>
    <row r="1641" spans="6:20" ht="12.75">
      <c r="F1641" s="11"/>
      <c r="G1641" s="19"/>
      <c r="H1641" s="20"/>
      <c r="I1641" s="21"/>
      <c r="K1641" s="5"/>
      <c r="S1641" s="5"/>
      <c r="T1641" s="5"/>
    </row>
    <row r="1642" spans="6:20" ht="12.75">
      <c r="F1642" s="11"/>
      <c r="G1642" s="19"/>
      <c r="H1642" s="20"/>
      <c r="I1642" s="21"/>
      <c r="K1642" s="5"/>
      <c r="S1642" s="5"/>
      <c r="T1642" s="5"/>
    </row>
    <row r="1643" spans="6:20" ht="12.75">
      <c r="F1643" s="11"/>
      <c r="G1643" s="19"/>
      <c r="H1643" s="20"/>
      <c r="I1643" s="21"/>
      <c r="K1643" s="5"/>
      <c r="S1643" s="5"/>
      <c r="T1643" s="5"/>
    </row>
    <row r="1644" spans="6:20" ht="12.75">
      <c r="F1644" s="11"/>
      <c r="G1644" s="19"/>
      <c r="H1644" s="20"/>
      <c r="I1644" s="21"/>
      <c r="K1644" s="5"/>
      <c r="S1644" s="5"/>
      <c r="T1644" s="5"/>
    </row>
    <row r="1645" spans="6:20" ht="12.75">
      <c r="F1645" s="11"/>
      <c r="G1645" s="19"/>
      <c r="H1645" s="20"/>
      <c r="I1645" s="21"/>
      <c r="K1645" s="5"/>
      <c r="S1645" s="5"/>
      <c r="T1645" s="5"/>
    </row>
    <row r="1646" spans="6:20" ht="12.75">
      <c r="F1646" s="11"/>
      <c r="G1646" s="19"/>
      <c r="H1646" s="20"/>
      <c r="I1646" s="21"/>
      <c r="K1646" s="5"/>
      <c r="S1646" s="5"/>
      <c r="T1646" s="5"/>
    </row>
    <row r="1647" spans="6:20" ht="12.75">
      <c r="F1647" s="11"/>
      <c r="G1647" s="19"/>
      <c r="H1647" s="20"/>
      <c r="I1647" s="21"/>
      <c r="K1647" s="5"/>
      <c r="S1647" s="5"/>
      <c r="T1647" s="5"/>
    </row>
    <row r="1648" spans="6:20" ht="12.75">
      <c r="F1648" s="11"/>
      <c r="G1648" s="19"/>
      <c r="H1648" s="20"/>
      <c r="I1648" s="21"/>
      <c r="K1648" s="5"/>
      <c r="S1648" s="5"/>
      <c r="T1648" s="5"/>
    </row>
    <row r="1649" spans="6:20" ht="12.75">
      <c r="F1649" s="11"/>
      <c r="G1649" s="19"/>
      <c r="H1649" s="20"/>
      <c r="I1649" s="21"/>
      <c r="K1649" s="5"/>
      <c r="S1649" s="5"/>
      <c r="T1649" s="5"/>
    </row>
    <row r="1650" spans="6:20" ht="12.75">
      <c r="F1650" s="11"/>
      <c r="G1650" s="19"/>
      <c r="H1650" s="20"/>
      <c r="I1650" s="21"/>
      <c r="K1650" s="5"/>
      <c r="S1650" s="5"/>
      <c r="T1650" s="5"/>
    </row>
    <row r="1651" spans="6:20" ht="12.75">
      <c r="F1651" s="11"/>
      <c r="G1651" s="19"/>
      <c r="H1651" s="20"/>
      <c r="I1651" s="21"/>
      <c r="K1651" s="5"/>
      <c r="S1651" s="5"/>
      <c r="T1651" s="5"/>
    </row>
    <row r="1652" spans="6:20" ht="12.75">
      <c r="F1652" s="11"/>
      <c r="G1652" s="19"/>
      <c r="H1652" s="20"/>
      <c r="I1652" s="21"/>
      <c r="K1652" s="5"/>
      <c r="S1652" s="5"/>
      <c r="T1652" s="5"/>
    </row>
    <row r="1653" spans="6:20" ht="12.75">
      <c r="F1653" s="11"/>
      <c r="G1653" s="19"/>
      <c r="H1653" s="20"/>
      <c r="I1653" s="21"/>
      <c r="K1653" s="5"/>
      <c r="S1653" s="5"/>
      <c r="T1653" s="5"/>
    </row>
    <row r="1654" spans="6:20" ht="12.75">
      <c r="F1654" s="11"/>
      <c r="G1654" s="19"/>
      <c r="H1654" s="20"/>
      <c r="I1654" s="21"/>
      <c r="K1654" s="5"/>
      <c r="S1654" s="5"/>
      <c r="T1654" s="5"/>
    </row>
    <row r="1655" spans="6:20" ht="12.75">
      <c r="F1655" s="11"/>
      <c r="G1655" s="19"/>
      <c r="H1655" s="20"/>
      <c r="I1655" s="21"/>
      <c r="K1655" s="5"/>
      <c r="S1655" s="5"/>
      <c r="T1655" s="5"/>
    </row>
    <row r="1656" spans="6:20" ht="12.75">
      <c r="F1656" s="11"/>
      <c r="G1656" s="19"/>
      <c r="H1656" s="20"/>
      <c r="I1656" s="21"/>
      <c r="K1656" s="5"/>
      <c r="S1656" s="5"/>
      <c r="T1656" s="5"/>
    </row>
    <row r="1657" spans="6:20" ht="12.75">
      <c r="F1657" s="11"/>
      <c r="G1657" s="19"/>
      <c r="H1657" s="20"/>
      <c r="I1657" s="21"/>
      <c r="K1657" s="5"/>
      <c r="S1657" s="5"/>
      <c r="T1657" s="5"/>
    </row>
    <row r="1658" spans="6:20" ht="12.75">
      <c r="F1658" s="11"/>
      <c r="G1658" s="19"/>
      <c r="H1658" s="20"/>
      <c r="I1658" s="21"/>
      <c r="K1658" s="5"/>
      <c r="S1658" s="5"/>
      <c r="T1658" s="5"/>
    </row>
    <row r="1659" spans="6:20" ht="12.75">
      <c r="F1659" s="11"/>
      <c r="G1659" s="19"/>
      <c r="H1659" s="20"/>
      <c r="I1659" s="21"/>
      <c r="K1659" s="5"/>
      <c r="S1659" s="5"/>
      <c r="T1659" s="5"/>
    </row>
    <row r="1660" spans="6:20" ht="12.75">
      <c r="F1660" s="11"/>
      <c r="G1660" s="19"/>
      <c r="H1660" s="20"/>
      <c r="I1660" s="21"/>
      <c r="K1660" s="5"/>
      <c r="S1660" s="5"/>
      <c r="T1660" s="5"/>
    </row>
    <row r="1661" spans="6:20" ht="12.75">
      <c r="F1661" s="11"/>
      <c r="G1661" s="19"/>
      <c r="H1661" s="20"/>
      <c r="I1661" s="21"/>
      <c r="K1661" s="5"/>
      <c r="S1661" s="5"/>
      <c r="T1661" s="5"/>
    </row>
    <row r="1662" spans="6:20" ht="12.75">
      <c r="F1662" s="11"/>
      <c r="G1662" s="19"/>
      <c r="H1662" s="20"/>
      <c r="I1662" s="21"/>
      <c r="K1662" s="5"/>
      <c r="S1662" s="5"/>
      <c r="T1662" s="5"/>
    </row>
    <row r="1663" spans="6:20" ht="12.75">
      <c r="F1663" s="11"/>
      <c r="G1663" s="19"/>
      <c r="H1663" s="20"/>
      <c r="I1663" s="21"/>
      <c r="K1663" s="5"/>
      <c r="S1663" s="5"/>
      <c r="T1663" s="5"/>
    </row>
    <row r="1664" spans="6:20" ht="12.75">
      <c r="F1664" s="11"/>
      <c r="G1664" s="19"/>
      <c r="H1664" s="20"/>
      <c r="I1664" s="21"/>
      <c r="K1664" s="5"/>
      <c r="S1664" s="5"/>
      <c r="T1664" s="5"/>
    </row>
    <row r="1665" spans="6:20" ht="12.75">
      <c r="F1665" s="11"/>
      <c r="G1665" s="19"/>
      <c r="H1665" s="20"/>
      <c r="I1665" s="21"/>
      <c r="K1665" s="5"/>
      <c r="S1665" s="5"/>
      <c r="T1665" s="5"/>
    </row>
    <row r="1666" spans="6:20" ht="12.75">
      <c r="F1666" s="11"/>
      <c r="G1666" s="19"/>
      <c r="H1666" s="20"/>
      <c r="I1666" s="21"/>
      <c r="K1666" s="5"/>
      <c r="S1666" s="5"/>
      <c r="T1666" s="5"/>
    </row>
    <row r="1667" spans="6:20" ht="12.75">
      <c r="F1667" s="11"/>
      <c r="G1667" s="19"/>
      <c r="H1667" s="20"/>
      <c r="I1667" s="21"/>
      <c r="K1667" s="5"/>
      <c r="S1667" s="5"/>
      <c r="T1667" s="5"/>
    </row>
    <row r="1668" spans="6:20" ht="12.75">
      <c r="F1668" s="11"/>
      <c r="G1668" s="19"/>
      <c r="H1668" s="20"/>
      <c r="I1668" s="21"/>
      <c r="K1668" s="5"/>
      <c r="S1668" s="5"/>
      <c r="T1668" s="5"/>
    </row>
    <row r="1669" spans="6:20" ht="12.75">
      <c r="F1669" s="11"/>
      <c r="G1669" s="19"/>
      <c r="H1669" s="20"/>
      <c r="I1669" s="21"/>
      <c r="K1669" s="5"/>
      <c r="S1669" s="5"/>
      <c r="T1669" s="5"/>
    </row>
    <row r="1670" spans="6:20" ht="12.75">
      <c r="F1670" s="11"/>
      <c r="G1670" s="19"/>
      <c r="H1670" s="20"/>
      <c r="I1670" s="21"/>
      <c r="K1670" s="5"/>
      <c r="S1670" s="5"/>
      <c r="T1670" s="5"/>
    </row>
    <row r="1671" spans="6:20" ht="12.75">
      <c r="F1671" s="11"/>
      <c r="G1671" s="19"/>
      <c r="H1671" s="20"/>
      <c r="I1671" s="21"/>
      <c r="K1671" s="5"/>
      <c r="S1671" s="5"/>
      <c r="T1671" s="5"/>
    </row>
    <row r="1672" spans="6:20" ht="12.75">
      <c r="F1672" s="11"/>
      <c r="G1672" s="19"/>
      <c r="H1672" s="20"/>
      <c r="I1672" s="21"/>
      <c r="K1672" s="5"/>
      <c r="S1672" s="5"/>
      <c r="T1672" s="5"/>
    </row>
    <row r="1673" spans="6:20" ht="12.75">
      <c r="F1673" s="11"/>
      <c r="G1673" s="19"/>
      <c r="H1673" s="20"/>
      <c r="I1673" s="21"/>
      <c r="K1673" s="5"/>
      <c r="S1673" s="5"/>
      <c r="T1673" s="5"/>
    </row>
    <row r="1674" spans="6:20" ht="12.75">
      <c r="F1674" s="11"/>
      <c r="G1674" s="19"/>
      <c r="H1674" s="20"/>
      <c r="I1674" s="21"/>
      <c r="K1674" s="5"/>
      <c r="S1674" s="5"/>
      <c r="T1674" s="5"/>
    </row>
    <row r="1675" spans="6:20" ht="12.75">
      <c r="F1675" s="11"/>
      <c r="G1675" s="19"/>
      <c r="H1675" s="20"/>
      <c r="I1675" s="21"/>
      <c r="K1675" s="5"/>
      <c r="S1675" s="5"/>
      <c r="T1675" s="5"/>
    </row>
    <row r="1676" spans="6:20" ht="12.75">
      <c r="F1676" s="11"/>
      <c r="G1676" s="19"/>
      <c r="H1676" s="20"/>
      <c r="I1676" s="21"/>
      <c r="K1676" s="5"/>
      <c r="S1676" s="5"/>
      <c r="T1676" s="5"/>
    </row>
    <row r="1677" spans="6:20" ht="12.75">
      <c r="F1677" s="11"/>
      <c r="G1677" s="19"/>
      <c r="H1677" s="20"/>
      <c r="I1677" s="21"/>
      <c r="K1677" s="5"/>
      <c r="S1677" s="5"/>
      <c r="T1677" s="5"/>
    </row>
    <row r="1678" spans="6:20" ht="12.75">
      <c r="F1678" s="11"/>
      <c r="G1678" s="19"/>
      <c r="H1678" s="20"/>
      <c r="I1678" s="21"/>
      <c r="K1678" s="5"/>
      <c r="S1678" s="5"/>
      <c r="T1678" s="5"/>
    </row>
    <row r="1679" spans="6:20" ht="12.75">
      <c r="F1679" s="11"/>
      <c r="G1679" s="19"/>
      <c r="H1679" s="20"/>
      <c r="I1679" s="21"/>
      <c r="K1679" s="5"/>
      <c r="S1679" s="5"/>
      <c r="T1679" s="5"/>
    </row>
    <row r="1680" spans="6:20" ht="12.75">
      <c r="F1680" s="11"/>
      <c r="G1680" s="19"/>
      <c r="H1680" s="20"/>
      <c r="I1680" s="21"/>
      <c r="K1680" s="5"/>
      <c r="S1680" s="5"/>
      <c r="T1680" s="5"/>
    </row>
    <row r="1681" spans="6:20" ht="12.75">
      <c r="F1681" s="11"/>
      <c r="G1681" s="19"/>
      <c r="H1681" s="20"/>
      <c r="I1681" s="21"/>
      <c r="K1681" s="5"/>
      <c r="S1681" s="5"/>
      <c r="T1681" s="5"/>
    </row>
    <row r="1682" spans="6:20" ht="12.75">
      <c r="F1682" s="11"/>
      <c r="G1682" s="19"/>
      <c r="H1682" s="20"/>
      <c r="I1682" s="21"/>
      <c r="K1682" s="5"/>
      <c r="S1682" s="5"/>
      <c r="T1682" s="5"/>
    </row>
    <row r="1683" spans="6:20" ht="12.75">
      <c r="F1683" s="11"/>
      <c r="G1683" s="19"/>
      <c r="H1683" s="20"/>
      <c r="I1683" s="21"/>
      <c r="K1683" s="5"/>
      <c r="S1683" s="5"/>
      <c r="T1683" s="5"/>
    </row>
    <row r="1684" spans="6:20" ht="12.75">
      <c r="F1684" s="11"/>
      <c r="G1684" s="19"/>
      <c r="H1684" s="20"/>
      <c r="I1684" s="21"/>
      <c r="K1684" s="5"/>
      <c r="S1684" s="5"/>
      <c r="T1684" s="5"/>
    </row>
    <row r="1685" spans="6:20" ht="12.75">
      <c r="F1685" s="11"/>
      <c r="G1685" s="19"/>
      <c r="H1685" s="20"/>
      <c r="I1685" s="21"/>
      <c r="K1685" s="5"/>
      <c r="S1685" s="5"/>
      <c r="T1685" s="5"/>
    </row>
    <row r="1686" spans="6:20" ht="12.75">
      <c r="F1686" s="11"/>
      <c r="G1686" s="19"/>
      <c r="H1686" s="20"/>
      <c r="I1686" s="21"/>
      <c r="K1686" s="5"/>
      <c r="S1686" s="5"/>
      <c r="T1686" s="5"/>
    </row>
    <row r="1687" spans="6:20" ht="12.75">
      <c r="F1687" s="11"/>
      <c r="G1687" s="19"/>
      <c r="H1687" s="20"/>
      <c r="I1687" s="21"/>
      <c r="K1687" s="5"/>
      <c r="S1687" s="5"/>
      <c r="T1687" s="5"/>
    </row>
    <row r="1688" spans="6:20" ht="12.75">
      <c r="F1688" s="11"/>
      <c r="G1688" s="19"/>
      <c r="H1688" s="20"/>
      <c r="I1688" s="21"/>
      <c r="K1688" s="5"/>
      <c r="S1688" s="5"/>
      <c r="T1688" s="5"/>
    </row>
    <row r="1689" spans="6:20" ht="12.75">
      <c r="F1689" s="11"/>
      <c r="G1689" s="19"/>
      <c r="H1689" s="20"/>
      <c r="I1689" s="21"/>
      <c r="K1689" s="5"/>
      <c r="S1689" s="5"/>
      <c r="T1689" s="5"/>
    </row>
    <row r="1690" spans="6:20" ht="12.75">
      <c r="F1690" s="11"/>
      <c r="G1690" s="19"/>
      <c r="H1690" s="20"/>
      <c r="I1690" s="21"/>
      <c r="K1690" s="5"/>
      <c r="S1690" s="5"/>
      <c r="T1690" s="5"/>
    </row>
    <row r="1691" spans="6:20" ht="12.75">
      <c r="F1691" s="11"/>
      <c r="G1691" s="19"/>
      <c r="H1691" s="20"/>
      <c r="I1691" s="21"/>
      <c r="K1691" s="5"/>
      <c r="S1691" s="5"/>
      <c r="T1691" s="5"/>
    </row>
    <row r="1692" spans="6:20" ht="12.75">
      <c r="F1692" s="11"/>
      <c r="G1692" s="19"/>
      <c r="H1692" s="20"/>
      <c r="I1692" s="21"/>
      <c r="K1692" s="5"/>
      <c r="S1692" s="5"/>
      <c r="T1692" s="5"/>
    </row>
    <row r="1693" spans="6:20" ht="12.75">
      <c r="F1693" s="11"/>
      <c r="G1693" s="19"/>
      <c r="H1693" s="20"/>
      <c r="I1693" s="21"/>
      <c r="K1693" s="5"/>
      <c r="S1693" s="5"/>
      <c r="T1693" s="5"/>
    </row>
    <row r="1694" spans="6:20" ht="12.75">
      <c r="F1694" s="11"/>
      <c r="G1694" s="19"/>
      <c r="H1694" s="20"/>
      <c r="I1694" s="21"/>
      <c r="K1694" s="5"/>
      <c r="S1694" s="5"/>
      <c r="T1694" s="5"/>
    </row>
    <row r="1695" spans="6:20" ht="12.75">
      <c r="F1695" s="11"/>
      <c r="G1695" s="19"/>
      <c r="H1695" s="20"/>
      <c r="I1695" s="21"/>
      <c r="K1695" s="5"/>
      <c r="S1695" s="5"/>
      <c r="T1695" s="5"/>
    </row>
    <row r="1696" spans="6:20" ht="12.75">
      <c r="F1696" s="11"/>
      <c r="G1696" s="19"/>
      <c r="H1696" s="20"/>
      <c r="I1696" s="21"/>
      <c r="K1696" s="5"/>
      <c r="S1696" s="5"/>
      <c r="T1696" s="5"/>
    </row>
    <row r="1697" spans="6:20" ht="12.75">
      <c r="F1697" s="11"/>
      <c r="G1697" s="19"/>
      <c r="H1697" s="20"/>
      <c r="I1697" s="21"/>
      <c r="K1697" s="5"/>
      <c r="S1697" s="5"/>
      <c r="T1697" s="5"/>
    </row>
    <row r="1698" spans="6:20" ht="12.75">
      <c r="F1698" s="11"/>
      <c r="G1698" s="19"/>
      <c r="H1698" s="20"/>
      <c r="I1698" s="21"/>
      <c r="K1698" s="5"/>
      <c r="S1698" s="5"/>
      <c r="T1698" s="5"/>
    </row>
    <row r="1699" spans="6:20" ht="12.75">
      <c r="F1699" s="11"/>
      <c r="G1699" s="19"/>
      <c r="H1699" s="20"/>
      <c r="I1699" s="21"/>
      <c r="K1699" s="5"/>
      <c r="S1699" s="5"/>
      <c r="T1699" s="5"/>
    </row>
    <row r="1700" spans="6:20" ht="12.75">
      <c r="F1700" s="11"/>
      <c r="G1700" s="19"/>
      <c r="H1700" s="20"/>
      <c r="I1700" s="21"/>
      <c r="K1700" s="5"/>
      <c r="S1700" s="5"/>
      <c r="T1700" s="5"/>
    </row>
    <row r="1701" spans="6:20" ht="12.75">
      <c r="F1701" s="11"/>
      <c r="G1701" s="19"/>
      <c r="H1701" s="20"/>
      <c r="I1701" s="21"/>
      <c r="K1701" s="5"/>
      <c r="S1701" s="5"/>
      <c r="T1701" s="5"/>
    </row>
    <row r="1702" spans="6:20" ht="12.75">
      <c r="F1702" s="11"/>
      <c r="G1702" s="19"/>
      <c r="H1702" s="20"/>
      <c r="I1702" s="21"/>
      <c r="K1702" s="5"/>
      <c r="S1702" s="5"/>
      <c r="T1702" s="5"/>
    </row>
    <row r="1703" spans="6:20" ht="12.75">
      <c r="F1703" s="11"/>
      <c r="G1703" s="19"/>
      <c r="H1703" s="20"/>
      <c r="I1703" s="21"/>
      <c r="K1703" s="5"/>
      <c r="S1703" s="5"/>
      <c r="T1703" s="5"/>
    </row>
    <row r="1704" spans="6:20" ht="12.75">
      <c r="F1704" s="11"/>
      <c r="G1704" s="19"/>
      <c r="H1704" s="20"/>
      <c r="I1704" s="21"/>
      <c r="K1704" s="5"/>
      <c r="S1704" s="5"/>
      <c r="T1704" s="5"/>
    </row>
    <row r="1705" spans="6:20" ht="12.75">
      <c r="F1705" s="11"/>
      <c r="G1705" s="19"/>
      <c r="H1705" s="20"/>
      <c r="I1705" s="21"/>
      <c r="K1705" s="5"/>
      <c r="S1705" s="5"/>
      <c r="T1705" s="5"/>
    </row>
    <row r="1706" spans="6:20" ht="12.75">
      <c r="F1706" s="11"/>
      <c r="G1706" s="19"/>
      <c r="H1706" s="20"/>
      <c r="I1706" s="21"/>
      <c r="K1706" s="5"/>
      <c r="S1706" s="5"/>
      <c r="T1706" s="5"/>
    </row>
    <row r="1707" spans="6:20" ht="12.75">
      <c r="F1707" s="11"/>
      <c r="G1707" s="19"/>
      <c r="H1707" s="20"/>
      <c r="I1707" s="21"/>
      <c r="K1707" s="5"/>
      <c r="S1707" s="5"/>
      <c r="T1707" s="5"/>
    </row>
    <row r="1708" spans="6:20" ht="12.75">
      <c r="F1708" s="11"/>
      <c r="G1708" s="19"/>
      <c r="H1708" s="20"/>
      <c r="I1708" s="21"/>
      <c r="K1708" s="5"/>
      <c r="S1708" s="5"/>
      <c r="T1708" s="5"/>
    </row>
    <row r="1709" spans="6:20" ht="12.75">
      <c r="F1709" s="11"/>
      <c r="G1709" s="19"/>
      <c r="H1709" s="20"/>
      <c r="I1709" s="21"/>
      <c r="K1709" s="5"/>
      <c r="S1709" s="5"/>
      <c r="T1709" s="5"/>
    </row>
    <row r="1710" spans="6:20" ht="12.75">
      <c r="F1710" s="11"/>
      <c r="G1710" s="19"/>
      <c r="H1710" s="20"/>
      <c r="I1710" s="21"/>
      <c r="K1710" s="5"/>
      <c r="S1710" s="5"/>
      <c r="T1710" s="5"/>
    </row>
    <row r="1711" spans="6:20" ht="12.75">
      <c r="F1711" s="11"/>
      <c r="G1711" s="19"/>
      <c r="H1711" s="20"/>
      <c r="I1711" s="21"/>
      <c r="K1711" s="5"/>
      <c r="S1711" s="5"/>
      <c r="T1711" s="5"/>
    </row>
    <row r="1712" spans="6:20" ht="12.75">
      <c r="F1712" s="11"/>
      <c r="G1712" s="19"/>
      <c r="H1712" s="20"/>
      <c r="I1712" s="21"/>
      <c r="K1712" s="5"/>
      <c r="S1712" s="5"/>
      <c r="T1712" s="5"/>
    </row>
    <row r="1713" spans="6:20" ht="12.75">
      <c r="F1713" s="11"/>
      <c r="G1713" s="19"/>
      <c r="H1713" s="20"/>
      <c r="I1713" s="21"/>
      <c r="K1713" s="5"/>
      <c r="S1713" s="5"/>
      <c r="T1713" s="5"/>
    </row>
    <row r="1714" spans="6:20" ht="12.75">
      <c r="F1714" s="11"/>
      <c r="G1714" s="19"/>
      <c r="H1714" s="20"/>
      <c r="I1714" s="21"/>
      <c r="K1714" s="5"/>
      <c r="S1714" s="5"/>
      <c r="T1714" s="5"/>
    </row>
    <row r="1715" spans="6:20" ht="12.75">
      <c r="F1715" s="11"/>
      <c r="G1715" s="19"/>
      <c r="H1715" s="20"/>
      <c r="I1715" s="21"/>
      <c r="K1715" s="5"/>
      <c r="S1715" s="5"/>
      <c r="T1715" s="5"/>
    </row>
    <row r="1716" spans="6:20" ht="12.75">
      <c r="F1716" s="11"/>
      <c r="G1716" s="19"/>
      <c r="H1716" s="20"/>
      <c r="I1716" s="21"/>
      <c r="K1716" s="5"/>
      <c r="S1716" s="5"/>
      <c r="T1716" s="5"/>
    </row>
    <row r="1717" spans="6:20" ht="12.75">
      <c r="F1717" s="11"/>
      <c r="G1717" s="19"/>
      <c r="H1717" s="20"/>
      <c r="I1717" s="21"/>
      <c r="K1717" s="5"/>
      <c r="S1717" s="5"/>
      <c r="T1717" s="5"/>
    </row>
    <row r="1718" spans="6:20" ht="12.75">
      <c r="F1718" s="11"/>
      <c r="G1718" s="19"/>
      <c r="H1718" s="20"/>
      <c r="I1718" s="21"/>
      <c r="K1718" s="5"/>
      <c r="S1718" s="5"/>
      <c r="T1718" s="5"/>
    </row>
    <row r="1719" spans="6:20" ht="12.75">
      <c r="F1719" s="11"/>
      <c r="G1719" s="19"/>
      <c r="H1719" s="20"/>
      <c r="I1719" s="21"/>
      <c r="K1719" s="5"/>
      <c r="S1719" s="5"/>
      <c r="T1719" s="5"/>
    </row>
    <row r="1720" spans="6:20" ht="12.75">
      <c r="F1720" s="11"/>
      <c r="G1720" s="19"/>
      <c r="H1720" s="20"/>
      <c r="I1720" s="21"/>
      <c r="K1720" s="5"/>
      <c r="S1720" s="5"/>
      <c r="T1720" s="5"/>
    </row>
    <row r="1721" spans="6:20" ht="12.75">
      <c r="F1721" s="11"/>
      <c r="G1721" s="19"/>
      <c r="H1721" s="20"/>
      <c r="I1721" s="21"/>
      <c r="K1721" s="5"/>
      <c r="S1721" s="5"/>
      <c r="T1721" s="5"/>
    </row>
    <row r="1722" spans="6:20" ht="12.75">
      <c r="F1722" s="11"/>
      <c r="G1722" s="19"/>
      <c r="H1722" s="20"/>
      <c r="I1722" s="21"/>
      <c r="K1722" s="5"/>
      <c r="S1722" s="5"/>
      <c r="T1722" s="5"/>
    </row>
    <row r="1723" spans="6:20" ht="12.75">
      <c r="F1723" s="11"/>
      <c r="G1723" s="19"/>
      <c r="H1723" s="20"/>
      <c r="I1723" s="21"/>
      <c r="K1723" s="5"/>
      <c r="S1723" s="5"/>
      <c r="T1723" s="5"/>
    </row>
    <row r="1724" spans="6:20" ht="12.75">
      <c r="F1724" s="11"/>
      <c r="G1724" s="19"/>
      <c r="H1724" s="20"/>
      <c r="I1724" s="21"/>
      <c r="K1724" s="5"/>
      <c r="S1724" s="5"/>
      <c r="T1724" s="5"/>
    </row>
    <row r="1725" spans="6:20" ht="12.75">
      <c r="F1725" s="11"/>
      <c r="G1725" s="19"/>
      <c r="H1725" s="20"/>
      <c r="I1725" s="21"/>
      <c r="K1725" s="5"/>
      <c r="S1725" s="5"/>
      <c r="T1725" s="5"/>
    </row>
    <row r="1726" spans="6:20" ht="12.75">
      <c r="F1726" s="11"/>
      <c r="G1726" s="19"/>
      <c r="H1726" s="20"/>
      <c r="I1726" s="21"/>
      <c r="K1726" s="5"/>
      <c r="S1726" s="5"/>
      <c r="T1726" s="5"/>
    </row>
    <row r="1727" spans="6:20" ht="12.75">
      <c r="F1727" s="11"/>
      <c r="G1727" s="19"/>
      <c r="H1727" s="20"/>
      <c r="I1727" s="21"/>
      <c r="K1727" s="5"/>
      <c r="S1727" s="5"/>
      <c r="T1727" s="5"/>
    </row>
    <row r="1728" spans="6:20" ht="12.75">
      <c r="F1728" s="11"/>
      <c r="G1728" s="19"/>
      <c r="H1728" s="20"/>
      <c r="I1728" s="21"/>
      <c r="K1728" s="5"/>
      <c r="S1728" s="5"/>
      <c r="T1728" s="5"/>
    </row>
    <row r="1729" spans="6:20" ht="12.75">
      <c r="F1729" s="11"/>
      <c r="G1729" s="19"/>
      <c r="H1729" s="20"/>
      <c r="I1729" s="21"/>
      <c r="K1729" s="5"/>
      <c r="S1729" s="5"/>
      <c r="T1729" s="5"/>
    </row>
    <row r="1730" spans="6:20" ht="12.75">
      <c r="F1730" s="11"/>
      <c r="G1730" s="19"/>
      <c r="H1730" s="20"/>
      <c r="I1730" s="21"/>
      <c r="K1730" s="5"/>
      <c r="S1730" s="5"/>
      <c r="T1730" s="5"/>
    </row>
    <row r="1731" spans="6:20" ht="12.75">
      <c r="F1731" s="11"/>
      <c r="G1731" s="19"/>
      <c r="H1731" s="20"/>
      <c r="I1731" s="21"/>
      <c r="K1731" s="5"/>
      <c r="S1731" s="5"/>
      <c r="T1731" s="5"/>
    </row>
    <row r="1732" spans="6:20" ht="12.75">
      <c r="F1732" s="11"/>
      <c r="G1732" s="19"/>
      <c r="H1732" s="20"/>
      <c r="I1732" s="21"/>
      <c r="K1732" s="5"/>
      <c r="S1732" s="5"/>
      <c r="T1732" s="5"/>
    </row>
    <row r="1733" spans="6:20" ht="12.75">
      <c r="F1733" s="11"/>
      <c r="G1733" s="19"/>
      <c r="H1733" s="20"/>
      <c r="I1733" s="21"/>
      <c r="K1733" s="5"/>
      <c r="S1733" s="5"/>
      <c r="T1733" s="5"/>
    </row>
    <row r="1734" spans="6:20" ht="12.75">
      <c r="F1734" s="11"/>
      <c r="G1734" s="19"/>
      <c r="H1734" s="20"/>
      <c r="I1734" s="21"/>
      <c r="K1734" s="5"/>
      <c r="S1734" s="5"/>
      <c r="T1734" s="5"/>
    </row>
    <row r="1735" spans="6:20" ht="12.75">
      <c r="F1735" s="11"/>
      <c r="G1735" s="19"/>
      <c r="H1735" s="20"/>
      <c r="I1735" s="21"/>
      <c r="K1735" s="5"/>
      <c r="S1735" s="5"/>
      <c r="T1735" s="5"/>
    </row>
    <row r="1736" spans="6:20" ht="12.75">
      <c r="F1736" s="11"/>
      <c r="G1736" s="19"/>
      <c r="H1736" s="20"/>
      <c r="I1736" s="21"/>
      <c r="K1736" s="5"/>
      <c r="S1736" s="5"/>
      <c r="T1736" s="5"/>
    </row>
    <row r="1737" spans="6:20" ht="12.75">
      <c r="F1737" s="11"/>
      <c r="G1737" s="19"/>
      <c r="H1737" s="20"/>
      <c r="I1737" s="21"/>
      <c r="K1737" s="5"/>
      <c r="S1737" s="5"/>
      <c r="T1737" s="5"/>
    </row>
    <row r="1738" spans="6:20" ht="12.75">
      <c r="F1738" s="11"/>
      <c r="G1738" s="19"/>
      <c r="H1738" s="20"/>
      <c r="I1738" s="21"/>
      <c r="K1738" s="5"/>
      <c r="S1738" s="5"/>
      <c r="T1738" s="5"/>
    </row>
    <row r="1739" spans="6:20" ht="12.75">
      <c r="F1739" s="11"/>
      <c r="G1739" s="19"/>
      <c r="H1739" s="20"/>
      <c r="I1739" s="21"/>
      <c r="K1739" s="5"/>
      <c r="S1739" s="5"/>
      <c r="T1739" s="5"/>
    </row>
    <row r="1740" spans="6:20" ht="12.75">
      <c r="F1740" s="11"/>
      <c r="G1740" s="19"/>
      <c r="H1740" s="20"/>
      <c r="I1740" s="21"/>
      <c r="K1740" s="5"/>
      <c r="S1740" s="5"/>
      <c r="T1740" s="5"/>
    </row>
    <row r="1741" spans="6:20" ht="12.75">
      <c r="F1741" s="11"/>
      <c r="G1741" s="19"/>
      <c r="H1741" s="20"/>
      <c r="I1741" s="21"/>
      <c r="K1741" s="5"/>
      <c r="S1741" s="5"/>
      <c r="T1741" s="5"/>
    </row>
    <row r="1742" spans="6:20" ht="12.75">
      <c r="F1742" s="11"/>
      <c r="G1742" s="19"/>
      <c r="H1742" s="20"/>
      <c r="I1742" s="21"/>
      <c r="K1742" s="5"/>
      <c r="S1742" s="5"/>
      <c r="T1742" s="5"/>
    </row>
    <row r="1743" spans="6:20" ht="12.75">
      <c r="F1743" s="11"/>
      <c r="G1743" s="19"/>
      <c r="H1743" s="20"/>
      <c r="I1743" s="21"/>
      <c r="K1743" s="5"/>
      <c r="S1743" s="5"/>
      <c r="T1743" s="5"/>
    </row>
    <row r="1744" spans="6:20" ht="12.75">
      <c r="F1744" s="11"/>
      <c r="G1744" s="19"/>
      <c r="H1744" s="20"/>
      <c r="I1744" s="21"/>
      <c r="K1744" s="5"/>
      <c r="S1744" s="5"/>
      <c r="T1744" s="5"/>
    </row>
    <row r="1745" spans="6:20" ht="12.75">
      <c r="F1745" s="11"/>
      <c r="G1745" s="19"/>
      <c r="H1745" s="20"/>
      <c r="I1745" s="21"/>
      <c r="K1745" s="5"/>
      <c r="S1745" s="5"/>
      <c r="T1745" s="5"/>
    </row>
    <row r="1746" spans="6:20" ht="12.75">
      <c r="F1746" s="11"/>
      <c r="G1746" s="19"/>
      <c r="H1746" s="20"/>
      <c r="I1746" s="21"/>
      <c r="K1746" s="5"/>
      <c r="S1746" s="5"/>
      <c r="T1746" s="5"/>
    </row>
    <row r="1747" spans="6:20" ht="12.75">
      <c r="F1747" s="11"/>
      <c r="G1747" s="19"/>
      <c r="H1747" s="20"/>
      <c r="I1747" s="21"/>
      <c r="K1747" s="5"/>
      <c r="S1747" s="5"/>
      <c r="T1747" s="5"/>
    </row>
    <row r="1748" spans="6:20" ht="12.75">
      <c r="F1748" s="11"/>
      <c r="G1748" s="19"/>
      <c r="H1748" s="20"/>
      <c r="I1748" s="21"/>
      <c r="K1748" s="5"/>
      <c r="S1748" s="5"/>
      <c r="T1748" s="5"/>
    </row>
    <row r="1749" spans="6:20" ht="12.75">
      <c r="F1749" s="11"/>
      <c r="G1749" s="19"/>
      <c r="H1749" s="20"/>
      <c r="I1749" s="21"/>
      <c r="K1749" s="5"/>
      <c r="S1749" s="5"/>
      <c r="T1749" s="5"/>
    </row>
    <row r="1750" spans="6:20" ht="12.75">
      <c r="F1750" s="11"/>
      <c r="G1750" s="19"/>
      <c r="H1750" s="20"/>
      <c r="I1750" s="21"/>
      <c r="K1750" s="5"/>
      <c r="S1750" s="5"/>
      <c r="T1750" s="5"/>
    </row>
    <row r="1751" spans="6:20" ht="12.75">
      <c r="F1751" s="11"/>
      <c r="G1751" s="19"/>
      <c r="H1751" s="20"/>
      <c r="I1751" s="21"/>
      <c r="K1751" s="5"/>
      <c r="S1751" s="5"/>
      <c r="T1751" s="5"/>
    </row>
    <row r="1752" spans="6:20" ht="12.75">
      <c r="F1752" s="11"/>
      <c r="G1752" s="19"/>
      <c r="H1752" s="20"/>
      <c r="I1752" s="21"/>
      <c r="K1752" s="5"/>
      <c r="S1752" s="5"/>
      <c r="T1752" s="5"/>
    </row>
    <row r="1753" spans="6:20" ht="12.75">
      <c r="F1753" s="11"/>
      <c r="G1753" s="19"/>
      <c r="H1753" s="20"/>
      <c r="I1753" s="21"/>
      <c r="K1753" s="5"/>
      <c r="S1753" s="5"/>
      <c r="T1753" s="5"/>
    </row>
    <row r="1754" spans="6:20" ht="12.75">
      <c r="F1754" s="11"/>
      <c r="G1754" s="19"/>
      <c r="H1754" s="20"/>
      <c r="I1754" s="21"/>
      <c r="K1754" s="5"/>
      <c r="S1754" s="5"/>
      <c r="T1754" s="5"/>
    </row>
    <row r="1755" spans="6:20" ht="12.75">
      <c r="F1755" s="11"/>
      <c r="G1755" s="19"/>
      <c r="H1755" s="20"/>
      <c r="I1755" s="21"/>
      <c r="K1755" s="5"/>
      <c r="S1755" s="5"/>
      <c r="T1755" s="5"/>
    </row>
    <row r="1756" spans="6:20" ht="12.75">
      <c r="F1756" s="11"/>
      <c r="G1756" s="19"/>
      <c r="H1756" s="20"/>
      <c r="I1756" s="21"/>
      <c r="K1756" s="5"/>
      <c r="S1756" s="5"/>
      <c r="T1756" s="5"/>
    </row>
    <row r="1757" spans="6:20" ht="12.75">
      <c r="F1757" s="11"/>
      <c r="G1757" s="19"/>
      <c r="H1757" s="20"/>
      <c r="I1757" s="21"/>
      <c r="K1757" s="5"/>
      <c r="S1757" s="5"/>
      <c r="T1757" s="5"/>
    </row>
    <row r="1758" spans="6:20" ht="12.75">
      <c r="F1758" s="11"/>
      <c r="G1758" s="19"/>
      <c r="H1758" s="20"/>
      <c r="I1758" s="21"/>
      <c r="K1758" s="5"/>
      <c r="S1758" s="5"/>
      <c r="T1758" s="5"/>
    </row>
    <row r="1759" spans="6:20" ht="12.75">
      <c r="F1759" s="11"/>
      <c r="G1759" s="19"/>
      <c r="H1759" s="20"/>
      <c r="I1759" s="21"/>
      <c r="K1759" s="5"/>
      <c r="S1759" s="5"/>
      <c r="T1759" s="5"/>
    </row>
    <row r="1760" spans="6:20" ht="12.75">
      <c r="F1760" s="11"/>
      <c r="G1760" s="19"/>
      <c r="H1760" s="20"/>
      <c r="I1760" s="21"/>
      <c r="K1760" s="5"/>
      <c r="S1760" s="5"/>
      <c r="T1760" s="5"/>
    </row>
    <row r="1761" spans="6:20" ht="12.75">
      <c r="F1761" s="11"/>
      <c r="G1761" s="19"/>
      <c r="H1761" s="20"/>
      <c r="I1761" s="21"/>
      <c r="K1761" s="5"/>
      <c r="S1761" s="5"/>
      <c r="T1761" s="5"/>
    </row>
    <row r="1762" spans="6:20" ht="12.75">
      <c r="F1762" s="11"/>
      <c r="G1762" s="19"/>
      <c r="H1762" s="20"/>
      <c r="I1762" s="21"/>
      <c r="K1762" s="5"/>
      <c r="S1762" s="5"/>
      <c r="T1762" s="5"/>
    </row>
    <row r="1763" spans="6:20" ht="12.75">
      <c r="F1763" s="11"/>
      <c r="G1763" s="19"/>
      <c r="H1763" s="20"/>
      <c r="I1763" s="21"/>
      <c r="K1763" s="5"/>
      <c r="S1763" s="5"/>
      <c r="T1763" s="5"/>
    </row>
    <row r="1764" spans="6:20" ht="12.75">
      <c r="F1764" s="11"/>
      <c r="G1764" s="19"/>
      <c r="H1764" s="20"/>
      <c r="I1764" s="21"/>
      <c r="K1764" s="5"/>
      <c r="S1764" s="5"/>
      <c r="T1764" s="5"/>
    </row>
    <row r="1765" spans="6:20" ht="12.75">
      <c r="F1765" s="11"/>
      <c r="G1765" s="19"/>
      <c r="H1765" s="20"/>
      <c r="I1765" s="21"/>
      <c r="K1765" s="5"/>
      <c r="S1765" s="5"/>
      <c r="T1765" s="5"/>
    </row>
    <row r="1766" spans="6:20" ht="12.75">
      <c r="F1766" s="11"/>
      <c r="G1766" s="19"/>
      <c r="H1766" s="20"/>
      <c r="I1766" s="21"/>
      <c r="K1766" s="5"/>
      <c r="S1766" s="5"/>
      <c r="T1766" s="5"/>
    </row>
    <row r="1767" spans="6:20" ht="12.75">
      <c r="F1767" s="11"/>
      <c r="G1767" s="19"/>
      <c r="H1767" s="20"/>
      <c r="I1767" s="21"/>
      <c r="K1767" s="5"/>
      <c r="S1767" s="5"/>
      <c r="T1767" s="5"/>
    </row>
    <row r="1768" spans="6:20" ht="12.75">
      <c r="F1768" s="11"/>
      <c r="G1768" s="19"/>
      <c r="H1768" s="20"/>
      <c r="I1768" s="21"/>
      <c r="K1768" s="5"/>
      <c r="S1768" s="5"/>
      <c r="T1768" s="5"/>
    </row>
    <row r="1769" spans="6:20" ht="12.75">
      <c r="F1769" s="11"/>
      <c r="G1769" s="19"/>
      <c r="H1769" s="20"/>
      <c r="I1769" s="21"/>
      <c r="K1769" s="5"/>
      <c r="S1769" s="5"/>
      <c r="T1769" s="5"/>
    </row>
    <row r="1770" spans="6:20" ht="12.75">
      <c r="F1770" s="11"/>
      <c r="G1770" s="19"/>
      <c r="H1770" s="20"/>
      <c r="I1770" s="21"/>
      <c r="K1770" s="5"/>
      <c r="S1770" s="5"/>
      <c r="T1770" s="5"/>
    </row>
    <row r="1771" spans="6:20" ht="12.75">
      <c r="F1771" s="11"/>
      <c r="G1771" s="19"/>
      <c r="H1771" s="20"/>
      <c r="I1771" s="21"/>
      <c r="K1771" s="5"/>
      <c r="S1771" s="5"/>
      <c r="T1771" s="5"/>
    </row>
    <row r="1772" spans="6:20" ht="12.75">
      <c r="F1772" s="11"/>
      <c r="G1772" s="19"/>
      <c r="H1772" s="20"/>
      <c r="I1772" s="21"/>
      <c r="K1772" s="5"/>
      <c r="S1772" s="5"/>
      <c r="T1772" s="5"/>
    </row>
    <row r="1773" spans="6:20" ht="12.75">
      <c r="F1773" s="11"/>
      <c r="G1773" s="19"/>
      <c r="H1773" s="20"/>
      <c r="I1773" s="21"/>
      <c r="K1773" s="5"/>
      <c r="S1773" s="5"/>
      <c r="T1773" s="5"/>
    </row>
    <row r="1774" spans="6:20" ht="12.75">
      <c r="F1774" s="11"/>
      <c r="G1774" s="19"/>
      <c r="H1774" s="20"/>
      <c r="I1774" s="21"/>
      <c r="K1774" s="5"/>
      <c r="S1774" s="5"/>
      <c r="T1774" s="5"/>
    </row>
    <row r="1775" spans="6:20" ht="12.75">
      <c r="F1775" s="11"/>
      <c r="G1775" s="19"/>
      <c r="H1775" s="20"/>
      <c r="I1775" s="21"/>
      <c r="K1775" s="5"/>
      <c r="S1775" s="5"/>
      <c r="T1775" s="5"/>
    </row>
    <row r="1776" spans="6:20" ht="12.75">
      <c r="F1776" s="11"/>
      <c r="G1776" s="19"/>
      <c r="H1776" s="20"/>
      <c r="I1776" s="21"/>
      <c r="K1776" s="5"/>
      <c r="S1776" s="5"/>
      <c r="T1776" s="5"/>
    </row>
    <row r="1777" spans="6:20" ht="12.75">
      <c r="F1777" s="11"/>
      <c r="G1777" s="19"/>
      <c r="H1777" s="20"/>
      <c r="I1777" s="21"/>
      <c r="K1777" s="5"/>
      <c r="S1777" s="5"/>
      <c r="T1777" s="5"/>
    </row>
    <row r="1778" spans="6:20" ht="12.75">
      <c r="F1778" s="11"/>
      <c r="G1778" s="19"/>
      <c r="H1778" s="20"/>
      <c r="I1778" s="21"/>
      <c r="K1778" s="5"/>
      <c r="S1778" s="5"/>
      <c r="T1778" s="5"/>
    </row>
    <row r="1779" spans="6:20" ht="12.75">
      <c r="F1779" s="11"/>
      <c r="G1779" s="19"/>
      <c r="H1779" s="20"/>
      <c r="I1779" s="21"/>
      <c r="K1779" s="5"/>
      <c r="S1779" s="5"/>
      <c r="T1779" s="5"/>
    </row>
    <row r="1780" spans="6:20" ht="12.75">
      <c r="F1780" s="11"/>
      <c r="G1780" s="19"/>
      <c r="H1780" s="20"/>
      <c r="I1780" s="21"/>
      <c r="K1780" s="5"/>
      <c r="S1780" s="5"/>
      <c r="T1780" s="5"/>
    </row>
    <row r="1781" spans="6:20" ht="12.75">
      <c r="F1781" s="11"/>
      <c r="G1781" s="19"/>
      <c r="H1781" s="20"/>
      <c r="I1781" s="21"/>
      <c r="K1781" s="5"/>
      <c r="S1781" s="5"/>
      <c r="T1781" s="5"/>
    </row>
    <row r="1782" spans="6:20" ht="12.75">
      <c r="F1782" s="11"/>
      <c r="G1782" s="19"/>
      <c r="H1782" s="20"/>
      <c r="I1782" s="21"/>
      <c r="K1782" s="5"/>
      <c r="S1782" s="5"/>
      <c r="T1782" s="5"/>
    </row>
    <row r="1783" spans="6:20" ht="12.75">
      <c r="F1783" s="11"/>
      <c r="G1783" s="19"/>
      <c r="H1783" s="20"/>
      <c r="I1783" s="21"/>
      <c r="K1783" s="5"/>
      <c r="S1783" s="5"/>
      <c r="T1783" s="5"/>
    </row>
    <row r="1784" spans="6:20" ht="12.75">
      <c r="F1784" s="11"/>
      <c r="G1784" s="19"/>
      <c r="H1784" s="20"/>
      <c r="I1784" s="21"/>
      <c r="K1784" s="5"/>
      <c r="S1784" s="5"/>
      <c r="T1784" s="5"/>
    </row>
    <row r="1785" spans="6:20" ht="12.75">
      <c r="F1785" s="11"/>
      <c r="G1785" s="19"/>
      <c r="H1785" s="20"/>
      <c r="I1785" s="21"/>
      <c r="K1785" s="5"/>
      <c r="S1785" s="5"/>
      <c r="T1785" s="5"/>
    </row>
    <row r="1786" spans="6:20" ht="12.75">
      <c r="F1786" s="11"/>
      <c r="G1786" s="19"/>
      <c r="H1786" s="20"/>
      <c r="I1786" s="21"/>
      <c r="K1786" s="5"/>
      <c r="S1786" s="5"/>
      <c r="T1786" s="5"/>
    </row>
    <row r="1787" spans="6:20" ht="12.75">
      <c r="F1787" s="11"/>
      <c r="G1787" s="19"/>
      <c r="H1787" s="20"/>
      <c r="I1787" s="21"/>
      <c r="K1787" s="5"/>
      <c r="S1787" s="5"/>
      <c r="T1787" s="5"/>
    </row>
    <row r="1788" spans="6:20" ht="12.75">
      <c r="F1788" s="11"/>
      <c r="G1788" s="19"/>
      <c r="H1788" s="20"/>
      <c r="I1788" s="21"/>
      <c r="K1788" s="5"/>
      <c r="S1788" s="5"/>
      <c r="T1788" s="5"/>
    </row>
    <row r="1789" spans="6:20" ht="12.75">
      <c r="F1789" s="11"/>
      <c r="G1789" s="19"/>
      <c r="H1789" s="20"/>
      <c r="I1789" s="21"/>
      <c r="K1789" s="5"/>
      <c r="S1789" s="5"/>
      <c r="T1789" s="5"/>
    </row>
    <row r="1790" spans="6:20" ht="12.75">
      <c r="F1790" s="11"/>
      <c r="G1790" s="19"/>
      <c r="H1790" s="20"/>
      <c r="I1790" s="21"/>
      <c r="K1790" s="5"/>
      <c r="S1790" s="5"/>
      <c r="T1790" s="5"/>
    </row>
    <row r="1791" spans="6:20" ht="12.75">
      <c r="F1791" s="11"/>
      <c r="G1791" s="19"/>
      <c r="H1791" s="20"/>
      <c r="I1791" s="21"/>
      <c r="K1791" s="5"/>
      <c r="S1791" s="5"/>
      <c r="T1791" s="5"/>
    </row>
    <row r="1792" spans="6:20" ht="12.75">
      <c r="F1792" s="11"/>
      <c r="G1792" s="19"/>
      <c r="H1792" s="20"/>
      <c r="I1792" s="21"/>
      <c r="K1792" s="5"/>
      <c r="S1792" s="5"/>
      <c r="T1792" s="5"/>
    </row>
    <row r="1793" spans="6:20" ht="12.75">
      <c r="F1793" s="11"/>
      <c r="G1793" s="19"/>
      <c r="H1793" s="20"/>
      <c r="I1793" s="21"/>
      <c r="K1793" s="5"/>
      <c r="S1793" s="5"/>
      <c r="T1793" s="5"/>
    </row>
    <row r="1794" spans="6:20" ht="12.75">
      <c r="F1794" s="11"/>
      <c r="G1794" s="19"/>
      <c r="H1794" s="20"/>
      <c r="I1794" s="21"/>
      <c r="K1794" s="5"/>
      <c r="S1794" s="5"/>
      <c r="T1794" s="5"/>
    </row>
    <row r="1795" spans="6:20" ht="12.75">
      <c r="F1795" s="11"/>
      <c r="G1795" s="19"/>
      <c r="H1795" s="20"/>
      <c r="I1795" s="21"/>
      <c r="K1795" s="5"/>
      <c r="S1795" s="5"/>
      <c r="T1795" s="5"/>
    </row>
    <row r="1796" spans="6:20" ht="12.75">
      <c r="F1796" s="11"/>
      <c r="G1796" s="19"/>
      <c r="H1796" s="20"/>
      <c r="I1796" s="21"/>
      <c r="K1796" s="5"/>
      <c r="S1796" s="5"/>
      <c r="T1796" s="5"/>
    </row>
    <row r="1797" spans="6:20" ht="12.75">
      <c r="F1797" s="11"/>
      <c r="G1797" s="19"/>
      <c r="H1797" s="20"/>
      <c r="I1797" s="21"/>
      <c r="K1797" s="5"/>
      <c r="S1797" s="5"/>
      <c r="T1797" s="5"/>
    </row>
    <row r="1798" spans="6:20" ht="12.75">
      <c r="F1798" s="11"/>
      <c r="G1798" s="19"/>
      <c r="H1798" s="20"/>
      <c r="I1798" s="21"/>
      <c r="K1798" s="5"/>
      <c r="S1798" s="5"/>
      <c r="T1798" s="5"/>
    </row>
    <row r="1799" spans="6:20" ht="12.75">
      <c r="F1799" s="11"/>
      <c r="G1799" s="19"/>
      <c r="H1799" s="20"/>
      <c r="I1799" s="21"/>
      <c r="K1799" s="5"/>
      <c r="S1799" s="5"/>
      <c r="T1799" s="5"/>
    </row>
    <row r="1800" spans="6:20" ht="12.75">
      <c r="F1800" s="11"/>
      <c r="G1800" s="19"/>
      <c r="H1800" s="20"/>
      <c r="I1800" s="21"/>
      <c r="K1800" s="5"/>
      <c r="S1800" s="5"/>
      <c r="T1800" s="5"/>
    </row>
    <row r="1801" spans="6:20" ht="12.75">
      <c r="F1801" s="11"/>
      <c r="G1801" s="19"/>
      <c r="H1801" s="20"/>
      <c r="I1801" s="21"/>
      <c r="K1801" s="5"/>
      <c r="S1801" s="5"/>
      <c r="T1801" s="5"/>
    </row>
    <row r="1802" spans="6:20" ht="12.75">
      <c r="F1802" s="11"/>
      <c r="G1802" s="19"/>
      <c r="H1802" s="20"/>
      <c r="I1802" s="21"/>
      <c r="K1802" s="5"/>
      <c r="S1802" s="5"/>
      <c r="T1802" s="5"/>
    </row>
    <row r="1803" spans="6:20" ht="12.75">
      <c r="F1803" s="11"/>
      <c r="G1803" s="19"/>
      <c r="H1803" s="20"/>
      <c r="I1803" s="21"/>
      <c r="K1803" s="5"/>
      <c r="S1803" s="5"/>
      <c r="T1803" s="5"/>
    </row>
    <row r="1804" spans="6:20" ht="12.75">
      <c r="F1804" s="11"/>
      <c r="G1804" s="19"/>
      <c r="H1804" s="20"/>
      <c r="I1804" s="21"/>
      <c r="K1804" s="5"/>
      <c r="S1804" s="5"/>
      <c r="T1804" s="5"/>
    </row>
    <row r="1805" spans="6:20" ht="12.75">
      <c r="F1805" s="11"/>
      <c r="G1805" s="19"/>
      <c r="H1805" s="20"/>
      <c r="I1805" s="21"/>
      <c r="K1805" s="5"/>
      <c r="S1805" s="5"/>
      <c r="T1805" s="5"/>
    </row>
    <row r="1806" spans="6:20" ht="12.75">
      <c r="F1806" s="11"/>
      <c r="G1806" s="19"/>
      <c r="H1806" s="20"/>
      <c r="I1806" s="21"/>
      <c r="K1806" s="5"/>
      <c r="S1806" s="5"/>
      <c r="T1806" s="5"/>
    </row>
    <row r="1807" spans="6:20" ht="12.75">
      <c r="F1807" s="11"/>
      <c r="G1807" s="19"/>
      <c r="H1807" s="20"/>
      <c r="I1807" s="21"/>
      <c r="K1807" s="5"/>
      <c r="S1807" s="5"/>
      <c r="T1807" s="5"/>
    </row>
    <row r="1808" spans="6:20" ht="12.75">
      <c r="F1808" s="11"/>
      <c r="G1808" s="19"/>
      <c r="H1808" s="20"/>
      <c r="I1808" s="21"/>
      <c r="K1808" s="5"/>
      <c r="S1808" s="5"/>
      <c r="T1808" s="5"/>
    </row>
    <row r="1809" spans="6:20" ht="12.75">
      <c r="F1809" s="11"/>
      <c r="G1809" s="19"/>
      <c r="H1809" s="20"/>
      <c r="I1809" s="21"/>
      <c r="K1809" s="5"/>
      <c r="S1809" s="5"/>
      <c r="T1809" s="5"/>
    </row>
    <row r="1810" spans="6:20" ht="12.75">
      <c r="F1810" s="11"/>
      <c r="G1810" s="19"/>
      <c r="H1810" s="20"/>
      <c r="I1810" s="21"/>
      <c r="K1810" s="5"/>
      <c r="S1810" s="5"/>
      <c r="T1810" s="5"/>
    </row>
    <row r="1811" spans="6:20" ht="12.75">
      <c r="F1811" s="11"/>
      <c r="G1811" s="19"/>
      <c r="H1811" s="20"/>
      <c r="I1811" s="21"/>
      <c r="K1811" s="5"/>
      <c r="S1811" s="5"/>
      <c r="T1811" s="5"/>
    </row>
    <row r="1812" spans="6:20" ht="12.75">
      <c r="F1812" s="11"/>
      <c r="G1812" s="19"/>
      <c r="H1812" s="20"/>
      <c r="I1812" s="21"/>
      <c r="K1812" s="5"/>
      <c r="S1812" s="5"/>
      <c r="T1812" s="5"/>
    </row>
    <row r="1813" spans="6:20" ht="12.75">
      <c r="F1813" s="11"/>
      <c r="G1813" s="19"/>
      <c r="H1813" s="20"/>
      <c r="I1813" s="21"/>
      <c r="K1813" s="5"/>
      <c r="S1813" s="5"/>
      <c r="T1813" s="5"/>
    </row>
    <row r="1814" spans="6:20" ht="12.75">
      <c r="F1814" s="11"/>
      <c r="G1814" s="19"/>
      <c r="H1814" s="20"/>
      <c r="I1814" s="21"/>
      <c r="K1814" s="5"/>
      <c r="S1814" s="5"/>
      <c r="T1814" s="5"/>
    </row>
    <row r="1815" spans="6:20" ht="12.75">
      <c r="F1815" s="11"/>
      <c r="G1815" s="19"/>
      <c r="H1815" s="20"/>
      <c r="I1815" s="21"/>
      <c r="K1815" s="5"/>
      <c r="S1815" s="5"/>
      <c r="T1815" s="5"/>
    </row>
    <row r="1816" spans="6:20" ht="12.75">
      <c r="F1816" s="11"/>
      <c r="G1816" s="19"/>
      <c r="H1816" s="20"/>
      <c r="I1816" s="21"/>
      <c r="K1816" s="5"/>
      <c r="S1816" s="5"/>
      <c r="T1816" s="5"/>
    </row>
    <row r="1817" spans="6:20" ht="12.75">
      <c r="F1817" s="11"/>
      <c r="G1817" s="19"/>
      <c r="H1817" s="20"/>
      <c r="I1817" s="21"/>
      <c r="K1817" s="5"/>
      <c r="S1817" s="5"/>
      <c r="T1817" s="5"/>
    </row>
    <row r="1818" spans="6:20" ht="12.75">
      <c r="F1818" s="11"/>
      <c r="G1818" s="19"/>
      <c r="H1818" s="20"/>
      <c r="I1818" s="21"/>
      <c r="K1818" s="5"/>
      <c r="S1818" s="5"/>
      <c r="T1818" s="5"/>
    </row>
    <row r="1819" spans="6:20" ht="12.75">
      <c r="F1819" s="11"/>
      <c r="G1819" s="19"/>
      <c r="H1819" s="20"/>
      <c r="I1819" s="21"/>
      <c r="K1819" s="5"/>
      <c r="S1819" s="5"/>
      <c r="T1819" s="5"/>
    </row>
    <row r="1820" spans="6:20" ht="12.75">
      <c r="F1820" s="11"/>
      <c r="G1820" s="19"/>
      <c r="H1820" s="20"/>
      <c r="I1820" s="21"/>
      <c r="K1820" s="5"/>
      <c r="S1820" s="5"/>
      <c r="T1820" s="5"/>
    </row>
    <row r="1821" spans="6:20" ht="12.75">
      <c r="F1821" s="11"/>
      <c r="G1821" s="19"/>
      <c r="H1821" s="20"/>
      <c r="I1821" s="21"/>
      <c r="K1821" s="5"/>
      <c r="S1821" s="5"/>
      <c r="T1821" s="5"/>
    </row>
    <row r="1822" spans="6:20" ht="12.75">
      <c r="F1822" s="11"/>
      <c r="G1822" s="19"/>
      <c r="H1822" s="20"/>
      <c r="I1822" s="21"/>
      <c r="K1822" s="5"/>
      <c r="S1822" s="5"/>
      <c r="T1822" s="5"/>
    </row>
    <row r="1823" spans="6:20" ht="12.75">
      <c r="F1823" s="11"/>
      <c r="G1823" s="19"/>
      <c r="H1823" s="20"/>
      <c r="I1823" s="21"/>
      <c r="K1823" s="5"/>
      <c r="S1823" s="5"/>
      <c r="T1823" s="5"/>
    </row>
    <row r="1824" spans="6:20" ht="12.75">
      <c r="F1824" s="11"/>
      <c r="G1824" s="19"/>
      <c r="H1824" s="20"/>
      <c r="I1824" s="21"/>
      <c r="K1824" s="5"/>
      <c r="S1824" s="5"/>
      <c r="T1824" s="5"/>
    </row>
    <row r="1825" spans="6:20" ht="12.75">
      <c r="F1825" s="11"/>
      <c r="G1825" s="19"/>
      <c r="H1825" s="20"/>
      <c r="I1825" s="21"/>
      <c r="K1825" s="5"/>
      <c r="S1825" s="5"/>
      <c r="T1825" s="5"/>
    </row>
    <row r="1826" spans="6:20" ht="12.75">
      <c r="F1826" s="11"/>
      <c r="G1826" s="19"/>
      <c r="H1826" s="20"/>
      <c r="I1826" s="21"/>
      <c r="K1826" s="5"/>
      <c r="S1826" s="5"/>
      <c r="T1826" s="5"/>
    </row>
    <row r="1827" spans="6:20" ht="12.75">
      <c r="F1827" s="11"/>
      <c r="G1827" s="19"/>
      <c r="H1827" s="20"/>
      <c r="I1827" s="21"/>
      <c r="K1827" s="5"/>
      <c r="S1827" s="5"/>
      <c r="T1827" s="5"/>
    </row>
    <row r="1828" spans="6:20" ht="12.75">
      <c r="F1828" s="11"/>
      <c r="G1828" s="19"/>
      <c r="H1828" s="20"/>
      <c r="I1828" s="21"/>
      <c r="K1828" s="5"/>
      <c r="S1828" s="5"/>
      <c r="T1828" s="5"/>
    </row>
    <row r="1829" spans="6:20" ht="12.75">
      <c r="F1829" s="11"/>
      <c r="G1829" s="19"/>
      <c r="H1829" s="20"/>
      <c r="I1829" s="21"/>
      <c r="K1829" s="5"/>
      <c r="S1829" s="5"/>
      <c r="T1829" s="5"/>
    </row>
    <row r="1830" spans="6:20" ht="12.75">
      <c r="F1830" s="11"/>
      <c r="G1830" s="19"/>
      <c r="H1830" s="20"/>
      <c r="I1830" s="21"/>
      <c r="K1830" s="5"/>
      <c r="S1830" s="5"/>
      <c r="T1830" s="5"/>
    </row>
    <row r="1831" spans="6:20" ht="12.75">
      <c r="F1831" s="11"/>
      <c r="G1831" s="19"/>
      <c r="H1831" s="20"/>
      <c r="I1831" s="21"/>
      <c r="K1831" s="5"/>
      <c r="S1831" s="5"/>
      <c r="T1831" s="5"/>
    </row>
    <row r="1832" spans="6:20" ht="12.75">
      <c r="F1832" s="11"/>
      <c r="G1832" s="19"/>
      <c r="H1832" s="20"/>
      <c r="I1832" s="21"/>
      <c r="K1832" s="5"/>
      <c r="S1832" s="5"/>
      <c r="T1832" s="5"/>
    </row>
    <row r="1833" spans="6:20" ht="12.75">
      <c r="F1833" s="11"/>
      <c r="G1833" s="19"/>
      <c r="H1833" s="20"/>
      <c r="I1833" s="21"/>
      <c r="K1833" s="5"/>
      <c r="S1833" s="5"/>
      <c r="T1833" s="5"/>
    </row>
    <row r="1834" spans="6:20" ht="12.75">
      <c r="F1834" s="11"/>
      <c r="G1834" s="19"/>
      <c r="H1834" s="20"/>
      <c r="I1834" s="21"/>
      <c r="K1834" s="5"/>
      <c r="S1834" s="5"/>
      <c r="T1834" s="5"/>
    </row>
    <row r="1835" spans="6:20" ht="12.75">
      <c r="F1835" s="11"/>
      <c r="G1835" s="19"/>
      <c r="H1835" s="20"/>
      <c r="I1835" s="21"/>
      <c r="K1835" s="5"/>
      <c r="S1835" s="5"/>
      <c r="T1835" s="5"/>
    </row>
    <row r="1836" spans="6:20" ht="12.75">
      <c r="F1836" s="11"/>
      <c r="G1836" s="19"/>
      <c r="H1836" s="20"/>
      <c r="I1836" s="21"/>
      <c r="K1836" s="5"/>
      <c r="S1836" s="5"/>
      <c r="T1836" s="5"/>
    </row>
    <row r="1837" spans="6:20" ht="12.75">
      <c r="F1837" s="11"/>
      <c r="G1837" s="19"/>
      <c r="H1837" s="20"/>
      <c r="I1837" s="21"/>
      <c r="K1837" s="5"/>
      <c r="S1837" s="5"/>
      <c r="T1837" s="5"/>
    </row>
    <row r="1838" spans="6:20" ht="12.75">
      <c r="F1838" s="11"/>
      <c r="G1838" s="19"/>
      <c r="H1838" s="20"/>
      <c r="I1838" s="21"/>
      <c r="K1838" s="5"/>
      <c r="S1838" s="5"/>
      <c r="T1838" s="5"/>
    </row>
    <row r="1839" spans="6:20" ht="12.75">
      <c r="F1839" s="11"/>
      <c r="G1839" s="19"/>
      <c r="H1839" s="20"/>
      <c r="I1839" s="21"/>
      <c r="K1839" s="5"/>
      <c r="S1839" s="5"/>
      <c r="T1839" s="5"/>
    </row>
    <row r="1840" spans="6:20" ht="12.75">
      <c r="F1840" s="11"/>
      <c r="G1840" s="19"/>
      <c r="H1840" s="20"/>
      <c r="I1840" s="21"/>
      <c r="K1840" s="5"/>
      <c r="S1840" s="5"/>
      <c r="T1840" s="5"/>
    </row>
    <row r="1841" spans="6:20" ht="12.75">
      <c r="F1841" s="11"/>
      <c r="G1841" s="19"/>
      <c r="H1841" s="20"/>
      <c r="I1841" s="21"/>
      <c r="K1841" s="5"/>
      <c r="S1841" s="5"/>
      <c r="T1841" s="5"/>
    </row>
    <row r="1842" spans="6:20" ht="12.75">
      <c r="F1842" s="11"/>
      <c r="G1842" s="19"/>
      <c r="H1842" s="20"/>
      <c r="I1842" s="21"/>
      <c r="K1842" s="5"/>
      <c r="S1842" s="5"/>
      <c r="T1842" s="5"/>
    </row>
    <row r="1843" spans="6:20" ht="12.75">
      <c r="F1843" s="11"/>
      <c r="G1843" s="19"/>
      <c r="H1843" s="20"/>
      <c r="I1843" s="21"/>
      <c r="K1843" s="5"/>
      <c r="S1843" s="5"/>
      <c r="T1843" s="5"/>
    </row>
    <row r="1844" spans="6:20" ht="12.75">
      <c r="F1844" s="11"/>
      <c r="G1844" s="19"/>
      <c r="H1844" s="20"/>
      <c r="I1844" s="21"/>
      <c r="K1844" s="5"/>
      <c r="S1844" s="5"/>
      <c r="T1844" s="5"/>
    </row>
    <row r="1845" spans="6:20" ht="12.75">
      <c r="F1845" s="11"/>
      <c r="G1845" s="19"/>
      <c r="H1845" s="20"/>
      <c r="I1845" s="21"/>
      <c r="K1845" s="5"/>
      <c r="S1845" s="5"/>
      <c r="T1845" s="5"/>
    </row>
    <row r="1846" spans="6:20" ht="12.75">
      <c r="F1846" s="11"/>
      <c r="G1846" s="19"/>
      <c r="H1846" s="20"/>
      <c r="I1846" s="21"/>
      <c r="K1846" s="5"/>
      <c r="S1846" s="5"/>
      <c r="T1846" s="5"/>
    </row>
    <row r="1847" spans="6:20" ht="12.75">
      <c r="F1847" s="11"/>
      <c r="G1847" s="19"/>
      <c r="H1847" s="20"/>
      <c r="I1847" s="21"/>
      <c r="K1847" s="5"/>
      <c r="S1847" s="5"/>
      <c r="T1847" s="5"/>
    </row>
    <row r="1848" spans="6:20" ht="12.75">
      <c r="F1848" s="11"/>
      <c r="G1848" s="19"/>
      <c r="H1848" s="20"/>
      <c r="I1848" s="21"/>
      <c r="K1848" s="5"/>
      <c r="S1848" s="5"/>
      <c r="T1848" s="5"/>
    </row>
    <row r="1849" spans="6:20" ht="12.75">
      <c r="F1849" s="11"/>
      <c r="G1849" s="19"/>
      <c r="H1849" s="20"/>
      <c r="I1849" s="21"/>
      <c r="K1849" s="5"/>
      <c r="S1849" s="5"/>
      <c r="T1849" s="5"/>
    </row>
    <row r="1850" spans="6:20" ht="12.75">
      <c r="F1850" s="11"/>
      <c r="G1850" s="19"/>
      <c r="H1850" s="20"/>
      <c r="I1850" s="21"/>
      <c r="K1850" s="5"/>
      <c r="S1850" s="5"/>
      <c r="T1850" s="5"/>
    </row>
    <row r="1851" spans="6:20" ht="12.75">
      <c r="F1851" s="11"/>
      <c r="G1851" s="19"/>
      <c r="H1851" s="20"/>
      <c r="I1851" s="21"/>
      <c r="K1851" s="5"/>
      <c r="S1851" s="5"/>
      <c r="T1851" s="5"/>
    </row>
    <row r="1852" spans="6:20" ht="12.75">
      <c r="F1852" s="11"/>
      <c r="G1852" s="19"/>
      <c r="H1852" s="20"/>
      <c r="I1852" s="21"/>
      <c r="K1852" s="5"/>
      <c r="S1852" s="5"/>
      <c r="T1852" s="5"/>
    </row>
    <row r="1853" spans="6:20" ht="12.75">
      <c r="F1853" s="11"/>
      <c r="G1853" s="19"/>
      <c r="H1853" s="20"/>
      <c r="I1853" s="21"/>
      <c r="K1853" s="5"/>
      <c r="S1853" s="5"/>
      <c r="T1853" s="5"/>
    </row>
    <row r="1854" spans="6:20" ht="12.75">
      <c r="F1854" s="11"/>
      <c r="G1854" s="19"/>
      <c r="H1854" s="20"/>
      <c r="I1854" s="21"/>
      <c r="K1854" s="5"/>
      <c r="S1854" s="5"/>
      <c r="T1854" s="5"/>
    </row>
    <row r="1855" spans="6:20" ht="12.75">
      <c r="F1855" s="11"/>
      <c r="G1855" s="19"/>
      <c r="H1855" s="20"/>
      <c r="I1855" s="21"/>
      <c r="K1855" s="5"/>
      <c r="S1855" s="5"/>
      <c r="T1855" s="5"/>
    </row>
    <row r="1856" spans="6:20" ht="12.75">
      <c r="F1856" s="11"/>
      <c r="G1856" s="19"/>
      <c r="H1856" s="20"/>
      <c r="I1856" s="21"/>
      <c r="K1856" s="5"/>
      <c r="S1856" s="5"/>
      <c r="T1856" s="5"/>
    </row>
    <row r="1857" spans="6:20" ht="12.75">
      <c r="F1857" s="11"/>
      <c r="G1857" s="19"/>
      <c r="H1857" s="20"/>
      <c r="I1857" s="21"/>
      <c r="K1857" s="5"/>
      <c r="S1857" s="5"/>
      <c r="T1857" s="5"/>
    </row>
    <row r="1858" spans="6:20" ht="12.75">
      <c r="F1858" s="11"/>
      <c r="G1858" s="19"/>
      <c r="H1858" s="20"/>
      <c r="I1858" s="21"/>
      <c r="K1858" s="5"/>
      <c r="S1858" s="5"/>
      <c r="T1858" s="5"/>
    </row>
    <row r="1859" spans="6:20" ht="12.75">
      <c r="F1859" s="11"/>
      <c r="G1859" s="19"/>
      <c r="H1859" s="20"/>
      <c r="I1859" s="21"/>
      <c r="K1859" s="5"/>
      <c r="S1859" s="5"/>
      <c r="T1859" s="5"/>
    </row>
    <row r="1860" spans="6:20" ht="12.75">
      <c r="F1860" s="11"/>
      <c r="G1860" s="19"/>
      <c r="H1860" s="20"/>
      <c r="I1860" s="21"/>
      <c r="K1860" s="5"/>
      <c r="S1860" s="5"/>
      <c r="T1860" s="5"/>
    </row>
    <row r="1861" spans="6:20" ht="12.75">
      <c r="F1861" s="11"/>
      <c r="G1861" s="19"/>
      <c r="H1861" s="20"/>
      <c r="I1861" s="21"/>
      <c r="K1861" s="5"/>
      <c r="S1861" s="5"/>
      <c r="T1861" s="5"/>
    </row>
    <row r="1862" spans="6:20" ht="12.75">
      <c r="F1862" s="11"/>
      <c r="G1862" s="19"/>
      <c r="H1862" s="20"/>
      <c r="I1862" s="21"/>
      <c r="K1862" s="5"/>
      <c r="S1862" s="5"/>
      <c r="T1862" s="5"/>
    </row>
    <row r="1863" spans="6:20" ht="12.75">
      <c r="F1863" s="11"/>
      <c r="G1863" s="19"/>
      <c r="H1863" s="20"/>
      <c r="I1863" s="21"/>
      <c r="K1863" s="5"/>
      <c r="S1863" s="5"/>
      <c r="T1863" s="5"/>
    </row>
    <row r="1864" spans="6:20" ht="12.75">
      <c r="F1864" s="11"/>
      <c r="G1864" s="19"/>
      <c r="H1864" s="20"/>
      <c r="I1864" s="21"/>
      <c r="K1864" s="5"/>
      <c r="S1864" s="5"/>
      <c r="T1864" s="5"/>
    </row>
    <row r="1865" spans="6:20" ht="12.75">
      <c r="F1865" s="11"/>
      <c r="G1865" s="19"/>
      <c r="H1865" s="20"/>
      <c r="I1865" s="21"/>
      <c r="K1865" s="5"/>
      <c r="S1865" s="5"/>
      <c r="T1865" s="5"/>
    </row>
    <row r="1866" spans="6:20" ht="12.75">
      <c r="F1866" s="11"/>
      <c r="G1866" s="19"/>
      <c r="H1866" s="20"/>
      <c r="I1866" s="21"/>
      <c r="K1866" s="5"/>
      <c r="S1866" s="5"/>
      <c r="T1866" s="5"/>
    </row>
    <row r="1867" spans="6:20" ht="12.75">
      <c r="F1867" s="11"/>
      <c r="G1867" s="19"/>
      <c r="H1867" s="20"/>
      <c r="I1867" s="21"/>
      <c r="K1867" s="5"/>
      <c r="S1867" s="5"/>
      <c r="T1867" s="5"/>
    </row>
    <row r="1868" spans="6:20" ht="12.75">
      <c r="F1868" s="11"/>
      <c r="G1868" s="19"/>
      <c r="H1868" s="20"/>
      <c r="I1868" s="21"/>
      <c r="K1868" s="5"/>
      <c r="S1868" s="5"/>
      <c r="T1868" s="5"/>
    </row>
    <row r="1869" spans="6:20" ht="12.75">
      <c r="F1869" s="11"/>
      <c r="G1869" s="19"/>
      <c r="H1869" s="20"/>
      <c r="I1869" s="21"/>
      <c r="K1869" s="5"/>
      <c r="S1869" s="5"/>
      <c r="T1869" s="5"/>
    </row>
    <row r="1870" spans="6:20" ht="12.75">
      <c r="F1870" s="11"/>
      <c r="G1870" s="19"/>
      <c r="H1870" s="20"/>
      <c r="I1870" s="21"/>
      <c r="K1870" s="5"/>
      <c r="S1870" s="5"/>
      <c r="T1870" s="5"/>
    </row>
    <row r="1871" spans="6:20" ht="12.75">
      <c r="F1871" s="11"/>
      <c r="G1871" s="19"/>
      <c r="H1871" s="20"/>
      <c r="I1871" s="21"/>
      <c r="K1871" s="5"/>
      <c r="S1871" s="5"/>
      <c r="T1871" s="5"/>
    </row>
    <row r="1872" spans="6:20" ht="12.75">
      <c r="F1872" s="11"/>
      <c r="G1872" s="19"/>
      <c r="H1872" s="20"/>
      <c r="I1872" s="21"/>
      <c r="K1872" s="5"/>
      <c r="S1872" s="5"/>
      <c r="T1872" s="5"/>
    </row>
    <row r="1873" spans="6:20" ht="12.75">
      <c r="F1873" s="11"/>
      <c r="G1873" s="19"/>
      <c r="H1873" s="20"/>
      <c r="I1873" s="21"/>
      <c r="K1873" s="5"/>
      <c r="S1873" s="5"/>
      <c r="T1873" s="5"/>
    </row>
    <row r="1874" spans="6:20" ht="12.75">
      <c r="F1874" s="11"/>
      <c r="G1874" s="19"/>
      <c r="H1874" s="20"/>
      <c r="I1874" s="21"/>
      <c r="K1874" s="5"/>
      <c r="S1874" s="5"/>
      <c r="T1874" s="5"/>
    </row>
    <row r="1875" spans="6:20" ht="12.75">
      <c r="F1875" s="11"/>
      <c r="G1875" s="19"/>
      <c r="H1875" s="20"/>
      <c r="I1875" s="21"/>
      <c r="K1875" s="5"/>
      <c r="S1875" s="5"/>
      <c r="T1875" s="5"/>
    </row>
    <row r="1876" spans="6:20" ht="12.75">
      <c r="F1876" s="11"/>
      <c r="G1876" s="19"/>
      <c r="H1876" s="20"/>
      <c r="I1876" s="21"/>
      <c r="K1876" s="5"/>
      <c r="S1876" s="5"/>
      <c r="T1876" s="5"/>
    </row>
    <row r="1877" spans="6:20" ht="12.75">
      <c r="F1877" s="11"/>
      <c r="G1877" s="19"/>
      <c r="H1877" s="20"/>
      <c r="I1877" s="21"/>
      <c r="K1877" s="5"/>
      <c r="S1877" s="5"/>
      <c r="T1877" s="5"/>
    </row>
    <row r="1878" spans="6:20" ht="12.75">
      <c r="F1878" s="11"/>
      <c r="G1878" s="19"/>
      <c r="H1878" s="20"/>
      <c r="I1878" s="21"/>
      <c r="K1878" s="5"/>
      <c r="S1878" s="5"/>
      <c r="T1878" s="5"/>
    </row>
    <row r="1879" spans="6:20" ht="12.75">
      <c r="F1879" s="11"/>
      <c r="G1879" s="19"/>
      <c r="H1879" s="20"/>
      <c r="I1879" s="21"/>
      <c r="K1879" s="5"/>
      <c r="S1879" s="5"/>
      <c r="T1879" s="5"/>
    </row>
    <row r="1880" spans="6:20" ht="12.75">
      <c r="F1880" s="11"/>
      <c r="G1880" s="19"/>
      <c r="H1880" s="20"/>
      <c r="I1880" s="21"/>
      <c r="K1880" s="5"/>
      <c r="S1880" s="5"/>
      <c r="T1880" s="5"/>
    </row>
    <row r="1881" spans="6:20" ht="12.75">
      <c r="F1881" s="11"/>
      <c r="G1881" s="19"/>
      <c r="H1881" s="20"/>
      <c r="I1881" s="21"/>
      <c r="K1881" s="5"/>
      <c r="S1881" s="5"/>
      <c r="T1881" s="5"/>
    </row>
    <row r="1882" spans="6:20" ht="12.75">
      <c r="F1882" s="11"/>
      <c r="G1882" s="19"/>
      <c r="H1882" s="20"/>
      <c r="I1882" s="21"/>
      <c r="K1882" s="5"/>
      <c r="S1882" s="5"/>
      <c r="T1882" s="5"/>
    </row>
    <row r="1883" spans="6:20" ht="12.75">
      <c r="F1883" s="11"/>
      <c r="G1883" s="19"/>
      <c r="H1883" s="20"/>
      <c r="I1883" s="21"/>
      <c r="K1883" s="5"/>
      <c r="S1883" s="5"/>
      <c r="T1883" s="5"/>
    </row>
    <row r="1884" spans="6:20" ht="12.75">
      <c r="F1884" s="11"/>
      <c r="G1884" s="19"/>
      <c r="H1884" s="20"/>
      <c r="I1884" s="21"/>
      <c r="K1884" s="5"/>
      <c r="S1884" s="5"/>
      <c r="T1884" s="5"/>
    </row>
    <row r="1885" spans="6:20" ht="12.75">
      <c r="F1885" s="11"/>
      <c r="G1885" s="19"/>
      <c r="H1885" s="20"/>
      <c r="I1885" s="21"/>
      <c r="K1885" s="5"/>
      <c r="S1885" s="5"/>
      <c r="T1885" s="5"/>
    </row>
    <row r="1886" spans="6:20" ht="12.75">
      <c r="F1886" s="11"/>
      <c r="G1886" s="19"/>
      <c r="H1886" s="20"/>
      <c r="I1886" s="21"/>
      <c r="K1886" s="5"/>
      <c r="S1886" s="5"/>
      <c r="T1886" s="5"/>
    </row>
    <row r="1887" spans="6:20" ht="12.75">
      <c r="F1887" s="11"/>
      <c r="G1887" s="19"/>
      <c r="H1887" s="20"/>
      <c r="I1887" s="21"/>
      <c r="K1887" s="5"/>
      <c r="S1887" s="5"/>
      <c r="T1887" s="5"/>
    </row>
    <row r="1888" spans="6:20" ht="12.75">
      <c r="F1888" s="11"/>
      <c r="G1888" s="19"/>
      <c r="H1888" s="20"/>
      <c r="I1888" s="21"/>
      <c r="K1888" s="5"/>
      <c r="S1888" s="5"/>
      <c r="T1888" s="5"/>
    </row>
    <row r="1889" spans="6:20" ht="12.75">
      <c r="F1889" s="11"/>
      <c r="G1889" s="19"/>
      <c r="H1889" s="20"/>
      <c r="I1889" s="21"/>
      <c r="K1889" s="5"/>
      <c r="S1889" s="5"/>
      <c r="T1889" s="5"/>
    </row>
    <row r="1890" spans="6:20" ht="12.75">
      <c r="F1890" s="11"/>
      <c r="G1890" s="19"/>
      <c r="H1890" s="20"/>
      <c r="I1890" s="21"/>
      <c r="K1890" s="5"/>
      <c r="S1890" s="5"/>
      <c r="T1890" s="5"/>
    </row>
    <row r="1891" spans="6:20" ht="12.75">
      <c r="F1891" s="11"/>
      <c r="G1891" s="19"/>
      <c r="H1891" s="20"/>
      <c r="I1891" s="21"/>
      <c r="K1891" s="5"/>
      <c r="S1891" s="5"/>
      <c r="T1891" s="5"/>
    </row>
    <row r="1892" spans="6:20" ht="12.75">
      <c r="F1892" s="11"/>
      <c r="G1892" s="19"/>
      <c r="H1892" s="20"/>
      <c r="I1892" s="21"/>
      <c r="K1892" s="5"/>
      <c r="S1892" s="5"/>
      <c r="T1892" s="5"/>
    </row>
    <row r="1893" spans="6:20" ht="12.75">
      <c r="F1893" s="11"/>
      <c r="G1893" s="19"/>
      <c r="H1893" s="20"/>
      <c r="I1893" s="21"/>
      <c r="K1893" s="5"/>
      <c r="S1893" s="5"/>
      <c r="T1893" s="5"/>
    </row>
    <row r="1894" spans="6:20" ht="12.75">
      <c r="F1894" s="11"/>
      <c r="G1894" s="19"/>
      <c r="H1894" s="20"/>
      <c r="I1894" s="21"/>
      <c r="K1894" s="5"/>
      <c r="S1894" s="5"/>
      <c r="T1894" s="5"/>
    </row>
    <row r="1895" spans="6:20" ht="12.75">
      <c r="F1895" s="11"/>
      <c r="G1895" s="19"/>
      <c r="H1895" s="20"/>
      <c r="I1895" s="21"/>
      <c r="K1895" s="5"/>
      <c r="S1895" s="5"/>
      <c r="T1895" s="5"/>
    </row>
    <row r="1896" spans="6:20" ht="12.75">
      <c r="F1896" s="11"/>
      <c r="G1896" s="19"/>
      <c r="H1896" s="20"/>
      <c r="I1896" s="21"/>
      <c r="K1896" s="5"/>
      <c r="S1896" s="5"/>
      <c r="T1896" s="5"/>
    </row>
    <row r="1897" spans="6:20" ht="12.75">
      <c r="F1897" s="11"/>
      <c r="G1897" s="19"/>
      <c r="H1897" s="20"/>
      <c r="I1897" s="21"/>
      <c r="K1897" s="5"/>
      <c r="S1897" s="5"/>
      <c r="T1897" s="5"/>
    </row>
    <row r="1898" spans="6:20" ht="12.75">
      <c r="F1898" s="11"/>
      <c r="G1898" s="19"/>
      <c r="H1898" s="20"/>
      <c r="I1898" s="21"/>
      <c r="K1898" s="5"/>
      <c r="S1898" s="5"/>
      <c r="T1898" s="5"/>
    </row>
    <row r="1899" spans="6:20" ht="12.75">
      <c r="F1899" s="11"/>
      <c r="G1899" s="19"/>
      <c r="H1899" s="20"/>
      <c r="I1899" s="21"/>
      <c r="K1899" s="5"/>
      <c r="S1899" s="5"/>
      <c r="T1899" s="5"/>
    </row>
    <row r="1900" spans="6:20" ht="12.75">
      <c r="F1900" s="11"/>
      <c r="G1900" s="19"/>
      <c r="H1900" s="20"/>
      <c r="I1900" s="21"/>
      <c r="K1900" s="5"/>
      <c r="S1900" s="5"/>
      <c r="T1900" s="5"/>
    </row>
    <row r="1901" spans="6:20" ht="12.75">
      <c r="F1901" s="11"/>
      <c r="G1901" s="19"/>
      <c r="H1901" s="20"/>
      <c r="I1901" s="21"/>
      <c r="K1901" s="5"/>
      <c r="S1901" s="5"/>
      <c r="T1901" s="5"/>
    </row>
    <row r="1902" spans="6:20" ht="12.75">
      <c r="F1902" s="11"/>
      <c r="G1902" s="19"/>
      <c r="H1902" s="20"/>
      <c r="I1902" s="21"/>
      <c r="K1902" s="5"/>
      <c r="S1902" s="5"/>
      <c r="T1902" s="5"/>
    </row>
    <row r="1903" spans="6:20" ht="12.75">
      <c r="F1903" s="11"/>
      <c r="G1903" s="19"/>
      <c r="H1903" s="20"/>
      <c r="I1903" s="21"/>
      <c r="K1903" s="5"/>
      <c r="S1903" s="5"/>
      <c r="T1903" s="5"/>
    </row>
    <row r="1904" spans="6:20" ht="12.75">
      <c r="F1904" s="11"/>
      <c r="G1904" s="19"/>
      <c r="H1904" s="20"/>
      <c r="I1904" s="21"/>
      <c r="K1904" s="5"/>
      <c r="S1904" s="5"/>
      <c r="T1904" s="5"/>
    </row>
    <row r="1905" spans="6:20" ht="12.75">
      <c r="F1905" s="11"/>
      <c r="G1905" s="19"/>
      <c r="H1905" s="20"/>
      <c r="I1905" s="21"/>
      <c r="K1905" s="5"/>
      <c r="S1905" s="5"/>
      <c r="T1905" s="5"/>
    </row>
    <row r="1906" spans="6:20" ht="12.75">
      <c r="F1906" s="11"/>
      <c r="G1906" s="19"/>
      <c r="H1906" s="20"/>
      <c r="I1906" s="21"/>
      <c r="K1906" s="5"/>
      <c r="S1906" s="5"/>
      <c r="T1906" s="5"/>
    </row>
    <row r="1907" spans="6:20" ht="12.75">
      <c r="F1907" s="11"/>
      <c r="G1907" s="19"/>
      <c r="H1907" s="20"/>
      <c r="I1907" s="21"/>
      <c r="K1907" s="5"/>
      <c r="S1907" s="5"/>
      <c r="T1907" s="5"/>
    </row>
    <row r="1908" spans="6:20" ht="12.75">
      <c r="F1908" s="11"/>
      <c r="G1908" s="19"/>
      <c r="H1908" s="20"/>
      <c r="I1908" s="21"/>
      <c r="K1908" s="5"/>
      <c r="S1908" s="5"/>
      <c r="T1908" s="5"/>
    </row>
    <row r="1909" spans="6:20" ht="12.75">
      <c r="F1909" s="11"/>
      <c r="G1909" s="19"/>
      <c r="H1909" s="20"/>
      <c r="I1909" s="21"/>
      <c r="K1909" s="5"/>
      <c r="S1909" s="5"/>
      <c r="T1909" s="5"/>
    </row>
    <row r="1910" spans="6:20" ht="12.75">
      <c r="F1910" s="11"/>
      <c r="G1910" s="19"/>
      <c r="H1910" s="20"/>
      <c r="I1910" s="21"/>
      <c r="K1910" s="5"/>
      <c r="S1910" s="5"/>
      <c r="T1910" s="5"/>
    </row>
    <row r="1911" spans="6:20" ht="12.75">
      <c r="F1911" s="11"/>
      <c r="G1911" s="19"/>
      <c r="H1911" s="20"/>
      <c r="I1911" s="21"/>
      <c r="K1911" s="5"/>
      <c r="S1911" s="5"/>
      <c r="T1911" s="5"/>
    </row>
    <row r="1912" spans="6:20" ht="12.75">
      <c r="F1912" s="11"/>
      <c r="G1912" s="19"/>
      <c r="H1912" s="20"/>
      <c r="I1912" s="21"/>
      <c r="K1912" s="5"/>
      <c r="S1912" s="5"/>
      <c r="T1912" s="5"/>
    </row>
    <row r="1913" spans="6:20" ht="12.75">
      <c r="F1913" s="11"/>
      <c r="G1913" s="19"/>
      <c r="H1913" s="20"/>
      <c r="I1913" s="21"/>
      <c r="K1913" s="5"/>
      <c r="S1913" s="5"/>
      <c r="T1913" s="5"/>
    </row>
    <row r="1914" spans="6:20" ht="12.75">
      <c r="F1914" s="11"/>
      <c r="G1914" s="19"/>
      <c r="H1914" s="20"/>
      <c r="I1914" s="21"/>
      <c r="K1914" s="5"/>
      <c r="S1914" s="5"/>
      <c r="T1914" s="5"/>
    </row>
    <row r="1915" spans="6:20" ht="12.75">
      <c r="F1915" s="11"/>
      <c r="G1915" s="19"/>
      <c r="H1915" s="20"/>
      <c r="I1915" s="21"/>
      <c r="K1915" s="5"/>
      <c r="S1915" s="5"/>
      <c r="T1915" s="5"/>
    </row>
    <row r="1916" spans="6:20" ht="12.75">
      <c r="F1916" s="11"/>
      <c r="G1916" s="19"/>
      <c r="H1916" s="20"/>
      <c r="I1916" s="21"/>
      <c r="K1916" s="5"/>
      <c r="S1916" s="5"/>
      <c r="T1916" s="5"/>
    </row>
    <row r="1917" spans="6:20" ht="12.75">
      <c r="F1917" s="11"/>
      <c r="G1917" s="19"/>
      <c r="H1917" s="20"/>
      <c r="I1917" s="21"/>
      <c r="K1917" s="5"/>
      <c r="S1917" s="5"/>
      <c r="T1917" s="5"/>
    </row>
    <row r="1918" spans="6:20" ht="12.75">
      <c r="F1918" s="11"/>
      <c r="G1918" s="19"/>
      <c r="H1918" s="20"/>
      <c r="I1918" s="21"/>
      <c r="K1918" s="5"/>
      <c r="S1918" s="5"/>
      <c r="T1918" s="5"/>
    </row>
    <row r="1919" spans="6:20" ht="12.75">
      <c r="F1919" s="11"/>
      <c r="G1919" s="19"/>
      <c r="H1919" s="20"/>
      <c r="I1919" s="21"/>
      <c r="K1919" s="5"/>
      <c r="S1919" s="5"/>
      <c r="T1919" s="5"/>
    </row>
    <row r="1920" spans="6:20" ht="12.75">
      <c r="F1920" s="11"/>
      <c r="G1920" s="19"/>
      <c r="H1920" s="20"/>
      <c r="I1920" s="21"/>
      <c r="K1920" s="5"/>
      <c r="S1920" s="5"/>
      <c r="T1920" s="5"/>
    </row>
    <row r="1921" spans="6:20" ht="12.75">
      <c r="F1921" s="11"/>
      <c r="G1921" s="19"/>
      <c r="H1921" s="20"/>
      <c r="I1921" s="21"/>
      <c r="K1921" s="5"/>
      <c r="S1921" s="5"/>
      <c r="T1921" s="5"/>
    </row>
    <row r="1922" spans="6:20" ht="12.75">
      <c r="F1922" s="11"/>
      <c r="G1922" s="19"/>
      <c r="H1922" s="20"/>
      <c r="I1922" s="21"/>
      <c r="K1922" s="5"/>
      <c r="S1922" s="5"/>
      <c r="T1922" s="5"/>
    </row>
    <row r="1923" spans="6:20" ht="12.75">
      <c r="F1923" s="11"/>
      <c r="G1923" s="19"/>
      <c r="H1923" s="20"/>
      <c r="I1923" s="21"/>
      <c r="K1923" s="5"/>
      <c r="S1923" s="5"/>
      <c r="T1923" s="5"/>
    </row>
    <row r="1924" spans="6:20" ht="12.75">
      <c r="F1924" s="11"/>
      <c r="G1924" s="19"/>
      <c r="H1924" s="20"/>
      <c r="I1924" s="21"/>
      <c r="K1924" s="5"/>
      <c r="S1924" s="5"/>
      <c r="T1924" s="5"/>
    </row>
    <row r="1925" spans="6:20" ht="12.75">
      <c r="F1925" s="11"/>
      <c r="G1925" s="19"/>
      <c r="H1925" s="20"/>
      <c r="I1925" s="21"/>
      <c r="K1925" s="5"/>
      <c r="S1925" s="5"/>
      <c r="T1925" s="5"/>
    </row>
    <row r="1926" spans="6:20" ht="12.75">
      <c r="F1926" s="11"/>
      <c r="G1926" s="19"/>
      <c r="H1926" s="20"/>
      <c r="I1926" s="21"/>
      <c r="K1926" s="5"/>
      <c r="S1926" s="5"/>
      <c r="T1926" s="5"/>
    </row>
    <row r="1927" spans="6:20" ht="12.75">
      <c r="F1927" s="11"/>
      <c r="G1927" s="19"/>
      <c r="H1927" s="20"/>
      <c r="I1927" s="21"/>
      <c r="K1927" s="5"/>
      <c r="S1927" s="5"/>
      <c r="T1927" s="5"/>
    </row>
    <row r="1928" spans="6:20" ht="12.75">
      <c r="F1928" s="11"/>
      <c r="G1928" s="19"/>
      <c r="H1928" s="20"/>
      <c r="I1928" s="21"/>
      <c r="K1928" s="5"/>
      <c r="S1928" s="5"/>
      <c r="T1928" s="5"/>
    </row>
    <row r="1929" spans="6:20" ht="12.75">
      <c r="F1929" s="11"/>
      <c r="G1929" s="19"/>
      <c r="H1929" s="20"/>
      <c r="I1929" s="21"/>
      <c r="K1929" s="5"/>
      <c r="S1929" s="5"/>
      <c r="T1929" s="5"/>
    </row>
    <row r="1930" spans="6:20" ht="12.75">
      <c r="F1930" s="11"/>
      <c r="G1930" s="19"/>
      <c r="H1930" s="20"/>
      <c r="I1930" s="21"/>
      <c r="K1930" s="5"/>
      <c r="S1930" s="5"/>
      <c r="T1930" s="5"/>
    </row>
    <row r="1931" spans="6:20" ht="12.75">
      <c r="F1931" s="11"/>
      <c r="G1931" s="19"/>
      <c r="H1931" s="20"/>
      <c r="I1931" s="21"/>
      <c r="K1931" s="5"/>
      <c r="S1931" s="5"/>
      <c r="T1931" s="5"/>
    </row>
    <row r="1932" spans="6:20" ht="12.75">
      <c r="F1932" s="11"/>
      <c r="G1932" s="19"/>
      <c r="H1932" s="20"/>
      <c r="I1932" s="21"/>
      <c r="K1932" s="5"/>
      <c r="S1932" s="5"/>
      <c r="T1932" s="5"/>
    </row>
    <row r="1933" spans="6:20" ht="12.75">
      <c r="F1933" s="11"/>
      <c r="G1933" s="19"/>
      <c r="H1933" s="20"/>
      <c r="I1933" s="21"/>
      <c r="K1933" s="5"/>
      <c r="S1933" s="5"/>
      <c r="T1933" s="5"/>
    </row>
    <row r="1934" spans="6:20" ht="12.75">
      <c r="F1934" s="11"/>
      <c r="G1934" s="19"/>
      <c r="H1934" s="20"/>
      <c r="I1934" s="21"/>
      <c r="K1934" s="5"/>
      <c r="S1934" s="5"/>
      <c r="T1934" s="5"/>
    </row>
    <row r="1935" spans="6:20" ht="12.75">
      <c r="F1935" s="11"/>
      <c r="G1935" s="19"/>
      <c r="H1935" s="20"/>
      <c r="I1935" s="21"/>
      <c r="K1935" s="5"/>
      <c r="S1935" s="5"/>
      <c r="T1935" s="5"/>
    </row>
    <row r="1936" spans="6:20" ht="12.75">
      <c r="F1936" s="11"/>
      <c r="G1936" s="19"/>
      <c r="H1936" s="20"/>
      <c r="I1936" s="21"/>
      <c r="K1936" s="5"/>
      <c r="S1936" s="5"/>
      <c r="T1936" s="5"/>
    </row>
    <row r="1937" spans="6:20" ht="12.75">
      <c r="F1937" s="11"/>
      <c r="G1937" s="19"/>
      <c r="H1937" s="20"/>
      <c r="I1937" s="21"/>
      <c r="K1937" s="5"/>
      <c r="S1937" s="5"/>
      <c r="T1937" s="5"/>
    </row>
    <row r="1938" spans="6:20" ht="12.75">
      <c r="F1938" s="11"/>
      <c r="G1938" s="19"/>
      <c r="H1938" s="20"/>
      <c r="I1938" s="21"/>
      <c r="K1938" s="5"/>
      <c r="S1938" s="5"/>
      <c r="T1938" s="5"/>
    </row>
    <row r="1939" spans="6:20" ht="12.75">
      <c r="F1939" s="11"/>
      <c r="G1939" s="19"/>
      <c r="H1939" s="20"/>
      <c r="I1939" s="21"/>
      <c r="K1939" s="5"/>
      <c r="S1939" s="5"/>
      <c r="T1939" s="5"/>
    </row>
    <row r="1940" spans="6:20" ht="12.75">
      <c r="F1940" s="11"/>
      <c r="G1940" s="19"/>
      <c r="H1940" s="20"/>
      <c r="I1940" s="21"/>
      <c r="K1940" s="5"/>
      <c r="S1940" s="5"/>
      <c r="T1940" s="5"/>
    </row>
    <row r="1941" spans="6:20" ht="12.75">
      <c r="F1941" s="11"/>
      <c r="G1941" s="19"/>
      <c r="H1941" s="20"/>
      <c r="I1941" s="21"/>
      <c r="K1941" s="5"/>
      <c r="S1941" s="5"/>
      <c r="T1941" s="5"/>
    </row>
    <row r="1942" spans="6:20" ht="12.75">
      <c r="F1942" s="11"/>
      <c r="G1942" s="19"/>
      <c r="H1942" s="20"/>
      <c r="I1942" s="21"/>
      <c r="K1942" s="5"/>
      <c r="S1942" s="5"/>
      <c r="T1942" s="5"/>
    </row>
    <row r="1943" spans="6:20" ht="12.75">
      <c r="F1943" s="11"/>
      <c r="G1943" s="19"/>
      <c r="H1943" s="20"/>
      <c r="I1943" s="21"/>
      <c r="K1943" s="5"/>
      <c r="S1943" s="5"/>
      <c r="T1943" s="5"/>
    </row>
    <row r="1944" spans="6:20" ht="12.75">
      <c r="F1944" s="11"/>
      <c r="G1944" s="19"/>
      <c r="H1944" s="20"/>
      <c r="I1944" s="21"/>
      <c r="K1944" s="5"/>
      <c r="S1944" s="5"/>
      <c r="T1944" s="5"/>
    </row>
    <row r="1945" spans="6:20" ht="12.75">
      <c r="F1945" s="11"/>
      <c r="G1945" s="19"/>
      <c r="H1945" s="20"/>
      <c r="I1945" s="21"/>
      <c r="K1945" s="5"/>
      <c r="S1945" s="5"/>
      <c r="T1945" s="5"/>
    </row>
    <row r="1946" spans="6:20" ht="12.75">
      <c r="F1946" s="11"/>
      <c r="G1946" s="19"/>
      <c r="H1946" s="20"/>
      <c r="I1946" s="21"/>
      <c r="K1946" s="5"/>
      <c r="S1946" s="5"/>
      <c r="T1946" s="5"/>
    </row>
    <row r="1947" spans="6:20" ht="12.75">
      <c r="F1947" s="11"/>
      <c r="G1947" s="19"/>
      <c r="H1947" s="20"/>
      <c r="I1947" s="21"/>
      <c r="K1947" s="5"/>
      <c r="S1947" s="5"/>
      <c r="T1947" s="5"/>
    </row>
    <row r="1948" spans="6:20" ht="12.75">
      <c r="F1948" s="11"/>
      <c r="G1948" s="19"/>
      <c r="H1948" s="20"/>
      <c r="I1948" s="21"/>
      <c r="K1948" s="5"/>
      <c r="S1948" s="5"/>
      <c r="T1948" s="5"/>
    </row>
    <row r="1949" spans="6:20" ht="12.75">
      <c r="F1949" s="11"/>
      <c r="G1949" s="19"/>
      <c r="H1949" s="20"/>
      <c r="I1949" s="21"/>
      <c r="K1949" s="5"/>
      <c r="S1949" s="5"/>
      <c r="T1949" s="5"/>
    </row>
    <row r="1950" spans="6:20" ht="12.75">
      <c r="F1950" s="11"/>
      <c r="G1950" s="19"/>
      <c r="H1950" s="20"/>
      <c r="I1950" s="21"/>
      <c r="K1950" s="5"/>
      <c r="S1950" s="5"/>
      <c r="T1950" s="5"/>
    </row>
    <row r="1951" spans="6:20" ht="12.75">
      <c r="F1951" s="11"/>
      <c r="G1951" s="19"/>
      <c r="H1951" s="20"/>
      <c r="I1951" s="21"/>
      <c r="K1951" s="5"/>
      <c r="S1951" s="5"/>
      <c r="T1951" s="5"/>
    </row>
    <row r="1952" spans="6:20" ht="12.75">
      <c r="F1952" s="11"/>
      <c r="G1952" s="19"/>
      <c r="H1952" s="20"/>
      <c r="I1952" s="21"/>
      <c r="K1952" s="5"/>
      <c r="S1952" s="5"/>
      <c r="T1952" s="5"/>
    </row>
    <row r="1953" spans="6:20" ht="12.75">
      <c r="F1953" s="11"/>
      <c r="G1953" s="19"/>
      <c r="H1953" s="20"/>
      <c r="I1953" s="21"/>
      <c r="K1953" s="5"/>
      <c r="S1953" s="5"/>
      <c r="T1953" s="5"/>
    </row>
    <row r="1954" spans="6:20" ht="12.75">
      <c r="F1954" s="11"/>
      <c r="G1954" s="19"/>
      <c r="H1954" s="20"/>
      <c r="I1954" s="21"/>
      <c r="K1954" s="5"/>
      <c r="S1954" s="5"/>
      <c r="T1954" s="5"/>
    </row>
    <row r="1955" spans="6:20" ht="12.75">
      <c r="F1955" s="11"/>
      <c r="G1955" s="19"/>
      <c r="H1955" s="20"/>
      <c r="I1955" s="21"/>
      <c r="K1955" s="5"/>
      <c r="S1955" s="5"/>
      <c r="T1955" s="5"/>
    </row>
    <row r="1956" spans="6:20" ht="12.75">
      <c r="F1956" s="11"/>
      <c r="G1956" s="19"/>
      <c r="H1956" s="20"/>
      <c r="I1956" s="21"/>
      <c r="K1956" s="5"/>
      <c r="S1956" s="5"/>
      <c r="T1956" s="5"/>
    </row>
    <row r="1957" spans="6:20" ht="12.75">
      <c r="F1957" s="11"/>
      <c r="G1957" s="19"/>
      <c r="H1957" s="20"/>
      <c r="I1957" s="21"/>
      <c r="K1957" s="5"/>
      <c r="S1957" s="5"/>
      <c r="T1957" s="5"/>
    </row>
    <row r="1958" spans="6:20" ht="12.75">
      <c r="F1958" s="11"/>
      <c r="G1958" s="19"/>
      <c r="H1958" s="20"/>
      <c r="I1958" s="21"/>
      <c r="K1958" s="5"/>
      <c r="S1958" s="5"/>
      <c r="T1958" s="5"/>
    </row>
    <row r="1959" spans="6:20" ht="12.75">
      <c r="F1959" s="11"/>
      <c r="G1959" s="19"/>
      <c r="H1959" s="20"/>
      <c r="I1959" s="21"/>
      <c r="K1959" s="5"/>
      <c r="S1959" s="5"/>
      <c r="T1959" s="5"/>
    </row>
    <row r="1960" spans="6:20" ht="12.75">
      <c r="F1960" s="11"/>
      <c r="G1960" s="19"/>
      <c r="H1960" s="20"/>
      <c r="I1960" s="21"/>
      <c r="K1960" s="5"/>
      <c r="S1960" s="5"/>
      <c r="T1960" s="5"/>
    </row>
    <row r="1961" spans="6:20" ht="12.75">
      <c r="F1961" s="11"/>
      <c r="G1961" s="19"/>
      <c r="H1961" s="20"/>
      <c r="I1961" s="21"/>
      <c r="K1961" s="5"/>
      <c r="S1961" s="5"/>
      <c r="T1961" s="5"/>
    </row>
    <row r="1962" spans="6:20" ht="12.75">
      <c r="F1962" s="11"/>
      <c r="G1962" s="19"/>
      <c r="H1962" s="20"/>
      <c r="I1962" s="21"/>
      <c r="K1962" s="5"/>
      <c r="S1962" s="5"/>
      <c r="T1962" s="5"/>
    </row>
    <row r="1963" spans="6:20" ht="12.75">
      <c r="F1963" s="11"/>
      <c r="G1963" s="19"/>
      <c r="H1963" s="20"/>
      <c r="I1963" s="21"/>
      <c r="K1963" s="5"/>
      <c r="S1963" s="5"/>
      <c r="T1963" s="5"/>
    </row>
    <row r="1964" spans="6:20" ht="12.75">
      <c r="F1964" s="11"/>
      <c r="G1964" s="19"/>
      <c r="H1964" s="20"/>
      <c r="I1964" s="21"/>
      <c r="K1964" s="5"/>
      <c r="S1964" s="5"/>
      <c r="T1964" s="5"/>
    </row>
    <row r="1965" spans="6:20" ht="12.75">
      <c r="F1965" s="11"/>
      <c r="G1965" s="19"/>
      <c r="H1965" s="20"/>
      <c r="I1965" s="21"/>
      <c r="K1965" s="5"/>
      <c r="S1965" s="5"/>
      <c r="T1965" s="5"/>
    </row>
    <row r="1966" spans="6:20" ht="12.75">
      <c r="F1966" s="11"/>
      <c r="G1966" s="19"/>
      <c r="H1966" s="20"/>
      <c r="I1966" s="21"/>
      <c r="K1966" s="5"/>
      <c r="S1966" s="5"/>
      <c r="T1966" s="5"/>
    </row>
    <row r="1967" spans="6:20" ht="12.75">
      <c r="F1967" s="11"/>
      <c r="G1967" s="19"/>
      <c r="H1967" s="20"/>
      <c r="I1967" s="21"/>
      <c r="K1967" s="5"/>
      <c r="S1967" s="5"/>
      <c r="T1967" s="5"/>
    </row>
    <row r="1968" spans="6:20" ht="12.75">
      <c r="F1968" s="11"/>
      <c r="G1968" s="19"/>
      <c r="H1968" s="20"/>
      <c r="I1968" s="21"/>
      <c r="K1968" s="5"/>
      <c r="S1968" s="5"/>
      <c r="T1968" s="5"/>
    </row>
    <row r="1969" spans="6:20" ht="12.75">
      <c r="F1969" s="11"/>
      <c r="G1969" s="19"/>
      <c r="H1969" s="20"/>
      <c r="I1969" s="21"/>
      <c r="K1969" s="5"/>
      <c r="S1969" s="5"/>
      <c r="T1969" s="5"/>
    </row>
    <row r="1970" spans="6:20" ht="12.75">
      <c r="F1970" s="11"/>
      <c r="G1970" s="19"/>
      <c r="H1970" s="20"/>
      <c r="I1970" s="21"/>
      <c r="K1970" s="5"/>
      <c r="S1970" s="5"/>
      <c r="T1970" s="5"/>
    </row>
    <row r="1971" spans="6:20" ht="12.75">
      <c r="F1971" s="11"/>
      <c r="G1971" s="19"/>
      <c r="H1971" s="20"/>
      <c r="I1971" s="21"/>
      <c r="K1971" s="5"/>
      <c r="S1971" s="5"/>
      <c r="T1971" s="5"/>
    </row>
    <row r="1972" spans="6:20" ht="12.75">
      <c r="F1972" s="11"/>
      <c r="G1972" s="19"/>
      <c r="H1972" s="20"/>
      <c r="I1972" s="21"/>
      <c r="K1972" s="5"/>
      <c r="S1972" s="5"/>
      <c r="T1972" s="5"/>
    </row>
    <row r="1973" spans="6:20" ht="12.75">
      <c r="F1973" s="11"/>
      <c r="G1973" s="19"/>
      <c r="H1973" s="20"/>
      <c r="I1973" s="21"/>
      <c r="K1973" s="5"/>
      <c r="S1973" s="5"/>
      <c r="T1973" s="5"/>
    </row>
    <row r="1974" spans="6:20" ht="12.75">
      <c r="F1974" s="11"/>
      <c r="G1974" s="19"/>
      <c r="H1974" s="20"/>
      <c r="I1974" s="21"/>
      <c r="K1974" s="5"/>
      <c r="S1974" s="5"/>
      <c r="T1974" s="5"/>
    </row>
    <row r="1975" spans="6:20" ht="12.75">
      <c r="F1975" s="11"/>
      <c r="G1975" s="19"/>
      <c r="H1975" s="20"/>
      <c r="I1975" s="21"/>
      <c r="K1975" s="5"/>
      <c r="S1975" s="5"/>
      <c r="T1975" s="5"/>
    </row>
    <row r="1976" spans="6:20" ht="12.75">
      <c r="F1976" s="11"/>
      <c r="G1976" s="19"/>
      <c r="H1976" s="20"/>
      <c r="I1976" s="21"/>
      <c r="K1976" s="5"/>
      <c r="S1976" s="5"/>
      <c r="T1976" s="5"/>
    </row>
    <row r="1977" spans="6:20" ht="12.75">
      <c r="F1977" s="11"/>
      <c r="G1977" s="19"/>
      <c r="H1977" s="20"/>
      <c r="I1977" s="21"/>
      <c r="K1977" s="5"/>
      <c r="S1977" s="5"/>
      <c r="T1977" s="5"/>
    </row>
    <row r="1978" spans="6:20" ht="12.75">
      <c r="F1978" s="11"/>
      <c r="G1978" s="19"/>
      <c r="H1978" s="20"/>
      <c r="I1978" s="21"/>
      <c r="K1978" s="5"/>
      <c r="S1978" s="5"/>
      <c r="T1978" s="5"/>
    </row>
    <row r="1979" spans="6:20" ht="12.75">
      <c r="F1979" s="11"/>
      <c r="G1979" s="19"/>
      <c r="H1979" s="20"/>
      <c r="I1979" s="21"/>
      <c r="K1979" s="5"/>
      <c r="S1979" s="5"/>
      <c r="T1979" s="5"/>
    </row>
    <row r="1980" spans="6:20" ht="12.75">
      <c r="F1980" s="11"/>
      <c r="G1980" s="19"/>
      <c r="H1980" s="20"/>
      <c r="I1980" s="21"/>
      <c r="K1980" s="5"/>
      <c r="S1980" s="5"/>
      <c r="T1980" s="5"/>
    </row>
    <row r="1981" spans="6:20" ht="12.75">
      <c r="F1981" s="11"/>
      <c r="G1981" s="19"/>
      <c r="H1981" s="20"/>
      <c r="I1981" s="21"/>
      <c r="K1981" s="5"/>
      <c r="S1981" s="5"/>
      <c r="T1981" s="5"/>
    </row>
    <row r="1982" spans="6:20" ht="12.75">
      <c r="F1982" s="11"/>
      <c r="G1982" s="19"/>
      <c r="H1982" s="20"/>
      <c r="I1982" s="21"/>
      <c r="K1982" s="5"/>
      <c r="S1982" s="5"/>
      <c r="T1982" s="5"/>
    </row>
    <row r="1983" spans="6:20" ht="12.75">
      <c r="F1983" s="11"/>
      <c r="G1983" s="19"/>
      <c r="H1983" s="20"/>
      <c r="I1983" s="21"/>
      <c r="K1983" s="5"/>
      <c r="S1983" s="5"/>
      <c r="T1983" s="5"/>
    </row>
    <row r="1984" spans="6:20" ht="12.75">
      <c r="F1984" s="11"/>
      <c r="G1984" s="19"/>
      <c r="H1984" s="20"/>
      <c r="I1984" s="21"/>
      <c r="K1984" s="5"/>
      <c r="S1984" s="5"/>
      <c r="T1984" s="5"/>
    </row>
    <row r="1985" spans="6:20" ht="12.75">
      <c r="F1985" s="11"/>
      <c r="G1985" s="19"/>
      <c r="H1985" s="20"/>
      <c r="I1985" s="21"/>
      <c r="K1985" s="5"/>
      <c r="S1985" s="5"/>
      <c r="T1985" s="5"/>
    </row>
    <row r="1986" spans="6:20" ht="12.75">
      <c r="F1986" s="11"/>
      <c r="G1986" s="19"/>
      <c r="H1986" s="20"/>
      <c r="I1986" s="21"/>
      <c r="K1986" s="5"/>
      <c r="S1986" s="5"/>
      <c r="T1986" s="5"/>
    </row>
    <row r="1987" spans="6:20" ht="12.75">
      <c r="F1987" s="11"/>
      <c r="G1987" s="19"/>
      <c r="H1987" s="20"/>
      <c r="I1987" s="21"/>
      <c r="K1987" s="5"/>
      <c r="S1987" s="5"/>
      <c r="T1987" s="5"/>
    </row>
    <row r="1988" spans="6:20" ht="12.75">
      <c r="F1988" s="11"/>
      <c r="G1988" s="19"/>
      <c r="H1988" s="20"/>
      <c r="I1988" s="21"/>
      <c r="K1988" s="5"/>
      <c r="S1988" s="5"/>
      <c r="T1988" s="5"/>
    </row>
    <row r="1989" spans="6:20" ht="12.75">
      <c r="F1989" s="11"/>
      <c r="G1989" s="19"/>
      <c r="H1989" s="20"/>
      <c r="I1989" s="21"/>
      <c r="K1989" s="5"/>
      <c r="S1989" s="5"/>
      <c r="T1989" s="5"/>
    </row>
    <row r="1990" spans="6:20" ht="12.75">
      <c r="F1990" s="11"/>
      <c r="G1990" s="19"/>
      <c r="H1990" s="20"/>
      <c r="I1990" s="21"/>
      <c r="K1990" s="5"/>
      <c r="S1990" s="5"/>
      <c r="T1990" s="5"/>
    </row>
    <row r="1991" spans="6:20" ht="12.75">
      <c r="F1991" s="11"/>
      <c r="G1991" s="19"/>
      <c r="H1991" s="20"/>
      <c r="I1991" s="21"/>
      <c r="K1991" s="5"/>
      <c r="S1991" s="5"/>
      <c r="T1991" s="5"/>
    </row>
    <row r="1992" spans="6:20" ht="12.75">
      <c r="F1992" s="11"/>
      <c r="G1992" s="19"/>
      <c r="H1992" s="20"/>
      <c r="I1992" s="21"/>
      <c r="K1992" s="5"/>
      <c r="S1992" s="5"/>
      <c r="T1992" s="5"/>
    </row>
    <row r="1993" spans="6:20" ht="12.75">
      <c r="F1993" s="11"/>
      <c r="G1993" s="19"/>
      <c r="H1993" s="20"/>
      <c r="I1993" s="21"/>
      <c r="K1993" s="5"/>
      <c r="S1993" s="5"/>
      <c r="T1993" s="5"/>
    </row>
    <row r="1994" spans="6:20" ht="12.75">
      <c r="F1994" s="11"/>
      <c r="G1994" s="19"/>
      <c r="H1994" s="20"/>
      <c r="I1994" s="21"/>
      <c r="K1994" s="5"/>
      <c r="S1994" s="5"/>
      <c r="T1994" s="5"/>
    </row>
    <row r="1995" spans="6:20" ht="12.75">
      <c r="F1995" s="11"/>
      <c r="G1995" s="19"/>
      <c r="H1995" s="20"/>
      <c r="I1995" s="21"/>
      <c r="K1995" s="5"/>
      <c r="S1995" s="5"/>
      <c r="T1995" s="5"/>
    </row>
    <row r="1996" spans="6:20" ht="12.75">
      <c r="F1996" s="11"/>
      <c r="G1996" s="19"/>
      <c r="H1996" s="20"/>
      <c r="I1996" s="21"/>
      <c r="K1996" s="5"/>
      <c r="S1996" s="5"/>
      <c r="T1996" s="5"/>
    </row>
    <row r="1997" spans="6:20" ht="12.75">
      <c r="F1997" s="11"/>
      <c r="G1997" s="19"/>
      <c r="H1997" s="20"/>
      <c r="I1997" s="21"/>
      <c r="K1997" s="5"/>
      <c r="S1997" s="5"/>
      <c r="T1997" s="5"/>
    </row>
    <row r="1998" spans="6:20" ht="12.75">
      <c r="F1998" s="11"/>
      <c r="G1998" s="19"/>
      <c r="H1998" s="20"/>
      <c r="I1998" s="21"/>
      <c r="K1998" s="5"/>
      <c r="S1998" s="5"/>
      <c r="T1998" s="5"/>
    </row>
    <row r="1999" spans="6:20" ht="12.75">
      <c r="F1999" s="11"/>
      <c r="G1999" s="19"/>
      <c r="H1999" s="20"/>
      <c r="I1999" s="21"/>
      <c r="K1999" s="5"/>
      <c r="S1999" s="5"/>
      <c r="T1999" s="5"/>
    </row>
    <row r="2000" spans="6:20" ht="12.75">
      <c r="F2000" s="11"/>
      <c r="G2000" s="19"/>
      <c r="H2000" s="20"/>
      <c r="I2000" s="21"/>
      <c r="K2000" s="5"/>
      <c r="S2000" s="5"/>
      <c r="T2000" s="5"/>
    </row>
    <row r="2001" spans="6:20" ht="12.75">
      <c r="F2001" s="11"/>
      <c r="G2001" s="19"/>
      <c r="H2001" s="20"/>
      <c r="I2001" s="21"/>
      <c r="K2001" s="5"/>
      <c r="S2001" s="5"/>
      <c r="T2001" s="5"/>
    </row>
    <row r="2002" spans="6:20" ht="12.75">
      <c r="F2002" s="11"/>
      <c r="G2002" s="19"/>
      <c r="H2002" s="20"/>
      <c r="I2002" s="21"/>
      <c r="K2002" s="5"/>
      <c r="S2002" s="5"/>
      <c r="T2002" s="5"/>
    </row>
    <row r="2003" spans="6:20" ht="12.75">
      <c r="F2003" s="11"/>
      <c r="G2003" s="19"/>
      <c r="H2003" s="20"/>
      <c r="I2003" s="21"/>
      <c r="K2003" s="5"/>
      <c r="S2003" s="5"/>
      <c r="T2003" s="5"/>
    </row>
    <row r="2004" spans="6:20" ht="12.75">
      <c r="F2004" s="11"/>
      <c r="G2004" s="19"/>
      <c r="H2004" s="20"/>
      <c r="I2004" s="21"/>
      <c r="K2004" s="5"/>
      <c r="S2004" s="5"/>
      <c r="T2004" s="5"/>
    </row>
    <row r="2005" spans="6:20" ht="12.75">
      <c r="F2005" s="11"/>
      <c r="G2005" s="19"/>
      <c r="H2005" s="20"/>
      <c r="I2005" s="21"/>
      <c r="K2005" s="5"/>
      <c r="S2005" s="5"/>
      <c r="T2005" s="5"/>
    </row>
    <row r="2006" spans="6:20" ht="12.75">
      <c r="F2006" s="11"/>
      <c r="G2006" s="19"/>
      <c r="H2006" s="20"/>
      <c r="I2006" s="21"/>
      <c r="K2006" s="5"/>
      <c r="S2006" s="5"/>
      <c r="T2006" s="5"/>
    </row>
    <row r="2007" spans="6:20" ht="12.75">
      <c r="F2007" s="11"/>
      <c r="G2007" s="19"/>
      <c r="H2007" s="20"/>
      <c r="I2007" s="21"/>
      <c r="K2007" s="5"/>
      <c r="S2007" s="5"/>
      <c r="T2007" s="5"/>
    </row>
    <row r="2008" spans="6:20" ht="12.75">
      <c r="F2008" s="11"/>
      <c r="G2008" s="19"/>
      <c r="H2008" s="20"/>
      <c r="I2008" s="21"/>
      <c r="K2008" s="5"/>
      <c r="S2008" s="5"/>
      <c r="T2008" s="5"/>
    </row>
    <row r="2009" spans="6:20" ht="12.75">
      <c r="F2009" s="11"/>
      <c r="G2009" s="19"/>
      <c r="H2009" s="20"/>
      <c r="I2009" s="21"/>
      <c r="K2009" s="5"/>
      <c r="S2009" s="5"/>
      <c r="T2009" s="5"/>
    </row>
    <row r="2010" spans="6:20" ht="12.75">
      <c r="F2010" s="11"/>
      <c r="G2010" s="19"/>
      <c r="H2010" s="20"/>
      <c r="I2010" s="21"/>
      <c r="K2010" s="5"/>
      <c r="S2010" s="5"/>
      <c r="T2010" s="5"/>
    </row>
    <row r="2011" spans="6:20" ht="12.75">
      <c r="F2011" s="11"/>
      <c r="G2011" s="19"/>
      <c r="H2011" s="20"/>
      <c r="I2011" s="21"/>
      <c r="K2011" s="5"/>
      <c r="S2011" s="5"/>
      <c r="T2011" s="5"/>
    </row>
    <row r="2012" spans="6:20" ht="12.75">
      <c r="F2012" s="11"/>
      <c r="G2012" s="19"/>
      <c r="H2012" s="20"/>
      <c r="I2012" s="21"/>
      <c r="K2012" s="5"/>
      <c r="S2012" s="5"/>
      <c r="T2012" s="5"/>
    </row>
    <row r="2013" spans="6:20" ht="12.75">
      <c r="F2013" s="11"/>
      <c r="G2013" s="19"/>
      <c r="H2013" s="20"/>
      <c r="I2013" s="21"/>
      <c r="K2013" s="5"/>
      <c r="S2013" s="5"/>
      <c r="T2013" s="5"/>
    </row>
    <row r="2014" spans="6:20" ht="12.75">
      <c r="F2014" s="11"/>
      <c r="G2014" s="19"/>
      <c r="H2014" s="20"/>
      <c r="I2014" s="21"/>
      <c r="K2014" s="5"/>
      <c r="S2014" s="5"/>
      <c r="T2014" s="5"/>
    </row>
    <row r="2015" spans="6:20" ht="12.75">
      <c r="F2015" s="11"/>
      <c r="G2015" s="19"/>
      <c r="H2015" s="20"/>
      <c r="I2015" s="21"/>
      <c r="K2015" s="5"/>
      <c r="S2015" s="5"/>
      <c r="T2015" s="5"/>
    </row>
    <row r="2016" spans="6:20" ht="12.75">
      <c r="F2016" s="11"/>
      <c r="G2016" s="19"/>
      <c r="H2016" s="20"/>
      <c r="I2016" s="21"/>
      <c r="K2016" s="5"/>
      <c r="S2016" s="5"/>
      <c r="T2016" s="5"/>
    </row>
    <row r="2017" spans="6:20" ht="12.75">
      <c r="F2017" s="11"/>
      <c r="G2017" s="19"/>
      <c r="H2017" s="20"/>
      <c r="I2017" s="21"/>
      <c r="K2017" s="5"/>
      <c r="S2017" s="5"/>
      <c r="T2017" s="5"/>
    </row>
    <row r="2018" spans="6:20" ht="12.75">
      <c r="F2018" s="11"/>
      <c r="G2018" s="19"/>
      <c r="H2018" s="20"/>
      <c r="I2018" s="21"/>
      <c r="K2018" s="5"/>
      <c r="S2018" s="5"/>
      <c r="T2018" s="5"/>
    </row>
    <row r="2019" spans="6:20" ht="12.75">
      <c r="F2019" s="11"/>
      <c r="G2019" s="19"/>
      <c r="H2019" s="20"/>
      <c r="I2019" s="21"/>
      <c r="K2019" s="5"/>
      <c r="S2019" s="5"/>
      <c r="T2019" s="5"/>
    </row>
    <row r="2020" spans="6:20" ht="12.75">
      <c r="F2020" s="11"/>
      <c r="G2020" s="19"/>
      <c r="H2020" s="20"/>
      <c r="I2020" s="21"/>
      <c r="K2020" s="5"/>
      <c r="S2020" s="5"/>
      <c r="T2020" s="5"/>
    </row>
    <row r="2021" spans="6:20" ht="12.75">
      <c r="F2021" s="11"/>
      <c r="G2021" s="19"/>
      <c r="H2021" s="20"/>
      <c r="I2021" s="21"/>
      <c r="K2021" s="5"/>
      <c r="S2021" s="5"/>
      <c r="T2021" s="5"/>
    </row>
    <row r="2022" spans="6:20" ht="12.75">
      <c r="F2022" s="11"/>
      <c r="G2022" s="19"/>
      <c r="H2022" s="20"/>
      <c r="I2022" s="21"/>
      <c r="K2022" s="5"/>
      <c r="S2022" s="5"/>
      <c r="T2022" s="5"/>
    </row>
    <row r="2023" spans="6:20" ht="12.75">
      <c r="F2023" s="11"/>
      <c r="G2023" s="19"/>
      <c r="H2023" s="20"/>
      <c r="I2023" s="21"/>
      <c r="K2023" s="5"/>
      <c r="S2023" s="5"/>
      <c r="T2023" s="5"/>
    </row>
    <row r="2024" spans="6:20" ht="12.75">
      <c r="F2024" s="11"/>
      <c r="G2024" s="19"/>
      <c r="H2024" s="20"/>
      <c r="I2024" s="21"/>
      <c r="K2024" s="5"/>
      <c r="S2024" s="5"/>
      <c r="T2024" s="5"/>
    </row>
    <row r="2025" spans="6:20" ht="12.75">
      <c r="F2025" s="11"/>
      <c r="G2025" s="19"/>
      <c r="H2025" s="20"/>
      <c r="I2025" s="21"/>
      <c r="K2025" s="5"/>
      <c r="S2025" s="5"/>
      <c r="T2025" s="5"/>
    </row>
    <row r="2026" spans="6:20" ht="12.75">
      <c r="F2026" s="11"/>
      <c r="G2026" s="19"/>
      <c r="H2026" s="20"/>
      <c r="I2026" s="21"/>
      <c r="K2026" s="5"/>
      <c r="S2026" s="5"/>
      <c r="T2026" s="5"/>
    </row>
    <row r="2027" spans="6:20" ht="12.75">
      <c r="F2027" s="11"/>
      <c r="G2027" s="19"/>
      <c r="H2027" s="20"/>
      <c r="I2027" s="21"/>
      <c r="K2027" s="5"/>
      <c r="S2027" s="5"/>
      <c r="T2027" s="5"/>
    </row>
    <row r="2028" spans="6:20" ht="12.75">
      <c r="F2028" s="11"/>
      <c r="G2028" s="19"/>
      <c r="H2028" s="20"/>
      <c r="I2028" s="21"/>
      <c r="K2028" s="5"/>
      <c r="S2028" s="5"/>
      <c r="T2028" s="5"/>
    </row>
    <row r="2029" spans="6:20" ht="12.75">
      <c r="F2029" s="11"/>
      <c r="G2029" s="19"/>
      <c r="H2029" s="20"/>
      <c r="I2029" s="21"/>
      <c r="K2029" s="5"/>
      <c r="S2029" s="5"/>
      <c r="T2029" s="5"/>
    </row>
    <row r="2030" spans="6:20" ht="12.75">
      <c r="F2030" s="11"/>
      <c r="G2030" s="19"/>
      <c r="H2030" s="20"/>
      <c r="I2030" s="21"/>
      <c r="K2030" s="5"/>
      <c r="S2030" s="5"/>
      <c r="T2030" s="5"/>
    </row>
    <row r="2031" spans="6:20" ht="12.75">
      <c r="F2031" s="11"/>
      <c r="G2031" s="19"/>
      <c r="H2031" s="20"/>
      <c r="I2031" s="21"/>
      <c r="K2031" s="5"/>
      <c r="S2031" s="5"/>
      <c r="T2031" s="5"/>
    </row>
    <row r="2032" spans="6:20" ht="12.75">
      <c r="F2032" s="11"/>
      <c r="G2032" s="19"/>
      <c r="H2032" s="20"/>
      <c r="I2032" s="21"/>
      <c r="K2032" s="5"/>
      <c r="S2032" s="5"/>
      <c r="T2032" s="5"/>
    </row>
    <row r="2033" spans="6:20" ht="12.75">
      <c r="F2033" s="11"/>
      <c r="G2033" s="19"/>
      <c r="H2033" s="20"/>
      <c r="I2033" s="21"/>
      <c r="K2033" s="5"/>
      <c r="S2033" s="5"/>
      <c r="T2033" s="5"/>
    </row>
    <row r="2034" spans="6:20" ht="12.75">
      <c r="F2034" s="11"/>
      <c r="G2034" s="19"/>
      <c r="H2034" s="20"/>
      <c r="I2034" s="21"/>
      <c r="K2034" s="5"/>
      <c r="S2034" s="5"/>
      <c r="T2034" s="5"/>
    </row>
    <row r="2035" spans="6:20" ht="12.75">
      <c r="F2035" s="11"/>
      <c r="G2035" s="19"/>
      <c r="H2035" s="20"/>
      <c r="I2035" s="21"/>
      <c r="K2035" s="5"/>
      <c r="S2035" s="5"/>
      <c r="T2035" s="5"/>
    </row>
    <row r="2036" spans="6:20" ht="12.75">
      <c r="F2036" s="11"/>
      <c r="G2036" s="19"/>
      <c r="H2036" s="20"/>
      <c r="I2036" s="21"/>
      <c r="K2036" s="5"/>
      <c r="S2036" s="5"/>
      <c r="T2036" s="5"/>
    </row>
    <row r="2037" spans="6:20" ht="12.75">
      <c r="F2037" s="11"/>
      <c r="G2037" s="19"/>
      <c r="H2037" s="20"/>
      <c r="I2037" s="21"/>
      <c r="K2037" s="5"/>
      <c r="S2037" s="5"/>
      <c r="T2037" s="5"/>
    </row>
    <row r="2038" spans="6:20" ht="12.75">
      <c r="F2038" s="11"/>
      <c r="G2038" s="19"/>
      <c r="H2038" s="20"/>
      <c r="I2038" s="21"/>
      <c r="K2038" s="5"/>
      <c r="S2038" s="5"/>
      <c r="T2038" s="5"/>
    </row>
    <row r="2039" spans="6:20" ht="12.75">
      <c r="F2039" s="11"/>
      <c r="G2039" s="19"/>
      <c r="H2039" s="20"/>
      <c r="I2039" s="21"/>
      <c r="K2039" s="5"/>
      <c r="S2039" s="5"/>
      <c r="T2039" s="5"/>
    </row>
    <row r="2040" spans="6:20" ht="12.75">
      <c r="F2040" s="11"/>
      <c r="G2040" s="19"/>
      <c r="H2040" s="20"/>
      <c r="I2040" s="21"/>
      <c r="K2040" s="5"/>
      <c r="S2040" s="5"/>
      <c r="T2040" s="5"/>
    </row>
    <row r="2041" spans="6:20" ht="12.75">
      <c r="F2041" s="11"/>
      <c r="G2041" s="19"/>
      <c r="H2041" s="20"/>
      <c r="I2041" s="21"/>
      <c r="K2041" s="5"/>
      <c r="S2041" s="5"/>
      <c r="T2041" s="5"/>
    </row>
    <row r="2042" spans="6:20" ht="12.75">
      <c r="F2042" s="11"/>
      <c r="G2042" s="19"/>
      <c r="H2042" s="20"/>
      <c r="I2042" s="21"/>
      <c r="K2042" s="5"/>
      <c r="S2042" s="5"/>
      <c r="T2042" s="5"/>
    </row>
    <row r="2043" spans="6:20" ht="12.75">
      <c r="F2043" s="11"/>
      <c r="G2043" s="19"/>
      <c r="H2043" s="20"/>
      <c r="I2043" s="21"/>
      <c r="K2043" s="5"/>
      <c r="S2043" s="5"/>
      <c r="T2043" s="5"/>
    </row>
    <row r="2044" spans="6:20" ht="12.75">
      <c r="F2044" s="11"/>
      <c r="G2044" s="19"/>
      <c r="H2044" s="20"/>
      <c r="I2044" s="21"/>
      <c r="K2044" s="5"/>
      <c r="S2044" s="5"/>
      <c r="T2044" s="5"/>
    </row>
    <row r="2045" spans="6:20" ht="12.75">
      <c r="F2045" s="11"/>
      <c r="G2045" s="19"/>
      <c r="H2045" s="20"/>
      <c r="I2045" s="21"/>
      <c r="K2045" s="5"/>
      <c r="S2045" s="5"/>
      <c r="T2045" s="5"/>
    </row>
    <row r="2046" spans="6:20" ht="12.75">
      <c r="F2046" s="11"/>
      <c r="G2046" s="19"/>
      <c r="H2046" s="20"/>
      <c r="I2046" s="21"/>
      <c r="K2046" s="5"/>
      <c r="S2046" s="5"/>
      <c r="T2046" s="5"/>
    </row>
    <row r="2047" spans="6:20" ht="12.75">
      <c r="F2047" s="11"/>
      <c r="G2047" s="19"/>
      <c r="H2047" s="20"/>
      <c r="I2047" s="21"/>
      <c r="K2047" s="5"/>
      <c r="S2047" s="5"/>
      <c r="T2047" s="5"/>
    </row>
    <row r="2048" spans="6:20" ht="12.75">
      <c r="F2048" s="11"/>
      <c r="G2048" s="19"/>
      <c r="H2048" s="20"/>
      <c r="I2048" s="21"/>
      <c r="K2048" s="5"/>
      <c r="S2048" s="5"/>
      <c r="T2048" s="5"/>
    </row>
    <row r="2049" spans="6:20" ht="12.75">
      <c r="F2049" s="11"/>
      <c r="G2049" s="19"/>
      <c r="H2049" s="20"/>
      <c r="I2049" s="21"/>
      <c r="K2049" s="5"/>
      <c r="S2049" s="5"/>
      <c r="T2049" s="5"/>
    </row>
    <row r="2050" spans="6:20" ht="12.75">
      <c r="F2050" s="11"/>
      <c r="G2050" s="19"/>
      <c r="H2050" s="20"/>
      <c r="I2050" s="21"/>
      <c r="K2050" s="5"/>
      <c r="S2050" s="5"/>
      <c r="T2050" s="5"/>
    </row>
    <row r="2051" spans="6:20" ht="12.75">
      <c r="F2051" s="11"/>
      <c r="G2051" s="19"/>
      <c r="H2051" s="20"/>
      <c r="I2051" s="21"/>
      <c r="K2051" s="5"/>
      <c r="S2051" s="5"/>
      <c r="T2051" s="5"/>
    </row>
    <row r="2052" spans="6:20" ht="12.75">
      <c r="F2052" s="11"/>
      <c r="G2052" s="19"/>
      <c r="H2052" s="20"/>
      <c r="I2052" s="21"/>
      <c r="K2052" s="5"/>
      <c r="S2052" s="5"/>
      <c r="T2052" s="5"/>
    </row>
    <row r="2053" spans="6:20" ht="12.75">
      <c r="F2053" s="11"/>
      <c r="G2053" s="19"/>
      <c r="H2053" s="20"/>
      <c r="I2053" s="21"/>
      <c r="K2053" s="5"/>
      <c r="S2053" s="5"/>
      <c r="T2053" s="5"/>
    </row>
    <row r="2054" spans="6:20" ht="12.75">
      <c r="F2054" s="11"/>
      <c r="G2054" s="19"/>
      <c r="H2054" s="20"/>
      <c r="I2054" s="21"/>
      <c r="K2054" s="5"/>
      <c r="S2054" s="5"/>
      <c r="T2054" s="5"/>
    </row>
    <row r="2055" spans="6:20" ht="12.75">
      <c r="F2055" s="11"/>
      <c r="G2055" s="19"/>
      <c r="H2055" s="20"/>
      <c r="I2055" s="21"/>
      <c r="K2055" s="5"/>
      <c r="S2055" s="5"/>
      <c r="T2055" s="5"/>
    </row>
    <row r="2056" spans="6:20" ht="12.75">
      <c r="F2056" s="11"/>
      <c r="G2056" s="19"/>
      <c r="H2056" s="20"/>
      <c r="I2056" s="21"/>
      <c r="K2056" s="5"/>
      <c r="S2056" s="5"/>
      <c r="T2056" s="5"/>
    </row>
    <row r="2057" spans="6:20" ht="12.75">
      <c r="F2057" s="11"/>
      <c r="G2057" s="19"/>
      <c r="H2057" s="20"/>
      <c r="I2057" s="21"/>
      <c r="K2057" s="5"/>
      <c r="S2057" s="5"/>
      <c r="T2057" s="5"/>
    </row>
    <row r="2058" spans="6:20" ht="12.75">
      <c r="F2058" s="11"/>
      <c r="G2058" s="19"/>
      <c r="H2058" s="20"/>
      <c r="I2058" s="21"/>
      <c r="K2058" s="5"/>
      <c r="S2058" s="5"/>
      <c r="T2058" s="5"/>
    </row>
    <row r="2059" spans="6:20" ht="12.75">
      <c r="F2059" s="11"/>
      <c r="G2059" s="19"/>
      <c r="H2059" s="20"/>
      <c r="I2059" s="21"/>
      <c r="K2059" s="5"/>
      <c r="S2059" s="5"/>
      <c r="T2059" s="5"/>
    </row>
    <row r="2060" spans="6:20" ht="12.75">
      <c r="F2060" s="11"/>
      <c r="G2060" s="19"/>
      <c r="H2060" s="20"/>
      <c r="I2060" s="21"/>
      <c r="K2060" s="5"/>
      <c r="S2060" s="5"/>
      <c r="T2060" s="5"/>
    </row>
    <row r="2061" spans="6:20" ht="12.75">
      <c r="F2061" s="11"/>
      <c r="G2061" s="19"/>
      <c r="H2061" s="20"/>
      <c r="I2061" s="21"/>
      <c r="K2061" s="5"/>
      <c r="S2061" s="5"/>
      <c r="T2061" s="5"/>
    </row>
    <row r="2062" spans="6:20" ht="12.75">
      <c r="F2062" s="11"/>
      <c r="G2062" s="19"/>
      <c r="H2062" s="20"/>
      <c r="I2062" s="21"/>
      <c r="K2062" s="5"/>
      <c r="S2062" s="5"/>
      <c r="T2062" s="5"/>
    </row>
    <row r="2063" spans="6:20" ht="12.75">
      <c r="F2063" s="11"/>
      <c r="G2063" s="19"/>
      <c r="H2063" s="20"/>
      <c r="I2063" s="21"/>
      <c r="K2063" s="5"/>
      <c r="S2063" s="5"/>
      <c r="T2063" s="5"/>
    </row>
    <row r="2064" spans="6:20" ht="12.75">
      <c r="F2064" s="11"/>
      <c r="G2064" s="19"/>
      <c r="H2064" s="20"/>
      <c r="I2064" s="21"/>
      <c r="K2064" s="5"/>
      <c r="S2064" s="5"/>
      <c r="T2064" s="5"/>
    </row>
    <row r="2065" spans="6:20" ht="12.75">
      <c r="F2065" s="11"/>
      <c r="G2065" s="19"/>
      <c r="H2065" s="20"/>
      <c r="I2065" s="21"/>
      <c r="K2065" s="5"/>
      <c r="S2065" s="5"/>
      <c r="T2065" s="5"/>
    </row>
    <row r="2066" spans="6:20" ht="12.75">
      <c r="F2066" s="11"/>
      <c r="G2066" s="19"/>
      <c r="H2066" s="20"/>
      <c r="I2066" s="21"/>
      <c r="K2066" s="5"/>
      <c r="S2066" s="5"/>
      <c r="T2066" s="5"/>
    </row>
    <row r="2067" spans="6:20" ht="12.75">
      <c r="F2067" s="11"/>
      <c r="G2067" s="19"/>
      <c r="H2067" s="20"/>
      <c r="I2067" s="21"/>
      <c r="K2067" s="5"/>
      <c r="S2067" s="5"/>
      <c r="T2067" s="5"/>
    </row>
    <row r="2068" spans="6:20" ht="12.75">
      <c r="F2068" s="11"/>
      <c r="G2068" s="19"/>
      <c r="H2068" s="20"/>
      <c r="I2068" s="21"/>
      <c r="K2068" s="5"/>
      <c r="S2068" s="5"/>
      <c r="T2068" s="5"/>
    </row>
    <row r="2069" spans="6:20" ht="12.75">
      <c r="F2069" s="11"/>
      <c r="G2069" s="19"/>
      <c r="H2069" s="20"/>
      <c r="I2069" s="21"/>
      <c r="K2069" s="5"/>
      <c r="S2069" s="5"/>
      <c r="T2069" s="5"/>
    </row>
    <row r="2070" spans="6:20" ht="12.75">
      <c r="F2070" s="11"/>
      <c r="G2070" s="19"/>
      <c r="H2070" s="20"/>
      <c r="I2070" s="21"/>
      <c r="K2070" s="5"/>
      <c r="S2070" s="5"/>
      <c r="T2070" s="5"/>
    </row>
    <row r="2071" spans="6:20" ht="12.75">
      <c r="F2071" s="11"/>
      <c r="G2071" s="19"/>
      <c r="H2071" s="20"/>
      <c r="I2071" s="21"/>
      <c r="K2071" s="5"/>
      <c r="S2071" s="5"/>
      <c r="T2071" s="5"/>
    </row>
    <row r="2072" spans="6:20" ht="12.75">
      <c r="F2072" s="11"/>
      <c r="G2072" s="19"/>
      <c r="H2072" s="20"/>
      <c r="I2072" s="21"/>
      <c r="K2072" s="5"/>
      <c r="S2072" s="5"/>
      <c r="T2072" s="5"/>
    </row>
    <row r="2073" spans="6:20" ht="12.75">
      <c r="F2073" s="11"/>
      <c r="G2073" s="19"/>
      <c r="H2073" s="20"/>
      <c r="I2073" s="21"/>
      <c r="K2073" s="5"/>
      <c r="S2073" s="5"/>
      <c r="T2073" s="5"/>
    </row>
    <row r="2074" spans="6:20" ht="12.75">
      <c r="F2074" s="11"/>
      <c r="G2074" s="19"/>
      <c r="H2074" s="20"/>
      <c r="I2074" s="21"/>
      <c r="K2074" s="5"/>
      <c r="S2074" s="5"/>
      <c r="T2074" s="5"/>
    </row>
    <row r="2075" spans="6:20" ht="12.75">
      <c r="F2075" s="11"/>
      <c r="G2075" s="19"/>
      <c r="H2075" s="20"/>
      <c r="I2075" s="21"/>
      <c r="K2075" s="5"/>
      <c r="S2075" s="5"/>
      <c r="T2075" s="5"/>
    </row>
    <row r="2076" spans="6:20" ht="12.75">
      <c r="F2076" s="11"/>
      <c r="G2076" s="19"/>
      <c r="H2076" s="20"/>
      <c r="I2076" s="21"/>
      <c r="K2076" s="5"/>
      <c r="S2076" s="5"/>
      <c r="T2076" s="5"/>
    </row>
    <row r="2077" spans="6:20" ht="12.75">
      <c r="F2077" s="11"/>
      <c r="G2077" s="19"/>
      <c r="H2077" s="20"/>
      <c r="I2077" s="21"/>
      <c r="K2077" s="5"/>
      <c r="S2077" s="5"/>
      <c r="T2077" s="5"/>
    </row>
    <row r="2078" spans="6:20" ht="12.75">
      <c r="F2078" s="11"/>
      <c r="G2078" s="19"/>
      <c r="H2078" s="20"/>
      <c r="I2078" s="21"/>
      <c r="K2078" s="5"/>
      <c r="S2078" s="5"/>
      <c r="T2078" s="5"/>
    </row>
    <row r="2079" spans="6:20" ht="12.75">
      <c r="F2079" s="11"/>
      <c r="G2079" s="19"/>
      <c r="H2079" s="20"/>
      <c r="I2079" s="21"/>
      <c r="K2079" s="5"/>
      <c r="S2079" s="5"/>
      <c r="T2079" s="5"/>
    </row>
    <row r="2080" spans="6:20" ht="12.75">
      <c r="F2080" s="11"/>
      <c r="G2080" s="19"/>
      <c r="H2080" s="20"/>
      <c r="I2080" s="21"/>
      <c r="K2080" s="5"/>
      <c r="S2080" s="5"/>
      <c r="T2080" s="5"/>
    </row>
    <row r="2081" spans="6:20" ht="12.75">
      <c r="F2081" s="11"/>
      <c r="G2081" s="19"/>
      <c r="H2081" s="20"/>
      <c r="I2081" s="21"/>
      <c r="K2081" s="5"/>
      <c r="S2081" s="5"/>
      <c r="T2081" s="5"/>
    </row>
    <row r="2082" spans="6:20" ht="12.75">
      <c r="F2082" s="11"/>
      <c r="G2082" s="19"/>
      <c r="H2082" s="20"/>
      <c r="I2082" s="21"/>
      <c r="K2082" s="5"/>
      <c r="S2082" s="5"/>
      <c r="T2082" s="5"/>
    </row>
    <row r="2083" spans="6:20" ht="12.75">
      <c r="F2083" s="11"/>
      <c r="G2083" s="19"/>
      <c r="H2083" s="20"/>
      <c r="I2083" s="21"/>
      <c r="K2083" s="5"/>
      <c r="S2083" s="5"/>
      <c r="T2083" s="5"/>
    </row>
    <row r="2084" spans="6:20" ht="12.75">
      <c r="F2084" s="11"/>
      <c r="G2084" s="19"/>
      <c r="H2084" s="20"/>
      <c r="I2084" s="21"/>
      <c r="K2084" s="5"/>
      <c r="S2084" s="5"/>
      <c r="T2084" s="5"/>
    </row>
    <row r="2085" spans="6:20" ht="12.75">
      <c r="F2085" s="11"/>
      <c r="G2085" s="19"/>
      <c r="H2085" s="20"/>
      <c r="I2085" s="21"/>
      <c r="K2085" s="5"/>
      <c r="S2085" s="5"/>
      <c r="T2085" s="5"/>
    </row>
    <row r="2086" spans="6:20" ht="12.75">
      <c r="F2086" s="11"/>
      <c r="G2086" s="19"/>
      <c r="H2086" s="20"/>
      <c r="I2086" s="21"/>
      <c r="K2086" s="5"/>
      <c r="S2086" s="5"/>
      <c r="T2086" s="5"/>
    </row>
    <row r="2087" spans="6:20" ht="12.75">
      <c r="F2087" s="11"/>
      <c r="G2087" s="19"/>
      <c r="H2087" s="20"/>
      <c r="I2087" s="21"/>
      <c r="K2087" s="5"/>
      <c r="S2087" s="5"/>
      <c r="T2087" s="5"/>
    </row>
    <row r="2088" spans="6:20" ht="12.75">
      <c r="F2088" s="11"/>
      <c r="G2088" s="19"/>
      <c r="H2088" s="20"/>
      <c r="I2088" s="21"/>
      <c r="K2088" s="5"/>
      <c r="S2088" s="5"/>
      <c r="T2088" s="5"/>
    </row>
    <row r="2089" spans="6:20" ht="12.75">
      <c r="F2089" s="11"/>
      <c r="G2089" s="19"/>
      <c r="H2089" s="20"/>
      <c r="I2089" s="21"/>
      <c r="K2089" s="5"/>
      <c r="S2089" s="5"/>
      <c r="T2089" s="5"/>
    </row>
    <row r="2090" spans="6:20" ht="12.75">
      <c r="F2090" s="11"/>
      <c r="G2090" s="19"/>
      <c r="H2090" s="20"/>
      <c r="I2090" s="21"/>
      <c r="K2090" s="5"/>
      <c r="S2090" s="5"/>
      <c r="T2090" s="5"/>
    </row>
    <row r="2091" spans="6:20" ht="12.75">
      <c r="F2091" s="11"/>
      <c r="G2091" s="19"/>
      <c r="H2091" s="20"/>
      <c r="I2091" s="21"/>
      <c r="K2091" s="5"/>
      <c r="S2091" s="5"/>
      <c r="T2091" s="5"/>
    </row>
    <row r="2092" spans="6:20" ht="12.75">
      <c r="F2092" s="11"/>
      <c r="G2092" s="19"/>
      <c r="H2092" s="20"/>
      <c r="I2092" s="21"/>
      <c r="K2092" s="5"/>
      <c r="S2092" s="5"/>
      <c r="T2092" s="5"/>
    </row>
    <row r="2093" spans="6:20" ht="12.75">
      <c r="F2093" s="11"/>
      <c r="G2093" s="19"/>
      <c r="H2093" s="20"/>
      <c r="I2093" s="21"/>
      <c r="K2093" s="5"/>
      <c r="S2093" s="5"/>
      <c r="T2093" s="5"/>
    </row>
    <row r="2094" spans="6:20" ht="12.75">
      <c r="F2094" s="11"/>
      <c r="G2094" s="19"/>
      <c r="H2094" s="20"/>
      <c r="I2094" s="21"/>
      <c r="K2094" s="5"/>
      <c r="S2094" s="5"/>
      <c r="T2094" s="5"/>
    </row>
    <row r="2095" spans="6:20" ht="12.75">
      <c r="F2095" s="11"/>
      <c r="G2095" s="19"/>
      <c r="H2095" s="20"/>
      <c r="I2095" s="21"/>
      <c r="K2095" s="5"/>
      <c r="S2095" s="5"/>
      <c r="T2095" s="5"/>
    </row>
    <row r="2096" spans="6:20" ht="12.75">
      <c r="F2096" s="11"/>
      <c r="G2096" s="19"/>
      <c r="H2096" s="20"/>
      <c r="I2096" s="21"/>
      <c r="K2096" s="5"/>
      <c r="S2096" s="5"/>
      <c r="T2096" s="5"/>
    </row>
    <row r="2097" spans="6:20" ht="12.75">
      <c r="F2097" s="11"/>
      <c r="G2097" s="19"/>
      <c r="H2097" s="20"/>
      <c r="I2097" s="21"/>
      <c r="K2097" s="5"/>
      <c r="S2097" s="5"/>
      <c r="T2097" s="5"/>
    </row>
    <row r="2098" spans="6:20" ht="12.75">
      <c r="F2098" s="11"/>
      <c r="G2098" s="19"/>
      <c r="H2098" s="20"/>
      <c r="I2098" s="21"/>
      <c r="K2098" s="5"/>
      <c r="S2098" s="5"/>
      <c r="T2098" s="5"/>
    </row>
    <row r="2099" spans="6:20" ht="12.75">
      <c r="F2099" s="11"/>
      <c r="G2099" s="19"/>
      <c r="H2099" s="20"/>
      <c r="I2099" s="21"/>
      <c r="K2099" s="5"/>
      <c r="S2099" s="5"/>
      <c r="T2099" s="5"/>
    </row>
    <row r="2100" spans="6:20" ht="12.75">
      <c r="F2100" s="11"/>
      <c r="G2100" s="19"/>
      <c r="H2100" s="20"/>
      <c r="I2100" s="21"/>
      <c r="K2100" s="5"/>
      <c r="S2100" s="5"/>
      <c r="T2100" s="5"/>
    </row>
    <row r="2101" spans="6:20" ht="12.75">
      <c r="F2101" s="11"/>
      <c r="G2101" s="19"/>
      <c r="H2101" s="20"/>
      <c r="I2101" s="21"/>
      <c r="K2101" s="5"/>
      <c r="S2101" s="5"/>
      <c r="T2101" s="5"/>
    </row>
    <row r="2102" spans="6:20" ht="12.75">
      <c r="F2102" s="11"/>
      <c r="G2102" s="19"/>
      <c r="H2102" s="20"/>
      <c r="I2102" s="21"/>
      <c r="K2102" s="5"/>
      <c r="S2102" s="5"/>
      <c r="T2102" s="5"/>
    </row>
    <row r="2103" spans="6:20" ht="12.75">
      <c r="F2103" s="11"/>
      <c r="G2103" s="19"/>
      <c r="H2103" s="20"/>
      <c r="I2103" s="21"/>
      <c r="K2103" s="5"/>
      <c r="S2103" s="5"/>
      <c r="T2103" s="5"/>
    </row>
    <row r="2104" spans="6:20" ht="12.75">
      <c r="F2104" s="11"/>
      <c r="G2104" s="19"/>
      <c r="H2104" s="20"/>
      <c r="I2104" s="21"/>
      <c r="K2104" s="5"/>
      <c r="S2104" s="5"/>
      <c r="T2104" s="5"/>
    </row>
    <row r="2105" spans="6:20" ht="12.75">
      <c r="F2105" s="11"/>
      <c r="G2105" s="19"/>
      <c r="H2105" s="20"/>
      <c r="I2105" s="21"/>
      <c r="K2105" s="5"/>
      <c r="S2105" s="5"/>
      <c r="T2105" s="5"/>
    </row>
    <row r="2106" spans="6:20" ht="12.75">
      <c r="F2106" s="11"/>
      <c r="G2106" s="19"/>
      <c r="H2106" s="20"/>
      <c r="I2106" s="21"/>
      <c r="K2106" s="5"/>
      <c r="S2106" s="5"/>
      <c r="T2106" s="5"/>
    </row>
    <row r="2107" spans="6:20" ht="12.75">
      <c r="F2107" s="11"/>
      <c r="G2107" s="19"/>
      <c r="H2107" s="20"/>
      <c r="I2107" s="21"/>
      <c r="K2107" s="5"/>
      <c r="S2107" s="5"/>
      <c r="T2107" s="5"/>
    </row>
    <row r="2108" spans="6:20" ht="12.75">
      <c r="F2108" s="11"/>
      <c r="G2108" s="19"/>
      <c r="H2108" s="20"/>
      <c r="I2108" s="21"/>
      <c r="K2108" s="5"/>
      <c r="S2108" s="5"/>
      <c r="T2108" s="5"/>
    </row>
    <row r="2109" spans="6:20" ht="12.75">
      <c r="F2109" s="11"/>
      <c r="G2109" s="19"/>
      <c r="H2109" s="20"/>
      <c r="I2109" s="21"/>
      <c r="K2109" s="5"/>
      <c r="S2109" s="5"/>
      <c r="T2109" s="5"/>
    </row>
    <row r="2110" spans="6:20" ht="12.75">
      <c r="F2110" s="11"/>
      <c r="G2110" s="19"/>
      <c r="H2110" s="20"/>
      <c r="I2110" s="21"/>
      <c r="K2110" s="5"/>
      <c r="S2110" s="5"/>
      <c r="T2110" s="5"/>
    </row>
    <row r="2111" spans="6:20" ht="12.75">
      <c r="F2111" s="11"/>
      <c r="G2111" s="19"/>
      <c r="H2111" s="20"/>
      <c r="I2111" s="21"/>
      <c r="K2111" s="5"/>
      <c r="S2111" s="5"/>
      <c r="T2111" s="5"/>
    </row>
    <row r="2112" spans="6:20" ht="12.75">
      <c r="F2112" s="11"/>
      <c r="G2112" s="19"/>
      <c r="H2112" s="20"/>
      <c r="I2112" s="21"/>
      <c r="K2112" s="5"/>
      <c r="S2112" s="5"/>
      <c r="T2112" s="5"/>
    </row>
    <row r="2113" spans="6:20" ht="12.75">
      <c r="F2113" s="11"/>
      <c r="G2113" s="19"/>
      <c r="H2113" s="20"/>
      <c r="I2113" s="21"/>
      <c r="K2113" s="5"/>
      <c r="S2113" s="5"/>
      <c r="T2113" s="5"/>
    </row>
    <row r="2114" spans="6:20" ht="12.75">
      <c r="F2114" s="11"/>
      <c r="G2114" s="19"/>
      <c r="H2114" s="20"/>
      <c r="I2114" s="21"/>
      <c r="K2114" s="5"/>
      <c r="S2114" s="5"/>
      <c r="T2114" s="5"/>
    </row>
    <row r="2115" spans="6:20" ht="12.75">
      <c r="F2115" s="11"/>
      <c r="G2115" s="19"/>
      <c r="H2115" s="20"/>
      <c r="I2115" s="21"/>
      <c r="K2115" s="5"/>
      <c r="S2115" s="5"/>
      <c r="T2115" s="5"/>
    </row>
    <row r="2116" spans="6:20" ht="12.75">
      <c r="F2116" s="11"/>
      <c r="G2116" s="19"/>
      <c r="H2116" s="20"/>
      <c r="I2116" s="21"/>
      <c r="K2116" s="5"/>
      <c r="S2116" s="5"/>
      <c r="T2116" s="5"/>
    </row>
    <row r="2117" spans="6:20" ht="12.75">
      <c r="F2117" s="11"/>
      <c r="G2117" s="19"/>
      <c r="H2117" s="20"/>
      <c r="I2117" s="21"/>
      <c r="K2117" s="5"/>
      <c r="S2117" s="5"/>
      <c r="T2117" s="5"/>
    </row>
    <row r="2118" spans="6:20" ht="12.75">
      <c r="F2118" s="11"/>
      <c r="G2118" s="19"/>
      <c r="H2118" s="20"/>
      <c r="I2118" s="21"/>
      <c r="K2118" s="5"/>
      <c r="S2118" s="5"/>
      <c r="T2118" s="5"/>
    </row>
    <row r="2119" spans="6:20" ht="12.75">
      <c r="F2119" s="11"/>
      <c r="G2119" s="19"/>
      <c r="H2119" s="20"/>
      <c r="I2119" s="21"/>
      <c r="K2119" s="5"/>
      <c r="S2119" s="5"/>
      <c r="T2119" s="5"/>
    </row>
    <row r="2120" spans="6:20" ht="12.75">
      <c r="F2120" s="11"/>
      <c r="G2120" s="19"/>
      <c r="H2120" s="20"/>
      <c r="I2120" s="21"/>
      <c r="K2120" s="5"/>
      <c r="S2120" s="5"/>
      <c r="T2120" s="5"/>
    </row>
    <row r="2121" spans="6:20" ht="12.75">
      <c r="F2121" s="11"/>
      <c r="G2121" s="19"/>
      <c r="H2121" s="20"/>
      <c r="I2121" s="21"/>
      <c r="K2121" s="5"/>
      <c r="S2121" s="5"/>
      <c r="T2121" s="5"/>
    </row>
    <row r="2122" spans="6:20" ht="12.75">
      <c r="F2122" s="11"/>
      <c r="G2122" s="19"/>
      <c r="H2122" s="20"/>
      <c r="I2122" s="21"/>
      <c r="K2122" s="5"/>
      <c r="S2122" s="5"/>
      <c r="T2122" s="5"/>
    </row>
    <row r="2123" spans="6:20" ht="12.75">
      <c r="F2123" s="11"/>
      <c r="G2123" s="19"/>
      <c r="H2123" s="20"/>
      <c r="I2123" s="21"/>
      <c r="K2123" s="5"/>
      <c r="S2123" s="5"/>
      <c r="T2123" s="5"/>
    </row>
    <row r="2124" spans="6:20" ht="12.75">
      <c r="F2124" s="11"/>
      <c r="G2124" s="19"/>
      <c r="H2124" s="20"/>
      <c r="I2124" s="21"/>
      <c r="K2124" s="5"/>
      <c r="S2124" s="5"/>
      <c r="T2124" s="5"/>
    </row>
    <row r="2125" spans="6:20" ht="12.75">
      <c r="F2125" s="11"/>
      <c r="G2125" s="19"/>
      <c r="H2125" s="20"/>
      <c r="I2125" s="21"/>
      <c r="K2125" s="5"/>
      <c r="S2125" s="5"/>
      <c r="T2125" s="5"/>
    </row>
    <row r="2126" spans="6:20" ht="12.75">
      <c r="F2126" s="11"/>
      <c r="G2126" s="19"/>
      <c r="H2126" s="20"/>
      <c r="I2126" s="21"/>
      <c r="K2126" s="5"/>
      <c r="S2126" s="5"/>
      <c r="T2126" s="5"/>
    </row>
    <row r="2127" spans="6:20" ht="12.75">
      <c r="F2127" s="11"/>
      <c r="G2127" s="19"/>
      <c r="H2127" s="20"/>
      <c r="I2127" s="21"/>
      <c r="K2127" s="5"/>
      <c r="S2127" s="5"/>
      <c r="T2127" s="5"/>
    </row>
    <row r="2128" spans="6:20" ht="12.75">
      <c r="F2128" s="11"/>
      <c r="G2128" s="19"/>
      <c r="H2128" s="20"/>
      <c r="I2128" s="21"/>
      <c r="K2128" s="5"/>
      <c r="S2128" s="5"/>
      <c r="T2128" s="5"/>
    </row>
    <row r="2129" spans="6:20" ht="12.75">
      <c r="F2129" s="11"/>
      <c r="G2129" s="19"/>
      <c r="H2129" s="20"/>
      <c r="I2129" s="21"/>
      <c r="K2129" s="5"/>
      <c r="S2129" s="5"/>
      <c r="T2129" s="5"/>
    </row>
    <row r="2130" spans="6:20" ht="12.75">
      <c r="F2130" s="11"/>
      <c r="G2130" s="19"/>
      <c r="H2130" s="20"/>
      <c r="I2130" s="21"/>
      <c r="K2130" s="5"/>
      <c r="S2130" s="5"/>
      <c r="T2130" s="5"/>
    </row>
    <row r="2131" spans="6:20" ht="12.75">
      <c r="F2131" s="11"/>
      <c r="G2131" s="19"/>
      <c r="H2131" s="20"/>
      <c r="I2131" s="21"/>
      <c r="K2131" s="5"/>
      <c r="S2131" s="5"/>
      <c r="T2131" s="5"/>
    </row>
    <row r="2132" spans="6:20" ht="12.75">
      <c r="F2132" s="11"/>
      <c r="G2132" s="19"/>
      <c r="H2132" s="20"/>
      <c r="I2132" s="21"/>
      <c r="K2132" s="5"/>
      <c r="S2132" s="5"/>
      <c r="T2132" s="5"/>
    </row>
    <row r="2133" spans="6:20" ht="12.75">
      <c r="F2133" s="11"/>
      <c r="G2133" s="19"/>
      <c r="H2133" s="20"/>
      <c r="I2133" s="21"/>
      <c r="K2133" s="5"/>
      <c r="S2133" s="5"/>
      <c r="T2133" s="5"/>
    </row>
    <row r="2134" spans="6:20" ht="12.75">
      <c r="F2134" s="11"/>
      <c r="G2134" s="19"/>
      <c r="H2134" s="20"/>
      <c r="I2134" s="21"/>
      <c r="K2134" s="5"/>
      <c r="S2134" s="5"/>
      <c r="T2134" s="5"/>
    </row>
    <row r="2135" spans="6:20" ht="12.75">
      <c r="F2135" s="11"/>
      <c r="G2135" s="19"/>
      <c r="H2135" s="20"/>
      <c r="I2135" s="21"/>
      <c r="K2135" s="5"/>
      <c r="S2135" s="5"/>
      <c r="T2135" s="5"/>
    </row>
    <row r="2136" spans="6:20" ht="12.75">
      <c r="F2136" s="11"/>
      <c r="G2136" s="19"/>
      <c r="H2136" s="20"/>
      <c r="I2136" s="21"/>
      <c r="K2136" s="5"/>
      <c r="S2136" s="5"/>
      <c r="T2136" s="5"/>
    </row>
    <row r="2137" spans="6:20" ht="12.75">
      <c r="F2137" s="11"/>
      <c r="G2137" s="19"/>
      <c r="H2137" s="20"/>
      <c r="I2137" s="21"/>
      <c r="K2137" s="5"/>
      <c r="S2137" s="5"/>
      <c r="T2137" s="5"/>
    </row>
    <row r="2138" spans="6:20" ht="12.75">
      <c r="F2138" s="11"/>
      <c r="G2138" s="19"/>
      <c r="H2138" s="20"/>
      <c r="I2138" s="21"/>
      <c r="K2138" s="5"/>
      <c r="S2138" s="5"/>
      <c r="T2138" s="5"/>
    </row>
    <row r="2139" spans="6:20" ht="12.75">
      <c r="F2139" s="11"/>
      <c r="G2139" s="19"/>
      <c r="H2139" s="20"/>
      <c r="I2139" s="21"/>
      <c r="K2139" s="5"/>
      <c r="S2139" s="5"/>
      <c r="T2139" s="5"/>
    </row>
    <row r="2140" spans="6:20" ht="12.75">
      <c r="F2140" s="11"/>
      <c r="G2140" s="19"/>
      <c r="H2140" s="20"/>
      <c r="I2140" s="21"/>
      <c r="K2140" s="5"/>
      <c r="S2140" s="5"/>
      <c r="T2140" s="5"/>
    </row>
    <row r="2141" spans="6:20" ht="12.75">
      <c r="F2141" s="11"/>
      <c r="G2141" s="19"/>
      <c r="H2141" s="20"/>
      <c r="I2141" s="21"/>
      <c r="K2141" s="5"/>
      <c r="S2141" s="5"/>
      <c r="T2141" s="5"/>
    </row>
    <row r="2142" spans="6:20" ht="12.75">
      <c r="F2142" s="11"/>
      <c r="G2142" s="19"/>
      <c r="H2142" s="20"/>
      <c r="I2142" s="21"/>
      <c r="K2142" s="5"/>
      <c r="S2142" s="5"/>
      <c r="T2142" s="5"/>
    </row>
    <row r="2143" spans="6:20" ht="12.75">
      <c r="F2143" s="11"/>
      <c r="G2143" s="19"/>
      <c r="H2143" s="20"/>
      <c r="I2143" s="21"/>
      <c r="K2143" s="5"/>
      <c r="S2143" s="5"/>
      <c r="T2143" s="5"/>
    </row>
    <row r="2144" spans="6:20" ht="12.75">
      <c r="F2144" s="11"/>
      <c r="G2144" s="19"/>
      <c r="H2144" s="20"/>
      <c r="I2144" s="21"/>
      <c r="K2144" s="5"/>
      <c r="S2144" s="5"/>
      <c r="T2144" s="5"/>
    </row>
    <row r="2145" spans="6:20" ht="12.75">
      <c r="F2145" s="11"/>
      <c r="G2145" s="19"/>
      <c r="H2145" s="20"/>
      <c r="I2145" s="21"/>
      <c r="K2145" s="5"/>
      <c r="S2145" s="5"/>
      <c r="T2145" s="5"/>
    </row>
    <row r="2146" spans="6:20" ht="12.75">
      <c r="F2146" s="11"/>
      <c r="G2146" s="19"/>
      <c r="H2146" s="20"/>
      <c r="I2146" s="21"/>
      <c r="K2146" s="5"/>
      <c r="S2146" s="5"/>
      <c r="T2146" s="5"/>
    </row>
    <row r="2147" spans="6:20" ht="12.75">
      <c r="F2147" s="11"/>
      <c r="G2147" s="19"/>
      <c r="H2147" s="20"/>
      <c r="I2147" s="21"/>
      <c r="K2147" s="5"/>
      <c r="S2147" s="5"/>
      <c r="T2147" s="5"/>
    </row>
    <row r="2148" spans="6:20" ht="12.75">
      <c r="F2148" s="11"/>
      <c r="G2148" s="19"/>
      <c r="H2148" s="20"/>
      <c r="I2148" s="21"/>
      <c r="K2148" s="5"/>
      <c r="S2148" s="5"/>
      <c r="T2148" s="5"/>
    </row>
    <row r="2149" spans="6:20" ht="12.75">
      <c r="F2149" s="11"/>
      <c r="G2149" s="19"/>
      <c r="H2149" s="20"/>
      <c r="I2149" s="21"/>
      <c r="K2149" s="5"/>
      <c r="S2149" s="5"/>
      <c r="T2149" s="5"/>
    </row>
    <row r="2150" spans="6:20" ht="12.75">
      <c r="F2150" s="11"/>
      <c r="G2150" s="19"/>
      <c r="H2150" s="20"/>
      <c r="I2150" s="21"/>
      <c r="K2150" s="5"/>
      <c r="S2150" s="5"/>
      <c r="T2150" s="5"/>
    </row>
    <row r="2151" spans="6:20" ht="12.75">
      <c r="F2151" s="11"/>
      <c r="G2151" s="19"/>
      <c r="H2151" s="20"/>
      <c r="I2151" s="21"/>
      <c r="K2151" s="5"/>
      <c r="S2151" s="5"/>
      <c r="T2151" s="5"/>
    </row>
    <row r="2152" spans="6:20" ht="12.75">
      <c r="F2152" s="11"/>
      <c r="G2152" s="19"/>
      <c r="H2152" s="20"/>
      <c r="I2152" s="21"/>
      <c r="K2152" s="5"/>
      <c r="S2152" s="5"/>
      <c r="T2152" s="5"/>
    </row>
    <row r="2153" spans="6:20" ht="12.75">
      <c r="F2153" s="11"/>
      <c r="G2153" s="19"/>
      <c r="H2153" s="20"/>
      <c r="I2153" s="21"/>
      <c r="K2153" s="5"/>
      <c r="S2153" s="5"/>
      <c r="T2153" s="5"/>
    </row>
    <row r="2154" spans="6:20" ht="12.75">
      <c r="F2154" s="11"/>
      <c r="G2154" s="19"/>
      <c r="H2154" s="20"/>
      <c r="I2154" s="21"/>
      <c r="K2154" s="5"/>
      <c r="S2154" s="5"/>
      <c r="T2154" s="5"/>
    </row>
    <row r="2155" spans="6:20" ht="12.75">
      <c r="F2155" s="11"/>
      <c r="G2155" s="19"/>
      <c r="H2155" s="20"/>
      <c r="I2155" s="21"/>
      <c r="K2155" s="5"/>
      <c r="S2155" s="5"/>
      <c r="T2155" s="5"/>
    </row>
    <row r="2156" spans="6:20" ht="12.75">
      <c r="F2156" s="11"/>
      <c r="G2156" s="19"/>
      <c r="H2156" s="20"/>
      <c r="I2156" s="21"/>
      <c r="K2156" s="5"/>
      <c r="S2156" s="5"/>
      <c r="T2156" s="5"/>
    </row>
    <row r="2157" spans="6:20" ht="12.75">
      <c r="F2157" s="11"/>
      <c r="G2157" s="19"/>
      <c r="H2157" s="20"/>
      <c r="I2157" s="21"/>
      <c r="K2157" s="5"/>
      <c r="S2157" s="5"/>
      <c r="T2157" s="5"/>
    </row>
    <row r="2158" spans="6:20" ht="12.75">
      <c r="F2158" s="11"/>
      <c r="G2158" s="19"/>
      <c r="H2158" s="20"/>
      <c r="I2158" s="21"/>
      <c r="K2158" s="5"/>
      <c r="S2158" s="5"/>
      <c r="T2158" s="5"/>
    </row>
    <row r="2159" spans="6:20" ht="12.75">
      <c r="F2159" s="11"/>
      <c r="G2159" s="19"/>
      <c r="H2159" s="20"/>
      <c r="I2159" s="21"/>
      <c r="K2159" s="5"/>
      <c r="S2159" s="5"/>
      <c r="T2159" s="5"/>
    </row>
    <row r="2160" spans="6:20" ht="12.75">
      <c r="F2160" s="11"/>
      <c r="G2160" s="19"/>
      <c r="H2160" s="20"/>
      <c r="I2160" s="21"/>
      <c r="K2160" s="5"/>
      <c r="S2160" s="5"/>
      <c r="T2160" s="5"/>
    </row>
    <row r="2161" spans="6:20" ht="12.75">
      <c r="F2161" s="11"/>
      <c r="G2161" s="19"/>
      <c r="H2161" s="20"/>
      <c r="I2161" s="21"/>
      <c r="K2161" s="5"/>
      <c r="S2161" s="5"/>
      <c r="T2161" s="5"/>
    </row>
    <row r="2162" spans="6:20" ht="12.75">
      <c r="F2162" s="11"/>
      <c r="G2162" s="19"/>
      <c r="H2162" s="20"/>
      <c r="I2162" s="21"/>
      <c r="K2162" s="5"/>
      <c r="S2162" s="5"/>
      <c r="T2162" s="5"/>
    </row>
    <row r="2163" spans="6:20" ht="12.75">
      <c r="F2163" s="11"/>
      <c r="G2163" s="19"/>
      <c r="H2163" s="20"/>
      <c r="I2163" s="21"/>
      <c r="K2163" s="5"/>
      <c r="S2163" s="5"/>
      <c r="T2163" s="5"/>
    </row>
    <row r="2164" spans="6:20" ht="12.75">
      <c r="F2164" s="11"/>
      <c r="G2164" s="19"/>
      <c r="H2164" s="20"/>
      <c r="I2164" s="21"/>
      <c r="K2164" s="5"/>
      <c r="S2164" s="5"/>
      <c r="T2164" s="5"/>
    </row>
    <row r="2165" spans="6:20" ht="12.75">
      <c r="F2165" s="11"/>
      <c r="G2165" s="19"/>
      <c r="H2165" s="20"/>
      <c r="I2165" s="21"/>
      <c r="K2165" s="5"/>
      <c r="S2165" s="5"/>
      <c r="T2165" s="5"/>
    </row>
    <row r="2166" spans="6:20" ht="12.75">
      <c r="F2166" s="11"/>
      <c r="G2166" s="19"/>
      <c r="H2166" s="20"/>
      <c r="I2166" s="21"/>
      <c r="K2166" s="5"/>
      <c r="S2166" s="5"/>
      <c r="T2166" s="5"/>
    </row>
    <row r="2167" spans="6:20" ht="12.75">
      <c r="F2167" s="11"/>
      <c r="G2167" s="19"/>
      <c r="H2167" s="20"/>
      <c r="I2167" s="21"/>
      <c r="K2167" s="5"/>
      <c r="S2167" s="5"/>
      <c r="T2167" s="5"/>
    </row>
    <row r="2168" spans="6:20" ht="12.75">
      <c r="F2168" s="11"/>
      <c r="G2168" s="19"/>
      <c r="H2168" s="20"/>
      <c r="I2168" s="21"/>
      <c r="K2168" s="5"/>
      <c r="S2168" s="5"/>
      <c r="T2168" s="5"/>
    </row>
    <row r="2169" spans="6:20" ht="12.75">
      <c r="F2169" s="11"/>
      <c r="G2169" s="19"/>
      <c r="H2169" s="20"/>
      <c r="I2169" s="21"/>
      <c r="K2169" s="5"/>
      <c r="S2169" s="5"/>
      <c r="T2169" s="5"/>
    </row>
    <row r="2170" spans="6:20" ht="12.75">
      <c r="F2170" s="11"/>
      <c r="G2170" s="19"/>
      <c r="H2170" s="20"/>
      <c r="I2170" s="21"/>
      <c r="K2170" s="5"/>
      <c r="S2170" s="5"/>
      <c r="T2170" s="5"/>
    </row>
    <row r="2171" spans="6:20" ht="12.75">
      <c r="F2171" s="11"/>
      <c r="G2171" s="19"/>
      <c r="H2171" s="20"/>
      <c r="I2171" s="21"/>
      <c r="K2171" s="5"/>
      <c r="S2171" s="5"/>
      <c r="T2171" s="5"/>
    </row>
    <row r="2172" spans="6:20" ht="12.75">
      <c r="F2172" s="11"/>
      <c r="G2172" s="19"/>
      <c r="H2172" s="20"/>
      <c r="I2172" s="21"/>
      <c r="K2172" s="5"/>
      <c r="S2172" s="5"/>
      <c r="T2172" s="5"/>
    </row>
    <row r="2173" spans="6:20" ht="12.75">
      <c r="F2173" s="11"/>
      <c r="G2173" s="19"/>
      <c r="H2173" s="20"/>
      <c r="I2173" s="21"/>
      <c r="K2173" s="5"/>
      <c r="S2173" s="5"/>
      <c r="T2173" s="5"/>
    </row>
    <row r="2174" spans="6:20" ht="12.75">
      <c r="F2174" s="11"/>
      <c r="G2174" s="19"/>
      <c r="H2174" s="20"/>
      <c r="I2174" s="21"/>
      <c r="K2174" s="5"/>
      <c r="S2174" s="5"/>
      <c r="T2174" s="5"/>
    </row>
    <row r="2175" spans="6:20" ht="12.75">
      <c r="F2175" s="11"/>
      <c r="G2175" s="19"/>
      <c r="H2175" s="20"/>
      <c r="I2175" s="21"/>
      <c r="K2175" s="5"/>
      <c r="S2175" s="5"/>
      <c r="T2175" s="5"/>
    </row>
    <row r="2176" spans="6:20" ht="12.75">
      <c r="F2176" s="11"/>
      <c r="G2176" s="19"/>
      <c r="H2176" s="20"/>
      <c r="I2176" s="21"/>
      <c r="K2176" s="5"/>
      <c r="S2176" s="5"/>
      <c r="T2176" s="5"/>
    </row>
    <row r="2177" spans="6:20" ht="12.75">
      <c r="F2177" s="11"/>
      <c r="G2177" s="19"/>
      <c r="H2177" s="20"/>
      <c r="I2177" s="21"/>
      <c r="K2177" s="5"/>
      <c r="S2177" s="5"/>
      <c r="T2177" s="5"/>
    </row>
    <row r="2178" spans="6:20" ht="12.75">
      <c r="F2178" s="11"/>
      <c r="G2178" s="19"/>
      <c r="H2178" s="20"/>
      <c r="I2178" s="21"/>
      <c r="K2178" s="5"/>
      <c r="S2178" s="5"/>
      <c r="T2178" s="5"/>
    </row>
    <row r="2179" spans="6:20" ht="12.75">
      <c r="F2179" s="11"/>
      <c r="G2179" s="19"/>
      <c r="H2179" s="20"/>
      <c r="I2179" s="21"/>
      <c r="K2179" s="5"/>
      <c r="S2179" s="5"/>
      <c r="T2179" s="5"/>
    </row>
    <row r="2180" spans="6:20" ht="12.75">
      <c r="F2180" s="11"/>
      <c r="G2180" s="19"/>
      <c r="H2180" s="20"/>
      <c r="I2180" s="21"/>
      <c r="K2180" s="5"/>
      <c r="S2180" s="5"/>
      <c r="T2180" s="5"/>
    </row>
    <row r="2181" spans="6:20" ht="12.75">
      <c r="F2181" s="11"/>
      <c r="G2181" s="19"/>
      <c r="H2181" s="20"/>
      <c r="I2181" s="21"/>
      <c r="K2181" s="5"/>
      <c r="S2181" s="5"/>
      <c r="T2181" s="5"/>
    </row>
    <row r="2182" spans="6:20" ht="12.75">
      <c r="F2182" s="11"/>
      <c r="G2182" s="19"/>
      <c r="H2182" s="20"/>
      <c r="I2182" s="21"/>
      <c r="K2182" s="5"/>
      <c r="S2182" s="5"/>
      <c r="T2182" s="5"/>
    </row>
    <row r="2183" spans="6:20" ht="12.75">
      <c r="F2183" s="11"/>
      <c r="G2183" s="19"/>
      <c r="H2183" s="20"/>
      <c r="I2183" s="21"/>
      <c r="K2183" s="5"/>
      <c r="S2183" s="5"/>
      <c r="T2183" s="5"/>
    </row>
    <row r="2184" spans="6:20" ht="12.75">
      <c r="F2184" s="11"/>
      <c r="G2184" s="19"/>
      <c r="H2184" s="20"/>
      <c r="I2184" s="21"/>
      <c r="K2184" s="5"/>
      <c r="S2184" s="5"/>
      <c r="T2184" s="5"/>
    </row>
    <row r="2185" spans="6:20" ht="12.75">
      <c r="F2185" s="11"/>
      <c r="G2185" s="19"/>
      <c r="H2185" s="20"/>
      <c r="I2185" s="21"/>
      <c r="K2185" s="5"/>
      <c r="S2185" s="5"/>
      <c r="T2185" s="5"/>
    </row>
    <row r="2186" spans="6:20" ht="12.75">
      <c r="F2186" s="11"/>
      <c r="G2186" s="19"/>
      <c r="H2186" s="20"/>
      <c r="I2186" s="21"/>
      <c r="K2186" s="5"/>
      <c r="S2186" s="5"/>
      <c r="T2186" s="5"/>
    </row>
    <row r="2187" spans="6:20" ht="12.75">
      <c r="F2187" s="11"/>
      <c r="G2187" s="19"/>
      <c r="H2187" s="20"/>
      <c r="I2187" s="21"/>
      <c r="K2187" s="5"/>
      <c r="S2187" s="5"/>
      <c r="T2187" s="5"/>
    </row>
    <row r="2188" spans="6:20" ht="12.75">
      <c r="F2188" s="11"/>
      <c r="G2188" s="19"/>
      <c r="H2188" s="20"/>
      <c r="I2188" s="21"/>
      <c r="K2188" s="5"/>
      <c r="S2188" s="5"/>
      <c r="T2188" s="5"/>
    </row>
    <row r="2189" spans="6:20" ht="12.75">
      <c r="F2189" s="11"/>
      <c r="G2189" s="19"/>
      <c r="H2189" s="20"/>
      <c r="I2189" s="21"/>
      <c r="K2189" s="5"/>
      <c r="S2189" s="5"/>
      <c r="T2189" s="5"/>
    </row>
    <row r="2190" spans="6:20" ht="12.75">
      <c r="F2190" s="11"/>
      <c r="G2190" s="19"/>
      <c r="H2190" s="20"/>
      <c r="I2190" s="21"/>
      <c r="K2190" s="5"/>
      <c r="S2190" s="5"/>
      <c r="T2190" s="5"/>
    </row>
    <row r="2191" spans="6:20" ht="12.75">
      <c r="F2191" s="11"/>
      <c r="G2191" s="19"/>
      <c r="H2191" s="20"/>
      <c r="I2191" s="21"/>
      <c r="K2191" s="5"/>
      <c r="S2191" s="5"/>
      <c r="T2191" s="5"/>
    </row>
    <row r="2192" spans="6:20" ht="12.75">
      <c r="F2192" s="11"/>
      <c r="G2192" s="19"/>
      <c r="H2192" s="20"/>
      <c r="I2192" s="21"/>
      <c r="K2192" s="5"/>
      <c r="S2192" s="5"/>
      <c r="T2192" s="5"/>
    </row>
    <row r="2193" spans="6:20" ht="12.75">
      <c r="F2193" s="11"/>
      <c r="G2193" s="19"/>
      <c r="H2193" s="20"/>
      <c r="I2193" s="21"/>
      <c r="K2193" s="5"/>
      <c r="S2193" s="5"/>
      <c r="T2193" s="5"/>
    </row>
    <row r="2194" spans="6:20" ht="12.75">
      <c r="F2194" s="11"/>
      <c r="G2194" s="19"/>
      <c r="H2194" s="20"/>
      <c r="I2194" s="21"/>
      <c r="K2194" s="5"/>
      <c r="S2194" s="5"/>
      <c r="T2194" s="5"/>
    </row>
    <row r="2195" spans="6:20" ht="12.75">
      <c r="F2195" s="11"/>
      <c r="G2195" s="19"/>
      <c r="H2195" s="20"/>
      <c r="I2195" s="21"/>
      <c r="K2195" s="5"/>
      <c r="S2195" s="5"/>
      <c r="T2195" s="5"/>
    </row>
    <row r="2196" spans="6:20" ht="12.75">
      <c r="F2196" s="11"/>
      <c r="G2196" s="19"/>
      <c r="H2196" s="20"/>
      <c r="I2196" s="21"/>
      <c r="K2196" s="5"/>
      <c r="S2196" s="5"/>
      <c r="T2196" s="5"/>
    </row>
    <row r="2197" spans="6:20" ht="12.75">
      <c r="F2197" s="11"/>
      <c r="G2197" s="19"/>
      <c r="H2197" s="20"/>
      <c r="I2197" s="21"/>
      <c r="K2197" s="5"/>
      <c r="S2197" s="5"/>
      <c r="T2197" s="5"/>
    </row>
    <row r="2198" spans="6:20" ht="12.75">
      <c r="F2198" s="11"/>
      <c r="G2198" s="19"/>
      <c r="H2198" s="20"/>
      <c r="I2198" s="21"/>
      <c r="K2198" s="5"/>
      <c r="S2198" s="5"/>
      <c r="T2198" s="5"/>
    </row>
    <row r="2199" spans="6:20" ht="12.75">
      <c r="F2199" s="11"/>
      <c r="G2199" s="19"/>
      <c r="H2199" s="20"/>
      <c r="I2199" s="21"/>
      <c r="K2199" s="5"/>
      <c r="S2199" s="5"/>
      <c r="T2199" s="5"/>
    </row>
    <row r="2200" spans="6:20" ht="12.75">
      <c r="F2200" s="11"/>
      <c r="G2200" s="19"/>
      <c r="H2200" s="20"/>
      <c r="I2200" s="21"/>
      <c r="K2200" s="5"/>
      <c r="S2200" s="5"/>
      <c r="T2200" s="5"/>
    </row>
    <row r="2201" spans="6:20" ht="12.75">
      <c r="F2201" s="11"/>
      <c r="G2201" s="19"/>
      <c r="H2201" s="20"/>
      <c r="I2201" s="21"/>
      <c r="K2201" s="5"/>
      <c r="S2201" s="5"/>
      <c r="T2201" s="5"/>
    </row>
    <row r="2202" spans="6:20" ht="12.75">
      <c r="F2202" s="11"/>
      <c r="G2202" s="19"/>
      <c r="H2202" s="20"/>
      <c r="I2202" s="21"/>
      <c r="K2202" s="5"/>
      <c r="S2202" s="5"/>
      <c r="T2202" s="5"/>
    </row>
    <row r="2203" spans="6:20" ht="12.75">
      <c r="F2203" s="11"/>
      <c r="G2203" s="19"/>
      <c r="H2203" s="20"/>
      <c r="I2203" s="21"/>
      <c r="K2203" s="5"/>
      <c r="S2203" s="5"/>
      <c r="T2203" s="5"/>
    </row>
    <row r="2204" spans="6:20" ht="12.75">
      <c r="F2204" s="11"/>
      <c r="G2204" s="19"/>
      <c r="H2204" s="20"/>
      <c r="I2204" s="21"/>
      <c r="K2204" s="5"/>
      <c r="S2204" s="5"/>
      <c r="T2204" s="5"/>
    </row>
    <row r="2205" spans="6:20" ht="12.75">
      <c r="F2205" s="11"/>
      <c r="G2205" s="19"/>
      <c r="H2205" s="20"/>
      <c r="I2205" s="21"/>
      <c r="K2205" s="5"/>
      <c r="S2205" s="5"/>
      <c r="T2205" s="5"/>
    </row>
    <row r="2206" spans="6:20" ht="12.75">
      <c r="F2206" s="11"/>
      <c r="G2206" s="19"/>
      <c r="H2206" s="20"/>
      <c r="I2206" s="21"/>
      <c r="K2206" s="5"/>
      <c r="S2206" s="5"/>
      <c r="T2206" s="5"/>
    </row>
    <row r="2207" spans="6:20" ht="12.75">
      <c r="F2207" s="11"/>
      <c r="G2207" s="19"/>
      <c r="H2207" s="20"/>
      <c r="I2207" s="21"/>
      <c r="K2207" s="5"/>
      <c r="S2207" s="5"/>
      <c r="T2207" s="5"/>
    </row>
    <row r="2208" spans="6:20" ht="12.75">
      <c r="F2208" s="11"/>
      <c r="G2208" s="19"/>
      <c r="H2208" s="20"/>
      <c r="I2208" s="21"/>
      <c r="K2208" s="5"/>
      <c r="S2208" s="5"/>
      <c r="T2208" s="5"/>
    </row>
    <row r="2209" spans="6:20" ht="12.75">
      <c r="F2209" s="11"/>
      <c r="G2209" s="19"/>
      <c r="H2209" s="20"/>
      <c r="I2209" s="21"/>
      <c r="K2209" s="5"/>
      <c r="S2209" s="5"/>
      <c r="T2209" s="5"/>
    </row>
    <row r="2210" spans="6:20" ht="12.75">
      <c r="F2210" s="11"/>
      <c r="G2210" s="19"/>
      <c r="H2210" s="20"/>
      <c r="I2210" s="21"/>
      <c r="K2210" s="5"/>
      <c r="S2210" s="5"/>
      <c r="T2210" s="5"/>
    </row>
    <row r="2211" spans="6:20" ht="12.75">
      <c r="F2211" s="11"/>
      <c r="G2211" s="19"/>
      <c r="H2211" s="20"/>
      <c r="I2211" s="21"/>
      <c r="K2211" s="5"/>
      <c r="S2211" s="5"/>
      <c r="T2211" s="5"/>
    </row>
    <row r="2212" spans="6:20" ht="12.75">
      <c r="F2212" s="11"/>
      <c r="G2212" s="19"/>
      <c r="H2212" s="20"/>
      <c r="I2212" s="21"/>
      <c r="K2212" s="5"/>
      <c r="S2212" s="5"/>
      <c r="T2212" s="5"/>
    </row>
    <row r="2213" spans="6:20" ht="12.75">
      <c r="F2213" s="11"/>
      <c r="G2213" s="19"/>
      <c r="H2213" s="20"/>
      <c r="I2213" s="21"/>
      <c r="K2213" s="5"/>
      <c r="S2213" s="5"/>
      <c r="T2213" s="5"/>
    </row>
    <row r="2214" spans="6:20" ht="12.75">
      <c r="F2214" s="11"/>
      <c r="G2214" s="19"/>
      <c r="H2214" s="20"/>
      <c r="I2214" s="21"/>
      <c r="K2214" s="5"/>
      <c r="S2214" s="5"/>
      <c r="T2214" s="5"/>
    </row>
    <row r="2215" spans="6:20" ht="12.75">
      <c r="F2215" s="11"/>
      <c r="G2215" s="19"/>
      <c r="H2215" s="20"/>
      <c r="I2215" s="21"/>
      <c r="K2215" s="5"/>
      <c r="S2215" s="5"/>
      <c r="T2215" s="5"/>
    </row>
    <row r="2216" spans="6:20" ht="12.75">
      <c r="F2216" s="11"/>
      <c r="G2216" s="19"/>
      <c r="H2216" s="20"/>
      <c r="I2216" s="21"/>
      <c r="K2216" s="5"/>
      <c r="S2216" s="5"/>
      <c r="T2216" s="5"/>
    </row>
    <row r="2217" spans="6:20" ht="12.75">
      <c r="F2217" s="11"/>
      <c r="G2217" s="19"/>
      <c r="H2217" s="20"/>
      <c r="I2217" s="21"/>
      <c r="K2217" s="5"/>
      <c r="S2217" s="5"/>
      <c r="T2217" s="5"/>
    </row>
    <row r="2218" spans="6:20" ht="12.75">
      <c r="F2218" s="11"/>
      <c r="G2218" s="19"/>
      <c r="H2218" s="20"/>
      <c r="I2218" s="21"/>
      <c r="K2218" s="5"/>
      <c r="S2218" s="5"/>
      <c r="T2218" s="5"/>
    </row>
    <row r="2219" spans="6:20" ht="12.75">
      <c r="F2219" s="11"/>
      <c r="G2219" s="19"/>
      <c r="H2219" s="20"/>
      <c r="I2219" s="21"/>
      <c r="K2219" s="5"/>
      <c r="S2219" s="5"/>
      <c r="T2219" s="5"/>
    </row>
    <row r="2220" spans="6:20" ht="12.75">
      <c r="F2220" s="11"/>
      <c r="G2220" s="19"/>
      <c r="H2220" s="20"/>
      <c r="I2220" s="21"/>
      <c r="K2220" s="5"/>
      <c r="S2220" s="5"/>
      <c r="T2220" s="5"/>
    </row>
    <row r="2221" spans="6:20" ht="12.75">
      <c r="F2221" s="11"/>
      <c r="G2221" s="19"/>
      <c r="H2221" s="20"/>
      <c r="I2221" s="21"/>
      <c r="K2221" s="5"/>
      <c r="S2221" s="5"/>
      <c r="T2221" s="5"/>
    </row>
    <row r="2222" spans="6:20" ht="12.75">
      <c r="F2222" s="11"/>
      <c r="G2222" s="19"/>
      <c r="H2222" s="20"/>
      <c r="I2222" s="21"/>
      <c r="K2222" s="5"/>
      <c r="S2222" s="5"/>
      <c r="T2222" s="5"/>
    </row>
    <row r="2223" spans="6:20" ht="12.75">
      <c r="F2223" s="11"/>
      <c r="G2223" s="19"/>
      <c r="H2223" s="20"/>
      <c r="I2223" s="21"/>
      <c r="K2223" s="5"/>
      <c r="S2223" s="5"/>
      <c r="T2223" s="5"/>
    </row>
    <row r="2224" spans="6:20" ht="12.75">
      <c r="F2224" s="11"/>
      <c r="G2224" s="19"/>
      <c r="H2224" s="20"/>
      <c r="I2224" s="21"/>
      <c r="K2224" s="5"/>
      <c r="S2224" s="5"/>
      <c r="T2224" s="5"/>
    </row>
    <row r="2225" spans="6:20" ht="12.75">
      <c r="F2225" s="11"/>
      <c r="G2225" s="19"/>
      <c r="H2225" s="20"/>
      <c r="I2225" s="21"/>
      <c r="K2225" s="5"/>
      <c r="S2225" s="5"/>
      <c r="T2225" s="5"/>
    </row>
    <row r="2226" spans="6:20" ht="12.75">
      <c r="F2226" s="11"/>
      <c r="G2226" s="19"/>
      <c r="H2226" s="20"/>
      <c r="I2226" s="21"/>
      <c r="K2226" s="5"/>
      <c r="S2226" s="5"/>
      <c r="T2226" s="5"/>
    </row>
    <row r="2227" spans="6:20" ht="12.75">
      <c r="F2227" s="11"/>
      <c r="G2227" s="19"/>
      <c r="H2227" s="20"/>
      <c r="I2227" s="21"/>
      <c r="K2227" s="5"/>
      <c r="S2227" s="5"/>
      <c r="T2227" s="5"/>
    </row>
    <row r="2228" spans="6:20" ht="12.75">
      <c r="F2228" s="11"/>
      <c r="G2228" s="19"/>
      <c r="H2228" s="20"/>
      <c r="I2228" s="21"/>
      <c r="K2228" s="5"/>
      <c r="S2228" s="5"/>
      <c r="T2228" s="5"/>
    </row>
    <row r="2229" spans="6:20" ht="12.75">
      <c r="F2229" s="11"/>
      <c r="G2229" s="19"/>
      <c r="H2229" s="20"/>
      <c r="I2229" s="21"/>
      <c r="K2229" s="5"/>
      <c r="S2229" s="5"/>
      <c r="T2229" s="5"/>
    </row>
    <row r="2230" spans="6:20" ht="12.75">
      <c r="F2230" s="11"/>
      <c r="G2230" s="19"/>
      <c r="H2230" s="20"/>
      <c r="I2230" s="21"/>
      <c r="K2230" s="5"/>
      <c r="S2230" s="5"/>
      <c r="T2230" s="5"/>
    </row>
    <row r="2231" spans="6:20" ht="12.75">
      <c r="F2231" s="11"/>
      <c r="G2231" s="19"/>
      <c r="H2231" s="20"/>
      <c r="I2231" s="21"/>
      <c r="K2231" s="5"/>
      <c r="S2231" s="5"/>
      <c r="T2231" s="5"/>
    </row>
    <row r="2232" spans="6:20" ht="12.75">
      <c r="F2232" s="11"/>
      <c r="G2232" s="19"/>
      <c r="H2232" s="20"/>
      <c r="I2232" s="21"/>
      <c r="K2232" s="5"/>
      <c r="S2232" s="5"/>
      <c r="T2232" s="5"/>
    </row>
    <row r="2233" spans="6:20" ht="12.75">
      <c r="F2233" s="11"/>
      <c r="G2233" s="19"/>
      <c r="H2233" s="20"/>
      <c r="I2233" s="21"/>
      <c r="K2233" s="5"/>
      <c r="S2233" s="5"/>
      <c r="T2233" s="5"/>
    </row>
    <row r="2234" spans="6:20" ht="12.75">
      <c r="F2234" s="11"/>
      <c r="G2234" s="19"/>
      <c r="H2234" s="20"/>
      <c r="I2234" s="21"/>
      <c r="K2234" s="5"/>
      <c r="S2234" s="5"/>
      <c r="T2234" s="5"/>
    </row>
    <row r="2235" spans="6:20" ht="12.75">
      <c r="F2235" s="11"/>
      <c r="G2235" s="19"/>
      <c r="H2235" s="20"/>
      <c r="I2235" s="21"/>
      <c r="K2235" s="5"/>
      <c r="S2235" s="5"/>
      <c r="T2235" s="5"/>
    </row>
    <row r="2236" spans="6:20" ht="12.75">
      <c r="F2236" s="11"/>
      <c r="G2236" s="19"/>
      <c r="H2236" s="20"/>
      <c r="I2236" s="21"/>
      <c r="K2236" s="5"/>
      <c r="S2236" s="5"/>
      <c r="T2236" s="5"/>
    </row>
    <row r="2237" spans="6:20" ht="12.75">
      <c r="F2237" s="11"/>
      <c r="G2237" s="19"/>
      <c r="H2237" s="20"/>
      <c r="I2237" s="21"/>
      <c r="K2237" s="5"/>
      <c r="S2237" s="5"/>
      <c r="T2237" s="5"/>
    </row>
    <row r="2238" spans="6:20" ht="12.75">
      <c r="F2238" s="11"/>
      <c r="G2238" s="19"/>
      <c r="H2238" s="20"/>
      <c r="I2238" s="21"/>
      <c r="K2238" s="5"/>
      <c r="S2238" s="5"/>
      <c r="T2238" s="5"/>
    </row>
    <row r="2239" spans="6:20" ht="12.75">
      <c r="F2239" s="11"/>
      <c r="G2239" s="19"/>
      <c r="H2239" s="20"/>
      <c r="I2239" s="21"/>
      <c r="K2239" s="5"/>
      <c r="S2239" s="5"/>
      <c r="T2239" s="5"/>
    </row>
    <row r="2240" spans="6:20" ht="12.75">
      <c r="F2240" s="11"/>
      <c r="G2240" s="19"/>
      <c r="H2240" s="20"/>
      <c r="I2240" s="21"/>
      <c r="K2240" s="5"/>
      <c r="S2240" s="5"/>
      <c r="T2240" s="5"/>
    </row>
    <row r="2241" spans="6:20" ht="12.75">
      <c r="F2241" s="11"/>
      <c r="G2241" s="19"/>
      <c r="H2241" s="20"/>
      <c r="I2241" s="21"/>
      <c r="K2241" s="5"/>
      <c r="S2241" s="5"/>
      <c r="T2241" s="5"/>
    </row>
    <row r="2242" spans="6:20" ht="12.75">
      <c r="F2242" s="11"/>
      <c r="G2242" s="19"/>
      <c r="H2242" s="20"/>
      <c r="I2242" s="21"/>
      <c r="K2242" s="5"/>
      <c r="S2242" s="5"/>
      <c r="T2242" s="5"/>
    </row>
    <row r="2243" spans="6:20" ht="12.75">
      <c r="F2243" s="11"/>
      <c r="G2243" s="19"/>
      <c r="H2243" s="20"/>
      <c r="I2243" s="21"/>
      <c r="K2243" s="5"/>
      <c r="S2243" s="5"/>
      <c r="T2243" s="5"/>
    </row>
    <row r="2244" spans="6:20" ht="12.75">
      <c r="F2244" s="11"/>
      <c r="G2244" s="19"/>
      <c r="H2244" s="20"/>
      <c r="I2244" s="21"/>
      <c r="K2244" s="5"/>
      <c r="S2244" s="5"/>
      <c r="T2244" s="5"/>
    </row>
    <row r="2245" spans="6:20" ht="12.75">
      <c r="F2245" s="11"/>
      <c r="G2245" s="19"/>
      <c r="H2245" s="20"/>
      <c r="I2245" s="21"/>
      <c r="K2245" s="5"/>
      <c r="S2245" s="5"/>
      <c r="T2245" s="5"/>
    </row>
    <row r="2246" spans="6:20" ht="12.75">
      <c r="F2246" s="11"/>
      <c r="G2246" s="19"/>
      <c r="H2246" s="20"/>
      <c r="I2246" s="21"/>
      <c r="K2246" s="5"/>
      <c r="S2246" s="5"/>
      <c r="T2246" s="5"/>
    </row>
    <row r="2247" spans="6:20" ht="12.75">
      <c r="F2247" s="11"/>
      <c r="G2247" s="19"/>
      <c r="H2247" s="20"/>
      <c r="I2247" s="21"/>
      <c r="K2247" s="5"/>
      <c r="S2247" s="5"/>
      <c r="T2247" s="5"/>
    </row>
    <row r="2248" spans="6:20" ht="12.75">
      <c r="F2248" s="11"/>
      <c r="G2248" s="19"/>
      <c r="H2248" s="20"/>
      <c r="I2248" s="21"/>
      <c r="K2248" s="5"/>
      <c r="S2248" s="5"/>
      <c r="T2248" s="5"/>
    </row>
    <row r="2249" spans="6:20" ht="12.75">
      <c r="F2249" s="11"/>
      <c r="G2249" s="19"/>
      <c r="H2249" s="20"/>
      <c r="I2249" s="21"/>
      <c r="K2249" s="5"/>
      <c r="S2249" s="5"/>
      <c r="T2249" s="5"/>
    </row>
    <row r="2250" spans="6:20" ht="12.75">
      <c r="F2250" s="11"/>
      <c r="G2250" s="19"/>
      <c r="H2250" s="20"/>
      <c r="I2250" s="21"/>
      <c r="K2250" s="5"/>
      <c r="S2250" s="5"/>
      <c r="T2250" s="5"/>
    </row>
    <row r="2251" spans="6:20" ht="12.75">
      <c r="F2251" s="11"/>
      <c r="G2251" s="19"/>
      <c r="H2251" s="20"/>
      <c r="I2251" s="21"/>
      <c r="K2251" s="5"/>
      <c r="S2251" s="5"/>
      <c r="T2251" s="5"/>
    </row>
    <row r="2252" spans="6:20" ht="12.75">
      <c r="F2252" s="11"/>
      <c r="G2252" s="19"/>
      <c r="H2252" s="20"/>
      <c r="I2252" s="21"/>
      <c r="K2252" s="5"/>
      <c r="S2252" s="5"/>
      <c r="T2252" s="5"/>
    </row>
    <row r="2253" spans="6:20" ht="12.75">
      <c r="F2253" s="11"/>
      <c r="G2253" s="19"/>
      <c r="H2253" s="20"/>
      <c r="I2253" s="21"/>
      <c r="K2253" s="5"/>
      <c r="S2253" s="5"/>
      <c r="T2253" s="5"/>
    </row>
    <row r="2254" spans="6:20" ht="12.75">
      <c r="F2254" s="11"/>
      <c r="G2254" s="19"/>
      <c r="H2254" s="20"/>
      <c r="I2254" s="21"/>
      <c r="K2254" s="5"/>
      <c r="S2254" s="5"/>
      <c r="T2254" s="5"/>
    </row>
    <row r="2255" spans="6:20" ht="12.75">
      <c r="F2255" s="11"/>
      <c r="G2255" s="19"/>
      <c r="H2255" s="20"/>
      <c r="I2255" s="21"/>
      <c r="K2255" s="5"/>
      <c r="S2255" s="5"/>
      <c r="T2255" s="5"/>
    </row>
    <row r="2256" spans="6:20" ht="12.75">
      <c r="F2256" s="11"/>
      <c r="G2256" s="19"/>
      <c r="H2256" s="20"/>
      <c r="I2256" s="21"/>
      <c r="K2256" s="5"/>
      <c r="S2256" s="5"/>
      <c r="T2256" s="5"/>
    </row>
    <row r="2257" spans="6:20" ht="12.75">
      <c r="F2257" s="11"/>
      <c r="G2257" s="19"/>
      <c r="H2257" s="20"/>
      <c r="I2257" s="21"/>
      <c r="K2257" s="5"/>
      <c r="S2257" s="5"/>
      <c r="T2257" s="5"/>
    </row>
    <row r="2258" spans="6:20" ht="12.75">
      <c r="F2258" s="11"/>
      <c r="G2258" s="19"/>
      <c r="H2258" s="20"/>
      <c r="I2258" s="21"/>
      <c r="K2258" s="5"/>
      <c r="S2258" s="5"/>
      <c r="T2258" s="5"/>
    </row>
    <row r="2259" spans="6:20" ht="12.75">
      <c r="F2259" s="11"/>
      <c r="G2259" s="19"/>
      <c r="H2259" s="20"/>
      <c r="I2259" s="21"/>
      <c r="K2259" s="5"/>
      <c r="S2259" s="5"/>
      <c r="T2259" s="5"/>
    </row>
    <row r="2260" spans="6:20" ht="12.75">
      <c r="F2260" s="11"/>
      <c r="G2260" s="19"/>
      <c r="H2260" s="20"/>
      <c r="I2260" s="21"/>
      <c r="K2260" s="5"/>
      <c r="S2260" s="5"/>
      <c r="T2260" s="5"/>
    </row>
    <row r="2261" spans="6:20" ht="12.75">
      <c r="F2261" s="11"/>
      <c r="G2261" s="19"/>
      <c r="H2261" s="20"/>
      <c r="I2261" s="21"/>
      <c r="K2261" s="5"/>
      <c r="S2261" s="5"/>
      <c r="T2261" s="5"/>
    </row>
    <row r="2262" spans="6:20" ht="12.75">
      <c r="F2262" s="11"/>
      <c r="G2262" s="19"/>
      <c r="H2262" s="20"/>
      <c r="I2262" s="21"/>
      <c r="K2262" s="5"/>
      <c r="S2262" s="5"/>
      <c r="T2262" s="5"/>
    </row>
    <row r="2263" spans="6:20" ht="12.75">
      <c r="F2263" s="11"/>
      <c r="G2263" s="19"/>
      <c r="H2263" s="20"/>
      <c r="I2263" s="21"/>
      <c r="K2263" s="5"/>
      <c r="S2263" s="5"/>
      <c r="T2263" s="5"/>
    </row>
    <row r="2264" spans="6:20" ht="12.75">
      <c r="F2264" s="11"/>
      <c r="G2264" s="19"/>
      <c r="H2264" s="20"/>
      <c r="I2264" s="21"/>
      <c r="K2264" s="5"/>
      <c r="S2264" s="5"/>
      <c r="T2264" s="5"/>
    </row>
    <row r="2265" spans="6:20" ht="12.75">
      <c r="F2265" s="11"/>
      <c r="G2265" s="19"/>
      <c r="H2265" s="20"/>
      <c r="I2265" s="21"/>
      <c r="K2265" s="5"/>
      <c r="S2265" s="5"/>
      <c r="T2265" s="5"/>
    </row>
    <row r="2266" spans="6:20" ht="12.75">
      <c r="F2266" s="11"/>
      <c r="G2266" s="19"/>
      <c r="H2266" s="20"/>
      <c r="I2266" s="21"/>
      <c r="K2266" s="5"/>
      <c r="S2266" s="5"/>
      <c r="T2266" s="5"/>
    </row>
    <row r="2267" spans="6:20" ht="12.75">
      <c r="F2267" s="11"/>
      <c r="G2267" s="19"/>
      <c r="H2267" s="20"/>
      <c r="I2267" s="21"/>
      <c r="K2267" s="5"/>
      <c r="S2267" s="5"/>
      <c r="T2267" s="5"/>
    </row>
    <row r="2268" spans="6:20" ht="12.75">
      <c r="F2268" s="11"/>
      <c r="G2268" s="19"/>
      <c r="H2268" s="20"/>
      <c r="I2268" s="21"/>
      <c r="K2268" s="5"/>
      <c r="S2268" s="5"/>
      <c r="T2268" s="5"/>
    </row>
    <row r="2269" spans="6:20" ht="12.75">
      <c r="F2269" s="11"/>
      <c r="G2269" s="19"/>
      <c r="H2269" s="20"/>
      <c r="I2269" s="21"/>
      <c r="K2269" s="5"/>
      <c r="S2269" s="5"/>
      <c r="T2269" s="5"/>
    </row>
    <row r="2270" spans="6:20" ht="12.75">
      <c r="F2270" s="11"/>
      <c r="G2270" s="19"/>
      <c r="H2270" s="20"/>
      <c r="I2270" s="21"/>
      <c r="K2270" s="5"/>
      <c r="S2270" s="5"/>
      <c r="T2270" s="5"/>
    </row>
    <row r="2271" spans="6:20" ht="12.75">
      <c r="F2271" s="11"/>
      <c r="G2271" s="19"/>
      <c r="H2271" s="20"/>
      <c r="I2271" s="21"/>
      <c r="K2271" s="5"/>
      <c r="S2271" s="5"/>
      <c r="T2271" s="5"/>
    </row>
    <row r="2272" spans="6:20" ht="12.75">
      <c r="F2272" s="11"/>
      <c r="G2272" s="19"/>
      <c r="H2272" s="20"/>
      <c r="I2272" s="21"/>
      <c r="K2272" s="5"/>
      <c r="S2272" s="5"/>
      <c r="T2272" s="5"/>
    </row>
    <row r="2273" spans="6:20" ht="12.75">
      <c r="F2273" s="11"/>
      <c r="G2273" s="19"/>
      <c r="H2273" s="20"/>
      <c r="I2273" s="21"/>
      <c r="K2273" s="5"/>
      <c r="S2273" s="5"/>
      <c r="T2273" s="5"/>
    </row>
    <row r="2274" spans="6:20" ht="12.75">
      <c r="F2274" s="11"/>
      <c r="G2274" s="19"/>
      <c r="H2274" s="20"/>
      <c r="I2274" s="21"/>
      <c r="K2274" s="5"/>
      <c r="S2274" s="5"/>
      <c r="T2274" s="5"/>
    </row>
    <row r="2275" spans="6:20" ht="12.75">
      <c r="F2275" s="11"/>
      <c r="G2275" s="19"/>
      <c r="H2275" s="20"/>
      <c r="I2275" s="21"/>
      <c r="K2275" s="5"/>
      <c r="S2275" s="5"/>
      <c r="T2275" s="5"/>
    </row>
    <row r="2276" spans="6:20" ht="12.75">
      <c r="F2276" s="11"/>
      <c r="G2276" s="19"/>
      <c r="H2276" s="20"/>
      <c r="I2276" s="21"/>
      <c r="K2276" s="5"/>
      <c r="S2276" s="5"/>
      <c r="T2276" s="5"/>
    </row>
    <row r="2277" spans="6:20" ht="12.75">
      <c r="F2277" s="11"/>
      <c r="G2277" s="19"/>
      <c r="H2277" s="20"/>
      <c r="I2277" s="21"/>
      <c r="K2277" s="5"/>
      <c r="S2277" s="5"/>
      <c r="T2277" s="5"/>
    </row>
    <row r="2278" spans="6:20" ht="12.75">
      <c r="F2278" s="11"/>
      <c r="G2278" s="19"/>
      <c r="H2278" s="20"/>
      <c r="I2278" s="21"/>
      <c r="K2278" s="5"/>
      <c r="S2278" s="5"/>
      <c r="T2278" s="5"/>
    </row>
    <row r="2279" spans="6:20" ht="12.75">
      <c r="F2279" s="11"/>
      <c r="G2279" s="19"/>
      <c r="H2279" s="20"/>
      <c r="I2279" s="21"/>
      <c r="K2279" s="5"/>
      <c r="S2279" s="5"/>
      <c r="T2279" s="5"/>
    </row>
    <row r="2280" spans="6:20" ht="12.75">
      <c r="F2280" s="11"/>
      <c r="G2280" s="19"/>
      <c r="H2280" s="20"/>
      <c r="I2280" s="21"/>
      <c r="K2280" s="5"/>
      <c r="S2280" s="5"/>
      <c r="T2280" s="5"/>
    </row>
    <row r="2281" spans="6:20" ht="12.75">
      <c r="F2281" s="11"/>
      <c r="G2281" s="19"/>
      <c r="H2281" s="20"/>
      <c r="I2281" s="21"/>
      <c r="K2281" s="5"/>
      <c r="S2281" s="5"/>
      <c r="T2281" s="5"/>
    </row>
    <row r="2282" spans="6:20" ht="12.75">
      <c r="F2282" s="11"/>
      <c r="G2282" s="19"/>
      <c r="H2282" s="20"/>
      <c r="I2282" s="21"/>
      <c r="K2282" s="5"/>
      <c r="S2282" s="5"/>
      <c r="T2282" s="5"/>
    </row>
    <row r="2283" spans="6:20" ht="12.75">
      <c r="F2283" s="11"/>
      <c r="G2283" s="19"/>
      <c r="H2283" s="20"/>
      <c r="I2283" s="21"/>
      <c r="K2283" s="5"/>
      <c r="S2283" s="5"/>
      <c r="T2283" s="5"/>
    </row>
    <row r="2284" spans="6:20" ht="12.75">
      <c r="F2284" s="11"/>
      <c r="G2284" s="19"/>
      <c r="H2284" s="20"/>
      <c r="I2284" s="21"/>
      <c r="K2284" s="5"/>
      <c r="S2284" s="5"/>
      <c r="T2284" s="5"/>
    </row>
    <row r="2285" spans="6:20" ht="12.75">
      <c r="F2285" s="11"/>
      <c r="G2285" s="19"/>
      <c r="H2285" s="20"/>
      <c r="I2285" s="21"/>
      <c r="K2285" s="5"/>
      <c r="S2285" s="5"/>
      <c r="T2285" s="5"/>
    </row>
    <row r="2286" spans="6:20" ht="12.75">
      <c r="F2286" s="11"/>
      <c r="G2286" s="19"/>
      <c r="H2286" s="20"/>
      <c r="I2286" s="21"/>
      <c r="K2286" s="5"/>
      <c r="S2286" s="5"/>
      <c r="T2286" s="5"/>
    </row>
    <row r="2287" spans="6:20" ht="12.75">
      <c r="F2287" s="11"/>
      <c r="G2287" s="19"/>
      <c r="H2287" s="20"/>
      <c r="I2287" s="21"/>
      <c r="K2287" s="5"/>
      <c r="S2287" s="5"/>
      <c r="T2287" s="5"/>
    </row>
    <row r="2288" spans="6:20" ht="12.75">
      <c r="F2288" s="11"/>
      <c r="G2288" s="19"/>
      <c r="H2288" s="20"/>
      <c r="I2288" s="21"/>
      <c r="K2288" s="5"/>
      <c r="S2288" s="5"/>
      <c r="T2288" s="5"/>
    </row>
    <row r="2289" spans="6:20" ht="12.75">
      <c r="F2289" s="11"/>
      <c r="G2289" s="19"/>
      <c r="H2289" s="20"/>
      <c r="I2289" s="21"/>
      <c r="K2289" s="5"/>
      <c r="S2289" s="5"/>
      <c r="T2289" s="5"/>
    </row>
    <row r="2290" spans="6:20" ht="12.75">
      <c r="F2290" s="11"/>
      <c r="G2290" s="19"/>
      <c r="H2290" s="20"/>
      <c r="I2290" s="21"/>
      <c r="K2290" s="5"/>
      <c r="S2290" s="5"/>
      <c r="T2290" s="5"/>
    </row>
    <row r="2291" spans="6:20" ht="12.75">
      <c r="F2291" s="11"/>
      <c r="G2291" s="19"/>
      <c r="H2291" s="20"/>
      <c r="I2291" s="21"/>
      <c r="K2291" s="5"/>
      <c r="S2291" s="5"/>
      <c r="T2291" s="5"/>
    </row>
    <row r="2292" spans="6:20" ht="12.75">
      <c r="F2292" s="11"/>
      <c r="G2292" s="19"/>
      <c r="H2292" s="20"/>
      <c r="I2292" s="21"/>
      <c r="K2292" s="5"/>
      <c r="S2292" s="5"/>
      <c r="T2292" s="5"/>
    </row>
    <row r="2293" spans="6:20" ht="12.75">
      <c r="F2293" s="11"/>
      <c r="G2293" s="19"/>
      <c r="H2293" s="20"/>
      <c r="I2293" s="21"/>
      <c r="K2293" s="5"/>
      <c r="S2293" s="5"/>
      <c r="T2293" s="5"/>
    </row>
    <row r="2294" spans="6:20" ht="12.75">
      <c r="F2294" s="11"/>
      <c r="G2294" s="19"/>
      <c r="H2294" s="20"/>
      <c r="I2294" s="21"/>
      <c r="K2294" s="5"/>
      <c r="S2294" s="5"/>
      <c r="T2294" s="5"/>
    </row>
    <row r="2295" spans="6:20" ht="12.75">
      <c r="F2295" s="11"/>
      <c r="G2295" s="19"/>
      <c r="H2295" s="20"/>
      <c r="I2295" s="21"/>
      <c r="K2295" s="5"/>
      <c r="S2295" s="5"/>
      <c r="T2295" s="5"/>
    </row>
    <row r="2296" spans="6:20" ht="12.75">
      <c r="F2296" s="11"/>
      <c r="G2296" s="19"/>
      <c r="H2296" s="20"/>
      <c r="I2296" s="21"/>
      <c r="K2296" s="5"/>
      <c r="S2296" s="5"/>
      <c r="T2296" s="5"/>
    </row>
    <row r="2297" spans="6:20" ht="12.75">
      <c r="F2297" s="11"/>
      <c r="G2297" s="19"/>
      <c r="H2297" s="20"/>
      <c r="I2297" s="21"/>
      <c r="K2297" s="5"/>
      <c r="S2297" s="5"/>
      <c r="T2297" s="5"/>
    </row>
    <row r="2298" spans="6:20" ht="12.75">
      <c r="F2298" s="11"/>
      <c r="G2298" s="19"/>
      <c r="H2298" s="20"/>
      <c r="I2298" s="21"/>
      <c r="K2298" s="5"/>
      <c r="S2298" s="5"/>
      <c r="T2298" s="5"/>
    </row>
    <row r="2299" spans="6:20" ht="12.75">
      <c r="F2299" s="11"/>
      <c r="G2299" s="19"/>
      <c r="H2299" s="20"/>
      <c r="I2299" s="21"/>
      <c r="K2299" s="5"/>
      <c r="S2299" s="5"/>
      <c r="T2299" s="5"/>
    </row>
    <row r="2300" spans="6:20" ht="12.75">
      <c r="F2300" s="11"/>
      <c r="G2300" s="19"/>
      <c r="H2300" s="20"/>
      <c r="I2300" s="21"/>
      <c r="K2300" s="5"/>
      <c r="S2300" s="5"/>
      <c r="T2300" s="5"/>
    </row>
    <row r="2301" spans="6:20" ht="12.75">
      <c r="F2301" s="11"/>
      <c r="G2301" s="19"/>
      <c r="H2301" s="20"/>
      <c r="I2301" s="21"/>
      <c r="K2301" s="5"/>
      <c r="S2301" s="5"/>
      <c r="T2301" s="5"/>
    </row>
    <row r="2302" spans="6:20" ht="12.75">
      <c r="F2302" s="11"/>
      <c r="G2302" s="19"/>
      <c r="H2302" s="20"/>
      <c r="I2302" s="21"/>
      <c r="K2302" s="5"/>
      <c r="S2302" s="5"/>
      <c r="T2302" s="5"/>
    </row>
    <row r="2303" spans="6:20" ht="12.75">
      <c r="F2303" s="11"/>
      <c r="G2303" s="19"/>
      <c r="H2303" s="20"/>
      <c r="I2303" s="21"/>
      <c r="K2303" s="5"/>
      <c r="S2303" s="5"/>
      <c r="T2303" s="5"/>
    </row>
    <row r="2304" spans="6:20" ht="12.75">
      <c r="F2304" s="11"/>
      <c r="G2304" s="19"/>
      <c r="H2304" s="20"/>
      <c r="I2304" s="21"/>
      <c r="K2304" s="5"/>
      <c r="S2304" s="5"/>
      <c r="T2304" s="5"/>
    </row>
    <row r="2305" spans="6:20" ht="12.75">
      <c r="F2305" s="11"/>
      <c r="G2305" s="19"/>
      <c r="H2305" s="20"/>
      <c r="I2305" s="21"/>
      <c r="K2305" s="5"/>
      <c r="S2305" s="5"/>
      <c r="T2305" s="5"/>
    </row>
    <row r="2306" spans="6:20" ht="12.75">
      <c r="F2306" s="11"/>
      <c r="G2306" s="19"/>
      <c r="H2306" s="20"/>
      <c r="I2306" s="21"/>
      <c r="K2306" s="5"/>
      <c r="S2306" s="5"/>
      <c r="T2306" s="5"/>
    </row>
    <row r="2307" spans="6:20" ht="12.75">
      <c r="F2307" s="11"/>
      <c r="G2307" s="19"/>
      <c r="H2307" s="20"/>
      <c r="I2307" s="21"/>
      <c r="K2307" s="5"/>
      <c r="S2307" s="5"/>
      <c r="T2307" s="5"/>
    </row>
    <row r="2308" spans="6:20" ht="12.75">
      <c r="F2308" s="11"/>
      <c r="G2308" s="19"/>
      <c r="H2308" s="20"/>
      <c r="I2308" s="21"/>
      <c r="K2308" s="5"/>
      <c r="S2308" s="5"/>
      <c r="T2308" s="5"/>
    </row>
    <row r="2309" spans="6:20" ht="12.75">
      <c r="F2309" s="11"/>
      <c r="G2309" s="19"/>
      <c r="H2309" s="20"/>
      <c r="I2309" s="21"/>
      <c r="K2309" s="5"/>
      <c r="S2309" s="5"/>
      <c r="T2309" s="5"/>
    </row>
    <row r="2310" spans="6:20" ht="12.75">
      <c r="F2310" s="11"/>
      <c r="G2310" s="19"/>
      <c r="H2310" s="20"/>
      <c r="I2310" s="21"/>
      <c r="K2310" s="5"/>
      <c r="S2310" s="5"/>
      <c r="T2310" s="5"/>
    </row>
    <row r="2311" spans="6:20" ht="12.75">
      <c r="F2311" s="11"/>
      <c r="G2311" s="19"/>
      <c r="H2311" s="20"/>
      <c r="I2311" s="21"/>
      <c r="K2311" s="5"/>
      <c r="S2311" s="5"/>
      <c r="T2311" s="5"/>
    </row>
    <row r="2312" spans="6:20" ht="12.75">
      <c r="F2312" s="11"/>
      <c r="G2312" s="19"/>
      <c r="H2312" s="20"/>
      <c r="I2312" s="21"/>
      <c r="K2312" s="5"/>
      <c r="S2312" s="5"/>
      <c r="T2312" s="5"/>
    </row>
    <row r="2313" spans="6:20" ht="12.75">
      <c r="F2313" s="11"/>
      <c r="G2313" s="19"/>
      <c r="H2313" s="20"/>
      <c r="I2313" s="21"/>
      <c r="K2313" s="5"/>
      <c r="S2313" s="5"/>
      <c r="T2313" s="5"/>
    </row>
    <row r="2314" spans="6:20" ht="12.75">
      <c r="F2314" s="11"/>
      <c r="G2314" s="19"/>
      <c r="H2314" s="20"/>
      <c r="I2314" s="21"/>
      <c r="K2314" s="5"/>
      <c r="S2314" s="5"/>
      <c r="T2314" s="5"/>
    </row>
    <row r="2315" spans="6:20" ht="12.75">
      <c r="F2315" s="11"/>
      <c r="G2315" s="19"/>
      <c r="H2315" s="20"/>
      <c r="I2315" s="21"/>
      <c r="K2315" s="5"/>
      <c r="S2315" s="5"/>
      <c r="T2315" s="5"/>
    </row>
    <row r="2316" spans="6:20" ht="12.75">
      <c r="F2316" s="11"/>
      <c r="G2316" s="19"/>
      <c r="H2316" s="20"/>
      <c r="I2316" s="21"/>
      <c r="K2316" s="5"/>
      <c r="S2316" s="5"/>
      <c r="T2316" s="5"/>
    </row>
    <row r="2317" spans="6:20" ht="12.75">
      <c r="F2317" s="11"/>
      <c r="G2317" s="19"/>
      <c r="H2317" s="20"/>
      <c r="I2317" s="21"/>
      <c r="K2317" s="5"/>
      <c r="S2317" s="5"/>
      <c r="T2317" s="5"/>
    </row>
    <row r="2318" spans="6:20" ht="12.75">
      <c r="F2318" s="11"/>
      <c r="G2318" s="19"/>
      <c r="H2318" s="20"/>
      <c r="I2318" s="21"/>
      <c r="K2318" s="5"/>
      <c r="S2318" s="5"/>
      <c r="T2318" s="5"/>
    </row>
    <row r="2319" spans="6:20" ht="12.75">
      <c r="F2319" s="11"/>
      <c r="G2319" s="19"/>
      <c r="H2319" s="20"/>
      <c r="I2319" s="21"/>
      <c r="K2319" s="5"/>
      <c r="S2319" s="5"/>
      <c r="T2319" s="5"/>
    </row>
    <row r="2320" spans="6:20" ht="12.75">
      <c r="F2320" s="11"/>
      <c r="G2320" s="19"/>
      <c r="H2320" s="20"/>
      <c r="I2320" s="21"/>
      <c r="K2320" s="5"/>
      <c r="S2320" s="5"/>
      <c r="T2320" s="5"/>
    </row>
    <row r="2321" spans="6:20" ht="12.75">
      <c r="F2321" s="11"/>
      <c r="G2321" s="19"/>
      <c r="H2321" s="20"/>
      <c r="I2321" s="21"/>
      <c r="K2321" s="5"/>
      <c r="S2321" s="5"/>
      <c r="T2321" s="5"/>
    </row>
    <row r="2322" spans="6:20" ht="12.75">
      <c r="F2322" s="11"/>
      <c r="G2322" s="19"/>
      <c r="H2322" s="20"/>
      <c r="I2322" s="21"/>
      <c r="K2322" s="5"/>
      <c r="S2322" s="5"/>
      <c r="T2322" s="5"/>
    </row>
    <row r="2323" spans="6:20" ht="12.75">
      <c r="F2323" s="11"/>
      <c r="G2323" s="19"/>
      <c r="H2323" s="20"/>
      <c r="I2323" s="21"/>
      <c r="K2323" s="5"/>
      <c r="S2323" s="5"/>
      <c r="T2323" s="5"/>
    </row>
    <row r="2324" spans="6:20" ht="12.75">
      <c r="F2324" s="11"/>
      <c r="G2324" s="19"/>
      <c r="H2324" s="20"/>
      <c r="I2324" s="21"/>
      <c r="K2324" s="5"/>
      <c r="S2324" s="5"/>
      <c r="T2324" s="5"/>
    </row>
    <row r="2325" spans="6:20" ht="12.75">
      <c r="F2325" s="11"/>
      <c r="G2325" s="19"/>
      <c r="H2325" s="20"/>
      <c r="I2325" s="21"/>
      <c r="K2325" s="5"/>
      <c r="S2325" s="5"/>
      <c r="T2325" s="5"/>
    </row>
    <row r="2326" spans="6:20" ht="12.75">
      <c r="F2326" s="11"/>
      <c r="G2326" s="19"/>
      <c r="H2326" s="20"/>
      <c r="I2326" s="21"/>
      <c r="K2326" s="5"/>
      <c r="S2326" s="5"/>
      <c r="T2326" s="5"/>
    </row>
    <row r="2327" spans="6:20" ht="12.75">
      <c r="F2327" s="11"/>
      <c r="G2327" s="19"/>
      <c r="H2327" s="20"/>
      <c r="I2327" s="21"/>
      <c r="K2327" s="5"/>
      <c r="S2327" s="5"/>
      <c r="T2327" s="5"/>
    </row>
    <row r="2328" spans="6:20" ht="12.75">
      <c r="F2328" s="11"/>
      <c r="G2328" s="19"/>
      <c r="H2328" s="20"/>
      <c r="I2328" s="21"/>
      <c r="K2328" s="5"/>
      <c r="S2328" s="5"/>
      <c r="T2328" s="5"/>
    </row>
    <row r="2329" spans="6:20" ht="12.75">
      <c r="F2329" s="11"/>
      <c r="G2329" s="19"/>
      <c r="H2329" s="20"/>
      <c r="I2329" s="21"/>
      <c r="K2329" s="5"/>
      <c r="S2329" s="5"/>
      <c r="T2329" s="5"/>
    </row>
    <row r="2330" spans="6:20" ht="12.75">
      <c r="F2330" s="11"/>
      <c r="G2330" s="19"/>
      <c r="H2330" s="20"/>
      <c r="I2330" s="21"/>
      <c r="K2330" s="5"/>
      <c r="S2330" s="5"/>
      <c r="T2330" s="5"/>
    </row>
    <row r="2331" spans="6:20" ht="12.75">
      <c r="F2331" s="11"/>
      <c r="G2331" s="19"/>
      <c r="H2331" s="20"/>
      <c r="I2331" s="21"/>
      <c r="K2331" s="5"/>
      <c r="S2331" s="5"/>
      <c r="T2331" s="5"/>
    </row>
    <row r="2332" spans="6:20" ht="12.75">
      <c r="F2332" s="11"/>
      <c r="G2332" s="19"/>
      <c r="H2332" s="20"/>
      <c r="I2332" s="21"/>
      <c r="K2332" s="5"/>
      <c r="S2332" s="5"/>
      <c r="T2332" s="5"/>
    </row>
    <row r="2333" spans="6:20" ht="12.75">
      <c r="F2333" s="11"/>
      <c r="G2333" s="19"/>
      <c r="H2333" s="20"/>
      <c r="I2333" s="21"/>
      <c r="K2333" s="5"/>
      <c r="S2333" s="5"/>
      <c r="T2333" s="5"/>
    </row>
    <row r="2334" spans="6:20" ht="12.75">
      <c r="F2334" s="11"/>
      <c r="G2334" s="19"/>
      <c r="H2334" s="20"/>
      <c r="I2334" s="21"/>
      <c r="K2334" s="5"/>
      <c r="S2334" s="5"/>
      <c r="T2334" s="5"/>
    </row>
    <row r="2335" spans="6:20" ht="12.75">
      <c r="F2335" s="11"/>
      <c r="G2335" s="19"/>
      <c r="H2335" s="20"/>
      <c r="I2335" s="21"/>
      <c r="K2335" s="5"/>
      <c r="S2335" s="5"/>
      <c r="T2335" s="5"/>
    </row>
    <row r="2336" spans="6:20" ht="12.75">
      <c r="F2336" s="11"/>
      <c r="G2336" s="19"/>
      <c r="H2336" s="20"/>
      <c r="I2336" s="21"/>
      <c r="K2336" s="5"/>
      <c r="S2336" s="5"/>
      <c r="T2336" s="5"/>
    </row>
    <row r="2337" spans="6:20" ht="12.75">
      <c r="F2337" s="11"/>
      <c r="G2337" s="19"/>
      <c r="H2337" s="20"/>
      <c r="I2337" s="21"/>
      <c r="K2337" s="5"/>
      <c r="S2337" s="5"/>
      <c r="T2337" s="5"/>
    </row>
    <row r="2338" spans="6:20" ht="12.75">
      <c r="F2338" s="11"/>
      <c r="G2338" s="19"/>
      <c r="H2338" s="20"/>
      <c r="I2338" s="21"/>
      <c r="K2338" s="5"/>
      <c r="S2338" s="5"/>
      <c r="T2338" s="5"/>
    </row>
    <row r="2339" spans="6:20" ht="12.75">
      <c r="F2339" s="11"/>
      <c r="G2339" s="19"/>
      <c r="H2339" s="20"/>
      <c r="I2339" s="21"/>
      <c r="K2339" s="5"/>
      <c r="S2339" s="5"/>
      <c r="T2339" s="5"/>
    </row>
    <row r="2340" spans="6:20" ht="12.75">
      <c r="F2340" s="11"/>
      <c r="G2340" s="19"/>
      <c r="H2340" s="20"/>
      <c r="I2340" s="21"/>
      <c r="K2340" s="5"/>
      <c r="S2340" s="5"/>
      <c r="T2340" s="5"/>
    </row>
    <row r="2341" spans="6:20" ht="12.75">
      <c r="F2341" s="11"/>
      <c r="G2341" s="19"/>
      <c r="H2341" s="20"/>
      <c r="I2341" s="21"/>
      <c r="K2341" s="5"/>
      <c r="S2341" s="5"/>
      <c r="T2341" s="5"/>
    </row>
    <row r="2342" spans="6:20" ht="12.75">
      <c r="F2342" s="11"/>
      <c r="G2342" s="19"/>
      <c r="H2342" s="20"/>
      <c r="I2342" s="21"/>
      <c r="K2342" s="5"/>
      <c r="S2342" s="5"/>
      <c r="T2342" s="5"/>
    </row>
    <row r="2343" spans="6:20" ht="12.75">
      <c r="F2343" s="11"/>
      <c r="G2343" s="19"/>
      <c r="H2343" s="20"/>
      <c r="I2343" s="21"/>
      <c r="K2343" s="5"/>
      <c r="S2343" s="5"/>
      <c r="T2343" s="5"/>
    </row>
    <row r="2344" spans="6:20" ht="12.75">
      <c r="F2344" s="11"/>
      <c r="G2344" s="19"/>
      <c r="H2344" s="20"/>
      <c r="I2344" s="21"/>
      <c r="K2344" s="5"/>
      <c r="S2344" s="5"/>
      <c r="T2344" s="5"/>
    </row>
    <row r="2345" spans="6:20" ht="12.75">
      <c r="F2345" s="11"/>
      <c r="G2345" s="19"/>
      <c r="H2345" s="20"/>
      <c r="I2345" s="21"/>
      <c r="K2345" s="5"/>
      <c r="S2345" s="5"/>
      <c r="T2345" s="5"/>
    </row>
    <row r="2346" spans="6:20" ht="12.75">
      <c r="F2346" s="11"/>
      <c r="G2346" s="19"/>
      <c r="H2346" s="20"/>
      <c r="I2346" s="21"/>
      <c r="K2346" s="5"/>
      <c r="S2346" s="5"/>
      <c r="T2346" s="5"/>
    </row>
    <row r="2347" spans="6:20" ht="12.75">
      <c r="F2347" s="11"/>
      <c r="G2347" s="19"/>
      <c r="H2347" s="20"/>
      <c r="I2347" s="21"/>
      <c r="K2347" s="5"/>
      <c r="S2347" s="5"/>
      <c r="T2347" s="5"/>
    </row>
    <row r="2348" spans="6:20" ht="12.75">
      <c r="F2348" s="11"/>
      <c r="G2348" s="19"/>
      <c r="H2348" s="20"/>
      <c r="I2348" s="21"/>
      <c r="K2348" s="5"/>
      <c r="S2348" s="5"/>
      <c r="T2348" s="5"/>
    </row>
    <row r="2349" spans="6:20" ht="12.75">
      <c r="F2349" s="11"/>
      <c r="G2349" s="19"/>
      <c r="H2349" s="20"/>
      <c r="I2349" s="21"/>
      <c r="K2349" s="5"/>
      <c r="S2349" s="5"/>
      <c r="T2349" s="5"/>
    </row>
    <row r="2350" spans="6:20" ht="12.75">
      <c r="F2350" s="11"/>
      <c r="G2350" s="19"/>
      <c r="H2350" s="20"/>
      <c r="I2350" s="21"/>
      <c r="K2350" s="5"/>
      <c r="S2350" s="5"/>
      <c r="T2350" s="5"/>
    </row>
    <row r="2351" spans="6:20" ht="12.75">
      <c r="F2351" s="11"/>
      <c r="G2351" s="19"/>
      <c r="H2351" s="20"/>
      <c r="I2351" s="21"/>
      <c r="K2351" s="5"/>
      <c r="S2351" s="5"/>
      <c r="T2351" s="5"/>
    </row>
    <row r="2352" spans="6:20" ht="12.75">
      <c r="F2352" s="11"/>
      <c r="G2352" s="19"/>
      <c r="H2352" s="20"/>
      <c r="I2352" s="21"/>
      <c r="K2352" s="5"/>
      <c r="S2352" s="5"/>
      <c r="T2352" s="5"/>
    </row>
    <row r="2353" spans="6:20" ht="12.75">
      <c r="F2353" s="11"/>
      <c r="G2353" s="19"/>
      <c r="H2353" s="20"/>
      <c r="I2353" s="21"/>
      <c r="K2353" s="5"/>
      <c r="S2353" s="5"/>
      <c r="T2353" s="5"/>
    </row>
    <row r="2354" spans="6:20" ht="12.75">
      <c r="F2354" s="11"/>
      <c r="G2354" s="19"/>
      <c r="H2354" s="20"/>
      <c r="I2354" s="21"/>
      <c r="K2354" s="5"/>
      <c r="S2354" s="5"/>
      <c r="T2354" s="5"/>
    </row>
    <row r="2355" spans="6:20" ht="12.75">
      <c r="F2355" s="11"/>
      <c r="G2355" s="19"/>
      <c r="H2355" s="20"/>
      <c r="I2355" s="21"/>
      <c r="K2355" s="5"/>
      <c r="S2355" s="5"/>
      <c r="T2355" s="5"/>
    </row>
    <row r="2356" spans="6:20" ht="12.75">
      <c r="F2356" s="11"/>
      <c r="G2356" s="19"/>
      <c r="H2356" s="20"/>
      <c r="I2356" s="21"/>
      <c r="K2356" s="5"/>
      <c r="S2356" s="5"/>
      <c r="T2356" s="5"/>
    </row>
    <row r="2357" spans="6:20" ht="12.75">
      <c r="F2357" s="11"/>
      <c r="G2357" s="19"/>
      <c r="H2357" s="20"/>
      <c r="I2357" s="21"/>
      <c r="K2357" s="5"/>
      <c r="S2357" s="5"/>
      <c r="T2357" s="5"/>
    </row>
    <row r="2358" spans="6:20" ht="12.75">
      <c r="F2358" s="11"/>
      <c r="G2358" s="19"/>
      <c r="H2358" s="20"/>
      <c r="I2358" s="21"/>
      <c r="K2358" s="5"/>
      <c r="S2358" s="5"/>
      <c r="T2358" s="5"/>
    </row>
    <row r="2359" spans="6:20" ht="12.75">
      <c r="F2359" s="11"/>
      <c r="G2359" s="19"/>
      <c r="H2359" s="20"/>
      <c r="I2359" s="21"/>
      <c r="K2359" s="5"/>
      <c r="S2359" s="5"/>
      <c r="T2359" s="5"/>
    </row>
    <row r="2360" spans="6:20" ht="12.75">
      <c r="F2360" s="11"/>
      <c r="G2360" s="19"/>
      <c r="H2360" s="20"/>
      <c r="I2360" s="21"/>
      <c r="K2360" s="5"/>
      <c r="S2360" s="5"/>
      <c r="T2360" s="5"/>
    </row>
    <row r="2361" spans="6:20" ht="12.75">
      <c r="F2361" s="11"/>
      <c r="G2361" s="19"/>
      <c r="H2361" s="20"/>
      <c r="I2361" s="21"/>
      <c r="K2361" s="5"/>
      <c r="S2361" s="5"/>
      <c r="T2361" s="5"/>
    </row>
    <row r="2362" spans="6:20" ht="12.75">
      <c r="F2362" s="11"/>
      <c r="G2362" s="19"/>
      <c r="H2362" s="20"/>
      <c r="I2362" s="21"/>
      <c r="K2362" s="5"/>
      <c r="S2362" s="5"/>
      <c r="T2362" s="5"/>
    </row>
    <row r="2363" spans="6:20" ht="12.75">
      <c r="F2363" s="11"/>
      <c r="G2363" s="19"/>
      <c r="H2363" s="20"/>
      <c r="I2363" s="21"/>
      <c r="K2363" s="5"/>
      <c r="S2363" s="5"/>
      <c r="T2363" s="5"/>
    </row>
    <row r="2364" spans="6:20" ht="12.75">
      <c r="F2364" s="11"/>
      <c r="G2364" s="19"/>
      <c r="H2364" s="20"/>
      <c r="I2364" s="21"/>
      <c r="K2364" s="5"/>
      <c r="S2364" s="5"/>
      <c r="T2364" s="5"/>
    </row>
    <row r="2365" spans="6:20" ht="12.75">
      <c r="F2365" s="11"/>
      <c r="G2365" s="19"/>
      <c r="H2365" s="20"/>
      <c r="I2365" s="21"/>
      <c r="K2365" s="5"/>
      <c r="S2365" s="5"/>
      <c r="T2365" s="5"/>
    </row>
    <row r="2366" spans="6:20" ht="12.75">
      <c r="F2366" s="11"/>
      <c r="G2366" s="19"/>
      <c r="H2366" s="20"/>
      <c r="I2366" s="21"/>
      <c r="K2366" s="5"/>
      <c r="S2366" s="5"/>
      <c r="T2366" s="5"/>
    </row>
    <row r="2367" spans="6:20" ht="12.75">
      <c r="F2367" s="11"/>
      <c r="G2367" s="19"/>
      <c r="H2367" s="20"/>
      <c r="I2367" s="21"/>
      <c r="K2367" s="5"/>
      <c r="S2367" s="5"/>
      <c r="T2367" s="5"/>
    </row>
    <row r="2368" spans="6:20" ht="12.75">
      <c r="F2368" s="11"/>
      <c r="G2368" s="19"/>
      <c r="H2368" s="20"/>
      <c r="I2368" s="21"/>
      <c r="K2368" s="5"/>
      <c r="S2368" s="5"/>
      <c r="T2368" s="5"/>
    </row>
    <row r="2369" spans="6:20" ht="12.75">
      <c r="F2369" s="11"/>
      <c r="G2369" s="19"/>
      <c r="H2369" s="20"/>
      <c r="I2369" s="21"/>
      <c r="K2369" s="5"/>
      <c r="S2369" s="5"/>
      <c r="T2369" s="5"/>
    </row>
    <row r="2370" spans="6:20" ht="12.75">
      <c r="F2370" s="11"/>
      <c r="G2370" s="19"/>
      <c r="H2370" s="20"/>
      <c r="I2370" s="21"/>
      <c r="K2370" s="5"/>
      <c r="S2370" s="5"/>
      <c r="T2370" s="5"/>
    </row>
    <row r="2371" spans="6:20" ht="12.75">
      <c r="F2371" s="11"/>
      <c r="G2371" s="19"/>
      <c r="H2371" s="20"/>
      <c r="I2371" s="21"/>
      <c r="K2371" s="5"/>
      <c r="S2371" s="5"/>
      <c r="T2371" s="5"/>
    </row>
    <row r="2372" spans="6:20" ht="12.75">
      <c r="F2372" s="11"/>
      <c r="G2372" s="19"/>
      <c r="H2372" s="20"/>
      <c r="I2372" s="21"/>
      <c r="K2372" s="5"/>
      <c r="S2372" s="5"/>
      <c r="T2372" s="5"/>
    </row>
    <row r="2373" spans="6:20" ht="12.75">
      <c r="F2373" s="11"/>
      <c r="G2373" s="19"/>
      <c r="H2373" s="20"/>
      <c r="I2373" s="21"/>
      <c r="K2373" s="5"/>
      <c r="S2373" s="5"/>
      <c r="T2373" s="5"/>
    </row>
    <row r="2374" spans="6:20" ht="12.75">
      <c r="F2374" s="11"/>
      <c r="G2374" s="19"/>
      <c r="H2374" s="20"/>
      <c r="I2374" s="21"/>
      <c r="K2374" s="5"/>
      <c r="S2374" s="5"/>
      <c r="T2374" s="5"/>
    </row>
    <row r="2375" spans="6:20" ht="12.75">
      <c r="F2375" s="11"/>
      <c r="G2375" s="19"/>
      <c r="H2375" s="20"/>
      <c r="I2375" s="21"/>
      <c r="K2375" s="5"/>
      <c r="S2375" s="5"/>
      <c r="T2375" s="5"/>
    </row>
    <row r="2376" spans="6:20" ht="12.75">
      <c r="F2376" s="11"/>
      <c r="G2376" s="19"/>
      <c r="H2376" s="20"/>
      <c r="I2376" s="21"/>
      <c r="K2376" s="5"/>
      <c r="S2376" s="5"/>
      <c r="T2376" s="5"/>
    </row>
    <row r="2377" spans="6:20" ht="12.75">
      <c r="F2377" s="11"/>
      <c r="G2377" s="19"/>
      <c r="H2377" s="20"/>
      <c r="I2377" s="21"/>
      <c r="K2377" s="5"/>
      <c r="S2377" s="5"/>
      <c r="T2377" s="5"/>
    </row>
    <row r="2378" spans="6:20" ht="12.75">
      <c r="F2378" s="11"/>
      <c r="G2378" s="19"/>
      <c r="H2378" s="20"/>
      <c r="I2378" s="21"/>
      <c r="K2378" s="5"/>
      <c r="S2378" s="5"/>
      <c r="T2378" s="5"/>
    </row>
    <row r="2379" spans="6:20" ht="12.75">
      <c r="F2379" s="11"/>
      <c r="G2379" s="19"/>
      <c r="H2379" s="20"/>
      <c r="I2379" s="21"/>
      <c r="K2379" s="5"/>
      <c r="S2379" s="5"/>
      <c r="T2379" s="5"/>
    </row>
    <row r="2380" spans="6:20" ht="12.75">
      <c r="F2380" s="11"/>
      <c r="G2380" s="19"/>
      <c r="H2380" s="20"/>
      <c r="I2380" s="21"/>
      <c r="K2380" s="5"/>
      <c r="S2380" s="5"/>
      <c r="T2380" s="5"/>
    </row>
    <row r="2381" spans="6:20" ht="12.75">
      <c r="F2381" s="11"/>
      <c r="G2381" s="19"/>
      <c r="H2381" s="20"/>
      <c r="I2381" s="21"/>
      <c r="K2381" s="5"/>
      <c r="S2381" s="5"/>
      <c r="T2381" s="5"/>
    </row>
    <row r="2382" spans="6:20" ht="12.75">
      <c r="F2382" s="11"/>
      <c r="G2382" s="19"/>
      <c r="H2382" s="20"/>
      <c r="I2382" s="21"/>
      <c r="K2382" s="5"/>
      <c r="S2382" s="5"/>
      <c r="T2382" s="5"/>
    </row>
    <row r="2383" spans="6:20" ht="12.75">
      <c r="F2383" s="11"/>
      <c r="G2383" s="19"/>
      <c r="H2383" s="20"/>
      <c r="I2383" s="21"/>
      <c r="K2383" s="5"/>
      <c r="S2383" s="5"/>
      <c r="T2383" s="5"/>
    </row>
    <row r="2384" spans="6:20" ht="12.75">
      <c r="F2384" s="11"/>
      <c r="G2384" s="19"/>
      <c r="H2384" s="20"/>
      <c r="I2384" s="21"/>
      <c r="K2384" s="5"/>
      <c r="S2384" s="5"/>
      <c r="T2384" s="5"/>
    </row>
    <row r="2385" spans="6:20" ht="12.75">
      <c r="F2385" s="11"/>
      <c r="G2385" s="19"/>
      <c r="H2385" s="20"/>
      <c r="I2385" s="21"/>
      <c r="K2385" s="5"/>
      <c r="S2385" s="5"/>
      <c r="T2385" s="5"/>
    </row>
    <row r="2386" spans="6:20" ht="12.75">
      <c r="F2386" s="11"/>
      <c r="G2386" s="19"/>
      <c r="H2386" s="20"/>
      <c r="I2386" s="21"/>
      <c r="K2386" s="5"/>
      <c r="S2386" s="5"/>
      <c r="T2386" s="5"/>
    </row>
    <row r="2387" spans="6:20" ht="12.75">
      <c r="F2387" s="11"/>
      <c r="G2387" s="19"/>
      <c r="H2387" s="20"/>
      <c r="I2387" s="21"/>
      <c r="K2387" s="5"/>
      <c r="S2387" s="5"/>
      <c r="T2387" s="5"/>
    </row>
    <row r="2388" spans="6:20" ht="12.75">
      <c r="F2388" s="11"/>
      <c r="G2388" s="19"/>
      <c r="H2388" s="20"/>
      <c r="I2388" s="21"/>
      <c r="K2388" s="5"/>
      <c r="S2388" s="5"/>
      <c r="T2388" s="5"/>
    </row>
    <row r="2389" spans="6:20" ht="12.75">
      <c r="F2389" s="11"/>
      <c r="G2389" s="19"/>
      <c r="H2389" s="20"/>
      <c r="I2389" s="21"/>
      <c r="K2389" s="5"/>
      <c r="S2389" s="5"/>
      <c r="T2389" s="5"/>
    </row>
    <row r="2390" spans="6:20" ht="12.75">
      <c r="F2390" s="11"/>
      <c r="G2390" s="19"/>
      <c r="H2390" s="20"/>
      <c r="I2390" s="21"/>
      <c r="K2390" s="5"/>
      <c r="S2390" s="5"/>
      <c r="T2390" s="5"/>
    </row>
    <row r="2391" spans="6:20" ht="12.75">
      <c r="F2391" s="11"/>
      <c r="G2391" s="19"/>
      <c r="H2391" s="20"/>
      <c r="I2391" s="21"/>
      <c r="K2391" s="5"/>
      <c r="S2391" s="5"/>
      <c r="T2391" s="5"/>
    </row>
    <row r="2392" spans="6:20" ht="12.75">
      <c r="F2392" s="11"/>
      <c r="G2392" s="19"/>
      <c r="H2392" s="20"/>
      <c r="I2392" s="21"/>
      <c r="K2392" s="5"/>
      <c r="S2392" s="5"/>
      <c r="T2392" s="5"/>
    </row>
    <row r="2393" spans="6:20" ht="12.75">
      <c r="F2393" s="11"/>
      <c r="G2393" s="19"/>
      <c r="H2393" s="20"/>
      <c r="I2393" s="21"/>
      <c r="K2393" s="5"/>
      <c r="S2393" s="5"/>
      <c r="T2393" s="5"/>
    </row>
    <row r="2394" spans="6:20" ht="12.75">
      <c r="F2394" s="11"/>
      <c r="G2394" s="19"/>
      <c r="H2394" s="20"/>
      <c r="I2394" s="21"/>
      <c r="K2394" s="5"/>
      <c r="S2394" s="5"/>
      <c r="T2394" s="5"/>
    </row>
    <row r="2395" spans="6:20" ht="12.75">
      <c r="F2395" s="11"/>
      <c r="G2395" s="19"/>
      <c r="H2395" s="20"/>
      <c r="I2395" s="21"/>
      <c r="K2395" s="5"/>
      <c r="S2395" s="5"/>
      <c r="T2395" s="5"/>
    </row>
    <row r="2396" spans="6:20" ht="12.75">
      <c r="F2396" s="11"/>
      <c r="G2396" s="19"/>
      <c r="H2396" s="20"/>
      <c r="I2396" s="21"/>
      <c r="K2396" s="5"/>
      <c r="S2396" s="5"/>
      <c r="T2396" s="5"/>
    </row>
    <row r="2397" spans="6:20" ht="12.75">
      <c r="F2397" s="11"/>
      <c r="G2397" s="19"/>
      <c r="H2397" s="20"/>
      <c r="I2397" s="21"/>
      <c r="K2397" s="5"/>
      <c r="S2397" s="5"/>
      <c r="T2397" s="5"/>
    </row>
    <row r="2398" spans="6:20" ht="12.75">
      <c r="F2398" s="11"/>
      <c r="G2398" s="19"/>
      <c r="H2398" s="20"/>
      <c r="I2398" s="21"/>
      <c r="K2398" s="5"/>
      <c r="S2398" s="5"/>
      <c r="T2398" s="5"/>
    </row>
    <row r="2399" spans="6:20" ht="12.75">
      <c r="F2399" s="11"/>
      <c r="G2399" s="19"/>
      <c r="H2399" s="20"/>
      <c r="I2399" s="21"/>
      <c r="K2399" s="5"/>
      <c r="S2399" s="5"/>
      <c r="T2399" s="5"/>
    </row>
    <row r="2400" spans="6:20" ht="12.75">
      <c r="F2400" s="11"/>
      <c r="G2400" s="19"/>
      <c r="H2400" s="20"/>
      <c r="I2400" s="21"/>
      <c r="K2400" s="5"/>
      <c r="S2400" s="5"/>
      <c r="T2400" s="5"/>
    </row>
    <row r="2401" spans="6:20" ht="12.75">
      <c r="F2401" s="11"/>
      <c r="G2401" s="19"/>
      <c r="H2401" s="20"/>
      <c r="I2401" s="21"/>
      <c r="K2401" s="5"/>
      <c r="S2401" s="5"/>
      <c r="T2401" s="5"/>
    </row>
    <row r="2402" spans="6:20" ht="12.75">
      <c r="F2402" s="11"/>
      <c r="G2402" s="19"/>
      <c r="H2402" s="20"/>
      <c r="I2402" s="21"/>
      <c r="K2402" s="5"/>
      <c r="S2402" s="5"/>
      <c r="T2402" s="5"/>
    </row>
    <row r="2403" spans="6:20" ht="12.75">
      <c r="F2403" s="11"/>
      <c r="G2403" s="19"/>
      <c r="H2403" s="20"/>
      <c r="I2403" s="21"/>
      <c r="K2403" s="5"/>
      <c r="S2403" s="5"/>
      <c r="T2403" s="5"/>
    </row>
    <row r="2404" spans="6:20" ht="12.75">
      <c r="F2404" s="11"/>
      <c r="G2404" s="19"/>
      <c r="H2404" s="20"/>
      <c r="I2404" s="21"/>
      <c r="K2404" s="5"/>
      <c r="S2404" s="5"/>
      <c r="T2404" s="5"/>
    </row>
    <row r="2405" spans="6:20" ht="12.75">
      <c r="F2405" s="11"/>
      <c r="G2405" s="19"/>
      <c r="H2405" s="20"/>
      <c r="I2405" s="21"/>
      <c r="K2405" s="5"/>
      <c r="S2405" s="5"/>
      <c r="T2405" s="5"/>
    </row>
    <row r="2406" spans="6:20" ht="12.75">
      <c r="F2406" s="11"/>
      <c r="G2406" s="19"/>
      <c r="H2406" s="20"/>
      <c r="I2406" s="21"/>
      <c r="K2406" s="5"/>
      <c r="S2406" s="5"/>
      <c r="T2406" s="5"/>
    </row>
    <row r="2407" spans="6:20" ht="12.75">
      <c r="F2407" s="11"/>
      <c r="G2407" s="19"/>
      <c r="H2407" s="20"/>
      <c r="I2407" s="21"/>
      <c r="K2407" s="5"/>
      <c r="S2407" s="5"/>
      <c r="T2407" s="5"/>
    </row>
    <row r="2408" spans="6:20" ht="12.75">
      <c r="F2408" s="11"/>
      <c r="G2408" s="19"/>
      <c r="H2408" s="20"/>
      <c r="I2408" s="21"/>
      <c r="K2408" s="5"/>
      <c r="S2408" s="5"/>
      <c r="T2408" s="5"/>
    </row>
    <row r="2409" spans="6:20" ht="12.75">
      <c r="F2409" s="11"/>
      <c r="G2409" s="19"/>
      <c r="H2409" s="20"/>
      <c r="I2409" s="21"/>
      <c r="K2409" s="5"/>
      <c r="S2409" s="5"/>
      <c r="T2409" s="5"/>
    </row>
    <row r="2410" spans="6:20" ht="12.75">
      <c r="F2410" s="11"/>
      <c r="G2410" s="19"/>
      <c r="H2410" s="20"/>
      <c r="I2410" s="21"/>
      <c r="K2410" s="5"/>
      <c r="S2410" s="5"/>
      <c r="T2410" s="5"/>
    </row>
    <row r="2411" spans="6:20" ht="12.75">
      <c r="F2411" s="11"/>
      <c r="G2411" s="19"/>
      <c r="H2411" s="20"/>
      <c r="I2411" s="21"/>
      <c r="K2411" s="5"/>
      <c r="S2411" s="5"/>
      <c r="T2411" s="5"/>
    </row>
    <row r="2412" spans="6:20" ht="12.75">
      <c r="F2412" s="11"/>
      <c r="G2412" s="19"/>
      <c r="H2412" s="20"/>
      <c r="I2412" s="21"/>
      <c r="K2412" s="5"/>
      <c r="S2412" s="5"/>
      <c r="T2412" s="5"/>
    </row>
    <row r="2413" spans="6:20" ht="12.75">
      <c r="F2413" s="11"/>
      <c r="G2413" s="19"/>
      <c r="H2413" s="20"/>
      <c r="I2413" s="21"/>
      <c r="K2413" s="5"/>
      <c r="S2413" s="5"/>
      <c r="T2413" s="5"/>
    </row>
    <row r="2414" spans="6:20" ht="12.75">
      <c r="F2414" s="11"/>
      <c r="G2414" s="19"/>
      <c r="H2414" s="20"/>
      <c r="I2414" s="21"/>
      <c r="K2414" s="5"/>
      <c r="S2414" s="5"/>
      <c r="T2414" s="5"/>
    </row>
    <row r="2415" spans="6:20" ht="12.75">
      <c r="F2415" s="11"/>
      <c r="G2415" s="19"/>
      <c r="H2415" s="20"/>
      <c r="I2415" s="21"/>
      <c r="K2415" s="5"/>
      <c r="S2415" s="5"/>
      <c r="T2415" s="5"/>
    </row>
    <row r="2416" spans="6:20" ht="12.75">
      <c r="F2416" s="11"/>
      <c r="G2416" s="19"/>
      <c r="H2416" s="20"/>
      <c r="I2416" s="21"/>
      <c r="K2416" s="5"/>
      <c r="S2416" s="5"/>
      <c r="T2416" s="5"/>
    </row>
    <row r="2417" spans="6:20" ht="12.75">
      <c r="F2417" s="11"/>
      <c r="G2417" s="19"/>
      <c r="H2417" s="20"/>
      <c r="I2417" s="21"/>
      <c r="K2417" s="5"/>
      <c r="S2417" s="5"/>
      <c r="T2417" s="5"/>
    </row>
    <row r="2418" spans="6:20" ht="12.75">
      <c r="F2418" s="11"/>
      <c r="G2418" s="19"/>
      <c r="H2418" s="20"/>
      <c r="I2418" s="21"/>
      <c r="K2418" s="5"/>
      <c r="S2418" s="5"/>
      <c r="T2418" s="5"/>
    </row>
    <row r="2419" spans="6:20" ht="12.75">
      <c r="F2419" s="11"/>
      <c r="G2419" s="19"/>
      <c r="H2419" s="20"/>
      <c r="I2419" s="21"/>
      <c r="K2419" s="5"/>
      <c r="S2419" s="5"/>
      <c r="T2419" s="5"/>
    </row>
    <row r="2420" spans="6:20" ht="12.75">
      <c r="F2420" s="11"/>
      <c r="G2420" s="19"/>
      <c r="H2420" s="20"/>
      <c r="I2420" s="21"/>
      <c r="K2420" s="5"/>
      <c r="S2420" s="5"/>
      <c r="T2420" s="5"/>
    </row>
    <row r="2421" spans="6:20" ht="12.75">
      <c r="F2421" s="11"/>
      <c r="G2421" s="19"/>
      <c r="H2421" s="20"/>
      <c r="I2421" s="21"/>
      <c r="K2421" s="5"/>
      <c r="S2421" s="5"/>
      <c r="T2421" s="5"/>
    </row>
    <row r="2422" spans="6:20" ht="12.75">
      <c r="F2422" s="11"/>
      <c r="G2422" s="19"/>
      <c r="H2422" s="20"/>
      <c r="I2422" s="21"/>
      <c r="K2422" s="5"/>
      <c r="S2422" s="5"/>
      <c r="T2422" s="5"/>
    </row>
    <row r="2423" spans="6:20" ht="12.75">
      <c r="F2423" s="11"/>
      <c r="G2423" s="19"/>
      <c r="H2423" s="20"/>
      <c r="I2423" s="21"/>
      <c r="K2423" s="5"/>
      <c r="S2423" s="5"/>
      <c r="T2423" s="5"/>
    </row>
    <row r="2424" spans="6:20" ht="12.75">
      <c r="F2424" s="11"/>
      <c r="G2424" s="19"/>
      <c r="H2424" s="20"/>
      <c r="I2424" s="21"/>
      <c r="K2424" s="5"/>
      <c r="S2424" s="5"/>
      <c r="T2424" s="5"/>
    </row>
    <row r="2425" spans="6:20" ht="12.75">
      <c r="F2425" s="11"/>
      <c r="G2425" s="19"/>
      <c r="H2425" s="20"/>
      <c r="I2425" s="21"/>
      <c r="K2425" s="5"/>
      <c r="S2425" s="5"/>
      <c r="T2425" s="5"/>
    </row>
    <row r="2426" spans="6:20" ht="12.75">
      <c r="F2426" s="11"/>
      <c r="G2426" s="19"/>
      <c r="H2426" s="20"/>
      <c r="I2426" s="21"/>
      <c r="K2426" s="5"/>
      <c r="S2426" s="5"/>
      <c r="T2426" s="5"/>
    </row>
    <row r="2427" spans="6:20" ht="12.75">
      <c r="F2427" s="11"/>
      <c r="G2427" s="19"/>
      <c r="H2427" s="20"/>
      <c r="I2427" s="21"/>
      <c r="K2427" s="5"/>
      <c r="S2427" s="5"/>
      <c r="T2427" s="5"/>
    </row>
    <row r="2428" spans="6:20" ht="12.75">
      <c r="F2428" s="11"/>
      <c r="G2428" s="19"/>
      <c r="H2428" s="20"/>
      <c r="I2428" s="21"/>
      <c r="K2428" s="5"/>
      <c r="S2428" s="5"/>
      <c r="T2428" s="5"/>
    </row>
    <row r="2429" spans="6:20" ht="12.75">
      <c r="F2429" s="11"/>
      <c r="G2429" s="19"/>
      <c r="H2429" s="20"/>
      <c r="I2429" s="21"/>
      <c r="K2429" s="5"/>
      <c r="S2429" s="5"/>
      <c r="T2429" s="5"/>
    </row>
    <row r="2430" spans="6:20" ht="12.75">
      <c r="F2430" s="11"/>
      <c r="G2430" s="19"/>
      <c r="H2430" s="20"/>
      <c r="I2430" s="21"/>
      <c r="K2430" s="5"/>
      <c r="S2430" s="5"/>
      <c r="T2430" s="5"/>
    </row>
    <row r="2431" spans="6:20" ht="12.75">
      <c r="F2431" s="11"/>
      <c r="G2431" s="19"/>
      <c r="H2431" s="20"/>
      <c r="I2431" s="21"/>
      <c r="K2431" s="5"/>
      <c r="S2431" s="5"/>
      <c r="T2431" s="5"/>
    </row>
    <row r="2432" spans="6:20" ht="12.75">
      <c r="F2432" s="11"/>
      <c r="G2432" s="19"/>
      <c r="H2432" s="20"/>
      <c r="I2432" s="21"/>
      <c r="K2432" s="5"/>
      <c r="S2432" s="5"/>
      <c r="T2432" s="5"/>
    </row>
    <row r="2433" spans="6:20" ht="12.75">
      <c r="F2433" s="11"/>
      <c r="G2433" s="19"/>
      <c r="H2433" s="20"/>
      <c r="I2433" s="21"/>
      <c r="K2433" s="5"/>
      <c r="S2433" s="5"/>
      <c r="T2433" s="5"/>
    </row>
    <row r="2434" spans="6:20" ht="12.75">
      <c r="F2434" s="11"/>
      <c r="G2434" s="19"/>
      <c r="H2434" s="20"/>
      <c r="I2434" s="21"/>
      <c r="K2434" s="5"/>
      <c r="S2434" s="5"/>
      <c r="T2434" s="5"/>
    </row>
    <row r="2435" spans="6:20" ht="12.75">
      <c r="F2435" s="11"/>
      <c r="G2435" s="19"/>
      <c r="H2435" s="20"/>
      <c r="I2435" s="21"/>
      <c r="K2435" s="5"/>
      <c r="S2435" s="5"/>
      <c r="T2435" s="5"/>
    </row>
    <row r="2436" spans="6:20" ht="12.75">
      <c r="F2436" s="11"/>
      <c r="G2436" s="19"/>
      <c r="H2436" s="20"/>
      <c r="I2436" s="21"/>
      <c r="K2436" s="5"/>
      <c r="S2436" s="5"/>
      <c r="T2436" s="5"/>
    </row>
    <row r="2437" spans="6:20" ht="12.75">
      <c r="F2437" s="11"/>
      <c r="G2437" s="19"/>
      <c r="H2437" s="20"/>
      <c r="I2437" s="21"/>
      <c r="K2437" s="5"/>
      <c r="S2437" s="5"/>
      <c r="T2437" s="5"/>
    </row>
    <row r="2438" spans="6:20" ht="12.75">
      <c r="F2438" s="11"/>
      <c r="G2438" s="19"/>
      <c r="H2438" s="20"/>
      <c r="I2438" s="21"/>
      <c r="K2438" s="5"/>
      <c r="S2438" s="5"/>
      <c r="T2438" s="5"/>
    </row>
    <row r="2439" spans="6:20" ht="12.75">
      <c r="F2439" s="11"/>
      <c r="G2439" s="19"/>
      <c r="H2439" s="20"/>
      <c r="I2439" s="21"/>
      <c r="K2439" s="5"/>
      <c r="S2439" s="5"/>
      <c r="T2439" s="5"/>
    </row>
    <row r="2440" spans="6:20" ht="12.75">
      <c r="F2440" s="11"/>
      <c r="G2440" s="19"/>
      <c r="H2440" s="20"/>
      <c r="I2440" s="21"/>
      <c r="K2440" s="5"/>
      <c r="S2440" s="5"/>
      <c r="T2440" s="5"/>
    </row>
    <row r="2441" spans="6:20" ht="12.75">
      <c r="F2441" s="11"/>
      <c r="G2441" s="19"/>
      <c r="H2441" s="20"/>
      <c r="I2441" s="21"/>
      <c r="K2441" s="5"/>
      <c r="S2441" s="5"/>
      <c r="T2441" s="5"/>
    </row>
    <row r="2442" spans="6:20" ht="12.75">
      <c r="F2442" s="11"/>
      <c r="G2442" s="19"/>
      <c r="H2442" s="20"/>
      <c r="I2442" s="21"/>
      <c r="K2442" s="5"/>
      <c r="S2442" s="5"/>
      <c r="T2442" s="5"/>
    </row>
    <row r="2443" spans="6:20" ht="12.75">
      <c r="F2443" s="11"/>
      <c r="G2443" s="19"/>
      <c r="H2443" s="20"/>
      <c r="I2443" s="21"/>
      <c r="K2443" s="5"/>
      <c r="S2443" s="5"/>
      <c r="T2443" s="5"/>
    </row>
    <row r="2444" spans="6:20" ht="12.75">
      <c r="F2444" s="11"/>
      <c r="G2444" s="19"/>
      <c r="H2444" s="20"/>
      <c r="I2444" s="21"/>
      <c r="K2444" s="5"/>
      <c r="S2444" s="5"/>
      <c r="T2444" s="5"/>
    </row>
    <row r="2445" spans="6:20" ht="12.75">
      <c r="F2445" s="11"/>
      <c r="G2445" s="19"/>
      <c r="H2445" s="20"/>
      <c r="I2445" s="21"/>
      <c r="K2445" s="5"/>
      <c r="S2445" s="5"/>
      <c r="T2445" s="5"/>
    </row>
    <row r="2446" spans="6:20" ht="12.75">
      <c r="F2446" s="11"/>
      <c r="G2446" s="19"/>
      <c r="H2446" s="20"/>
      <c r="I2446" s="21"/>
      <c r="K2446" s="5"/>
      <c r="S2446" s="5"/>
      <c r="T2446" s="5"/>
    </row>
    <row r="2447" spans="6:20" ht="12.75">
      <c r="F2447" s="11"/>
      <c r="G2447" s="19"/>
      <c r="H2447" s="20"/>
      <c r="I2447" s="21"/>
      <c r="K2447" s="5"/>
      <c r="S2447" s="5"/>
      <c r="T2447" s="5"/>
    </row>
    <row r="2448" spans="6:20" ht="12.75">
      <c r="F2448" s="11"/>
      <c r="G2448" s="19"/>
      <c r="H2448" s="20"/>
      <c r="I2448" s="21"/>
      <c r="K2448" s="5"/>
      <c r="S2448" s="5"/>
      <c r="T2448" s="5"/>
    </row>
    <row r="2449" spans="6:20" ht="12.75">
      <c r="F2449" s="11"/>
      <c r="G2449" s="19"/>
      <c r="H2449" s="20"/>
      <c r="I2449" s="21"/>
      <c r="K2449" s="5"/>
      <c r="S2449" s="5"/>
      <c r="T2449" s="5"/>
    </row>
    <row r="2450" spans="6:20" ht="12.75">
      <c r="F2450" s="11"/>
      <c r="G2450" s="19"/>
      <c r="H2450" s="20"/>
      <c r="I2450" s="21"/>
      <c r="K2450" s="5"/>
      <c r="S2450" s="5"/>
      <c r="T2450" s="5"/>
    </row>
    <row r="2451" spans="6:20" ht="12.75">
      <c r="F2451" s="11"/>
      <c r="G2451" s="19"/>
      <c r="H2451" s="20"/>
      <c r="I2451" s="21"/>
      <c r="K2451" s="5"/>
      <c r="S2451" s="5"/>
      <c r="T2451" s="5"/>
    </row>
    <row r="2452" spans="6:20" ht="12.75">
      <c r="F2452" s="11"/>
      <c r="G2452" s="19"/>
      <c r="H2452" s="20"/>
      <c r="I2452" s="21"/>
      <c r="K2452" s="5"/>
      <c r="S2452" s="5"/>
      <c r="T2452" s="5"/>
    </row>
    <row r="2453" spans="6:20" ht="12.75">
      <c r="F2453" s="11"/>
      <c r="G2453" s="19"/>
      <c r="H2453" s="20"/>
      <c r="I2453" s="21"/>
      <c r="K2453" s="5"/>
      <c r="S2453" s="5"/>
      <c r="T2453" s="5"/>
    </row>
    <row r="2454" spans="6:20" ht="12.75">
      <c r="F2454" s="11"/>
      <c r="G2454" s="19"/>
      <c r="H2454" s="20"/>
      <c r="I2454" s="21"/>
      <c r="K2454" s="5"/>
      <c r="S2454" s="5"/>
      <c r="T2454" s="5"/>
    </row>
    <row r="2455" spans="6:20" ht="12.75">
      <c r="F2455" s="11"/>
      <c r="G2455" s="19"/>
      <c r="H2455" s="20"/>
      <c r="I2455" s="21"/>
      <c r="K2455" s="5"/>
      <c r="S2455" s="5"/>
      <c r="T2455" s="5"/>
    </row>
    <row r="2456" spans="6:20" ht="12.75">
      <c r="F2456" s="11"/>
      <c r="G2456" s="19"/>
      <c r="H2456" s="20"/>
      <c r="I2456" s="21"/>
      <c r="K2456" s="5"/>
      <c r="S2456" s="5"/>
      <c r="T2456" s="5"/>
    </row>
    <row r="2457" spans="6:20" ht="12.75">
      <c r="F2457" s="11"/>
      <c r="G2457" s="19"/>
      <c r="H2457" s="20"/>
      <c r="I2457" s="21"/>
      <c r="K2457" s="5"/>
      <c r="S2457" s="5"/>
      <c r="T2457" s="5"/>
    </row>
    <row r="2458" spans="6:20" ht="12.75">
      <c r="F2458" s="11"/>
      <c r="G2458" s="19"/>
      <c r="H2458" s="20"/>
      <c r="I2458" s="21"/>
      <c r="K2458" s="5"/>
      <c r="S2458" s="5"/>
      <c r="T2458" s="5"/>
    </row>
    <row r="2459" spans="6:20" ht="12.75">
      <c r="F2459" s="11"/>
      <c r="G2459" s="19"/>
      <c r="H2459" s="20"/>
      <c r="I2459" s="21"/>
      <c r="K2459" s="5"/>
      <c r="S2459" s="5"/>
      <c r="T2459" s="5"/>
    </row>
    <row r="2460" spans="6:20" ht="12.75">
      <c r="F2460" s="11"/>
      <c r="G2460" s="19"/>
      <c r="H2460" s="20"/>
      <c r="I2460" s="21"/>
      <c r="K2460" s="5"/>
      <c r="S2460" s="5"/>
      <c r="T2460" s="5"/>
    </row>
    <row r="2461" spans="6:20" ht="12.75">
      <c r="F2461" s="11"/>
      <c r="G2461" s="19"/>
      <c r="H2461" s="20"/>
      <c r="I2461" s="21"/>
      <c r="K2461" s="5"/>
      <c r="S2461" s="5"/>
      <c r="T2461" s="5"/>
    </row>
    <row r="2462" spans="6:20" ht="12.75">
      <c r="F2462" s="11"/>
      <c r="G2462" s="19"/>
      <c r="H2462" s="20"/>
      <c r="I2462" s="21"/>
      <c r="K2462" s="5"/>
      <c r="S2462" s="5"/>
      <c r="T2462" s="5"/>
    </row>
    <row r="2463" spans="6:20" ht="12.75">
      <c r="F2463" s="11"/>
      <c r="G2463" s="19"/>
      <c r="H2463" s="20"/>
      <c r="I2463" s="21"/>
      <c r="K2463" s="5"/>
      <c r="S2463" s="5"/>
      <c r="T2463" s="5"/>
    </row>
    <row r="2464" spans="6:20" ht="12.75">
      <c r="F2464" s="11"/>
      <c r="G2464" s="19"/>
      <c r="H2464" s="20"/>
      <c r="I2464" s="21"/>
      <c r="K2464" s="5"/>
      <c r="S2464" s="5"/>
      <c r="T2464" s="5"/>
    </row>
    <row r="2465" spans="6:20" ht="12.75">
      <c r="F2465" s="11"/>
      <c r="G2465" s="19"/>
      <c r="H2465" s="20"/>
      <c r="I2465" s="21"/>
      <c r="K2465" s="5"/>
      <c r="S2465" s="5"/>
      <c r="T2465" s="5"/>
    </row>
    <row r="2466" spans="6:20" ht="12.75">
      <c r="F2466" s="11"/>
      <c r="G2466" s="19"/>
      <c r="H2466" s="20"/>
      <c r="I2466" s="21"/>
      <c r="K2466" s="5"/>
      <c r="S2466" s="5"/>
      <c r="T2466" s="5"/>
    </row>
    <row r="2467" spans="6:20" ht="12.75">
      <c r="F2467" s="11"/>
      <c r="G2467" s="19"/>
      <c r="H2467" s="20"/>
      <c r="I2467" s="21"/>
      <c r="K2467" s="5"/>
      <c r="S2467" s="5"/>
      <c r="T2467" s="5"/>
    </row>
    <row r="2468" spans="6:20" ht="12.75">
      <c r="F2468" s="11"/>
      <c r="G2468" s="19"/>
      <c r="H2468" s="20"/>
      <c r="I2468" s="21"/>
      <c r="K2468" s="5"/>
      <c r="S2468" s="5"/>
      <c r="T2468" s="5"/>
    </row>
    <row r="2469" spans="6:20" ht="12.75">
      <c r="F2469" s="11"/>
      <c r="G2469" s="19"/>
      <c r="H2469" s="20"/>
      <c r="I2469" s="21"/>
      <c r="K2469" s="5"/>
      <c r="S2469" s="5"/>
      <c r="T2469" s="5"/>
    </row>
    <row r="2470" spans="6:20" ht="12.75">
      <c r="F2470" s="11"/>
      <c r="G2470" s="19"/>
      <c r="H2470" s="20"/>
      <c r="I2470" s="21"/>
      <c r="K2470" s="5"/>
      <c r="S2470" s="5"/>
      <c r="T2470" s="5"/>
    </row>
    <row r="2471" spans="6:20" ht="12.75">
      <c r="F2471" s="11"/>
      <c r="G2471" s="19"/>
      <c r="H2471" s="20"/>
      <c r="I2471" s="21"/>
      <c r="K2471" s="5"/>
      <c r="S2471" s="5"/>
      <c r="T2471" s="5"/>
    </row>
    <row r="2472" spans="6:20" ht="12.75">
      <c r="F2472" s="11"/>
      <c r="G2472" s="19"/>
      <c r="H2472" s="20"/>
      <c r="I2472" s="21"/>
      <c r="K2472" s="5"/>
      <c r="S2472" s="5"/>
      <c r="T2472" s="5"/>
    </row>
    <row r="2473" spans="6:20" ht="12.75">
      <c r="F2473" s="11"/>
      <c r="G2473" s="19"/>
      <c r="H2473" s="20"/>
      <c r="I2473" s="21"/>
      <c r="K2473" s="5"/>
      <c r="S2473" s="5"/>
      <c r="T2473" s="5"/>
    </row>
    <row r="2474" spans="6:20" ht="12.75">
      <c r="F2474" s="11"/>
      <c r="G2474" s="19"/>
      <c r="H2474" s="20"/>
      <c r="I2474" s="21"/>
      <c r="K2474" s="5"/>
      <c r="S2474" s="5"/>
      <c r="T2474" s="5"/>
    </row>
    <row r="2475" spans="6:20" ht="12.75">
      <c r="F2475" s="11"/>
      <c r="G2475" s="19"/>
      <c r="H2475" s="20"/>
      <c r="I2475" s="21"/>
      <c r="K2475" s="5"/>
      <c r="S2475" s="5"/>
      <c r="T2475" s="5"/>
    </row>
    <row r="2476" spans="6:20" ht="12.75">
      <c r="F2476" s="11"/>
      <c r="G2476" s="19"/>
      <c r="H2476" s="20"/>
      <c r="I2476" s="21"/>
      <c r="K2476" s="5"/>
      <c r="S2476" s="5"/>
      <c r="T2476" s="5"/>
    </row>
    <row r="2477" spans="6:20" ht="12.75">
      <c r="F2477" s="11"/>
      <c r="G2477" s="19"/>
      <c r="H2477" s="20"/>
      <c r="I2477" s="21"/>
      <c r="K2477" s="5"/>
      <c r="S2477" s="5"/>
      <c r="T2477" s="5"/>
    </row>
    <row r="2478" spans="6:20" ht="12.75">
      <c r="F2478" s="11"/>
      <c r="G2478" s="19"/>
      <c r="H2478" s="20"/>
      <c r="I2478" s="21"/>
      <c r="K2478" s="5"/>
      <c r="S2478" s="5"/>
      <c r="T2478" s="5"/>
    </row>
    <row r="2479" spans="6:20" ht="12.75">
      <c r="F2479" s="11"/>
      <c r="G2479" s="19"/>
      <c r="H2479" s="20"/>
      <c r="I2479" s="21"/>
      <c r="K2479" s="5"/>
      <c r="S2479" s="5"/>
      <c r="T2479" s="5"/>
    </row>
    <row r="2480" spans="6:20" ht="12.75">
      <c r="F2480" s="11"/>
      <c r="G2480" s="19"/>
      <c r="H2480" s="20"/>
      <c r="I2480" s="21"/>
      <c r="K2480" s="5"/>
      <c r="S2480" s="5"/>
      <c r="T2480" s="5"/>
    </row>
    <row r="2481" spans="6:20" ht="12.75">
      <c r="F2481" s="11"/>
      <c r="G2481" s="19"/>
      <c r="H2481" s="20"/>
      <c r="I2481" s="21"/>
      <c r="K2481" s="5"/>
      <c r="S2481" s="5"/>
      <c r="T2481" s="5"/>
    </row>
    <row r="2482" spans="6:20" ht="12.75">
      <c r="F2482" s="11"/>
      <c r="G2482" s="19"/>
      <c r="H2482" s="20"/>
      <c r="I2482" s="21"/>
      <c r="K2482" s="5"/>
      <c r="S2482" s="5"/>
      <c r="T2482" s="5"/>
    </row>
    <row r="2483" spans="6:20" ht="12.75">
      <c r="F2483" s="11"/>
      <c r="G2483" s="19"/>
      <c r="H2483" s="20"/>
      <c r="I2483" s="21"/>
      <c r="K2483" s="5"/>
      <c r="S2483" s="5"/>
      <c r="T2483" s="5"/>
    </row>
    <row r="2484" spans="6:20" ht="12.75">
      <c r="F2484" s="11"/>
      <c r="G2484" s="19"/>
      <c r="H2484" s="20"/>
      <c r="I2484" s="21"/>
      <c r="K2484" s="5"/>
      <c r="S2484" s="5"/>
      <c r="T2484" s="5"/>
    </row>
    <row r="2485" spans="6:20" ht="12.75">
      <c r="F2485" s="11"/>
      <c r="G2485" s="19"/>
      <c r="H2485" s="20"/>
      <c r="I2485" s="21"/>
      <c r="K2485" s="5"/>
      <c r="S2485" s="5"/>
      <c r="T2485" s="5"/>
    </row>
    <row r="2486" spans="6:20" ht="12.75">
      <c r="F2486" s="11"/>
      <c r="G2486" s="19"/>
      <c r="H2486" s="20"/>
      <c r="I2486" s="21"/>
      <c r="K2486" s="5"/>
      <c r="S2486" s="5"/>
      <c r="T2486" s="5"/>
    </row>
    <row r="2487" spans="6:20" ht="12.75">
      <c r="F2487" s="11"/>
      <c r="G2487" s="19"/>
      <c r="H2487" s="20"/>
      <c r="I2487" s="21"/>
      <c r="K2487" s="5"/>
      <c r="S2487" s="5"/>
      <c r="T2487" s="5"/>
    </row>
    <row r="2488" spans="6:20" ht="12.75">
      <c r="F2488" s="11"/>
      <c r="G2488" s="19"/>
      <c r="H2488" s="20"/>
      <c r="I2488" s="21"/>
      <c r="K2488" s="5"/>
      <c r="S2488" s="5"/>
      <c r="T2488" s="5"/>
    </row>
    <row r="2489" spans="6:20" ht="12.75">
      <c r="F2489" s="11"/>
      <c r="G2489" s="19"/>
      <c r="H2489" s="20"/>
      <c r="I2489" s="21"/>
      <c r="K2489" s="5"/>
      <c r="S2489" s="5"/>
      <c r="T2489" s="5"/>
    </row>
    <row r="2490" spans="6:20" ht="12.75">
      <c r="F2490" s="11"/>
      <c r="G2490" s="19"/>
      <c r="H2490" s="20"/>
      <c r="I2490" s="21"/>
      <c r="K2490" s="5"/>
      <c r="S2490" s="5"/>
      <c r="T2490" s="5"/>
    </row>
    <row r="2491" spans="6:20" ht="12.75">
      <c r="F2491" s="11"/>
      <c r="G2491" s="19"/>
      <c r="H2491" s="20"/>
      <c r="I2491" s="21"/>
      <c r="K2491" s="5"/>
      <c r="S2491" s="5"/>
      <c r="T2491" s="5"/>
    </row>
    <row r="2492" spans="6:20" ht="12.75">
      <c r="F2492" s="11"/>
      <c r="G2492" s="19"/>
      <c r="H2492" s="20"/>
      <c r="I2492" s="21"/>
      <c r="K2492" s="5"/>
      <c r="S2492" s="5"/>
      <c r="T2492" s="5"/>
    </row>
    <row r="2493" spans="6:20" ht="12.75">
      <c r="F2493" s="11"/>
      <c r="G2493" s="19"/>
      <c r="H2493" s="20"/>
      <c r="I2493" s="21"/>
      <c r="K2493" s="5"/>
      <c r="S2493" s="5"/>
      <c r="T2493" s="5"/>
    </row>
    <row r="2494" spans="6:20" ht="12.75">
      <c r="F2494" s="11"/>
      <c r="G2494" s="19"/>
      <c r="H2494" s="20"/>
      <c r="I2494" s="21"/>
      <c r="K2494" s="5"/>
      <c r="S2494" s="5"/>
      <c r="T2494" s="5"/>
    </row>
    <row r="2495" spans="6:20" ht="12.75">
      <c r="F2495" s="11"/>
      <c r="G2495" s="19"/>
      <c r="H2495" s="20"/>
      <c r="I2495" s="21"/>
      <c r="K2495" s="5"/>
      <c r="S2495" s="5"/>
      <c r="T2495" s="5"/>
    </row>
    <row r="2496" spans="6:20" ht="12.75">
      <c r="F2496" s="11"/>
      <c r="G2496" s="19"/>
      <c r="H2496" s="20"/>
      <c r="I2496" s="21"/>
      <c r="K2496" s="5"/>
      <c r="S2496" s="5"/>
      <c r="T2496" s="5"/>
    </row>
    <row r="2497" spans="6:20" ht="12.75">
      <c r="F2497" s="11"/>
      <c r="G2497" s="19"/>
      <c r="H2497" s="20"/>
      <c r="I2497" s="21"/>
      <c r="K2497" s="5"/>
      <c r="S2497" s="5"/>
      <c r="T2497" s="5"/>
    </row>
    <row r="2498" spans="6:20" ht="12.75">
      <c r="F2498" s="11"/>
      <c r="G2498" s="19"/>
      <c r="H2498" s="20"/>
      <c r="I2498" s="21"/>
      <c r="K2498" s="5"/>
      <c r="S2498" s="5"/>
      <c r="T2498" s="5"/>
    </row>
    <row r="2499" spans="6:20" ht="12.75">
      <c r="F2499" s="11"/>
      <c r="G2499" s="19"/>
      <c r="H2499" s="20"/>
      <c r="I2499" s="21"/>
      <c r="K2499" s="5"/>
      <c r="S2499" s="5"/>
      <c r="T2499" s="5"/>
    </row>
    <row r="2500" spans="6:20" ht="12.75">
      <c r="F2500" s="11"/>
      <c r="G2500" s="19"/>
      <c r="H2500" s="20"/>
      <c r="I2500" s="21"/>
      <c r="K2500" s="5"/>
      <c r="S2500" s="5"/>
      <c r="T2500" s="5"/>
    </row>
    <row r="2501" spans="6:20" ht="12.75">
      <c r="F2501" s="11"/>
      <c r="G2501" s="19"/>
      <c r="H2501" s="20"/>
      <c r="I2501" s="21"/>
      <c r="K2501" s="5"/>
      <c r="S2501" s="5"/>
      <c r="T2501" s="5"/>
    </row>
    <row r="2502" spans="6:20" ht="12.75">
      <c r="F2502" s="11"/>
      <c r="G2502" s="19"/>
      <c r="H2502" s="20"/>
      <c r="I2502" s="21"/>
      <c r="K2502" s="5"/>
      <c r="S2502" s="5"/>
      <c r="T2502" s="5"/>
    </row>
    <row r="2503" spans="6:20" ht="12.75">
      <c r="F2503" s="11"/>
      <c r="G2503" s="19"/>
      <c r="H2503" s="20"/>
      <c r="I2503" s="21"/>
      <c r="K2503" s="5"/>
      <c r="S2503" s="5"/>
      <c r="T2503" s="5"/>
    </row>
    <row r="2504" spans="6:20" ht="12.75">
      <c r="F2504" s="11"/>
      <c r="G2504" s="19"/>
      <c r="H2504" s="20"/>
      <c r="I2504" s="21"/>
      <c r="K2504" s="5"/>
      <c r="S2504" s="5"/>
      <c r="T2504" s="5"/>
    </row>
    <row r="2505" spans="6:20" ht="12.75">
      <c r="F2505" s="11"/>
      <c r="G2505" s="19"/>
      <c r="H2505" s="20"/>
      <c r="I2505" s="21"/>
      <c r="K2505" s="5"/>
      <c r="S2505" s="5"/>
      <c r="T2505" s="5"/>
    </row>
    <row r="2506" spans="6:20" ht="12.75">
      <c r="F2506" s="11"/>
      <c r="G2506" s="19"/>
      <c r="H2506" s="20"/>
      <c r="I2506" s="21"/>
      <c r="K2506" s="5"/>
      <c r="S2506" s="5"/>
      <c r="T2506" s="5"/>
    </row>
    <row r="2507" spans="6:20" ht="12.75">
      <c r="F2507" s="11"/>
      <c r="G2507" s="19"/>
      <c r="H2507" s="20"/>
      <c r="I2507" s="21"/>
      <c r="K2507" s="5"/>
      <c r="S2507" s="5"/>
      <c r="T2507" s="5"/>
    </row>
    <row r="2508" spans="6:20" ht="12.75">
      <c r="F2508" s="11"/>
      <c r="G2508" s="19"/>
      <c r="H2508" s="20"/>
      <c r="I2508" s="21"/>
      <c r="K2508" s="5"/>
      <c r="S2508" s="5"/>
      <c r="T2508" s="5"/>
    </row>
    <row r="2509" spans="6:20" ht="12.75">
      <c r="F2509" s="11"/>
      <c r="G2509" s="19"/>
      <c r="H2509" s="20"/>
      <c r="I2509" s="21"/>
      <c r="K2509" s="5"/>
      <c r="S2509" s="5"/>
      <c r="T2509" s="5"/>
    </row>
    <row r="2510" spans="6:20" ht="12.75">
      <c r="F2510" s="11"/>
      <c r="G2510" s="19"/>
      <c r="H2510" s="20"/>
      <c r="I2510" s="21"/>
      <c r="K2510" s="5"/>
      <c r="S2510" s="5"/>
      <c r="T2510" s="5"/>
    </row>
    <row r="2511" spans="6:20" ht="12.75">
      <c r="F2511" s="11"/>
      <c r="G2511" s="19"/>
      <c r="H2511" s="20"/>
      <c r="I2511" s="21"/>
      <c r="K2511" s="5"/>
      <c r="S2511" s="5"/>
      <c r="T2511" s="5"/>
    </row>
    <row r="2512" spans="6:20" ht="12.75">
      <c r="F2512" s="11"/>
      <c r="G2512" s="19"/>
      <c r="H2512" s="20"/>
      <c r="I2512" s="21"/>
      <c r="K2512" s="5"/>
      <c r="S2512" s="5"/>
      <c r="T2512" s="5"/>
    </row>
    <row r="2513" spans="6:20" ht="12.75">
      <c r="F2513" s="11"/>
      <c r="G2513" s="19"/>
      <c r="H2513" s="20"/>
      <c r="I2513" s="21"/>
      <c r="K2513" s="5"/>
      <c r="S2513" s="5"/>
      <c r="T2513" s="5"/>
    </row>
    <row r="2514" spans="6:20" ht="12.75">
      <c r="F2514" s="11"/>
      <c r="G2514" s="19"/>
      <c r="H2514" s="20"/>
      <c r="I2514" s="21"/>
      <c r="K2514" s="5"/>
      <c r="S2514" s="5"/>
      <c r="T2514" s="5"/>
    </row>
    <row r="2515" spans="6:20" ht="12.75">
      <c r="F2515" s="11"/>
      <c r="G2515" s="19"/>
      <c r="H2515" s="20"/>
      <c r="I2515" s="21"/>
      <c r="K2515" s="5"/>
      <c r="S2515" s="5"/>
      <c r="T2515" s="5"/>
    </row>
    <row r="2516" spans="6:20" ht="12.75">
      <c r="F2516" s="11"/>
      <c r="G2516" s="19"/>
      <c r="H2516" s="20"/>
      <c r="I2516" s="21"/>
      <c r="K2516" s="5"/>
      <c r="S2516" s="5"/>
      <c r="T2516" s="5"/>
    </row>
    <row r="2517" spans="6:20" ht="12.75">
      <c r="F2517" s="11"/>
      <c r="G2517" s="19"/>
      <c r="H2517" s="20"/>
      <c r="I2517" s="21"/>
      <c r="K2517" s="5"/>
      <c r="S2517" s="5"/>
      <c r="T2517" s="5"/>
    </row>
    <row r="2518" spans="6:20" ht="12.75">
      <c r="F2518" s="11"/>
      <c r="G2518" s="19"/>
      <c r="H2518" s="20"/>
      <c r="I2518" s="21"/>
      <c r="K2518" s="5"/>
      <c r="S2518" s="5"/>
      <c r="T2518" s="5"/>
    </row>
    <row r="2519" spans="6:20" ht="12.75">
      <c r="F2519" s="11"/>
      <c r="G2519" s="19"/>
      <c r="H2519" s="20"/>
      <c r="I2519" s="21"/>
      <c r="K2519" s="5"/>
      <c r="S2519" s="5"/>
      <c r="T2519" s="5"/>
    </row>
    <row r="2520" spans="6:20" ht="12.75">
      <c r="F2520" s="11"/>
      <c r="G2520" s="19"/>
      <c r="H2520" s="20"/>
      <c r="I2520" s="21"/>
      <c r="K2520" s="5"/>
      <c r="S2520" s="5"/>
      <c r="T2520" s="5"/>
    </row>
    <row r="2521" spans="6:20" ht="12.75">
      <c r="F2521" s="11"/>
      <c r="G2521" s="19"/>
      <c r="H2521" s="20"/>
      <c r="I2521" s="21"/>
      <c r="K2521" s="5"/>
      <c r="S2521" s="5"/>
      <c r="T2521" s="5"/>
    </row>
    <row r="2522" spans="6:20" ht="12.75">
      <c r="F2522" s="11"/>
      <c r="G2522" s="19"/>
      <c r="H2522" s="20"/>
      <c r="I2522" s="21"/>
      <c r="K2522" s="5"/>
      <c r="S2522" s="5"/>
      <c r="T2522" s="5"/>
    </row>
    <row r="2523" spans="6:20" ht="12.75">
      <c r="F2523" s="11"/>
      <c r="G2523" s="19"/>
      <c r="H2523" s="20"/>
      <c r="I2523" s="21"/>
      <c r="K2523" s="5"/>
      <c r="S2523" s="5"/>
      <c r="T2523" s="5"/>
    </row>
    <row r="2524" spans="6:20" ht="12.75">
      <c r="F2524" s="11"/>
      <c r="G2524" s="19"/>
      <c r="H2524" s="20"/>
      <c r="I2524" s="21"/>
      <c r="K2524" s="5"/>
      <c r="S2524" s="5"/>
      <c r="T2524" s="5"/>
    </row>
    <row r="2525" spans="6:20" ht="12.75">
      <c r="F2525" s="11"/>
      <c r="G2525" s="19"/>
      <c r="H2525" s="20"/>
      <c r="I2525" s="21"/>
      <c r="K2525" s="5"/>
      <c r="S2525" s="5"/>
      <c r="T2525" s="5"/>
    </row>
    <row r="2526" spans="6:20" ht="12.75">
      <c r="F2526" s="11"/>
      <c r="G2526" s="19"/>
      <c r="H2526" s="20"/>
      <c r="I2526" s="21"/>
      <c r="K2526" s="5"/>
      <c r="S2526" s="5"/>
      <c r="T2526" s="5"/>
    </row>
    <row r="2527" spans="6:20" ht="12.75">
      <c r="F2527" s="11"/>
      <c r="G2527" s="19"/>
      <c r="H2527" s="20"/>
      <c r="I2527" s="21"/>
      <c r="K2527" s="5"/>
      <c r="S2527" s="5"/>
      <c r="T2527" s="5"/>
    </row>
    <row r="2528" spans="6:20" ht="12.75">
      <c r="F2528" s="11"/>
      <c r="G2528" s="19"/>
      <c r="H2528" s="20"/>
      <c r="I2528" s="21"/>
      <c r="K2528" s="5"/>
      <c r="S2528" s="5"/>
      <c r="T2528" s="5"/>
    </row>
    <row r="2529" spans="6:20" ht="12.75">
      <c r="F2529" s="11"/>
      <c r="G2529" s="19"/>
      <c r="H2529" s="20"/>
      <c r="I2529" s="21"/>
      <c r="K2529" s="5"/>
      <c r="S2529" s="5"/>
      <c r="T2529" s="5"/>
    </row>
    <row r="2530" spans="6:20" ht="12.75">
      <c r="F2530" s="11"/>
      <c r="G2530" s="19"/>
      <c r="H2530" s="20"/>
      <c r="I2530" s="21"/>
      <c r="K2530" s="5"/>
      <c r="S2530" s="5"/>
      <c r="T2530" s="5"/>
    </row>
    <row r="2531" spans="6:20" ht="12.75">
      <c r="F2531" s="11"/>
      <c r="G2531" s="19"/>
      <c r="H2531" s="20"/>
      <c r="I2531" s="21"/>
      <c r="K2531" s="5"/>
      <c r="S2531" s="5"/>
      <c r="T2531" s="5"/>
    </row>
    <row r="2532" spans="6:20" ht="12.75">
      <c r="F2532" s="11"/>
      <c r="G2532" s="19"/>
      <c r="H2532" s="20"/>
      <c r="I2532" s="21"/>
      <c r="K2532" s="5"/>
      <c r="S2532" s="5"/>
      <c r="T2532" s="5"/>
    </row>
    <row r="2533" spans="6:20" ht="12.75">
      <c r="F2533" s="11"/>
      <c r="G2533" s="19"/>
      <c r="H2533" s="20"/>
      <c r="I2533" s="21"/>
      <c r="K2533" s="5"/>
      <c r="S2533" s="5"/>
      <c r="T2533" s="5"/>
    </row>
    <row r="2534" spans="6:20" ht="12.75">
      <c r="F2534" s="11"/>
      <c r="G2534" s="19"/>
      <c r="H2534" s="20"/>
      <c r="I2534" s="21"/>
      <c r="K2534" s="5"/>
      <c r="S2534" s="5"/>
      <c r="T2534" s="5"/>
    </row>
    <row r="2535" spans="6:20" ht="12.75">
      <c r="F2535" s="11"/>
      <c r="G2535" s="19"/>
      <c r="H2535" s="20"/>
      <c r="I2535" s="21"/>
      <c r="K2535" s="5"/>
      <c r="S2535" s="5"/>
      <c r="T2535" s="5"/>
    </row>
    <row r="2536" spans="6:20" ht="12.75">
      <c r="F2536" s="11"/>
      <c r="G2536" s="19"/>
      <c r="H2536" s="20"/>
      <c r="I2536" s="21"/>
      <c r="K2536" s="5"/>
      <c r="S2536" s="5"/>
      <c r="T2536" s="5"/>
    </row>
    <row r="2537" spans="6:20" ht="12.75">
      <c r="F2537" s="11"/>
      <c r="G2537" s="19"/>
      <c r="H2537" s="20"/>
      <c r="I2537" s="21"/>
      <c r="K2537" s="5"/>
      <c r="S2537" s="5"/>
      <c r="T2537" s="5"/>
    </row>
    <row r="2538" spans="6:20" ht="12.75">
      <c r="F2538" s="11"/>
      <c r="G2538" s="19"/>
      <c r="H2538" s="20"/>
      <c r="I2538" s="21"/>
      <c r="K2538" s="5"/>
      <c r="S2538" s="5"/>
      <c r="T2538" s="5"/>
    </row>
    <row r="2539" spans="6:20" ht="12.75">
      <c r="F2539" s="11"/>
      <c r="G2539" s="19"/>
      <c r="H2539" s="20"/>
      <c r="I2539" s="21"/>
      <c r="K2539" s="5"/>
      <c r="S2539" s="5"/>
      <c r="T2539" s="5"/>
    </row>
    <row r="2540" spans="6:20" ht="12.75">
      <c r="F2540" s="11"/>
      <c r="G2540" s="19"/>
      <c r="H2540" s="20"/>
      <c r="I2540" s="21"/>
      <c r="K2540" s="5"/>
      <c r="S2540" s="5"/>
      <c r="T2540" s="5"/>
    </row>
    <row r="2541" spans="6:20" ht="12.75">
      <c r="F2541" s="11"/>
      <c r="G2541" s="19"/>
      <c r="H2541" s="20"/>
      <c r="I2541" s="21"/>
      <c r="K2541" s="5"/>
      <c r="S2541" s="5"/>
      <c r="T2541" s="5"/>
    </row>
    <row r="2542" spans="6:20" ht="12.75">
      <c r="F2542" s="11"/>
      <c r="G2542" s="19"/>
      <c r="H2542" s="20"/>
      <c r="I2542" s="21"/>
      <c r="K2542" s="5"/>
      <c r="S2542" s="5"/>
      <c r="T2542" s="5"/>
    </row>
    <row r="2543" spans="6:20" ht="12.75">
      <c r="F2543" s="11"/>
      <c r="G2543" s="19"/>
      <c r="H2543" s="20"/>
      <c r="I2543" s="21"/>
      <c r="K2543" s="5"/>
      <c r="S2543" s="5"/>
      <c r="T2543" s="5"/>
    </row>
    <row r="2544" spans="6:20" ht="12.75">
      <c r="F2544" s="11"/>
      <c r="G2544" s="19"/>
      <c r="H2544" s="20"/>
      <c r="I2544" s="21"/>
      <c r="K2544" s="5"/>
      <c r="S2544" s="5"/>
      <c r="T2544" s="5"/>
    </row>
    <row r="2545" spans="6:20" ht="12.75">
      <c r="F2545" s="11"/>
      <c r="G2545" s="19"/>
      <c r="H2545" s="20"/>
      <c r="I2545" s="21"/>
      <c r="K2545" s="5"/>
      <c r="S2545" s="5"/>
      <c r="T2545" s="5"/>
    </row>
    <row r="2546" spans="6:20" ht="12.75">
      <c r="F2546" s="11"/>
      <c r="G2546" s="19"/>
      <c r="H2546" s="20"/>
      <c r="I2546" s="21"/>
      <c r="K2546" s="5"/>
      <c r="S2546" s="5"/>
      <c r="T2546" s="5"/>
    </row>
    <row r="2547" spans="6:20" ht="12.75">
      <c r="F2547" s="11"/>
      <c r="G2547" s="19"/>
      <c r="H2547" s="20"/>
      <c r="I2547" s="21"/>
      <c r="K2547" s="5"/>
      <c r="S2547" s="5"/>
      <c r="T2547" s="5"/>
    </row>
    <row r="2548" spans="6:20" ht="12.75">
      <c r="F2548" s="11"/>
      <c r="G2548" s="19"/>
      <c r="H2548" s="20"/>
      <c r="I2548" s="21"/>
      <c r="K2548" s="5"/>
      <c r="S2548" s="5"/>
      <c r="T2548" s="5"/>
    </row>
    <row r="2549" spans="6:20" ht="12.75">
      <c r="F2549" s="11"/>
      <c r="G2549" s="19"/>
      <c r="H2549" s="20"/>
      <c r="I2549" s="21"/>
      <c r="K2549" s="5"/>
      <c r="S2549" s="5"/>
      <c r="T2549" s="5"/>
    </row>
    <row r="2550" spans="6:20" ht="12.75">
      <c r="F2550" s="11"/>
      <c r="G2550" s="19"/>
      <c r="H2550" s="20"/>
      <c r="I2550" s="21"/>
      <c r="K2550" s="5"/>
      <c r="S2550" s="5"/>
      <c r="T2550" s="5"/>
    </row>
    <row r="2551" spans="6:20" ht="12.75">
      <c r="F2551" s="11"/>
      <c r="G2551" s="19"/>
      <c r="H2551" s="20"/>
      <c r="I2551" s="21"/>
      <c r="K2551" s="5"/>
      <c r="S2551" s="5"/>
      <c r="T2551" s="5"/>
    </row>
    <row r="2552" spans="6:20" ht="12.75">
      <c r="F2552" s="11"/>
      <c r="G2552" s="19"/>
      <c r="H2552" s="20"/>
      <c r="I2552" s="21"/>
      <c r="K2552" s="5"/>
      <c r="S2552" s="5"/>
      <c r="T2552" s="5"/>
    </row>
    <row r="2553" spans="6:20" ht="12.75">
      <c r="F2553" s="11"/>
      <c r="G2553" s="19"/>
      <c r="H2553" s="20"/>
      <c r="I2553" s="21"/>
      <c r="K2553" s="5"/>
      <c r="S2553" s="5"/>
      <c r="T2553" s="5"/>
    </row>
    <row r="2554" spans="6:20" ht="12.75">
      <c r="F2554" s="11"/>
      <c r="G2554" s="19"/>
      <c r="H2554" s="20"/>
      <c r="I2554" s="21"/>
      <c r="K2554" s="5"/>
      <c r="S2554" s="5"/>
      <c r="T2554" s="5"/>
    </row>
    <row r="2555" spans="6:20" ht="12.75">
      <c r="F2555" s="11"/>
      <c r="G2555" s="19"/>
      <c r="H2555" s="20"/>
      <c r="I2555" s="21"/>
      <c r="K2555" s="5"/>
      <c r="S2555" s="5"/>
      <c r="T2555" s="5"/>
    </row>
    <row r="2556" spans="6:20" ht="12.75">
      <c r="F2556" s="11"/>
      <c r="G2556" s="19"/>
      <c r="H2556" s="20"/>
      <c r="I2556" s="21"/>
      <c r="K2556" s="5"/>
      <c r="S2556" s="5"/>
      <c r="T2556" s="5"/>
    </row>
    <row r="2557" spans="6:20" ht="12.75">
      <c r="F2557" s="11"/>
      <c r="G2557" s="19"/>
      <c r="H2557" s="20"/>
      <c r="I2557" s="21"/>
      <c r="K2557" s="5"/>
      <c r="S2557" s="5"/>
      <c r="T2557" s="5"/>
    </row>
    <row r="2558" spans="6:20" ht="12.75">
      <c r="F2558" s="11"/>
      <c r="G2558" s="19"/>
      <c r="H2558" s="20"/>
      <c r="I2558" s="21"/>
      <c r="K2558" s="5"/>
      <c r="S2558" s="5"/>
      <c r="T2558" s="5"/>
    </row>
    <row r="2559" spans="6:20" ht="12.75">
      <c r="F2559" s="11"/>
      <c r="G2559" s="19"/>
      <c r="H2559" s="20"/>
      <c r="I2559" s="21"/>
      <c r="K2559" s="5"/>
      <c r="S2559" s="5"/>
      <c r="T2559" s="5"/>
    </row>
    <row r="2560" spans="6:20" ht="12.75">
      <c r="F2560" s="11"/>
      <c r="G2560" s="19"/>
      <c r="H2560" s="20"/>
      <c r="I2560" s="21"/>
      <c r="K2560" s="5"/>
      <c r="S2560" s="5"/>
      <c r="T2560" s="5"/>
    </row>
    <row r="2561" spans="6:20" ht="12.75">
      <c r="F2561" s="11"/>
      <c r="G2561" s="19"/>
      <c r="H2561" s="20"/>
      <c r="I2561" s="21"/>
      <c r="K2561" s="5"/>
      <c r="S2561" s="5"/>
      <c r="T2561" s="5"/>
    </row>
    <row r="2562" spans="6:20" ht="12.75">
      <c r="F2562" s="11"/>
      <c r="G2562" s="19"/>
      <c r="H2562" s="20"/>
      <c r="I2562" s="21"/>
      <c r="K2562" s="5"/>
      <c r="S2562" s="5"/>
      <c r="T2562" s="5"/>
    </row>
    <row r="2563" spans="6:20" ht="12.75">
      <c r="F2563" s="11"/>
      <c r="G2563" s="19"/>
      <c r="H2563" s="20"/>
      <c r="I2563" s="21"/>
      <c r="K2563" s="5"/>
      <c r="S2563" s="5"/>
      <c r="T2563" s="5"/>
    </row>
    <row r="2564" spans="6:20" ht="12.75">
      <c r="F2564" s="11"/>
      <c r="G2564" s="19"/>
      <c r="H2564" s="20"/>
      <c r="I2564" s="21"/>
      <c r="K2564" s="5"/>
      <c r="S2564" s="5"/>
      <c r="T2564" s="5"/>
    </row>
    <row r="2565" spans="6:20" ht="12.75">
      <c r="F2565" s="11"/>
      <c r="G2565" s="19"/>
      <c r="H2565" s="20"/>
      <c r="I2565" s="21"/>
      <c r="K2565" s="5"/>
      <c r="S2565" s="5"/>
      <c r="T2565" s="5"/>
    </row>
    <row r="2566" spans="6:20" ht="12.75">
      <c r="F2566" s="11"/>
      <c r="G2566" s="19"/>
      <c r="H2566" s="20"/>
      <c r="I2566" s="21"/>
      <c r="K2566" s="5"/>
      <c r="S2566" s="5"/>
      <c r="T2566" s="5"/>
    </row>
    <row r="2567" spans="6:20" ht="12.75">
      <c r="F2567" s="11"/>
      <c r="G2567" s="19"/>
      <c r="H2567" s="20"/>
      <c r="I2567" s="21"/>
      <c r="K2567" s="5"/>
      <c r="S2567" s="5"/>
      <c r="T2567" s="5"/>
    </row>
    <row r="2568" spans="6:20" ht="12.75">
      <c r="F2568" s="11"/>
      <c r="G2568" s="19"/>
      <c r="H2568" s="20"/>
      <c r="I2568" s="21"/>
      <c r="K2568" s="5"/>
      <c r="S2568" s="5"/>
      <c r="T2568" s="5"/>
    </row>
    <row r="2569" spans="6:20" ht="12.75">
      <c r="F2569" s="11"/>
      <c r="G2569" s="19"/>
      <c r="H2569" s="20"/>
      <c r="I2569" s="21"/>
      <c r="K2569" s="5"/>
      <c r="S2569" s="5"/>
      <c r="T2569" s="5"/>
    </row>
    <row r="2570" spans="6:20" ht="12.75">
      <c r="F2570" s="11"/>
      <c r="G2570" s="19"/>
      <c r="H2570" s="20"/>
      <c r="I2570" s="21"/>
      <c r="K2570" s="5"/>
      <c r="S2570" s="5"/>
      <c r="T2570" s="5"/>
    </row>
    <row r="2571" spans="6:20" ht="12.75">
      <c r="F2571" s="11"/>
      <c r="G2571" s="19"/>
      <c r="H2571" s="20"/>
      <c r="I2571" s="21"/>
      <c r="K2571" s="5"/>
      <c r="S2571" s="5"/>
      <c r="T2571" s="5"/>
    </row>
    <row r="2572" spans="6:20" ht="12.75">
      <c r="F2572" s="11"/>
      <c r="G2572" s="19"/>
      <c r="H2572" s="20"/>
      <c r="I2572" s="21"/>
      <c r="K2572" s="5"/>
      <c r="S2572" s="5"/>
      <c r="T2572" s="5"/>
    </row>
    <row r="2573" spans="6:20" ht="12.75">
      <c r="F2573" s="11"/>
      <c r="G2573" s="19"/>
      <c r="H2573" s="20"/>
      <c r="I2573" s="21"/>
      <c r="K2573" s="5"/>
      <c r="S2573" s="5"/>
      <c r="T2573" s="5"/>
    </row>
    <row r="2574" spans="6:20" ht="12.75">
      <c r="F2574" s="11"/>
      <c r="G2574" s="19"/>
      <c r="H2574" s="20"/>
      <c r="I2574" s="21"/>
      <c r="K2574" s="5"/>
      <c r="S2574" s="5"/>
      <c r="T2574" s="5"/>
    </row>
    <row r="2575" spans="6:20" ht="12.75">
      <c r="F2575" s="11"/>
      <c r="G2575" s="19"/>
      <c r="H2575" s="20"/>
      <c r="I2575" s="21"/>
      <c r="K2575" s="5"/>
      <c r="S2575" s="5"/>
      <c r="T2575" s="5"/>
    </row>
    <row r="2576" spans="6:20" ht="12.75">
      <c r="F2576" s="11"/>
      <c r="G2576" s="19"/>
      <c r="H2576" s="20"/>
      <c r="I2576" s="21"/>
      <c r="K2576" s="5"/>
      <c r="S2576" s="5"/>
      <c r="T2576" s="5"/>
    </row>
    <row r="2577" spans="6:20" ht="12.75">
      <c r="F2577" s="11"/>
      <c r="G2577" s="19"/>
      <c r="H2577" s="20"/>
      <c r="I2577" s="21"/>
      <c r="K2577" s="5"/>
      <c r="S2577" s="5"/>
      <c r="T2577" s="5"/>
    </row>
    <row r="2578" spans="6:20" ht="12.75">
      <c r="F2578" s="11"/>
      <c r="G2578" s="19"/>
      <c r="H2578" s="20"/>
      <c r="I2578" s="21"/>
      <c r="K2578" s="5"/>
      <c r="S2578" s="5"/>
      <c r="T2578" s="5"/>
    </row>
    <row r="2579" spans="6:20" ht="12.75">
      <c r="F2579" s="11"/>
      <c r="G2579" s="19"/>
      <c r="H2579" s="20"/>
      <c r="I2579" s="21"/>
      <c r="K2579" s="5"/>
      <c r="S2579" s="5"/>
      <c r="T2579" s="5"/>
    </row>
    <row r="2580" spans="6:20" ht="12.75">
      <c r="F2580" s="11"/>
      <c r="G2580" s="19"/>
      <c r="H2580" s="20"/>
      <c r="I2580" s="21"/>
      <c r="K2580" s="5"/>
      <c r="S2580" s="5"/>
      <c r="T2580" s="5"/>
    </row>
    <row r="2581" spans="6:20" ht="12.75">
      <c r="F2581" s="11"/>
      <c r="G2581" s="19"/>
      <c r="H2581" s="20"/>
      <c r="I2581" s="21"/>
      <c r="K2581" s="5"/>
      <c r="S2581" s="5"/>
      <c r="T2581" s="5"/>
    </row>
    <row r="2582" spans="6:20" ht="12.75">
      <c r="F2582" s="11"/>
      <c r="G2582" s="19"/>
      <c r="H2582" s="20"/>
      <c r="I2582" s="21"/>
      <c r="K2582" s="5"/>
      <c r="S2582" s="5"/>
      <c r="T2582" s="5"/>
    </row>
    <row r="2583" spans="6:20" ht="12.75">
      <c r="F2583" s="11"/>
      <c r="G2583" s="19"/>
      <c r="H2583" s="20"/>
      <c r="I2583" s="21"/>
      <c r="K2583" s="5"/>
      <c r="S2583" s="5"/>
      <c r="T2583" s="5"/>
    </row>
    <row r="2584" spans="6:20" ht="12.75">
      <c r="F2584" s="11"/>
      <c r="G2584" s="19"/>
      <c r="H2584" s="20"/>
      <c r="I2584" s="21"/>
      <c r="K2584" s="5"/>
      <c r="S2584" s="5"/>
      <c r="T2584" s="5"/>
    </row>
    <row r="2585" spans="6:20" ht="12.75">
      <c r="F2585" s="11"/>
      <c r="G2585" s="19"/>
      <c r="H2585" s="20"/>
      <c r="I2585" s="21"/>
      <c r="K2585" s="5"/>
      <c r="S2585" s="5"/>
      <c r="T2585" s="5"/>
    </row>
    <row r="2586" spans="6:20" ht="12.75">
      <c r="F2586" s="11"/>
      <c r="G2586" s="19"/>
      <c r="H2586" s="20"/>
      <c r="I2586" s="21"/>
      <c r="K2586" s="5"/>
      <c r="S2586" s="5"/>
      <c r="T2586" s="5"/>
    </row>
    <row r="2587" spans="6:20" ht="12.75">
      <c r="F2587" s="11"/>
      <c r="G2587" s="19"/>
      <c r="H2587" s="20"/>
      <c r="I2587" s="21"/>
      <c r="K2587" s="5"/>
      <c r="S2587" s="5"/>
      <c r="T2587" s="5"/>
    </row>
    <row r="2588" spans="6:20" ht="12.75">
      <c r="F2588" s="11"/>
      <c r="G2588" s="19"/>
      <c r="H2588" s="20"/>
      <c r="I2588" s="21"/>
      <c r="K2588" s="5"/>
      <c r="S2588" s="5"/>
      <c r="T2588" s="5"/>
    </row>
    <row r="2589" spans="6:20" ht="12.75">
      <c r="F2589" s="11"/>
      <c r="G2589" s="19"/>
      <c r="H2589" s="20"/>
      <c r="I2589" s="21"/>
      <c r="K2589" s="5"/>
      <c r="S2589" s="5"/>
      <c r="T2589" s="5"/>
    </row>
    <row r="2590" spans="6:20" ht="12.75">
      <c r="F2590" s="11"/>
      <c r="G2590" s="19"/>
      <c r="H2590" s="20"/>
      <c r="I2590" s="21"/>
      <c r="K2590" s="5"/>
      <c r="S2590" s="5"/>
      <c r="T2590" s="5"/>
    </row>
    <row r="2591" spans="6:20" ht="12.75">
      <c r="F2591" s="11"/>
      <c r="G2591" s="19"/>
      <c r="H2591" s="20"/>
      <c r="I2591" s="21"/>
      <c r="K2591" s="5"/>
      <c r="S2591" s="5"/>
      <c r="T2591" s="5"/>
    </row>
    <row r="2592" spans="6:20" ht="12.75">
      <c r="F2592" s="11"/>
      <c r="G2592" s="19"/>
      <c r="H2592" s="20"/>
      <c r="I2592" s="21"/>
      <c r="K2592" s="5"/>
      <c r="S2592" s="5"/>
      <c r="T2592" s="5"/>
    </row>
    <row r="2593" spans="6:20" ht="12.75">
      <c r="F2593" s="11"/>
      <c r="G2593" s="19"/>
      <c r="H2593" s="20"/>
      <c r="I2593" s="21"/>
      <c r="K2593" s="5"/>
      <c r="S2593" s="5"/>
      <c r="T2593" s="5"/>
    </row>
    <row r="2594" spans="6:20" ht="12.75">
      <c r="F2594" s="11"/>
      <c r="G2594" s="19"/>
      <c r="H2594" s="20"/>
      <c r="I2594" s="21"/>
      <c r="K2594" s="5"/>
      <c r="S2594" s="5"/>
      <c r="T2594" s="5"/>
    </row>
    <row r="2595" spans="6:20" ht="12.75">
      <c r="F2595" s="11"/>
      <c r="G2595" s="19"/>
      <c r="H2595" s="20"/>
      <c r="I2595" s="21"/>
      <c r="K2595" s="5"/>
      <c r="S2595" s="5"/>
      <c r="T2595" s="5"/>
    </row>
    <row r="2596" spans="6:20" ht="12.75">
      <c r="F2596" s="11"/>
      <c r="G2596" s="19"/>
      <c r="H2596" s="20"/>
      <c r="I2596" s="21"/>
      <c r="K2596" s="5"/>
      <c r="S2596" s="5"/>
      <c r="T2596" s="5"/>
    </row>
    <row r="2597" spans="6:20" ht="12.75">
      <c r="F2597" s="11"/>
      <c r="G2597" s="19"/>
      <c r="H2597" s="20"/>
      <c r="I2597" s="21"/>
      <c r="K2597" s="5"/>
      <c r="S2597" s="5"/>
      <c r="T2597" s="5"/>
    </row>
    <row r="2598" spans="6:20" ht="12.75">
      <c r="F2598" s="11"/>
      <c r="G2598" s="19"/>
      <c r="H2598" s="20"/>
      <c r="I2598" s="21"/>
      <c r="K2598" s="5"/>
      <c r="S2598" s="5"/>
      <c r="T2598" s="5"/>
    </row>
    <row r="2599" spans="6:20" ht="12.75">
      <c r="F2599" s="11"/>
      <c r="G2599" s="19"/>
      <c r="H2599" s="20"/>
      <c r="I2599" s="21"/>
      <c r="K2599" s="5"/>
      <c r="S2599" s="5"/>
      <c r="T2599" s="5"/>
    </row>
    <row r="2600" spans="6:20" ht="12.75">
      <c r="F2600" s="11"/>
      <c r="G2600" s="19"/>
      <c r="H2600" s="20"/>
      <c r="I2600" s="21"/>
      <c r="K2600" s="5"/>
      <c r="S2600" s="5"/>
      <c r="T2600" s="5"/>
    </row>
    <row r="2601" spans="6:20" ht="12.75">
      <c r="F2601" s="11"/>
      <c r="G2601" s="19"/>
      <c r="H2601" s="20"/>
      <c r="I2601" s="21"/>
      <c r="K2601" s="5"/>
      <c r="S2601" s="5"/>
      <c r="T2601" s="5"/>
    </row>
    <row r="2602" spans="6:20" ht="12.75">
      <c r="F2602" s="11"/>
      <c r="G2602" s="19"/>
      <c r="H2602" s="20"/>
      <c r="I2602" s="21"/>
      <c r="K2602" s="5"/>
      <c r="S2602" s="5"/>
      <c r="T2602" s="5"/>
    </row>
    <row r="2603" spans="6:20" ht="12.75">
      <c r="F2603" s="11"/>
      <c r="G2603" s="19"/>
      <c r="H2603" s="20"/>
      <c r="I2603" s="21"/>
      <c r="K2603" s="5"/>
      <c r="S2603" s="5"/>
      <c r="T2603" s="5"/>
    </row>
    <row r="2604" spans="6:20" ht="12.75">
      <c r="F2604" s="11"/>
      <c r="G2604" s="19"/>
      <c r="H2604" s="20"/>
      <c r="I2604" s="21"/>
      <c r="K2604" s="5"/>
      <c r="S2604" s="5"/>
      <c r="T2604" s="5"/>
    </row>
    <row r="2605" spans="6:20" ht="12.75">
      <c r="F2605" s="11"/>
      <c r="G2605" s="19"/>
      <c r="H2605" s="20"/>
      <c r="I2605" s="21"/>
      <c r="K2605" s="5"/>
      <c r="S2605" s="5"/>
      <c r="T2605" s="5"/>
    </row>
    <row r="2606" spans="6:20" ht="12.75">
      <c r="F2606" s="11"/>
      <c r="G2606" s="19"/>
      <c r="H2606" s="20"/>
      <c r="I2606" s="21"/>
      <c r="K2606" s="5"/>
      <c r="S2606" s="5"/>
      <c r="T2606" s="5"/>
    </row>
    <row r="2607" spans="6:20" ht="12.75">
      <c r="F2607" s="11"/>
      <c r="G2607" s="19"/>
      <c r="H2607" s="20"/>
      <c r="I2607" s="21"/>
      <c r="K2607" s="5"/>
      <c r="S2607" s="5"/>
      <c r="T2607" s="5"/>
    </row>
    <row r="2608" spans="6:20" ht="12.75">
      <c r="F2608" s="11"/>
      <c r="G2608" s="19"/>
      <c r="H2608" s="20"/>
      <c r="I2608" s="21"/>
      <c r="K2608" s="5"/>
      <c r="S2608" s="5"/>
      <c r="T2608" s="5"/>
    </row>
    <row r="2609" spans="6:20" ht="12.75">
      <c r="F2609" s="11"/>
      <c r="G2609" s="19"/>
      <c r="H2609" s="20"/>
      <c r="I2609" s="21"/>
      <c r="K2609" s="5"/>
      <c r="S2609" s="5"/>
      <c r="T2609" s="5"/>
    </row>
    <row r="2610" spans="6:20" ht="12.75">
      <c r="F2610" s="11"/>
      <c r="G2610" s="19"/>
      <c r="H2610" s="20"/>
      <c r="I2610" s="21"/>
      <c r="K2610" s="5"/>
      <c r="S2610" s="5"/>
      <c r="T2610" s="5"/>
    </row>
    <row r="2611" spans="6:20" ht="12.75">
      <c r="F2611" s="11"/>
      <c r="G2611" s="19"/>
      <c r="H2611" s="20"/>
      <c r="I2611" s="21"/>
      <c r="K2611" s="5"/>
      <c r="S2611" s="5"/>
      <c r="T2611" s="5"/>
    </row>
    <row r="2612" spans="6:20" ht="12.75">
      <c r="F2612" s="11"/>
      <c r="G2612" s="19"/>
      <c r="H2612" s="20"/>
      <c r="I2612" s="21"/>
      <c r="K2612" s="5"/>
      <c r="S2612" s="5"/>
      <c r="T2612" s="5"/>
    </row>
    <row r="2613" spans="6:20" ht="12.75">
      <c r="F2613" s="11"/>
      <c r="G2613" s="19"/>
      <c r="H2613" s="20"/>
      <c r="I2613" s="21"/>
      <c r="K2613" s="5"/>
      <c r="S2613" s="5"/>
      <c r="T2613" s="5"/>
    </row>
    <row r="2614" spans="6:20" ht="12.75">
      <c r="F2614" s="11"/>
      <c r="G2614" s="19"/>
      <c r="H2614" s="20"/>
      <c r="I2614" s="21"/>
      <c r="K2614" s="5"/>
      <c r="S2614" s="5"/>
      <c r="T2614" s="5"/>
    </row>
    <row r="2615" spans="6:20" ht="12.75">
      <c r="F2615" s="11"/>
      <c r="G2615" s="19"/>
      <c r="H2615" s="20"/>
      <c r="I2615" s="21"/>
      <c r="K2615" s="5"/>
      <c r="S2615" s="5"/>
      <c r="T2615" s="5"/>
    </row>
    <row r="2616" spans="6:20" ht="12.75">
      <c r="F2616" s="11"/>
      <c r="G2616" s="19"/>
      <c r="H2616" s="20"/>
      <c r="I2616" s="21"/>
      <c r="K2616" s="5"/>
      <c r="S2616" s="5"/>
      <c r="T2616" s="5"/>
    </row>
    <row r="2617" spans="6:20" ht="12.75">
      <c r="F2617" s="11"/>
      <c r="G2617" s="19"/>
      <c r="H2617" s="20"/>
      <c r="I2617" s="21"/>
      <c r="K2617" s="5"/>
      <c r="S2617" s="5"/>
      <c r="T2617" s="5"/>
    </row>
    <row r="2618" spans="6:20" ht="12.75">
      <c r="F2618" s="11"/>
      <c r="G2618" s="19"/>
      <c r="H2618" s="20"/>
      <c r="I2618" s="21"/>
      <c r="K2618" s="5"/>
      <c r="S2618" s="5"/>
      <c r="T2618" s="5"/>
    </row>
    <row r="2619" spans="6:20" ht="12.75">
      <c r="F2619" s="11"/>
      <c r="G2619" s="19"/>
      <c r="H2619" s="20"/>
      <c r="I2619" s="21"/>
      <c r="K2619" s="5"/>
      <c r="S2619" s="5"/>
      <c r="T2619" s="5"/>
    </row>
    <row r="2620" spans="6:20" ht="12.75">
      <c r="F2620" s="11"/>
      <c r="G2620" s="19"/>
      <c r="H2620" s="20"/>
      <c r="I2620" s="21"/>
      <c r="K2620" s="5"/>
      <c r="S2620" s="5"/>
      <c r="T2620" s="5"/>
    </row>
    <row r="2621" spans="6:20" ht="12.75">
      <c r="F2621" s="11"/>
      <c r="G2621" s="19"/>
      <c r="H2621" s="20"/>
      <c r="I2621" s="21"/>
      <c r="K2621" s="5"/>
      <c r="S2621" s="5"/>
      <c r="T2621" s="5"/>
    </row>
    <row r="2622" spans="6:20" ht="12.75">
      <c r="F2622" s="11"/>
      <c r="G2622" s="19"/>
      <c r="H2622" s="20"/>
      <c r="I2622" s="21"/>
      <c r="K2622" s="5"/>
      <c r="S2622" s="5"/>
      <c r="T2622" s="5"/>
    </row>
    <row r="2623" spans="6:20" ht="12.75">
      <c r="F2623" s="11"/>
      <c r="G2623" s="19"/>
      <c r="H2623" s="20"/>
      <c r="I2623" s="21"/>
      <c r="K2623" s="5"/>
      <c r="S2623" s="5"/>
      <c r="T2623" s="5"/>
    </row>
    <row r="2624" spans="6:20" ht="12.75">
      <c r="F2624" s="11"/>
      <c r="G2624" s="19"/>
      <c r="H2624" s="20"/>
      <c r="I2624" s="21"/>
      <c r="K2624" s="5"/>
      <c r="S2624" s="5"/>
      <c r="T2624" s="5"/>
    </row>
    <row r="2625" spans="6:20" ht="12.75">
      <c r="F2625" s="11"/>
      <c r="G2625" s="19"/>
      <c r="H2625" s="20"/>
      <c r="I2625" s="21"/>
      <c r="K2625" s="5"/>
      <c r="S2625" s="5"/>
      <c r="T2625" s="5"/>
    </row>
    <row r="2626" spans="6:20" ht="12.75">
      <c r="F2626" s="11"/>
      <c r="G2626" s="19"/>
      <c r="H2626" s="20"/>
      <c r="I2626" s="21"/>
      <c r="K2626" s="5"/>
      <c r="S2626" s="5"/>
      <c r="T2626" s="5"/>
    </row>
    <row r="2627" spans="6:20" ht="12.75">
      <c r="F2627" s="11"/>
      <c r="G2627" s="19"/>
      <c r="H2627" s="20"/>
      <c r="I2627" s="21"/>
      <c r="K2627" s="5"/>
      <c r="S2627" s="5"/>
      <c r="T2627" s="5"/>
    </row>
    <row r="2628" spans="6:20" ht="12.75">
      <c r="F2628" s="11"/>
      <c r="G2628" s="19"/>
      <c r="H2628" s="20"/>
      <c r="I2628" s="21"/>
      <c r="K2628" s="5"/>
      <c r="S2628" s="5"/>
      <c r="T2628" s="5"/>
    </row>
    <row r="2629" spans="6:20" ht="12.75">
      <c r="F2629" s="11"/>
      <c r="G2629" s="19"/>
      <c r="H2629" s="20"/>
      <c r="I2629" s="21"/>
      <c r="K2629" s="5"/>
      <c r="S2629" s="5"/>
      <c r="T2629" s="5"/>
    </row>
    <row r="2630" spans="6:20" ht="12.75">
      <c r="F2630" s="11"/>
      <c r="G2630" s="19"/>
      <c r="H2630" s="20"/>
      <c r="I2630" s="21"/>
      <c r="K2630" s="5"/>
      <c r="S2630" s="5"/>
      <c r="T2630" s="5"/>
    </row>
    <row r="2631" spans="6:20" ht="12.75">
      <c r="F2631" s="11"/>
      <c r="G2631" s="19"/>
      <c r="H2631" s="20"/>
      <c r="I2631" s="21"/>
      <c r="K2631" s="5"/>
      <c r="S2631" s="5"/>
      <c r="T2631" s="5"/>
    </row>
    <row r="2632" spans="6:20" ht="12.75">
      <c r="F2632" s="11"/>
      <c r="G2632" s="19"/>
      <c r="H2632" s="20"/>
      <c r="I2632" s="21"/>
      <c r="K2632" s="5"/>
      <c r="S2632" s="5"/>
      <c r="T2632" s="5"/>
    </row>
    <row r="2633" spans="6:20" ht="12.75">
      <c r="F2633" s="11"/>
      <c r="G2633" s="19"/>
      <c r="H2633" s="20"/>
      <c r="I2633" s="21"/>
      <c r="K2633" s="5"/>
      <c r="S2633" s="5"/>
      <c r="T2633" s="5"/>
    </row>
    <row r="2634" spans="6:20" ht="12.75">
      <c r="F2634" s="11"/>
      <c r="G2634" s="19"/>
      <c r="H2634" s="20"/>
      <c r="I2634" s="21"/>
      <c r="K2634" s="5"/>
      <c r="S2634" s="5"/>
      <c r="T2634" s="5"/>
    </row>
    <row r="2635" spans="6:20" ht="12.75">
      <c r="F2635" s="11"/>
      <c r="G2635" s="19"/>
      <c r="H2635" s="20"/>
      <c r="I2635" s="21"/>
      <c r="K2635" s="5"/>
      <c r="S2635" s="5"/>
      <c r="T2635" s="5"/>
    </row>
    <row r="2636" spans="6:20" ht="12.75">
      <c r="F2636" s="11"/>
      <c r="G2636" s="19"/>
      <c r="H2636" s="20"/>
      <c r="I2636" s="21"/>
      <c r="K2636" s="5"/>
      <c r="S2636" s="5"/>
      <c r="T2636" s="5"/>
    </row>
    <row r="2637" spans="6:20" ht="12.75">
      <c r="F2637" s="11"/>
      <c r="G2637" s="19"/>
      <c r="H2637" s="20"/>
      <c r="I2637" s="21"/>
      <c r="K2637" s="5"/>
      <c r="S2637" s="5"/>
      <c r="T2637" s="5"/>
    </row>
    <row r="2638" spans="6:20" ht="12.75">
      <c r="F2638" s="11"/>
      <c r="G2638" s="19"/>
      <c r="H2638" s="20"/>
      <c r="I2638" s="21"/>
      <c r="K2638" s="5"/>
      <c r="S2638" s="5"/>
      <c r="T2638" s="5"/>
    </row>
    <row r="2639" spans="6:20" ht="12.75">
      <c r="F2639" s="11"/>
      <c r="G2639" s="19"/>
      <c r="H2639" s="20"/>
      <c r="I2639" s="21"/>
      <c r="K2639" s="5"/>
      <c r="S2639" s="5"/>
      <c r="T2639" s="5"/>
    </row>
    <row r="2640" spans="6:20" ht="12.75">
      <c r="F2640" s="11"/>
      <c r="G2640" s="19"/>
      <c r="H2640" s="20"/>
      <c r="I2640" s="21"/>
      <c r="K2640" s="5"/>
      <c r="S2640" s="5"/>
      <c r="T2640" s="5"/>
    </row>
    <row r="2641" spans="6:20" ht="12.75">
      <c r="F2641" s="11"/>
      <c r="G2641" s="19"/>
      <c r="H2641" s="20"/>
      <c r="I2641" s="21"/>
      <c r="K2641" s="5"/>
      <c r="S2641" s="5"/>
      <c r="T2641" s="5"/>
    </row>
    <row r="2642" spans="6:20" ht="12.75">
      <c r="F2642" s="11"/>
      <c r="G2642" s="19"/>
      <c r="H2642" s="20"/>
      <c r="I2642" s="21"/>
      <c r="K2642" s="5"/>
      <c r="S2642" s="5"/>
      <c r="T2642" s="5"/>
    </row>
    <row r="2643" spans="6:20" ht="12.75">
      <c r="F2643" s="11"/>
      <c r="G2643" s="19"/>
      <c r="H2643" s="20"/>
      <c r="I2643" s="21"/>
      <c r="K2643" s="5"/>
      <c r="S2643" s="5"/>
      <c r="T2643" s="5"/>
    </row>
    <row r="2644" spans="6:20" ht="12.75">
      <c r="F2644" s="11"/>
      <c r="G2644" s="19"/>
      <c r="H2644" s="20"/>
      <c r="I2644" s="21"/>
      <c r="K2644" s="5"/>
      <c r="S2644" s="5"/>
      <c r="T2644" s="5"/>
    </row>
    <row r="2645" spans="6:20" ht="12.75">
      <c r="F2645" s="11"/>
      <c r="G2645" s="19"/>
      <c r="H2645" s="20"/>
      <c r="I2645" s="21"/>
      <c r="K2645" s="5"/>
      <c r="S2645" s="5"/>
      <c r="T2645" s="5"/>
    </row>
    <row r="2646" spans="6:20" ht="12.75">
      <c r="F2646" s="11"/>
      <c r="G2646" s="19"/>
      <c r="H2646" s="20"/>
      <c r="I2646" s="21"/>
      <c r="K2646" s="5"/>
      <c r="S2646" s="5"/>
      <c r="T2646" s="5"/>
    </row>
    <row r="2647" spans="6:20" ht="12.75">
      <c r="F2647" s="11"/>
      <c r="G2647" s="19"/>
      <c r="H2647" s="20"/>
      <c r="I2647" s="21"/>
      <c r="K2647" s="5"/>
      <c r="S2647" s="5"/>
      <c r="T2647" s="5"/>
    </row>
    <row r="2648" spans="6:20" ht="12.75">
      <c r="F2648" s="11"/>
      <c r="G2648" s="19"/>
      <c r="H2648" s="20"/>
      <c r="I2648" s="21"/>
      <c r="K2648" s="5"/>
      <c r="S2648" s="5"/>
      <c r="T2648" s="5"/>
    </row>
    <row r="2649" spans="6:20" ht="12.75">
      <c r="F2649" s="11"/>
      <c r="G2649" s="19"/>
      <c r="H2649" s="20"/>
      <c r="I2649" s="21"/>
      <c r="K2649" s="5"/>
      <c r="S2649" s="5"/>
      <c r="T2649" s="5"/>
    </row>
    <row r="2650" spans="6:20" ht="12.75">
      <c r="F2650" s="11"/>
      <c r="G2650" s="19"/>
      <c r="H2650" s="20"/>
      <c r="I2650" s="21"/>
      <c r="K2650" s="5"/>
      <c r="S2650" s="5"/>
      <c r="T2650" s="5"/>
    </row>
    <row r="2651" spans="6:20" ht="12.75">
      <c r="F2651" s="11"/>
      <c r="G2651" s="19"/>
      <c r="H2651" s="20"/>
      <c r="I2651" s="21"/>
      <c r="K2651" s="5"/>
      <c r="S2651" s="5"/>
      <c r="T2651" s="5"/>
    </row>
    <row r="2652" spans="6:20" ht="12.75">
      <c r="F2652" s="11"/>
      <c r="G2652" s="19"/>
      <c r="H2652" s="20"/>
      <c r="I2652" s="21"/>
      <c r="K2652" s="5"/>
      <c r="S2652" s="5"/>
      <c r="T2652" s="5"/>
    </row>
    <row r="2653" spans="6:20" ht="12.75">
      <c r="F2653" s="11"/>
      <c r="G2653" s="19"/>
      <c r="H2653" s="20"/>
      <c r="I2653" s="21"/>
      <c r="K2653" s="5"/>
      <c r="S2653" s="5"/>
      <c r="T2653" s="5"/>
    </row>
    <row r="2654" spans="6:20" ht="12.75">
      <c r="F2654" s="11"/>
      <c r="G2654" s="19"/>
      <c r="H2654" s="20"/>
      <c r="I2654" s="21"/>
      <c r="K2654" s="5"/>
      <c r="S2654" s="5"/>
      <c r="T2654" s="5"/>
    </row>
    <row r="2655" spans="6:20" ht="12.75">
      <c r="F2655" s="11"/>
      <c r="G2655" s="19"/>
      <c r="H2655" s="20"/>
      <c r="I2655" s="21"/>
      <c r="K2655" s="5"/>
      <c r="S2655" s="5"/>
      <c r="T2655" s="5"/>
    </row>
    <row r="2656" spans="6:20" ht="12.75">
      <c r="F2656" s="11"/>
      <c r="G2656" s="19"/>
      <c r="H2656" s="20"/>
      <c r="I2656" s="21"/>
      <c r="K2656" s="5"/>
      <c r="S2656" s="5"/>
      <c r="T2656" s="5"/>
    </row>
    <row r="2657" spans="6:20" ht="12.75">
      <c r="F2657" s="11"/>
      <c r="G2657" s="19"/>
      <c r="H2657" s="20"/>
      <c r="I2657" s="21"/>
      <c r="K2657" s="5"/>
      <c r="S2657" s="5"/>
      <c r="T2657" s="5"/>
    </row>
    <row r="2658" spans="6:20" ht="12.75">
      <c r="F2658" s="11"/>
      <c r="G2658" s="19"/>
      <c r="H2658" s="20"/>
      <c r="I2658" s="21"/>
      <c r="K2658" s="5"/>
      <c r="S2658" s="5"/>
      <c r="T2658" s="5"/>
    </row>
    <row r="2659" spans="6:20" ht="12.75">
      <c r="F2659" s="11"/>
      <c r="G2659" s="19"/>
      <c r="H2659" s="20"/>
      <c r="I2659" s="21"/>
      <c r="K2659" s="5"/>
      <c r="S2659" s="5"/>
      <c r="T2659" s="5"/>
    </row>
    <row r="2660" spans="6:20" ht="12.75">
      <c r="F2660" s="11"/>
      <c r="G2660" s="19"/>
      <c r="H2660" s="20"/>
      <c r="I2660" s="21"/>
      <c r="K2660" s="5"/>
      <c r="S2660" s="5"/>
      <c r="T2660" s="5"/>
    </row>
    <row r="2661" spans="6:20" ht="12.75">
      <c r="F2661" s="11"/>
      <c r="G2661" s="19"/>
      <c r="H2661" s="20"/>
      <c r="I2661" s="21"/>
      <c r="K2661" s="5"/>
      <c r="S2661" s="5"/>
      <c r="T2661" s="5"/>
    </row>
    <row r="2662" spans="6:20" ht="12.75">
      <c r="F2662" s="11"/>
      <c r="G2662" s="19"/>
      <c r="H2662" s="20"/>
      <c r="I2662" s="21"/>
      <c r="K2662" s="5"/>
      <c r="S2662" s="5"/>
      <c r="T2662" s="5"/>
    </row>
    <row r="2663" spans="6:20" ht="12.75">
      <c r="F2663" s="11"/>
      <c r="G2663" s="19"/>
      <c r="H2663" s="20"/>
      <c r="I2663" s="21"/>
      <c r="K2663" s="5"/>
      <c r="S2663" s="5"/>
      <c r="T2663" s="5"/>
    </row>
    <row r="2664" spans="6:20" ht="12.75">
      <c r="F2664" s="11"/>
      <c r="G2664" s="19"/>
      <c r="H2664" s="20"/>
      <c r="I2664" s="21"/>
      <c r="K2664" s="5"/>
      <c r="S2664" s="5"/>
      <c r="T2664" s="5"/>
    </row>
    <row r="2665" spans="6:20" ht="12.75">
      <c r="F2665" s="11"/>
      <c r="G2665" s="19"/>
      <c r="H2665" s="20"/>
      <c r="I2665" s="21"/>
      <c r="K2665" s="5"/>
      <c r="S2665" s="5"/>
      <c r="T2665" s="5"/>
    </row>
    <row r="2666" spans="6:20" ht="12.75">
      <c r="F2666" s="11"/>
      <c r="G2666" s="19"/>
      <c r="H2666" s="20"/>
      <c r="I2666" s="21"/>
      <c r="K2666" s="5"/>
      <c r="S2666" s="5"/>
      <c r="T2666" s="5"/>
    </row>
    <row r="2667" spans="6:20" ht="12.75">
      <c r="F2667" s="11"/>
      <c r="G2667" s="19"/>
      <c r="H2667" s="20"/>
      <c r="I2667" s="21"/>
      <c r="K2667" s="5"/>
      <c r="S2667" s="5"/>
      <c r="T2667" s="5"/>
    </row>
  </sheetData>
  <autoFilter ref="A1:Z426" xr:uid="{00000000-0009-0000-0000-000000000000}">
    <sortState xmlns:xlrd2="http://schemas.microsoft.com/office/spreadsheetml/2017/richdata2" ref="A2:Z426">
      <sortCondition ref="M1:M426"/>
      <sortCondition ref="H1:H426"/>
    </sortState>
  </autoFilter>
  <hyperlinks>
    <hyperlink ref="M2" r:id="rId1" xr:uid="{00000000-0004-0000-0000-000001000000}"/>
    <hyperlink ref="T2" r:id="rId2" xr:uid="{00000000-0004-0000-0000-000002000000}"/>
    <hyperlink ref="M3" r:id="rId3" xr:uid="{00000000-0004-0000-0000-000003000000}"/>
    <hyperlink ref="T3" r:id="rId4" xr:uid="{00000000-0004-0000-0000-000004000000}"/>
    <hyperlink ref="M4" r:id="rId5" xr:uid="{00000000-0004-0000-0000-000005000000}"/>
    <hyperlink ref="T4" r:id="rId6" xr:uid="{00000000-0004-0000-0000-000006000000}"/>
    <hyperlink ref="M5" r:id="rId7" xr:uid="{00000000-0004-0000-0000-000007000000}"/>
    <hyperlink ref="T5" r:id="rId8" xr:uid="{00000000-0004-0000-0000-000008000000}"/>
    <hyperlink ref="M6" r:id="rId9" xr:uid="{00000000-0004-0000-0000-000009000000}"/>
    <hyperlink ref="T6" r:id="rId10" xr:uid="{00000000-0004-0000-0000-00000A000000}"/>
    <hyperlink ref="M7" r:id="rId11" xr:uid="{00000000-0004-0000-0000-00000B000000}"/>
    <hyperlink ref="T7" r:id="rId12" xr:uid="{00000000-0004-0000-0000-00000C000000}"/>
    <hyperlink ref="M8" r:id="rId13" xr:uid="{00000000-0004-0000-0000-00000D000000}"/>
    <hyperlink ref="T8" r:id="rId14" xr:uid="{00000000-0004-0000-0000-00000E000000}"/>
    <hyperlink ref="M9" r:id="rId15" xr:uid="{00000000-0004-0000-0000-00000F000000}"/>
    <hyperlink ref="T9" r:id="rId16" xr:uid="{00000000-0004-0000-0000-000010000000}"/>
    <hyperlink ref="M10" r:id="rId17" xr:uid="{00000000-0004-0000-0000-000011000000}"/>
    <hyperlink ref="M11" r:id="rId18" xr:uid="{00000000-0004-0000-0000-000012000000}"/>
    <hyperlink ref="M12" r:id="rId19" xr:uid="{00000000-0004-0000-0000-000013000000}"/>
    <hyperlink ref="M13" r:id="rId20" xr:uid="{00000000-0004-0000-0000-000014000000}"/>
    <hyperlink ref="M14" r:id="rId21" xr:uid="{00000000-0004-0000-0000-000015000000}"/>
    <hyperlink ref="T14" r:id="rId22" xr:uid="{00000000-0004-0000-0000-000016000000}"/>
    <hyperlink ref="M15" r:id="rId23" xr:uid="{00000000-0004-0000-0000-000017000000}"/>
    <hyperlink ref="M16" r:id="rId24" xr:uid="{00000000-0004-0000-0000-000018000000}"/>
    <hyperlink ref="M17" r:id="rId25" xr:uid="{00000000-0004-0000-0000-000019000000}"/>
    <hyperlink ref="M18" r:id="rId26" xr:uid="{00000000-0004-0000-0000-00001A000000}"/>
    <hyperlink ref="M19" r:id="rId27" xr:uid="{00000000-0004-0000-0000-00001B000000}"/>
    <hyperlink ref="M20" r:id="rId28" xr:uid="{00000000-0004-0000-0000-00001C000000}"/>
    <hyperlink ref="M21" r:id="rId29" xr:uid="{00000000-0004-0000-0000-00001D000000}"/>
    <hyperlink ref="M22" r:id="rId30" xr:uid="{00000000-0004-0000-0000-00001E000000}"/>
    <hyperlink ref="M23" r:id="rId31" xr:uid="{00000000-0004-0000-0000-00001F000000}"/>
    <hyperlink ref="M24" r:id="rId32" xr:uid="{00000000-0004-0000-0000-000020000000}"/>
    <hyperlink ref="M25" r:id="rId33" xr:uid="{00000000-0004-0000-0000-000021000000}"/>
    <hyperlink ref="M26" r:id="rId34" xr:uid="{00000000-0004-0000-0000-000022000000}"/>
    <hyperlink ref="M27" r:id="rId35" xr:uid="{00000000-0004-0000-0000-000023000000}"/>
    <hyperlink ref="M28" r:id="rId36" xr:uid="{00000000-0004-0000-0000-000024000000}"/>
    <hyperlink ref="M29" r:id="rId37" xr:uid="{00000000-0004-0000-0000-000025000000}"/>
    <hyperlink ref="M30" r:id="rId38" xr:uid="{00000000-0004-0000-0000-000026000000}"/>
    <hyperlink ref="M31" r:id="rId39" xr:uid="{00000000-0004-0000-0000-000027000000}"/>
    <hyperlink ref="M32" r:id="rId40" xr:uid="{00000000-0004-0000-0000-000028000000}"/>
    <hyperlink ref="M33" r:id="rId41" xr:uid="{00000000-0004-0000-0000-000029000000}"/>
    <hyperlink ref="M34" r:id="rId42" xr:uid="{00000000-0004-0000-0000-00002A000000}"/>
    <hyperlink ref="M35" r:id="rId43" xr:uid="{00000000-0004-0000-0000-00002B000000}"/>
    <hyperlink ref="M36" r:id="rId44" xr:uid="{00000000-0004-0000-0000-00002C000000}"/>
    <hyperlink ref="M37" r:id="rId45" xr:uid="{00000000-0004-0000-0000-00002D000000}"/>
    <hyperlink ref="M38" r:id="rId46" xr:uid="{00000000-0004-0000-0000-00002E000000}"/>
    <hyperlink ref="M39" r:id="rId47" xr:uid="{00000000-0004-0000-0000-00002F000000}"/>
    <hyperlink ref="M40" r:id="rId48" xr:uid="{00000000-0004-0000-0000-000030000000}"/>
    <hyperlink ref="M41" r:id="rId49" xr:uid="{00000000-0004-0000-0000-000031000000}"/>
    <hyperlink ref="M42" r:id="rId50" xr:uid="{00000000-0004-0000-0000-000032000000}"/>
    <hyperlink ref="M43" r:id="rId51" xr:uid="{00000000-0004-0000-0000-000033000000}"/>
    <hyperlink ref="M44" r:id="rId52" xr:uid="{00000000-0004-0000-0000-000034000000}"/>
    <hyperlink ref="M45" r:id="rId53" xr:uid="{00000000-0004-0000-0000-000035000000}"/>
    <hyperlink ref="M46" r:id="rId54" xr:uid="{00000000-0004-0000-0000-000036000000}"/>
    <hyperlink ref="M47" r:id="rId55" xr:uid="{00000000-0004-0000-0000-000037000000}"/>
    <hyperlink ref="M48" r:id="rId56" xr:uid="{00000000-0004-0000-0000-000038000000}"/>
    <hyperlink ref="M49" r:id="rId57" xr:uid="{00000000-0004-0000-0000-000039000000}"/>
    <hyperlink ref="T49" r:id="rId58" xr:uid="{00000000-0004-0000-0000-00003A000000}"/>
    <hyperlink ref="M50" r:id="rId59" xr:uid="{00000000-0004-0000-0000-00003B000000}"/>
    <hyperlink ref="M51" r:id="rId60" xr:uid="{00000000-0004-0000-0000-00003C000000}"/>
    <hyperlink ref="T51" r:id="rId61" xr:uid="{00000000-0004-0000-0000-00003D000000}"/>
    <hyperlink ref="M52" r:id="rId62" xr:uid="{00000000-0004-0000-0000-00003E000000}"/>
    <hyperlink ref="T52" r:id="rId63" xr:uid="{00000000-0004-0000-0000-00003F000000}"/>
    <hyperlink ref="M53" r:id="rId64" xr:uid="{00000000-0004-0000-0000-000040000000}"/>
    <hyperlink ref="M54" r:id="rId65" xr:uid="{00000000-0004-0000-0000-000041000000}"/>
    <hyperlink ref="T54" r:id="rId66" xr:uid="{00000000-0004-0000-0000-000042000000}"/>
    <hyperlink ref="M55" r:id="rId67" xr:uid="{00000000-0004-0000-0000-000043000000}"/>
    <hyperlink ref="T55" r:id="rId68" xr:uid="{00000000-0004-0000-0000-000044000000}"/>
    <hyperlink ref="M56" r:id="rId69" xr:uid="{00000000-0004-0000-0000-000045000000}"/>
    <hyperlink ref="M57" r:id="rId70" xr:uid="{00000000-0004-0000-0000-000046000000}"/>
    <hyperlink ref="T57" r:id="rId71" xr:uid="{00000000-0004-0000-0000-000047000000}"/>
    <hyperlink ref="M58" r:id="rId72" xr:uid="{00000000-0004-0000-0000-000048000000}"/>
    <hyperlink ref="T58" r:id="rId73" xr:uid="{00000000-0004-0000-0000-000049000000}"/>
    <hyperlink ref="M59" r:id="rId74" xr:uid="{00000000-0004-0000-0000-00004A000000}"/>
    <hyperlink ref="T59" r:id="rId75" xr:uid="{00000000-0004-0000-0000-00004B000000}"/>
    <hyperlink ref="M60" r:id="rId76" xr:uid="{00000000-0004-0000-0000-00004C000000}"/>
    <hyperlink ref="T60" r:id="rId77" xr:uid="{00000000-0004-0000-0000-00004D000000}"/>
    <hyperlink ref="M61" r:id="rId78" xr:uid="{00000000-0004-0000-0000-00004E000000}"/>
    <hyperlink ref="T61" r:id="rId79" xr:uid="{00000000-0004-0000-0000-00004F000000}"/>
    <hyperlink ref="M62" r:id="rId80" xr:uid="{00000000-0004-0000-0000-000050000000}"/>
    <hyperlink ref="T62" r:id="rId81" xr:uid="{00000000-0004-0000-0000-000051000000}"/>
    <hyperlink ref="M63" r:id="rId82" xr:uid="{00000000-0004-0000-0000-000052000000}"/>
    <hyperlink ref="T63" r:id="rId83" xr:uid="{00000000-0004-0000-0000-000053000000}"/>
    <hyperlink ref="M64" r:id="rId84" xr:uid="{00000000-0004-0000-0000-000054000000}"/>
    <hyperlink ref="T64" r:id="rId85" xr:uid="{00000000-0004-0000-0000-000055000000}"/>
    <hyperlink ref="M65" r:id="rId86" xr:uid="{00000000-0004-0000-0000-000056000000}"/>
    <hyperlink ref="T65" r:id="rId87" xr:uid="{00000000-0004-0000-0000-000057000000}"/>
    <hyperlink ref="M66" r:id="rId88" xr:uid="{00000000-0004-0000-0000-000058000000}"/>
    <hyperlink ref="M67" r:id="rId89" xr:uid="{00000000-0004-0000-0000-000059000000}"/>
    <hyperlink ref="T67" r:id="rId90" xr:uid="{00000000-0004-0000-0000-00005A000000}"/>
    <hyperlink ref="M68" r:id="rId91" xr:uid="{00000000-0004-0000-0000-00005B000000}"/>
    <hyperlink ref="T68" r:id="rId92" xr:uid="{00000000-0004-0000-0000-00005C000000}"/>
    <hyperlink ref="M69" r:id="rId93" xr:uid="{00000000-0004-0000-0000-00005D000000}"/>
    <hyperlink ref="T69" r:id="rId94" xr:uid="{00000000-0004-0000-0000-00005E000000}"/>
    <hyperlink ref="M70" r:id="rId95" xr:uid="{00000000-0004-0000-0000-00005F000000}"/>
    <hyperlink ref="T70" r:id="rId96" xr:uid="{00000000-0004-0000-0000-000060000000}"/>
    <hyperlink ref="M71" r:id="rId97" xr:uid="{00000000-0004-0000-0000-000061000000}"/>
    <hyperlink ref="T71" r:id="rId98" xr:uid="{00000000-0004-0000-0000-000062000000}"/>
    <hyperlink ref="M72" r:id="rId99" xr:uid="{00000000-0004-0000-0000-000063000000}"/>
    <hyperlink ref="T72" r:id="rId100" xr:uid="{00000000-0004-0000-0000-000064000000}"/>
    <hyperlink ref="M73" r:id="rId101" xr:uid="{00000000-0004-0000-0000-000065000000}"/>
    <hyperlink ref="T73" r:id="rId102" xr:uid="{00000000-0004-0000-0000-000066000000}"/>
    <hyperlink ref="M74" r:id="rId103" xr:uid="{00000000-0004-0000-0000-000067000000}"/>
    <hyperlink ref="T74" r:id="rId104" xr:uid="{00000000-0004-0000-0000-000068000000}"/>
    <hyperlink ref="M75" r:id="rId105" xr:uid="{00000000-0004-0000-0000-000069000000}"/>
    <hyperlink ref="M76" r:id="rId106" xr:uid="{00000000-0004-0000-0000-00006A000000}"/>
    <hyperlink ref="M77" r:id="rId107" xr:uid="{00000000-0004-0000-0000-00006B000000}"/>
    <hyperlink ref="T77" r:id="rId108" xr:uid="{00000000-0004-0000-0000-00006C000000}"/>
    <hyperlink ref="M78" r:id="rId109" xr:uid="{00000000-0004-0000-0000-00006D000000}"/>
    <hyperlink ref="T78" r:id="rId110" xr:uid="{00000000-0004-0000-0000-00006E000000}"/>
    <hyperlink ref="M79" r:id="rId111" xr:uid="{00000000-0004-0000-0000-00006F000000}"/>
    <hyperlink ref="M80" r:id="rId112" xr:uid="{00000000-0004-0000-0000-000070000000}"/>
    <hyperlink ref="T80" r:id="rId113" xr:uid="{00000000-0004-0000-0000-000071000000}"/>
    <hyperlink ref="M81" r:id="rId114" xr:uid="{00000000-0004-0000-0000-000072000000}"/>
    <hyperlink ref="M82" r:id="rId115" xr:uid="{00000000-0004-0000-0000-000073000000}"/>
    <hyperlink ref="T82" r:id="rId116" xr:uid="{00000000-0004-0000-0000-000074000000}"/>
    <hyperlink ref="M83" r:id="rId117" xr:uid="{00000000-0004-0000-0000-000075000000}"/>
    <hyperlink ref="T83" r:id="rId118" xr:uid="{00000000-0004-0000-0000-000076000000}"/>
    <hyperlink ref="M84" r:id="rId119" xr:uid="{00000000-0004-0000-0000-000077000000}"/>
    <hyperlink ref="T84" r:id="rId120" xr:uid="{00000000-0004-0000-0000-000078000000}"/>
    <hyperlink ref="M85" r:id="rId121" xr:uid="{00000000-0004-0000-0000-000079000000}"/>
    <hyperlink ref="T85" r:id="rId122" xr:uid="{00000000-0004-0000-0000-00007A000000}"/>
    <hyperlink ref="M86" r:id="rId123" xr:uid="{00000000-0004-0000-0000-00007B000000}"/>
    <hyperlink ref="T86" r:id="rId124" xr:uid="{00000000-0004-0000-0000-00007C000000}"/>
    <hyperlink ref="M87" r:id="rId125" xr:uid="{00000000-0004-0000-0000-00007D000000}"/>
    <hyperlink ref="M88" r:id="rId126" xr:uid="{00000000-0004-0000-0000-00007E000000}"/>
    <hyperlink ref="M89" r:id="rId127" xr:uid="{00000000-0004-0000-0000-00007F000000}"/>
    <hyperlink ref="T89" r:id="rId128" xr:uid="{00000000-0004-0000-0000-000080000000}"/>
    <hyperlink ref="M90" r:id="rId129" xr:uid="{00000000-0004-0000-0000-000081000000}"/>
    <hyperlink ref="T90" r:id="rId130" xr:uid="{00000000-0004-0000-0000-000082000000}"/>
    <hyperlink ref="M91" r:id="rId131" xr:uid="{00000000-0004-0000-0000-000083000000}"/>
    <hyperlink ref="T91" r:id="rId132" xr:uid="{00000000-0004-0000-0000-000084000000}"/>
    <hyperlink ref="M92" r:id="rId133" xr:uid="{00000000-0004-0000-0000-000085000000}"/>
    <hyperlink ref="M93" r:id="rId134" xr:uid="{00000000-0004-0000-0000-000086000000}"/>
    <hyperlink ref="T93" r:id="rId135" xr:uid="{00000000-0004-0000-0000-000087000000}"/>
    <hyperlink ref="M94" r:id="rId136" xr:uid="{00000000-0004-0000-0000-000088000000}"/>
    <hyperlink ref="T94" r:id="rId137" xr:uid="{00000000-0004-0000-0000-000089000000}"/>
    <hyperlink ref="M95" r:id="rId138" xr:uid="{00000000-0004-0000-0000-00008A000000}"/>
    <hyperlink ref="M96" r:id="rId139" xr:uid="{00000000-0004-0000-0000-00008B000000}"/>
    <hyperlink ref="T96" r:id="rId140" xr:uid="{00000000-0004-0000-0000-00008C000000}"/>
    <hyperlink ref="M97" r:id="rId141" xr:uid="{00000000-0004-0000-0000-00008D000000}"/>
    <hyperlink ref="M98" r:id="rId142" xr:uid="{00000000-0004-0000-0000-00008E000000}"/>
    <hyperlink ref="T98" r:id="rId143" xr:uid="{00000000-0004-0000-0000-00008F000000}"/>
    <hyperlink ref="M99" r:id="rId144" xr:uid="{00000000-0004-0000-0000-000090000000}"/>
    <hyperlink ref="T99" r:id="rId145" xr:uid="{00000000-0004-0000-0000-000091000000}"/>
    <hyperlink ref="M100" r:id="rId146" xr:uid="{00000000-0004-0000-0000-000092000000}"/>
    <hyperlink ref="M101" r:id="rId147" xr:uid="{00000000-0004-0000-0000-000093000000}"/>
    <hyperlink ref="M102" r:id="rId148" xr:uid="{00000000-0004-0000-0000-000094000000}"/>
    <hyperlink ref="T102" r:id="rId149" xr:uid="{00000000-0004-0000-0000-000095000000}"/>
    <hyperlink ref="M103" r:id="rId150" xr:uid="{00000000-0004-0000-0000-000096000000}"/>
    <hyperlink ref="T103" r:id="rId151" xr:uid="{00000000-0004-0000-0000-000097000000}"/>
    <hyperlink ref="M104" r:id="rId152" xr:uid="{00000000-0004-0000-0000-000098000000}"/>
    <hyperlink ref="T104" r:id="rId153" xr:uid="{00000000-0004-0000-0000-000099000000}"/>
    <hyperlink ref="M105" r:id="rId154" xr:uid="{00000000-0004-0000-0000-00009A000000}"/>
    <hyperlink ref="M106" r:id="rId155" xr:uid="{00000000-0004-0000-0000-00009B000000}"/>
    <hyperlink ref="T106" r:id="rId156" xr:uid="{00000000-0004-0000-0000-00009C000000}"/>
    <hyperlink ref="M107" r:id="rId157" xr:uid="{00000000-0004-0000-0000-00009D000000}"/>
    <hyperlink ref="T107" r:id="rId158" xr:uid="{00000000-0004-0000-0000-00009E000000}"/>
    <hyperlink ref="M108" r:id="rId159" xr:uid="{00000000-0004-0000-0000-00009F000000}"/>
    <hyperlink ref="M109" r:id="rId160" xr:uid="{00000000-0004-0000-0000-0000A0000000}"/>
    <hyperlink ref="T109" r:id="rId161" xr:uid="{00000000-0004-0000-0000-0000A1000000}"/>
    <hyperlink ref="M110" r:id="rId162" xr:uid="{00000000-0004-0000-0000-0000A2000000}"/>
    <hyperlink ref="T110" r:id="rId163" xr:uid="{00000000-0004-0000-0000-0000A3000000}"/>
    <hyperlink ref="M111" r:id="rId164" xr:uid="{00000000-0004-0000-0000-0000A4000000}"/>
    <hyperlink ref="M112" r:id="rId165" xr:uid="{00000000-0004-0000-0000-0000A5000000}"/>
    <hyperlink ref="T112" r:id="rId166" xr:uid="{00000000-0004-0000-0000-0000A6000000}"/>
    <hyperlink ref="M113" r:id="rId167" xr:uid="{00000000-0004-0000-0000-0000A7000000}"/>
    <hyperlink ref="T113" r:id="rId168" xr:uid="{00000000-0004-0000-0000-0000A8000000}"/>
    <hyperlink ref="M114" r:id="rId169" xr:uid="{00000000-0004-0000-0000-0000A9000000}"/>
    <hyperlink ref="M115" r:id="rId170" xr:uid="{00000000-0004-0000-0000-0000AA000000}"/>
    <hyperlink ref="T115" r:id="rId171" xr:uid="{00000000-0004-0000-0000-0000AB000000}"/>
    <hyperlink ref="M116" r:id="rId172" xr:uid="{00000000-0004-0000-0000-0000AC000000}"/>
    <hyperlink ref="T116" r:id="rId173" xr:uid="{00000000-0004-0000-0000-0000AD000000}"/>
    <hyperlink ref="M117" r:id="rId174" xr:uid="{00000000-0004-0000-0000-0000AE000000}"/>
    <hyperlink ref="M118" r:id="rId175" xr:uid="{00000000-0004-0000-0000-0000AF000000}"/>
    <hyperlink ref="T118" r:id="rId176" xr:uid="{00000000-0004-0000-0000-0000B0000000}"/>
    <hyperlink ref="M119" r:id="rId177" xr:uid="{00000000-0004-0000-0000-0000B1000000}"/>
    <hyperlink ref="T119" r:id="rId178" xr:uid="{00000000-0004-0000-0000-0000B2000000}"/>
    <hyperlink ref="M120" r:id="rId179" xr:uid="{00000000-0004-0000-0000-0000B3000000}"/>
    <hyperlink ref="M121" r:id="rId180" xr:uid="{00000000-0004-0000-0000-0000B4000000}"/>
    <hyperlink ref="M122" r:id="rId181" xr:uid="{00000000-0004-0000-0000-0000B5000000}"/>
    <hyperlink ref="T122" r:id="rId182" xr:uid="{00000000-0004-0000-0000-0000B6000000}"/>
    <hyperlink ref="M123" r:id="rId183" xr:uid="{00000000-0004-0000-0000-0000B7000000}"/>
    <hyperlink ref="T123" r:id="rId184" xr:uid="{00000000-0004-0000-0000-0000B8000000}"/>
    <hyperlink ref="M124" r:id="rId185" xr:uid="{00000000-0004-0000-0000-0000B9000000}"/>
    <hyperlink ref="T124" r:id="rId186" xr:uid="{00000000-0004-0000-0000-0000BA000000}"/>
    <hyperlink ref="M125" r:id="rId187" xr:uid="{00000000-0004-0000-0000-0000BB000000}"/>
    <hyperlink ref="M126" r:id="rId188" xr:uid="{00000000-0004-0000-0000-0000BC000000}"/>
    <hyperlink ref="T126" r:id="rId189" xr:uid="{00000000-0004-0000-0000-0000BD000000}"/>
    <hyperlink ref="M127" r:id="rId190" xr:uid="{00000000-0004-0000-0000-0000BE000000}"/>
    <hyperlink ref="T127" r:id="rId191" xr:uid="{00000000-0004-0000-0000-0000BF000000}"/>
    <hyperlink ref="M128" r:id="rId192" xr:uid="{00000000-0004-0000-0000-0000C0000000}"/>
    <hyperlink ref="M129" r:id="rId193" xr:uid="{00000000-0004-0000-0000-0000C1000000}"/>
    <hyperlink ref="T129" r:id="rId194" xr:uid="{00000000-0004-0000-0000-0000C2000000}"/>
    <hyperlink ref="M130" r:id="rId195" xr:uid="{00000000-0004-0000-0000-0000C3000000}"/>
    <hyperlink ref="T130" r:id="rId196" xr:uid="{00000000-0004-0000-0000-0000C4000000}"/>
    <hyperlink ref="M131" r:id="rId197" xr:uid="{00000000-0004-0000-0000-0000C5000000}"/>
    <hyperlink ref="T131" r:id="rId198" xr:uid="{00000000-0004-0000-0000-0000C6000000}"/>
    <hyperlink ref="M132" r:id="rId199" xr:uid="{00000000-0004-0000-0000-0000C7000000}"/>
    <hyperlink ref="M133" r:id="rId200" xr:uid="{00000000-0004-0000-0000-0000C8000000}"/>
    <hyperlink ref="T133" r:id="rId201" xr:uid="{00000000-0004-0000-0000-0000C9000000}"/>
    <hyperlink ref="M134" r:id="rId202" xr:uid="{00000000-0004-0000-0000-0000CA000000}"/>
    <hyperlink ref="M135" r:id="rId203" xr:uid="{00000000-0004-0000-0000-0000CB000000}"/>
    <hyperlink ref="M136" r:id="rId204" xr:uid="{00000000-0004-0000-0000-0000CC000000}"/>
    <hyperlink ref="M137" r:id="rId205" xr:uid="{00000000-0004-0000-0000-0000CD000000}"/>
    <hyperlink ref="M138" r:id="rId206" xr:uid="{00000000-0004-0000-0000-0000CE000000}"/>
    <hyperlink ref="M139" r:id="rId207" xr:uid="{00000000-0004-0000-0000-0000CF000000}"/>
    <hyperlink ref="T139" r:id="rId208" xr:uid="{00000000-0004-0000-0000-0000D0000000}"/>
    <hyperlink ref="M140" r:id="rId209" xr:uid="{00000000-0004-0000-0000-0000D1000000}"/>
    <hyperlink ref="M141" r:id="rId210" xr:uid="{00000000-0004-0000-0000-0000D2000000}"/>
    <hyperlink ref="T141" r:id="rId211" xr:uid="{00000000-0004-0000-0000-0000D3000000}"/>
    <hyperlink ref="M142" r:id="rId212" xr:uid="{00000000-0004-0000-0000-0000D4000000}"/>
    <hyperlink ref="M143" r:id="rId213" xr:uid="{00000000-0004-0000-0000-0000D5000000}"/>
    <hyperlink ref="M144" r:id="rId214" xr:uid="{00000000-0004-0000-0000-0000D6000000}"/>
    <hyperlink ref="T144" r:id="rId215" xr:uid="{00000000-0004-0000-0000-0000D7000000}"/>
    <hyperlink ref="M145" r:id="rId216" xr:uid="{00000000-0004-0000-0000-0000D8000000}"/>
    <hyperlink ref="T145" r:id="rId217" xr:uid="{00000000-0004-0000-0000-0000D9000000}"/>
    <hyperlink ref="M146" r:id="rId218" xr:uid="{00000000-0004-0000-0000-0000DA000000}"/>
    <hyperlink ref="M147" r:id="rId219" xr:uid="{00000000-0004-0000-0000-0000DB000000}"/>
    <hyperlink ref="M148" r:id="rId220" xr:uid="{00000000-0004-0000-0000-0000DC000000}"/>
    <hyperlink ref="T148" r:id="rId221" xr:uid="{00000000-0004-0000-0000-0000DD000000}"/>
    <hyperlink ref="M149" r:id="rId222" xr:uid="{00000000-0004-0000-0000-0000DE000000}"/>
    <hyperlink ref="T149" r:id="rId223" xr:uid="{00000000-0004-0000-0000-0000DF000000}"/>
    <hyperlink ref="M150" r:id="rId224" xr:uid="{00000000-0004-0000-0000-0000E0000000}"/>
    <hyperlink ref="T150" r:id="rId225" xr:uid="{00000000-0004-0000-0000-0000E1000000}"/>
    <hyperlink ref="M151" r:id="rId226" xr:uid="{00000000-0004-0000-0000-0000E2000000}"/>
    <hyperlink ref="T151" r:id="rId227" xr:uid="{00000000-0004-0000-0000-0000E3000000}"/>
    <hyperlink ref="M152" r:id="rId228" xr:uid="{00000000-0004-0000-0000-0000E4000000}"/>
    <hyperlink ref="M153" r:id="rId229" xr:uid="{00000000-0004-0000-0000-0000E5000000}"/>
    <hyperlink ref="T153" r:id="rId230" xr:uid="{00000000-0004-0000-0000-0000E6000000}"/>
    <hyperlink ref="M154" r:id="rId231" xr:uid="{00000000-0004-0000-0000-0000E7000000}"/>
    <hyperlink ref="M155" r:id="rId232" xr:uid="{00000000-0004-0000-0000-0000E8000000}"/>
    <hyperlink ref="M156" r:id="rId233" xr:uid="{00000000-0004-0000-0000-0000E9000000}"/>
    <hyperlink ref="T156" r:id="rId234" xr:uid="{00000000-0004-0000-0000-0000EA000000}"/>
    <hyperlink ref="M157" r:id="rId235" xr:uid="{00000000-0004-0000-0000-0000EB000000}"/>
    <hyperlink ref="T157" r:id="rId236" xr:uid="{00000000-0004-0000-0000-0000EC000000}"/>
    <hyperlink ref="M158" r:id="rId237" xr:uid="{00000000-0004-0000-0000-0000ED000000}"/>
    <hyperlink ref="M159" r:id="rId238" xr:uid="{00000000-0004-0000-0000-0000EE000000}"/>
    <hyperlink ref="T159" r:id="rId239" xr:uid="{00000000-0004-0000-0000-0000EF000000}"/>
    <hyperlink ref="M160" r:id="rId240" xr:uid="{00000000-0004-0000-0000-0000F0000000}"/>
    <hyperlink ref="T160" r:id="rId241" xr:uid="{00000000-0004-0000-0000-0000F1000000}"/>
    <hyperlink ref="M161" r:id="rId242" xr:uid="{00000000-0004-0000-0000-0000F2000000}"/>
    <hyperlink ref="T161" r:id="rId243" xr:uid="{00000000-0004-0000-0000-0000F3000000}"/>
    <hyperlink ref="M162" r:id="rId244" xr:uid="{00000000-0004-0000-0000-0000F4000000}"/>
    <hyperlink ref="M163" r:id="rId245" xr:uid="{00000000-0004-0000-0000-0000F5000000}"/>
    <hyperlink ref="M164" r:id="rId246" xr:uid="{00000000-0004-0000-0000-0000F6000000}"/>
    <hyperlink ref="M165" r:id="rId247" xr:uid="{00000000-0004-0000-0000-0000F7000000}"/>
    <hyperlink ref="T165" r:id="rId248" xr:uid="{00000000-0004-0000-0000-0000F8000000}"/>
    <hyperlink ref="M166" r:id="rId249" xr:uid="{00000000-0004-0000-0000-0000F9000000}"/>
    <hyperlink ref="M167" r:id="rId250" xr:uid="{00000000-0004-0000-0000-0000FA000000}"/>
    <hyperlink ref="T167" r:id="rId251" xr:uid="{00000000-0004-0000-0000-0000FB000000}"/>
    <hyperlink ref="M168" r:id="rId252" xr:uid="{00000000-0004-0000-0000-0000FC000000}"/>
    <hyperlink ref="M169" r:id="rId253" xr:uid="{00000000-0004-0000-0000-0000FD000000}"/>
    <hyperlink ref="M170" r:id="rId254" xr:uid="{00000000-0004-0000-0000-0000FE000000}"/>
    <hyperlink ref="M171" r:id="rId255" xr:uid="{00000000-0004-0000-0000-0000FF000000}"/>
    <hyperlink ref="M172" r:id="rId256" xr:uid="{00000000-0004-0000-0000-000000010000}"/>
    <hyperlink ref="T172" r:id="rId257" xr:uid="{00000000-0004-0000-0000-000001010000}"/>
    <hyperlink ref="M173" r:id="rId258" xr:uid="{00000000-0004-0000-0000-000002010000}"/>
    <hyperlink ref="M174" r:id="rId259" xr:uid="{00000000-0004-0000-0000-000003010000}"/>
    <hyperlink ref="M175" r:id="rId260" xr:uid="{00000000-0004-0000-0000-000004010000}"/>
    <hyperlink ref="T175" r:id="rId261" xr:uid="{00000000-0004-0000-0000-000005010000}"/>
    <hyperlink ref="M176" r:id="rId262" xr:uid="{00000000-0004-0000-0000-000006010000}"/>
    <hyperlink ref="M177" r:id="rId263" xr:uid="{00000000-0004-0000-0000-000007010000}"/>
    <hyperlink ref="M178" r:id="rId264" xr:uid="{00000000-0004-0000-0000-000008010000}"/>
    <hyperlink ref="T178" r:id="rId265" xr:uid="{00000000-0004-0000-0000-000009010000}"/>
    <hyperlink ref="M179" r:id="rId266" xr:uid="{00000000-0004-0000-0000-00000A010000}"/>
    <hyperlink ref="T179" r:id="rId267" xr:uid="{00000000-0004-0000-0000-00000B010000}"/>
    <hyperlink ref="M180" r:id="rId268" xr:uid="{00000000-0004-0000-0000-00000C010000}"/>
    <hyperlink ref="T180" r:id="rId269" xr:uid="{00000000-0004-0000-0000-00000D010000}"/>
    <hyperlink ref="M181" r:id="rId270" xr:uid="{00000000-0004-0000-0000-00000E010000}"/>
    <hyperlink ref="T181" r:id="rId271" xr:uid="{00000000-0004-0000-0000-00000F010000}"/>
    <hyperlink ref="M182" r:id="rId272" xr:uid="{00000000-0004-0000-0000-000010010000}"/>
    <hyperlink ref="M183" r:id="rId273" xr:uid="{00000000-0004-0000-0000-000011010000}"/>
    <hyperlink ref="T183" r:id="rId274" xr:uid="{00000000-0004-0000-0000-000012010000}"/>
    <hyperlink ref="M184" r:id="rId275" xr:uid="{00000000-0004-0000-0000-000013010000}"/>
    <hyperlink ref="T184" r:id="rId276" xr:uid="{00000000-0004-0000-0000-000014010000}"/>
    <hyperlink ref="M185" r:id="rId277" xr:uid="{00000000-0004-0000-0000-000015010000}"/>
    <hyperlink ref="T185" r:id="rId278" xr:uid="{00000000-0004-0000-0000-000016010000}"/>
    <hyperlink ref="M186" r:id="rId279" xr:uid="{00000000-0004-0000-0000-000017010000}"/>
    <hyperlink ref="M187" r:id="rId280" xr:uid="{00000000-0004-0000-0000-000018010000}"/>
    <hyperlink ref="T187" r:id="rId281" xr:uid="{00000000-0004-0000-0000-000019010000}"/>
    <hyperlink ref="M188" r:id="rId282" xr:uid="{00000000-0004-0000-0000-00001A010000}"/>
    <hyperlink ref="M189" r:id="rId283" xr:uid="{00000000-0004-0000-0000-00001B010000}"/>
    <hyperlink ref="T189" r:id="rId284" xr:uid="{00000000-0004-0000-0000-00001C010000}"/>
    <hyperlink ref="M190" r:id="rId285" xr:uid="{00000000-0004-0000-0000-00001D010000}"/>
    <hyperlink ref="T190" r:id="rId286" xr:uid="{00000000-0004-0000-0000-00001E010000}"/>
    <hyperlink ref="M191" r:id="rId287" xr:uid="{00000000-0004-0000-0000-00001F010000}"/>
    <hyperlink ref="M192" r:id="rId288" xr:uid="{00000000-0004-0000-0000-000020010000}"/>
    <hyperlink ref="M193" r:id="rId289" xr:uid="{00000000-0004-0000-0000-000021010000}"/>
    <hyperlink ref="T193" r:id="rId290" xr:uid="{00000000-0004-0000-0000-000022010000}"/>
    <hyperlink ref="M194" r:id="rId291" xr:uid="{00000000-0004-0000-0000-000023010000}"/>
    <hyperlink ref="M195" r:id="rId292" xr:uid="{00000000-0004-0000-0000-000024010000}"/>
    <hyperlink ref="T195" r:id="rId293" xr:uid="{00000000-0004-0000-0000-000025010000}"/>
    <hyperlink ref="M196" r:id="rId294" xr:uid="{00000000-0004-0000-0000-000026010000}"/>
    <hyperlink ref="T196" r:id="rId295" xr:uid="{00000000-0004-0000-0000-000027010000}"/>
    <hyperlink ref="M197" r:id="rId296" xr:uid="{00000000-0004-0000-0000-000028010000}"/>
    <hyperlink ref="T197" r:id="rId297" xr:uid="{00000000-0004-0000-0000-000029010000}"/>
    <hyperlink ref="M198" r:id="rId298" xr:uid="{00000000-0004-0000-0000-00002A010000}"/>
    <hyperlink ref="M199" r:id="rId299" xr:uid="{00000000-0004-0000-0000-00002B010000}"/>
    <hyperlink ref="T199" r:id="rId300" xr:uid="{00000000-0004-0000-0000-00002C010000}"/>
    <hyperlink ref="M200" r:id="rId301" xr:uid="{00000000-0004-0000-0000-00002D010000}"/>
    <hyperlink ref="M201" r:id="rId302" xr:uid="{00000000-0004-0000-0000-00002E010000}"/>
    <hyperlink ref="T201" r:id="rId303" xr:uid="{00000000-0004-0000-0000-00002F010000}"/>
    <hyperlink ref="M202" r:id="rId304" xr:uid="{00000000-0004-0000-0000-000030010000}"/>
    <hyperlink ref="M203" r:id="rId305" xr:uid="{00000000-0004-0000-0000-000031010000}"/>
    <hyperlink ref="T203" r:id="rId306" xr:uid="{00000000-0004-0000-0000-000032010000}"/>
    <hyperlink ref="M204" r:id="rId307" xr:uid="{00000000-0004-0000-0000-000033010000}"/>
    <hyperlink ref="M205" r:id="rId308" xr:uid="{00000000-0004-0000-0000-000034010000}"/>
    <hyperlink ref="M206" r:id="rId309" xr:uid="{00000000-0004-0000-0000-000035010000}"/>
    <hyperlink ref="T206" r:id="rId310" xr:uid="{00000000-0004-0000-0000-000036010000}"/>
    <hyperlink ref="M207" r:id="rId311" xr:uid="{00000000-0004-0000-0000-000037010000}"/>
    <hyperlink ref="T207" r:id="rId312" xr:uid="{00000000-0004-0000-0000-000038010000}"/>
    <hyperlink ref="M208" r:id="rId313" xr:uid="{00000000-0004-0000-0000-000039010000}"/>
    <hyperlink ref="T208" r:id="rId314" xr:uid="{00000000-0004-0000-0000-00003A010000}"/>
    <hyperlink ref="M209" r:id="rId315" xr:uid="{00000000-0004-0000-0000-00003B010000}"/>
    <hyperlink ref="T209" r:id="rId316" xr:uid="{00000000-0004-0000-0000-00003C010000}"/>
    <hyperlink ref="M210" r:id="rId317" xr:uid="{00000000-0004-0000-0000-00003D010000}"/>
    <hyperlink ref="M211" r:id="rId318" xr:uid="{00000000-0004-0000-0000-00003E010000}"/>
    <hyperlink ref="T211" r:id="rId319" xr:uid="{00000000-0004-0000-0000-00003F010000}"/>
    <hyperlink ref="M212" r:id="rId320" xr:uid="{00000000-0004-0000-0000-000040010000}"/>
    <hyperlink ref="M213" r:id="rId321" xr:uid="{00000000-0004-0000-0000-000041010000}"/>
    <hyperlink ref="T213" r:id="rId322" xr:uid="{00000000-0004-0000-0000-000042010000}"/>
    <hyperlink ref="M214" r:id="rId323" xr:uid="{00000000-0004-0000-0000-000043010000}"/>
    <hyperlink ref="T214" r:id="rId324" xr:uid="{00000000-0004-0000-0000-000044010000}"/>
    <hyperlink ref="M215" r:id="rId325" xr:uid="{00000000-0004-0000-0000-000045010000}"/>
    <hyperlink ref="M216" r:id="rId326" xr:uid="{00000000-0004-0000-0000-000046010000}"/>
    <hyperlink ref="T216" r:id="rId327" xr:uid="{00000000-0004-0000-0000-000047010000}"/>
    <hyperlink ref="M217" r:id="rId328" xr:uid="{00000000-0004-0000-0000-000048010000}"/>
    <hyperlink ref="M218" r:id="rId329" xr:uid="{00000000-0004-0000-0000-000049010000}"/>
    <hyperlink ref="T218" r:id="rId330" xr:uid="{00000000-0004-0000-0000-00004A010000}"/>
    <hyperlink ref="M219" r:id="rId331" xr:uid="{00000000-0004-0000-0000-00004B010000}"/>
    <hyperlink ref="M220" r:id="rId332" xr:uid="{00000000-0004-0000-0000-00004C010000}"/>
    <hyperlink ref="M221" r:id="rId333" xr:uid="{00000000-0004-0000-0000-00004D010000}"/>
    <hyperlink ref="M222" r:id="rId334" xr:uid="{00000000-0004-0000-0000-00004E010000}"/>
    <hyperlink ref="T222" r:id="rId335" xr:uid="{00000000-0004-0000-0000-00004F010000}"/>
    <hyperlink ref="M223" r:id="rId336" xr:uid="{00000000-0004-0000-0000-000050010000}"/>
    <hyperlink ref="M224" r:id="rId337" xr:uid="{00000000-0004-0000-0000-000051010000}"/>
    <hyperlink ref="M225" r:id="rId338" xr:uid="{00000000-0004-0000-0000-000052010000}"/>
    <hyperlink ref="M226" r:id="rId339" xr:uid="{00000000-0004-0000-0000-000053010000}"/>
    <hyperlink ref="M227" r:id="rId340" xr:uid="{00000000-0004-0000-0000-000054010000}"/>
    <hyperlink ref="T227" r:id="rId341" xr:uid="{00000000-0004-0000-0000-000055010000}"/>
    <hyperlink ref="M228" r:id="rId342" xr:uid="{00000000-0004-0000-0000-000056010000}"/>
    <hyperlink ref="M229" r:id="rId343" xr:uid="{00000000-0004-0000-0000-000057010000}"/>
    <hyperlink ref="M230" r:id="rId344" xr:uid="{00000000-0004-0000-0000-000058010000}"/>
    <hyperlink ref="T230" r:id="rId345" xr:uid="{00000000-0004-0000-0000-000059010000}"/>
    <hyperlink ref="M231" r:id="rId346" xr:uid="{00000000-0004-0000-0000-00005A010000}"/>
    <hyperlink ref="T231" r:id="rId347" xr:uid="{00000000-0004-0000-0000-00005B010000}"/>
    <hyperlink ref="M232" r:id="rId348" xr:uid="{00000000-0004-0000-0000-00005C010000}"/>
    <hyperlink ref="M233" r:id="rId349" xr:uid="{00000000-0004-0000-0000-00005D010000}"/>
    <hyperlink ref="T233" r:id="rId350" xr:uid="{00000000-0004-0000-0000-00005E010000}"/>
    <hyperlink ref="M234" r:id="rId351" xr:uid="{00000000-0004-0000-0000-00005F010000}"/>
    <hyperlink ref="T234" r:id="rId352" xr:uid="{00000000-0004-0000-0000-000060010000}"/>
    <hyperlink ref="M235" r:id="rId353" xr:uid="{00000000-0004-0000-0000-000061010000}"/>
    <hyperlink ref="T235" r:id="rId354" xr:uid="{00000000-0004-0000-0000-000062010000}"/>
    <hyperlink ref="M236" r:id="rId355" xr:uid="{00000000-0004-0000-0000-000063010000}"/>
    <hyperlink ref="M237" r:id="rId356" xr:uid="{00000000-0004-0000-0000-000064010000}"/>
    <hyperlink ref="T237" r:id="rId357" xr:uid="{00000000-0004-0000-0000-000065010000}"/>
    <hyperlink ref="M238" r:id="rId358" xr:uid="{00000000-0004-0000-0000-000066010000}"/>
    <hyperlink ref="T238" r:id="rId359" xr:uid="{00000000-0004-0000-0000-000067010000}"/>
    <hyperlink ref="M239" r:id="rId360" xr:uid="{00000000-0004-0000-0000-000068010000}"/>
    <hyperlink ref="T239" r:id="rId361" xr:uid="{00000000-0004-0000-0000-000069010000}"/>
    <hyperlink ref="M240" r:id="rId362" xr:uid="{00000000-0004-0000-0000-00006A010000}"/>
    <hyperlink ref="M241" r:id="rId363" xr:uid="{00000000-0004-0000-0000-00006B010000}"/>
    <hyperlink ref="T241" r:id="rId364" xr:uid="{00000000-0004-0000-0000-00006C010000}"/>
    <hyperlink ref="M242" r:id="rId365" xr:uid="{00000000-0004-0000-0000-00006D010000}"/>
    <hyperlink ref="M243" r:id="rId366" xr:uid="{00000000-0004-0000-0000-00006E010000}"/>
    <hyperlink ref="M244" r:id="rId367" xr:uid="{00000000-0004-0000-0000-00006F010000}"/>
    <hyperlink ref="T244" r:id="rId368" xr:uid="{00000000-0004-0000-0000-000070010000}"/>
    <hyperlink ref="M245" r:id="rId369" xr:uid="{00000000-0004-0000-0000-000071010000}"/>
    <hyperlink ref="T245" r:id="rId370" xr:uid="{00000000-0004-0000-0000-000072010000}"/>
    <hyperlink ref="M246" r:id="rId371" xr:uid="{00000000-0004-0000-0000-000073010000}"/>
    <hyperlink ref="T246" r:id="rId372" xr:uid="{00000000-0004-0000-0000-000074010000}"/>
    <hyperlink ref="M247" r:id="rId373" xr:uid="{00000000-0004-0000-0000-000075010000}"/>
    <hyperlink ref="M248" r:id="rId374" xr:uid="{00000000-0004-0000-0000-000076010000}"/>
    <hyperlink ref="M249" r:id="rId375" xr:uid="{00000000-0004-0000-0000-000077010000}"/>
    <hyperlink ref="M250" r:id="rId376" xr:uid="{00000000-0004-0000-0000-000078010000}"/>
    <hyperlink ref="T250" r:id="rId377" xr:uid="{00000000-0004-0000-0000-000079010000}"/>
    <hyperlink ref="M251" r:id="rId378" xr:uid="{00000000-0004-0000-0000-00007A010000}"/>
    <hyperlink ref="M252" r:id="rId379" xr:uid="{00000000-0004-0000-0000-00007B010000}"/>
    <hyperlink ref="T252" r:id="rId380" xr:uid="{00000000-0004-0000-0000-00007C010000}"/>
    <hyperlink ref="M253" r:id="rId381" xr:uid="{00000000-0004-0000-0000-00007D010000}"/>
    <hyperlink ref="M254" r:id="rId382" xr:uid="{00000000-0004-0000-0000-00007E010000}"/>
    <hyperlink ref="M255" r:id="rId383" xr:uid="{00000000-0004-0000-0000-00007F010000}"/>
    <hyperlink ref="M256" r:id="rId384" xr:uid="{00000000-0004-0000-0000-000080010000}"/>
    <hyperlink ref="T256" r:id="rId385" xr:uid="{00000000-0004-0000-0000-000081010000}"/>
    <hyperlink ref="M257" r:id="rId386" xr:uid="{00000000-0004-0000-0000-000082010000}"/>
    <hyperlink ref="T257" r:id="rId387" xr:uid="{00000000-0004-0000-0000-000083010000}"/>
    <hyperlink ref="M258" r:id="rId388" xr:uid="{00000000-0004-0000-0000-000084010000}"/>
    <hyperlink ref="T258" r:id="rId389" xr:uid="{00000000-0004-0000-0000-000085010000}"/>
    <hyperlink ref="M259" r:id="rId390" xr:uid="{00000000-0004-0000-0000-000086010000}"/>
    <hyperlink ref="M260" r:id="rId391" xr:uid="{00000000-0004-0000-0000-000087010000}"/>
    <hyperlink ref="T260" r:id="rId392" xr:uid="{00000000-0004-0000-0000-000088010000}"/>
    <hyperlink ref="M261" r:id="rId393" xr:uid="{00000000-0004-0000-0000-000089010000}"/>
    <hyperlink ref="T261" r:id="rId394" xr:uid="{00000000-0004-0000-0000-00008A010000}"/>
    <hyperlink ref="M262" r:id="rId395" xr:uid="{00000000-0004-0000-0000-00008B010000}"/>
    <hyperlink ref="M263" r:id="rId396" xr:uid="{00000000-0004-0000-0000-00008C010000}"/>
    <hyperlink ref="T263" r:id="rId397" xr:uid="{00000000-0004-0000-0000-00008D010000}"/>
    <hyperlink ref="M264" r:id="rId398" xr:uid="{00000000-0004-0000-0000-00008E010000}"/>
    <hyperlink ref="M265" r:id="rId399" xr:uid="{00000000-0004-0000-0000-00008F010000}"/>
    <hyperlink ref="T265" r:id="rId400" xr:uid="{00000000-0004-0000-0000-000090010000}"/>
    <hyperlink ref="M266" r:id="rId401" xr:uid="{00000000-0004-0000-0000-000091010000}"/>
    <hyperlink ref="T266" r:id="rId402" xr:uid="{00000000-0004-0000-0000-000092010000}"/>
    <hyperlink ref="M267" r:id="rId403" xr:uid="{00000000-0004-0000-0000-000093010000}"/>
    <hyperlink ref="M268" r:id="rId404" xr:uid="{00000000-0004-0000-0000-000094010000}"/>
    <hyperlink ref="T268" r:id="rId405" xr:uid="{00000000-0004-0000-0000-000095010000}"/>
    <hyperlink ref="M269" r:id="rId406" xr:uid="{00000000-0004-0000-0000-000096010000}"/>
    <hyperlink ref="T269" r:id="rId407" xr:uid="{00000000-0004-0000-0000-000097010000}"/>
    <hyperlink ref="M270" r:id="rId408" xr:uid="{00000000-0004-0000-0000-000098010000}"/>
    <hyperlink ref="T270" r:id="rId409" xr:uid="{00000000-0004-0000-0000-000099010000}"/>
    <hyperlink ref="M271" r:id="rId410" xr:uid="{00000000-0004-0000-0000-00009A010000}"/>
    <hyperlink ref="T271" r:id="rId411" xr:uid="{00000000-0004-0000-0000-00009B010000}"/>
    <hyperlink ref="M272" r:id="rId412" xr:uid="{00000000-0004-0000-0000-00009C010000}"/>
    <hyperlink ref="T272" r:id="rId413" xr:uid="{00000000-0004-0000-0000-00009D010000}"/>
    <hyperlink ref="M273" r:id="rId414" xr:uid="{00000000-0004-0000-0000-00009E010000}"/>
    <hyperlink ref="T273" r:id="rId415" xr:uid="{00000000-0004-0000-0000-00009F010000}"/>
    <hyperlink ref="M274" r:id="rId416" xr:uid="{00000000-0004-0000-0000-0000A0010000}"/>
    <hyperlink ref="T274" r:id="rId417" xr:uid="{00000000-0004-0000-0000-0000A1010000}"/>
    <hyperlink ref="M275" r:id="rId418" xr:uid="{00000000-0004-0000-0000-0000A2010000}"/>
    <hyperlink ref="M276" r:id="rId419" xr:uid="{00000000-0004-0000-0000-0000A3010000}"/>
    <hyperlink ref="M277" r:id="rId420" xr:uid="{00000000-0004-0000-0000-0000A4010000}"/>
    <hyperlink ref="T277" r:id="rId421" xr:uid="{00000000-0004-0000-0000-0000A5010000}"/>
    <hyperlink ref="M278" r:id="rId422" location="property-history" xr:uid="{00000000-0004-0000-0000-0000A6010000}"/>
    <hyperlink ref="T278" r:id="rId423" xr:uid="{00000000-0004-0000-0000-0000A7010000}"/>
    <hyperlink ref="M279" r:id="rId424" xr:uid="{00000000-0004-0000-0000-0000A8010000}"/>
    <hyperlink ref="M280" r:id="rId425" xr:uid="{00000000-0004-0000-0000-0000A9010000}"/>
    <hyperlink ref="M281" r:id="rId426" xr:uid="{00000000-0004-0000-0000-0000AA010000}"/>
    <hyperlink ref="M282" r:id="rId427" xr:uid="{00000000-0004-0000-0000-0000AB010000}"/>
    <hyperlink ref="M283" r:id="rId428" xr:uid="{00000000-0004-0000-0000-0000AC010000}"/>
    <hyperlink ref="T283" r:id="rId429" xr:uid="{00000000-0004-0000-0000-0000AD010000}"/>
    <hyperlink ref="M284" r:id="rId430" xr:uid="{00000000-0004-0000-0000-0000AE010000}"/>
    <hyperlink ref="M285" r:id="rId431" xr:uid="{00000000-0004-0000-0000-0000AF010000}"/>
    <hyperlink ref="M286" r:id="rId432" xr:uid="{00000000-0004-0000-0000-0000B0010000}"/>
    <hyperlink ref="T286" r:id="rId433" xr:uid="{00000000-0004-0000-0000-0000B1010000}"/>
    <hyperlink ref="M287" r:id="rId434" xr:uid="{00000000-0004-0000-0000-0000B2010000}"/>
    <hyperlink ref="T287" r:id="rId435" xr:uid="{00000000-0004-0000-0000-0000B3010000}"/>
    <hyperlink ref="M288" r:id="rId436" xr:uid="{00000000-0004-0000-0000-0000B4010000}"/>
    <hyperlink ref="T288" r:id="rId437" xr:uid="{00000000-0004-0000-0000-0000B5010000}"/>
    <hyperlink ref="M289" r:id="rId438" xr:uid="{00000000-0004-0000-0000-0000B6010000}"/>
    <hyperlink ref="T289" r:id="rId439" xr:uid="{00000000-0004-0000-0000-0000B7010000}"/>
    <hyperlink ref="M290" r:id="rId440" xr:uid="{00000000-0004-0000-0000-0000B8010000}"/>
    <hyperlink ref="M291" r:id="rId441" xr:uid="{00000000-0004-0000-0000-0000B9010000}"/>
    <hyperlink ref="T291" r:id="rId442" xr:uid="{00000000-0004-0000-0000-0000BA010000}"/>
    <hyperlink ref="M292" r:id="rId443" xr:uid="{00000000-0004-0000-0000-0000BB010000}"/>
    <hyperlink ref="T292" r:id="rId444" xr:uid="{00000000-0004-0000-0000-0000BC010000}"/>
    <hyperlink ref="M293" r:id="rId445" xr:uid="{00000000-0004-0000-0000-0000BD010000}"/>
    <hyperlink ref="T293" r:id="rId446" xr:uid="{00000000-0004-0000-0000-0000BE010000}"/>
    <hyperlink ref="M294" r:id="rId447" xr:uid="{00000000-0004-0000-0000-0000BF010000}"/>
    <hyperlink ref="M295" r:id="rId448" xr:uid="{00000000-0004-0000-0000-0000C0010000}"/>
    <hyperlink ref="T295" r:id="rId449" xr:uid="{00000000-0004-0000-0000-0000C1010000}"/>
    <hyperlink ref="M296" r:id="rId450" location="property-history" xr:uid="{00000000-0004-0000-0000-0000C2010000}"/>
    <hyperlink ref="T296" r:id="rId451" xr:uid="{00000000-0004-0000-0000-0000C3010000}"/>
    <hyperlink ref="M297" r:id="rId452" xr:uid="{00000000-0004-0000-0000-0000C4010000}"/>
    <hyperlink ref="M298" r:id="rId453" xr:uid="{00000000-0004-0000-0000-0000C5010000}"/>
    <hyperlink ref="T298" r:id="rId454" xr:uid="{00000000-0004-0000-0000-0000C6010000}"/>
    <hyperlink ref="M299" r:id="rId455" xr:uid="{00000000-0004-0000-0000-0000C7010000}"/>
    <hyperlink ref="T299" r:id="rId456" xr:uid="{00000000-0004-0000-0000-0000C8010000}"/>
    <hyperlink ref="M300" r:id="rId457" xr:uid="{00000000-0004-0000-0000-0000C9010000}"/>
    <hyperlink ref="T300" r:id="rId458" xr:uid="{00000000-0004-0000-0000-0000CA010000}"/>
    <hyperlink ref="M301" r:id="rId459" xr:uid="{00000000-0004-0000-0000-0000CB010000}"/>
    <hyperlink ref="T301" r:id="rId460" xr:uid="{00000000-0004-0000-0000-0000CC010000}"/>
    <hyperlink ref="M302" r:id="rId461" xr:uid="{00000000-0004-0000-0000-0000CD010000}"/>
    <hyperlink ref="M303" r:id="rId462" xr:uid="{00000000-0004-0000-0000-0000CE010000}"/>
    <hyperlink ref="T303" r:id="rId463" xr:uid="{00000000-0004-0000-0000-0000CF010000}"/>
    <hyperlink ref="M304" r:id="rId464" xr:uid="{00000000-0004-0000-0000-0000D0010000}"/>
    <hyperlink ref="T304" r:id="rId465" xr:uid="{00000000-0004-0000-0000-0000D1010000}"/>
    <hyperlink ref="M305" r:id="rId466" xr:uid="{00000000-0004-0000-0000-0000D2010000}"/>
    <hyperlink ref="T305" r:id="rId467" xr:uid="{00000000-0004-0000-0000-0000D3010000}"/>
    <hyperlink ref="M306" r:id="rId468" xr:uid="{00000000-0004-0000-0000-0000D4010000}"/>
    <hyperlink ref="T306" r:id="rId469" xr:uid="{00000000-0004-0000-0000-0000D5010000}"/>
    <hyperlink ref="M307" r:id="rId470" xr:uid="{00000000-0004-0000-0000-0000D6010000}"/>
    <hyperlink ref="T307" r:id="rId471" xr:uid="{00000000-0004-0000-0000-0000D7010000}"/>
    <hyperlink ref="M308" r:id="rId472" xr:uid="{00000000-0004-0000-0000-0000D8010000}"/>
    <hyperlink ref="T308" r:id="rId473" xr:uid="{00000000-0004-0000-0000-0000D9010000}"/>
    <hyperlink ref="M309" r:id="rId474" xr:uid="{00000000-0004-0000-0000-0000DA010000}"/>
    <hyperlink ref="M310" r:id="rId475" xr:uid="{00000000-0004-0000-0000-0000DB010000}"/>
    <hyperlink ref="T310" r:id="rId476" xr:uid="{00000000-0004-0000-0000-0000DC010000}"/>
    <hyperlink ref="M311" r:id="rId477" xr:uid="{00000000-0004-0000-0000-0000DD010000}"/>
    <hyperlink ref="T311" r:id="rId478" xr:uid="{00000000-0004-0000-0000-0000DE010000}"/>
    <hyperlink ref="M312" r:id="rId479" xr:uid="{00000000-0004-0000-0000-0000DF010000}"/>
    <hyperlink ref="T312" r:id="rId480" xr:uid="{00000000-0004-0000-0000-0000E0010000}"/>
    <hyperlink ref="M313" r:id="rId481" xr:uid="{00000000-0004-0000-0000-0000E1010000}"/>
    <hyperlink ref="T313" r:id="rId482" xr:uid="{00000000-0004-0000-0000-0000E2010000}"/>
    <hyperlink ref="M314" r:id="rId483" xr:uid="{00000000-0004-0000-0000-0000E3010000}"/>
    <hyperlink ref="T314" r:id="rId484" xr:uid="{00000000-0004-0000-0000-0000E4010000}"/>
    <hyperlink ref="M315" r:id="rId485" xr:uid="{00000000-0004-0000-0000-0000E5010000}"/>
    <hyperlink ref="M316" r:id="rId486" xr:uid="{00000000-0004-0000-0000-0000E6010000}"/>
    <hyperlink ref="M317" r:id="rId487" xr:uid="{00000000-0004-0000-0000-0000E7010000}"/>
    <hyperlink ref="M318" r:id="rId488" xr:uid="{00000000-0004-0000-0000-0000E8010000}"/>
    <hyperlink ref="M319" r:id="rId489" xr:uid="{00000000-0004-0000-0000-0000E9010000}"/>
    <hyperlink ref="M320" r:id="rId490" xr:uid="{00000000-0004-0000-0000-0000EA010000}"/>
    <hyperlink ref="T320" r:id="rId491" xr:uid="{00000000-0004-0000-0000-0000EB010000}"/>
    <hyperlink ref="M321" r:id="rId492" xr:uid="{00000000-0004-0000-0000-0000EC010000}"/>
    <hyperlink ref="M322" r:id="rId493" xr:uid="{00000000-0004-0000-0000-0000ED010000}"/>
    <hyperlink ref="M323" r:id="rId494" xr:uid="{00000000-0004-0000-0000-0000EE010000}"/>
    <hyperlink ref="T323" r:id="rId495" xr:uid="{00000000-0004-0000-0000-0000EF010000}"/>
    <hyperlink ref="M324" r:id="rId496" xr:uid="{00000000-0004-0000-0000-0000F0010000}"/>
    <hyperlink ref="T324" r:id="rId497" xr:uid="{00000000-0004-0000-0000-0000F1010000}"/>
    <hyperlink ref="M325" r:id="rId498" xr:uid="{00000000-0004-0000-0000-0000F2010000}"/>
    <hyperlink ref="M326" r:id="rId499" xr:uid="{00000000-0004-0000-0000-0000F3010000}"/>
    <hyperlink ref="T326" r:id="rId500" xr:uid="{00000000-0004-0000-0000-0000F4010000}"/>
    <hyperlink ref="M327" r:id="rId501" location="property-history" xr:uid="{00000000-0004-0000-0000-0000F5010000}"/>
    <hyperlink ref="T327" r:id="rId502" xr:uid="{00000000-0004-0000-0000-0000F6010000}"/>
    <hyperlink ref="M328" r:id="rId503" xr:uid="{00000000-0004-0000-0000-0000F7010000}"/>
    <hyperlink ref="M329" r:id="rId504" xr:uid="{00000000-0004-0000-0000-0000F8010000}"/>
    <hyperlink ref="T329" r:id="rId505" xr:uid="{00000000-0004-0000-0000-0000F9010000}"/>
    <hyperlink ref="M330" r:id="rId506" xr:uid="{00000000-0004-0000-0000-0000FA010000}"/>
    <hyperlink ref="M331" r:id="rId507" xr:uid="{00000000-0004-0000-0000-0000FB010000}"/>
    <hyperlink ref="M332" r:id="rId508" xr:uid="{00000000-0004-0000-0000-0000FC010000}"/>
    <hyperlink ref="M333" r:id="rId509" xr:uid="{00000000-0004-0000-0000-0000FD010000}"/>
    <hyperlink ref="M334" r:id="rId510" xr:uid="{00000000-0004-0000-0000-0000FE010000}"/>
    <hyperlink ref="M335" r:id="rId511" xr:uid="{00000000-0004-0000-0000-0000FF010000}"/>
    <hyperlink ref="T335" r:id="rId512" xr:uid="{00000000-0004-0000-0000-000000020000}"/>
    <hyperlink ref="M336" r:id="rId513" location="property-history" xr:uid="{00000000-0004-0000-0000-000001020000}"/>
    <hyperlink ref="T336" r:id="rId514" xr:uid="{00000000-0004-0000-0000-000002020000}"/>
    <hyperlink ref="M337" r:id="rId515" xr:uid="{00000000-0004-0000-0000-000003020000}"/>
    <hyperlink ref="T337" r:id="rId516" xr:uid="{00000000-0004-0000-0000-000004020000}"/>
    <hyperlink ref="M338" r:id="rId517" location="property-history" xr:uid="{00000000-0004-0000-0000-000005020000}"/>
    <hyperlink ref="T338" r:id="rId518" xr:uid="{00000000-0004-0000-0000-000006020000}"/>
    <hyperlink ref="M339" r:id="rId519" xr:uid="{00000000-0004-0000-0000-000007020000}"/>
    <hyperlink ref="T339" r:id="rId520" xr:uid="{00000000-0004-0000-0000-000008020000}"/>
    <hyperlink ref="M340" r:id="rId521" xr:uid="{00000000-0004-0000-0000-000009020000}"/>
    <hyperlink ref="T340" r:id="rId522" xr:uid="{00000000-0004-0000-0000-00000A020000}"/>
    <hyperlink ref="M341" r:id="rId523" xr:uid="{00000000-0004-0000-0000-00000B020000}"/>
    <hyperlink ref="T341" r:id="rId524" xr:uid="{00000000-0004-0000-0000-00000C020000}"/>
    <hyperlink ref="M342" r:id="rId525" xr:uid="{00000000-0004-0000-0000-00000D020000}"/>
    <hyperlink ref="M343" r:id="rId526" location="property-history" xr:uid="{00000000-0004-0000-0000-00000E020000}"/>
    <hyperlink ref="T343" r:id="rId527" xr:uid="{00000000-0004-0000-0000-00000F020000}"/>
    <hyperlink ref="M344" r:id="rId528" xr:uid="{00000000-0004-0000-0000-000010020000}"/>
    <hyperlink ref="T344" r:id="rId529" xr:uid="{00000000-0004-0000-0000-000011020000}"/>
    <hyperlink ref="M345" r:id="rId530" xr:uid="{00000000-0004-0000-0000-000012020000}"/>
    <hyperlink ref="T345" r:id="rId531" xr:uid="{00000000-0004-0000-0000-000013020000}"/>
    <hyperlink ref="M346" r:id="rId532" xr:uid="{00000000-0004-0000-0000-000014020000}"/>
    <hyperlink ref="M347" r:id="rId533" xr:uid="{00000000-0004-0000-0000-000015020000}"/>
    <hyperlink ref="T347" r:id="rId534" xr:uid="{00000000-0004-0000-0000-000016020000}"/>
    <hyperlink ref="M348" r:id="rId535" xr:uid="{00000000-0004-0000-0000-000017020000}"/>
    <hyperlink ref="M349" r:id="rId536" xr:uid="{00000000-0004-0000-0000-000018020000}"/>
    <hyperlink ref="M350" r:id="rId537" xr:uid="{00000000-0004-0000-0000-000019020000}"/>
    <hyperlink ref="M351" r:id="rId538" xr:uid="{00000000-0004-0000-0000-00001A020000}"/>
    <hyperlink ref="T351" r:id="rId539" xr:uid="{00000000-0004-0000-0000-00001B020000}"/>
    <hyperlink ref="M352" r:id="rId540" xr:uid="{00000000-0004-0000-0000-00001C020000}"/>
    <hyperlink ref="M353" r:id="rId541" xr:uid="{00000000-0004-0000-0000-00001D020000}"/>
    <hyperlink ref="T353" r:id="rId542" xr:uid="{00000000-0004-0000-0000-00001E020000}"/>
    <hyperlink ref="M354" r:id="rId543" xr:uid="{00000000-0004-0000-0000-00001F020000}"/>
    <hyperlink ref="M355" r:id="rId544" xr:uid="{00000000-0004-0000-0000-000020020000}"/>
    <hyperlink ref="M356" r:id="rId545" location="property-history" xr:uid="{00000000-0004-0000-0000-000021020000}"/>
    <hyperlink ref="T356" r:id="rId546" xr:uid="{00000000-0004-0000-0000-000022020000}"/>
    <hyperlink ref="M357" r:id="rId547" xr:uid="{00000000-0004-0000-0000-000023020000}"/>
    <hyperlink ref="T357" r:id="rId548" xr:uid="{00000000-0004-0000-0000-000024020000}"/>
    <hyperlink ref="M358" r:id="rId549" xr:uid="{00000000-0004-0000-0000-000025020000}"/>
    <hyperlink ref="M359" r:id="rId550" xr:uid="{00000000-0004-0000-0000-000026020000}"/>
    <hyperlink ref="T359" r:id="rId551" xr:uid="{00000000-0004-0000-0000-000027020000}"/>
    <hyperlink ref="M360" r:id="rId552" xr:uid="{00000000-0004-0000-0000-000028020000}"/>
    <hyperlink ref="T360" r:id="rId553" xr:uid="{00000000-0004-0000-0000-000029020000}"/>
    <hyperlink ref="M361" r:id="rId554" xr:uid="{00000000-0004-0000-0000-00002A020000}"/>
    <hyperlink ref="M362" r:id="rId555" xr:uid="{00000000-0004-0000-0000-00002B020000}"/>
    <hyperlink ref="T362" r:id="rId556" xr:uid="{00000000-0004-0000-0000-00002C020000}"/>
    <hyperlink ref="M363" r:id="rId557" xr:uid="{00000000-0004-0000-0000-00002D020000}"/>
    <hyperlink ref="M364" r:id="rId558" xr:uid="{00000000-0004-0000-0000-00002E020000}"/>
    <hyperlink ref="M365" r:id="rId559" xr:uid="{00000000-0004-0000-0000-00002F020000}"/>
    <hyperlink ref="M366" r:id="rId560" xr:uid="{00000000-0004-0000-0000-000030020000}"/>
    <hyperlink ref="M367" r:id="rId561" location="property-history" xr:uid="{00000000-0004-0000-0000-000031020000}"/>
    <hyperlink ref="T367" r:id="rId562" xr:uid="{00000000-0004-0000-0000-000032020000}"/>
    <hyperlink ref="M368" r:id="rId563" xr:uid="{00000000-0004-0000-0000-000033020000}"/>
    <hyperlink ref="T368" r:id="rId564" xr:uid="{00000000-0004-0000-0000-000034020000}"/>
    <hyperlink ref="M369" r:id="rId565" location="property-history" xr:uid="{00000000-0004-0000-0000-000035020000}"/>
    <hyperlink ref="T369" r:id="rId566" xr:uid="{00000000-0004-0000-0000-000036020000}"/>
    <hyperlink ref="M370" r:id="rId567" xr:uid="{00000000-0004-0000-0000-000037020000}"/>
    <hyperlink ref="T370" r:id="rId568" xr:uid="{00000000-0004-0000-0000-000038020000}"/>
    <hyperlink ref="M371" r:id="rId569" xr:uid="{00000000-0004-0000-0000-000039020000}"/>
    <hyperlink ref="M372" r:id="rId570" xr:uid="{00000000-0004-0000-0000-00003A020000}"/>
    <hyperlink ref="M373" r:id="rId571" xr:uid="{00000000-0004-0000-0000-00003B020000}"/>
    <hyperlink ref="M374" r:id="rId572" xr:uid="{00000000-0004-0000-0000-00003C020000}"/>
    <hyperlink ref="T374" r:id="rId573" xr:uid="{00000000-0004-0000-0000-00003D020000}"/>
    <hyperlink ref="M375" r:id="rId574" xr:uid="{00000000-0004-0000-0000-00003E020000}"/>
    <hyperlink ref="M376" r:id="rId575" xr:uid="{00000000-0004-0000-0000-00003F020000}"/>
    <hyperlink ref="M377" r:id="rId576" xr:uid="{00000000-0004-0000-0000-000040020000}"/>
    <hyperlink ref="T377" r:id="rId577" xr:uid="{00000000-0004-0000-0000-000041020000}"/>
    <hyperlink ref="M378" r:id="rId578" xr:uid="{00000000-0004-0000-0000-000042020000}"/>
    <hyperlink ref="M379" r:id="rId579" xr:uid="{00000000-0004-0000-0000-000043020000}"/>
    <hyperlink ref="T379" r:id="rId580" xr:uid="{00000000-0004-0000-0000-000044020000}"/>
    <hyperlink ref="M380" r:id="rId581" xr:uid="{00000000-0004-0000-0000-000045020000}"/>
    <hyperlink ref="M381" r:id="rId582" xr:uid="{00000000-0004-0000-0000-000046020000}"/>
    <hyperlink ref="M382" r:id="rId583" xr:uid="{00000000-0004-0000-0000-000047020000}"/>
    <hyperlink ref="T382" r:id="rId584" xr:uid="{00000000-0004-0000-0000-000048020000}"/>
    <hyperlink ref="M383" r:id="rId585" xr:uid="{00000000-0004-0000-0000-000049020000}"/>
    <hyperlink ref="M384" r:id="rId586" xr:uid="{00000000-0004-0000-0000-00004A020000}"/>
    <hyperlink ref="M385" r:id="rId587" xr:uid="{00000000-0004-0000-0000-00004B020000}"/>
    <hyperlink ref="M386" r:id="rId588" xr:uid="{00000000-0004-0000-0000-00004C020000}"/>
    <hyperlink ref="M387" r:id="rId589" xr:uid="{00000000-0004-0000-0000-00004D020000}"/>
    <hyperlink ref="M388" r:id="rId590" xr:uid="{00000000-0004-0000-0000-00004E020000}"/>
    <hyperlink ref="M389" r:id="rId591" xr:uid="{00000000-0004-0000-0000-00004F020000}"/>
    <hyperlink ref="M390" r:id="rId592" xr:uid="{00000000-0004-0000-0000-000050020000}"/>
    <hyperlink ref="M391" r:id="rId593" xr:uid="{00000000-0004-0000-0000-000051020000}"/>
    <hyperlink ref="M392" r:id="rId594" xr:uid="{00000000-0004-0000-0000-000052020000}"/>
    <hyperlink ref="M393" r:id="rId595" xr:uid="{00000000-0004-0000-0000-000053020000}"/>
    <hyperlink ref="M394" r:id="rId596" xr:uid="{00000000-0004-0000-0000-000054020000}"/>
    <hyperlink ref="M395" r:id="rId597" xr:uid="{00000000-0004-0000-0000-000055020000}"/>
    <hyperlink ref="M396" r:id="rId598" xr:uid="{00000000-0004-0000-0000-000056020000}"/>
    <hyperlink ref="T396" r:id="rId599" xr:uid="{00000000-0004-0000-0000-000057020000}"/>
    <hyperlink ref="M397" r:id="rId600" xr:uid="{00000000-0004-0000-0000-000058020000}"/>
    <hyperlink ref="M398" r:id="rId601" xr:uid="{00000000-0004-0000-0000-000059020000}"/>
    <hyperlink ref="M399" r:id="rId602" xr:uid="{00000000-0004-0000-0000-00005A020000}"/>
    <hyperlink ref="M400" r:id="rId603" xr:uid="{00000000-0004-0000-0000-00005B020000}"/>
    <hyperlink ref="M401" r:id="rId604" xr:uid="{00000000-0004-0000-0000-00005C020000}"/>
    <hyperlink ref="T401" r:id="rId605" xr:uid="{00000000-0004-0000-0000-00005D020000}"/>
    <hyperlink ref="M402" r:id="rId606" xr:uid="{00000000-0004-0000-0000-00005E020000}"/>
    <hyperlink ref="T402" r:id="rId607" xr:uid="{00000000-0004-0000-0000-00005F020000}"/>
    <hyperlink ref="M403" r:id="rId608" xr:uid="{00000000-0004-0000-0000-000060020000}"/>
    <hyperlink ref="M404" r:id="rId609" xr:uid="{00000000-0004-0000-0000-000061020000}"/>
    <hyperlink ref="T404" r:id="rId610" xr:uid="{00000000-0004-0000-0000-000062020000}"/>
    <hyperlink ref="M405" r:id="rId611" xr:uid="{00000000-0004-0000-0000-000063020000}"/>
    <hyperlink ref="M406" r:id="rId612" location="propertyHistory" xr:uid="{00000000-0004-0000-0000-000064020000}"/>
    <hyperlink ref="T406" r:id="rId613" xr:uid="{00000000-0004-0000-0000-000065020000}"/>
    <hyperlink ref="M407" r:id="rId614" xr:uid="{00000000-0004-0000-0000-000066020000}"/>
    <hyperlink ref="T407" r:id="rId615" xr:uid="{00000000-0004-0000-0000-000067020000}"/>
    <hyperlink ref="M408" r:id="rId616" xr:uid="{00000000-0004-0000-0000-000068020000}"/>
    <hyperlink ref="T408" r:id="rId617" xr:uid="{00000000-0004-0000-0000-000069020000}"/>
    <hyperlink ref="M409" r:id="rId618" xr:uid="{00000000-0004-0000-0000-00006A020000}"/>
    <hyperlink ref="M410" r:id="rId619" xr:uid="{00000000-0004-0000-0000-00006B020000}"/>
    <hyperlink ref="T410" r:id="rId620" xr:uid="{00000000-0004-0000-0000-00006C020000}"/>
    <hyperlink ref="M411" r:id="rId621" xr:uid="{00000000-0004-0000-0000-00006D020000}"/>
    <hyperlink ref="M412" r:id="rId622" xr:uid="{00000000-0004-0000-0000-00006E020000}"/>
    <hyperlink ref="T412" r:id="rId623" xr:uid="{00000000-0004-0000-0000-00006F020000}"/>
    <hyperlink ref="M413" r:id="rId624" xr:uid="{00000000-0004-0000-0000-000070020000}"/>
    <hyperlink ref="T413" r:id="rId625" xr:uid="{00000000-0004-0000-0000-000071020000}"/>
    <hyperlink ref="M414" r:id="rId626" xr:uid="{00000000-0004-0000-0000-000072020000}"/>
    <hyperlink ref="M415" r:id="rId627" xr:uid="{00000000-0004-0000-0000-000073020000}"/>
    <hyperlink ref="M416" r:id="rId628" xr:uid="{00000000-0004-0000-0000-000074020000}"/>
    <hyperlink ref="T416" r:id="rId629" xr:uid="{00000000-0004-0000-0000-000075020000}"/>
    <hyperlink ref="M417" r:id="rId630" xr:uid="{00000000-0004-0000-0000-000076020000}"/>
    <hyperlink ref="L418" r:id="rId631" xr:uid="{00000000-0004-0000-0000-000077020000}"/>
    <hyperlink ref="S418" r:id="rId632" xr:uid="{00000000-0004-0000-0000-000078020000}"/>
    <hyperlink ref="L419" r:id="rId633" xr:uid="{00000000-0004-0000-0000-000079020000}"/>
    <hyperlink ref="L420" r:id="rId634" xr:uid="{00000000-0004-0000-0000-00007A020000}"/>
    <hyperlink ref="L421" r:id="rId635" xr:uid="{00000000-0004-0000-0000-00007B020000}"/>
    <hyperlink ref="S421" r:id="rId636" xr:uid="{00000000-0004-0000-0000-00007C020000}"/>
    <hyperlink ref="L422" r:id="rId637" xr:uid="{00000000-0004-0000-0000-00007D020000}"/>
    <hyperlink ref="L423" r:id="rId638" xr:uid="{00000000-0004-0000-0000-00007E020000}"/>
    <hyperlink ref="S423" r:id="rId639" xr:uid="{00000000-0004-0000-0000-00007F020000}"/>
    <hyperlink ref="L424" r:id="rId640" location="property-history" xr:uid="{00000000-0004-0000-0000-000080020000}"/>
    <hyperlink ref="S424" r:id="rId641" xr:uid="{00000000-0004-0000-0000-000081020000}"/>
    <hyperlink ref="L425" r:id="rId642" xr:uid="{00000000-0004-0000-0000-000082020000}"/>
    <hyperlink ref="S425" r:id="rId643" xr:uid="{00000000-0004-0000-0000-000083020000}"/>
    <hyperlink ref="L426" r:id="rId644" xr:uid="{00000000-0004-0000-0000-000084020000}"/>
    <hyperlink ref="S426" r:id="rId645" xr:uid="{00000000-0004-0000-0000-00008502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T2017"/>
  <sheetViews>
    <sheetView tabSelected="1" workbookViewId="0">
      <pane ySplit="1" topLeftCell="A2" activePane="bottomLeft" state="frozen"/>
      <selection pane="bottomLeft" sqref="A1:XFD1"/>
    </sheetView>
  </sheetViews>
  <sheetFormatPr defaultColWidth="12.5703125" defaultRowHeight="15.75" customHeight="1"/>
  <cols>
    <col min="2" max="2" width="17.5703125" customWidth="1"/>
    <col min="4" max="4" width="7.42578125" customWidth="1"/>
  </cols>
  <sheetData>
    <row r="1" spans="1:20" ht="12.75">
      <c r="A1" s="22" t="str">
        <f ca="1">IFERROR(__xludf.DUMMYFUNCTION("importrange(""https://docs.google.com/spreadsheets/d/1xWwUEWkTfOhkZxtGPqkyy6sHGdcwkYeEbndQN1xQnN8/edit"",""Form_Responses1[[#ALL],[Timestamp]]"")"),"Timestamp")</f>
        <v>Timestamp</v>
      </c>
      <c r="B1" s="22" t="str">
        <f ca="1">IFERROR(__xludf.DUMMYFUNCTION("importrange(""https://docs.google.com/spreadsheets/d/1xWwUEWkTfOhkZxtGPqkyy6sHGdcwkYeEbndQN1xQnN8/edit"",""Form_Responses1[[#ALL],[Address - House number, street, and apartment number]:[Date associated with the BEFORE price]]"")"),"Address - House number, street, and apartment number")</f>
        <v>Address - House number, street, and apartment number</v>
      </c>
      <c r="C1" s="23" t="str">
        <f ca="1">IFERROR(__xludf.DUMMYFUNCTION("""COMPUTED_VALUE"""),"City ")</f>
        <v xml:space="preserve">City </v>
      </c>
      <c r="D1" s="23" t="str">
        <f ca="1">IFERROR(__xludf.DUMMYFUNCTION("""COMPUTED_VALUE"""),"State")</f>
        <v>State</v>
      </c>
      <c r="E1" s="23" t="str">
        <f ca="1">IFERROR(__xludf.DUMMYFUNCTION("""COMPUTED_VALUE"""),"ZIP")</f>
        <v>ZIP</v>
      </c>
      <c r="F1" s="23" t="str">
        <f ca="1">IFERROR(__xludf.DUMMYFUNCTION("""COMPUTED_VALUE"""),"Rental price (per month) BEFORE the increase (put N/A if FMR)")</f>
        <v>Rental price (per month) BEFORE the increase (put N/A if FMR)</v>
      </c>
      <c r="G1" s="23" t="str">
        <f ca="1">IFERROR(__xludf.DUMMYFUNCTION("""COMPUTED_VALUE"""),"Rental price (per month) AFTER the increase")</f>
        <v>Rental price (per month) AFTER the increase</v>
      </c>
      <c r="H1" s="23" t="str">
        <f ca="1">IFERROR(__xludf.DUMMYFUNCTION("""COMPUTED_VALUE"""),"Date of the price increase")</f>
        <v>Date of the price increase</v>
      </c>
      <c r="I1" s="23" t="str">
        <f ca="1">IFERROR(__xludf.DUMMYFUNCTION("""COMPUTED_VALUE"""),"Listing site")</f>
        <v>Listing site</v>
      </c>
      <c r="J1" s="23" t="str">
        <f ca="1">IFERROR(__xludf.DUMMYFUNCTION("""COMPUTED_VALUE"""),"Link to rental listing ")</f>
        <v xml:space="preserve">Link to rental listing </v>
      </c>
      <c r="K1" s="23" t="str">
        <f ca="1">IFERROR(__xludf.DUMMYFUNCTION("""COMPUTED_VALUE"""),"Rental listing agent (if known)")</f>
        <v>Rental listing agent (if known)</v>
      </c>
      <c r="L1" s="23" t="str">
        <f ca="1">IFERROR(__xludf.DUMMYFUNCTION("""COMPUTED_VALUE"""),"Property owner (if known)")</f>
        <v>Property owner (if known)</v>
      </c>
      <c r="M1" s="23" t="str">
        <f ca="1">IFERROR(__xludf.DUMMYFUNCTION("""COMPUTED_VALUE"""),"Additional info. Please include any additional information you have about this property, including the price history, ownership information, occupancy status, and anything else that you think helps to establish that this is an instance of price gouging")</f>
        <v>Additional info. Please include any additional information you have about this property, including the price history, ownership information, occupancy status, and anything else that you think helps to establish that this is an instance of price gouging</v>
      </c>
      <c r="N1" s="23" t="str">
        <f ca="1">IFERROR(__xludf.DUMMYFUNCTION("""COMPUTED_VALUE"""),"Please include screengrabs of the listing page, the price history, and anything else that you think helps to establish that this is an instance of price gouging.
 Please include the browser's address bar with the URL in your screengrab.")</f>
        <v>Please include screengrabs of the listing page, the price history, and anything else that you think helps to establish that this is an instance of price gouging.
 Please include the browser's address bar with the URL in your screengrab.</v>
      </c>
      <c r="O1" s="23" t="str">
        <f ca="1">IFERROR(__xludf.DUMMYFUNCTION("""COMPUTED_VALUE"""),"Parcel ID (found under Facts and Features on Zillow). Include only the number. If not found, put ""NA"" ")</f>
        <v xml:space="preserve">Parcel ID (found under Facts and Features on Zillow). Include only the number. If not found, put "NA" </v>
      </c>
      <c r="P1" s="23" t="str">
        <f ca="1">IFERROR(__xludf.DUMMYFUNCTION("""COMPUTED_VALUE"""),"Listing Agent Contact Phone")</f>
        <v>Listing Agent Contact Phone</v>
      </c>
      <c r="Q1" s="23" t="str">
        <f ca="1">IFERROR(__xludf.DUMMYFUNCTION("""COMPUTED_VALUE"""),"Listing Agent Contact Email")</f>
        <v>Listing Agent Contact Email</v>
      </c>
      <c r="R1" s="23" t="str">
        <f ca="1">IFERROR(__xludf.DUMMYFUNCTION("""COMPUTED_VALUE"""),"Property Owner Contact Phone")</f>
        <v>Property Owner Contact Phone</v>
      </c>
      <c r="S1" s="23" t="str">
        <f ca="1">IFERROR(__xludf.DUMMYFUNCTION("""COMPUTED_VALUE"""),"Property Owner Contact Email")</f>
        <v>Property Owner Contact Email</v>
      </c>
      <c r="T1" s="23" t="str">
        <f ca="1">IFERROR(__xludf.DUMMYFUNCTION("""COMPUTED_VALUE"""),"Date associated with the BEFORE price")</f>
        <v>Date associated with the BEFORE price</v>
      </c>
    </row>
    <row r="2" spans="1:20" ht="12.75">
      <c r="A2" s="24">
        <f ca="1">IFERROR(__xludf.DUMMYFUNCTION("""COMPUTED_VALUE"""),45668.93931728)</f>
        <v>45668.939317279997</v>
      </c>
      <c r="B2" s="5" t="str">
        <f ca="1">IFERROR(__xludf.DUMMYFUNCTION("""COMPUTED_VALUE"""),"1812 Navy Street ")</f>
        <v xml:space="preserve">1812 Navy Street </v>
      </c>
      <c r="C2" s="5" t="str">
        <f ca="1">IFERROR(__xludf.DUMMYFUNCTION("""COMPUTED_VALUE"""),"Santa Monica")</f>
        <v>Santa Monica</v>
      </c>
      <c r="D2" s="5" t="str">
        <f ca="1">IFERROR(__xludf.DUMMYFUNCTION("""COMPUTED_VALUE"""),"CA")</f>
        <v>CA</v>
      </c>
      <c r="E2" s="5">
        <f ca="1">IFERROR(__xludf.DUMMYFUNCTION("""COMPUTED_VALUE"""),90045)</f>
        <v>90045</v>
      </c>
      <c r="F2" s="19">
        <f ca="1">IFERROR(__xludf.DUMMYFUNCTION("""COMPUTED_VALUE"""),12750)</f>
        <v>12750</v>
      </c>
      <c r="G2" s="19">
        <f ca="1">IFERROR(__xludf.DUMMYFUNCTION("""COMPUTED_VALUE"""),28000)</f>
        <v>28000</v>
      </c>
      <c r="H2" s="18">
        <f ca="1">IFERROR(__xludf.DUMMYFUNCTION("""COMPUTED_VALUE"""),45667)</f>
        <v>45667</v>
      </c>
      <c r="I2" s="5" t="str">
        <f ca="1">IFERROR(__xludf.DUMMYFUNCTION("""COMPUTED_VALUE"""),"Zillow")</f>
        <v>Zillow</v>
      </c>
      <c r="J2" s="25" t="str">
        <f ca="1">IFERROR(__xludf.DUMMYFUNCTION("""COMPUTED_VALUE"""),"https://www.zillow.com/homedetails/1812-Navy-St-Santa-Monica-CA-90405/20472397_zpid/")</f>
        <v>https://www.zillow.com/homedetails/1812-Navy-St-Santa-Monica-CA-90405/20472397_zpid/</v>
      </c>
      <c r="K2" s="5" t="str">
        <f ca="1">IFERROR(__xludf.DUMMYFUNCTION("""COMPUTED_VALUE"""),"Gabriel Palmrot; Westside Estate Agency Inc.")</f>
        <v>Gabriel Palmrot; Westside Estate Agency Inc.</v>
      </c>
      <c r="L2" s="5"/>
      <c r="M2" s="5"/>
      <c r="N2" s="26" t="str">
        <f ca="1">IFERROR(__xludf.DUMMYFUNCTION("""COMPUTED_VALUE"""),"https://drive.google.com/open?id=1aosZrpwKYKbiGa8tAUa069dR5YSk_L1Z")</f>
        <v>https://drive.google.com/open?id=1aosZrpwKYKbiGa8tAUa069dR5YSk_L1Z</v>
      </c>
      <c r="O2" s="5">
        <f ca="1">IFERROR(__xludf.DUMMYFUNCTION("""COMPUTED_VALUE"""),4272007003)</f>
        <v>4272007003</v>
      </c>
      <c r="P2" s="5" t="str">
        <f ca="1">IFERROR(__xludf.DUMMYFUNCTION("""COMPUTED_VALUE"""),"(424) 394-5309")</f>
        <v>(424) 394-5309</v>
      </c>
      <c r="Q2" s="5"/>
      <c r="R2" s="5"/>
      <c r="S2" s="5"/>
      <c r="T2" s="5"/>
    </row>
    <row r="3" spans="1:20" ht="12.75">
      <c r="A3" s="24">
        <f ca="1">IFERROR(__xludf.DUMMYFUNCTION("""COMPUTED_VALUE"""),45668.9666996643)</f>
        <v>45668.966699664299</v>
      </c>
      <c r="B3" s="5" t="str">
        <f ca="1">IFERROR(__xludf.DUMMYFUNCTION("""COMPUTED_VALUE"""),"11708 exposition blvd ")</f>
        <v xml:space="preserve">11708 exposition blvd </v>
      </c>
      <c r="C3" s="5" t="str">
        <f ca="1">IFERROR(__xludf.DUMMYFUNCTION("""COMPUTED_VALUE"""),"Los Angeles ")</f>
        <v xml:space="preserve">Los Angeles </v>
      </c>
      <c r="D3" s="5" t="str">
        <f ca="1">IFERROR(__xludf.DUMMYFUNCTION("""COMPUTED_VALUE"""),"Ca")</f>
        <v>Ca</v>
      </c>
      <c r="E3" s="5">
        <f ca="1">IFERROR(__xludf.DUMMYFUNCTION("""COMPUTED_VALUE"""),90064)</f>
        <v>90064</v>
      </c>
      <c r="F3" s="19">
        <f ca="1">IFERROR(__xludf.DUMMYFUNCTION("""COMPUTED_VALUE"""),5000)</f>
        <v>5000</v>
      </c>
      <c r="G3" s="19">
        <f ca="1">IFERROR(__xludf.DUMMYFUNCTION("""COMPUTED_VALUE"""),7000)</f>
        <v>7000</v>
      </c>
      <c r="H3" s="18">
        <f ca="1">IFERROR(__xludf.DUMMYFUNCTION("""COMPUTED_VALUE"""),45668)</f>
        <v>45668</v>
      </c>
      <c r="I3" s="5" t="str">
        <f ca="1">IFERROR(__xludf.DUMMYFUNCTION("""COMPUTED_VALUE"""),"Zillow")</f>
        <v>Zillow</v>
      </c>
      <c r="J3" s="25" t="str">
        <f ca="1">IFERROR(__xludf.DUMMYFUNCTION("""COMPUTED_VALUE"""),"https://www.zillow.com/homedetails/11708-Exposition-Blvd-Los-Angeles-CA-90064/20464795_zpid/?utm_campaign=iosappmessage&amp;utm_medium=referral&amp;utm_source=txtshare")</f>
        <v>https://www.zillow.com/homedetails/11708-Exposition-Blvd-Los-Angeles-CA-90064/20464795_zpid/?utm_campaign=iosappmessage&amp;utm_medium=referral&amp;utm_source=txtshare</v>
      </c>
      <c r="K3" s="5"/>
      <c r="L3" s="5" t="str">
        <f ca="1">IFERROR(__xludf.DUMMYFUNCTION("""COMPUTED_VALUE"""),"Selia Hao")</f>
        <v>Selia Hao</v>
      </c>
      <c r="M3" s="5" t="str">
        <f ca="1">IFERROR(__xludf.DUMMYFUNCTION("""COMPUTED_VALUE"""),"Says it’s listed by owner. Was $5000 at the end of December. Hasn’t been rented. And on 1/11 changed the price to $7000. Way above average rental price for this area")</f>
        <v>Says it’s listed by owner. Was $5000 at the end of December. Hasn’t been rented. And on 1/11 changed the price to $7000. Way above average rental price for this area</v>
      </c>
      <c r="N3" s="5" t="str">
        <f ca="1">IFERROR(__xludf.DUMMYFUNCTION("""COMPUTED_VALUE"""),"https://drive.google.com/open?id=1iz5Zi6Ju7CdczO0SVQf7JC3J-INFgnEV, https://drive.google.com/open?id=11c7h56mLEJKvIpgSn-ctW3kjqaGj1e5v, https://drive.google.com/open?id=1KtF94BIW2WC_HD4k5ahd712TlcogDwzU")</f>
        <v>https://drive.google.com/open?id=1iz5Zi6Ju7CdczO0SVQf7JC3J-INFgnEV, https://drive.google.com/open?id=11c7h56mLEJKvIpgSn-ctW3kjqaGj1e5v, https://drive.google.com/open?id=1KtF94BIW2WC_HD4k5ahd712TlcogDwzU</v>
      </c>
      <c r="O3" s="5">
        <f ca="1">IFERROR(__xludf.DUMMYFUNCTION("""COMPUTED_VALUE"""),4260028003)</f>
        <v>4260028003</v>
      </c>
      <c r="P3" s="5"/>
      <c r="Q3" s="5"/>
      <c r="R3" s="5" t="str">
        <f ca="1">IFERROR(__xludf.DUMMYFUNCTION("""COMPUTED_VALUE"""),"(702) 234-5475")</f>
        <v>(702) 234-5475</v>
      </c>
      <c r="S3" s="5"/>
      <c r="T3" s="5"/>
    </row>
    <row r="4" spans="1:20" ht="12.75">
      <c r="A4" s="24">
        <f ca="1">IFERROR(__xludf.DUMMYFUNCTION("""COMPUTED_VALUE"""),45668.9713567361)</f>
        <v>45668.971356736103</v>
      </c>
      <c r="B4" s="5" t="str">
        <f ca="1">IFERROR(__xludf.DUMMYFUNCTION("""COMPUTED_VALUE"""),"716 Rochedale Way")</f>
        <v>716 Rochedale Way</v>
      </c>
      <c r="C4" s="5" t="str">
        <f ca="1">IFERROR(__xludf.DUMMYFUNCTION("""COMPUTED_VALUE"""),"Los Angeles")</f>
        <v>Los Angeles</v>
      </c>
      <c r="D4" s="5" t="str">
        <f ca="1">IFERROR(__xludf.DUMMYFUNCTION("""COMPUTED_VALUE"""),"CA")</f>
        <v>CA</v>
      </c>
      <c r="E4" s="5">
        <f ca="1">IFERROR(__xludf.DUMMYFUNCTION("""COMPUTED_VALUE"""),90049)</f>
        <v>90049</v>
      </c>
      <c r="F4" s="19">
        <f ca="1">IFERROR(__xludf.DUMMYFUNCTION("""COMPUTED_VALUE"""),8995)</f>
        <v>8995</v>
      </c>
      <c r="G4" s="19">
        <f ca="1">IFERROR(__xludf.DUMMYFUNCTION("""COMPUTED_VALUE"""),12000)</f>
        <v>12000</v>
      </c>
      <c r="H4" s="18">
        <f ca="1">IFERROR(__xludf.DUMMYFUNCTION("""COMPUTED_VALUE"""),45667)</f>
        <v>45667</v>
      </c>
      <c r="I4" s="5" t="str">
        <f ca="1">IFERROR(__xludf.DUMMYFUNCTION("""COMPUTED_VALUE"""),"Zillow")</f>
        <v>Zillow</v>
      </c>
      <c r="J4" s="25" t="str">
        <f ca="1">IFERROR(__xludf.DUMMYFUNCTION("""COMPUTED_VALUE"""),"https://www.zillow.com/homedetails/716-Rochedale-Way-Los-Angeles-CA-90049/20560159_zpid/")</f>
        <v>https://www.zillow.com/homedetails/716-Rochedale-Way-Los-Angeles-CA-90049/20560159_zpid/</v>
      </c>
      <c r="K4" s="5"/>
      <c r="L4" s="5" t="str">
        <f ca="1">IFERROR(__xludf.DUMMYFUNCTION("""COMPUTED_VALUE"""),"M Joseph")</f>
        <v>M Joseph</v>
      </c>
      <c r="M4" s="5"/>
      <c r="N4" s="26" t="str">
        <f ca="1">IFERROR(__xludf.DUMMYFUNCTION("""COMPUTED_VALUE"""),"https://drive.google.com/open?id=1TNZjEhc8FT1ZB4hscYcjp8j9RfhQ6pua")</f>
        <v>https://drive.google.com/open?id=1TNZjEhc8FT1ZB4hscYcjp8j9RfhQ6pua</v>
      </c>
      <c r="O4" s="5">
        <f ca="1">IFERROR(__xludf.DUMMYFUNCTION("""COMPUTED_VALUE"""),4494010023)</f>
        <v>4494010023</v>
      </c>
      <c r="P4" s="5"/>
      <c r="Q4" s="5"/>
      <c r="R4" s="5" t="str">
        <f ca="1">IFERROR(__xludf.DUMMYFUNCTION("""COMPUTED_VALUE"""),"N/A")</f>
        <v>N/A</v>
      </c>
      <c r="S4" s="5"/>
      <c r="T4" s="5"/>
    </row>
    <row r="5" spans="1:20" ht="12.75">
      <c r="A5" s="24">
        <f ca="1">IFERROR(__xludf.DUMMYFUNCTION("""COMPUTED_VALUE"""),45668.9748313078)</f>
        <v>45668.974831307802</v>
      </c>
      <c r="B5" s="5" t="str">
        <f ca="1">IFERROR(__xludf.DUMMYFUNCTION("""COMPUTED_VALUE"""),"3512 Crestmont Ave")</f>
        <v>3512 Crestmont Ave</v>
      </c>
      <c r="C5" s="5" t="str">
        <f ca="1">IFERROR(__xludf.DUMMYFUNCTION("""COMPUTED_VALUE"""),"Los Angeles")</f>
        <v>Los Angeles</v>
      </c>
      <c r="D5" s="5" t="str">
        <f ca="1">IFERROR(__xludf.DUMMYFUNCTION("""COMPUTED_VALUE"""),"CA")</f>
        <v>CA</v>
      </c>
      <c r="E5" s="5">
        <f ca="1">IFERROR(__xludf.DUMMYFUNCTION("""COMPUTED_VALUE"""),90026)</f>
        <v>90026</v>
      </c>
      <c r="F5" s="19">
        <f ca="1">IFERROR(__xludf.DUMMYFUNCTION("""COMPUTED_VALUE"""),9000)</f>
        <v>9000</v>
      </c>
      <c r="G5" s="19">
        <f ca="1">IFERROR(__xludf.DUMMYFUNCTION("""COMPUTED_VALUE"""),11000)</f>
        <v>11000</v>
      </c>
      <c r="H5" s="18">
        <f ca="1">IFERROR(__xludf.DUMMYFUNCTION("""COMPUTED_VALUE"""),45668)</f>
        <v>45668</v>
      </c>
      <c r="I5" s="5" t="str">
        <f ca="1">IFERROR(__xludf.DUMMYFUNCTION("""COMPUTED_VALUE"""),"Zillow")</f>
        <v>Zillow</v>
      </c>
      <c r="J5" s="25" t="str">
        <f ca="1">IFERROR(__xludf.DUMMYFUNCTION("""COMPUTED_VALUE"""),"https://www.zillow.com/homedetails/3512-Crestmont-Ave-Los-Angeles-CA-90026/20746365_zpid/")</f>
        <v>https://www.zillow.com/homedetails/3512-Crestmont-Ave-Los-Angeles-CA-90026/20746365_zpid/</v>
      </c>
      <c r="K5" s="5"/>
      <c r="L5" s="5" t="str">
        <f ca="1">IFERROR(__xludf.DUMMYFUNCTION("""COMPUTED_VALUE"""),"Edward Kay")</f>
        <v>Edward Kay</v>
      </c>
      <c r="M5" s="5" t="str">
        <f ca="1">IFERROR(__xludf.DUMMYFUNCTION("""COMPUTED_VALUE"""),"22% increase from the listing posted on 10/19/24")</f>
        <v>22% increase from the listing posted on 10/19/24</v>
      </c>
      <c r="N5" s="26" t="str">
        <f ca="1">IFERROR(__xludf.DUMMYFUNCTION("""COMPUTED_VALUE"""),"https://drive.google.com/open?id=1sm1ldDEdkeEeS5nfhyOXxZo1hYp050CE")</f>
        <v>https://drive.google.com/open?id=1sm1ldDEdkeEeS5nfhyOXxZo1hYp050CE</v>
      </c>
      <c r="O5" s="5">
        <f ca="1">IFERROR(__xludf.DUMMYFUNCTION("""COMPUTED_VALUE"""),5429020022)</f>
        <v>5429020022</v>
      </c>
      <c r="P5" s="5" t="str">
        <f ca="1">IFERROR(__xludf.DUMMYFUNCTION("""COMPUTED_VALUE"""),"No data")</f>
        <v>No data</v>
      </c>
      <c r="Q5" s="5"/>
      <c r="R5" s="5" t="str">
        <f ca="1">IFERROR(__xludf.DUMMYFUNCTION("""COMPUTED_VALUE"""),"(818) 401-8719")</f>
        <v>(818) 401-8719</v>
      </c>
      <c r="S5" s="5"/>
      <c r="T5" s="5"/>
    </row>
    <row r="6" spans="1:20" ht="12.75">
      <c r="A6" s="24">
        <f ca="1">IFERROR(__xludf.DUMMYFUNCTION("""COMPUTED_VALUE"""),45668.9792387962)</f>
        <v>45668.979238796201</v>
      </c>
      <c r="B6" s="5" t="str">
        <f ca="1">IFERROR(__xludf.DUMMYFUNCTION("""COMPUTED_VALUE"""),"8966 Shoreham Dr")</f>
        <v>8966 Shoreham Dr</v>
      </c>
      <c r="C6" s="5" t="str">
        <f ca="1">IFERROR(__xludf.DUMMYFUNCTION("""COMPUTED_VALUE"""),"Los Angeles")</f>
        <v>Los Angeles</v>
      </c>
      <c r="D6" s="5" t="str">
        <f ca="1">IFERROR(__xludf.DUMMYFUNCTION("""COMPUTED_VALUE"""),"CA")</f>
        <v>CA</v>
      </c>
      <c r="E6" s="5">
        <f ca="1">IFERROR(__xludf.DUMMYFUNCTION("""COMPUTED_VALUE"""),90069)</f>
        <v>90069</v>
      </c>
      <c r="F6" s="19">
        <f ca="1">IFERROR(__xludf.DUMMYFUNCTION("""COMPUTED_VALUE"""),8500)</f>
        <v>8500</v>
      </c>
      <c r="G6" s="19">
        <f ca="1">IFERROR(__xludf.DUMMYFUNCTION("""COMPUTED_VALUE"""),11500)</f>
        <v>11500</v>
      </c>
      <c r="H6" s="18">
        <f ca="1">IFERROR(__xludf.DUMMYFUNCTION("""COMPUTED_VALUE"""),45666)</f>
        <v>45666</v>
      </c>
      <c r="I6" s="5" t="str">
        <f ca="1">IFERROR(__xludf.DUMMYFUNCTION("""COMPUTED_VALUE"""),"Zillow")</f>
        <v>Zillow</v>
      </c>
      <c r="J6" s="25" t="str">
        <f ca="1">IFERROR(__xludf.DUMMYFUNCTION("""COMPUTED_VALUE"""),"https://www.zillow.com/homedetails/8966-Shoreham-Dr-Los-Angeles-CA-90069/20799415_zpid/")</f>
        <v>https://www.zillow.com/homedetails/8966-Shoreham-Dr-Los-Angeles-CA-90069/20799415_zpid/</v>
      </c>
      <c r="K6" s="5" t="str">
        <f ca="1">IFERROR(__xludf.DUMMYFUNCTION("""COMPUTED_VALUE"""),"Mark Bua; Keller Williams Studio City")</f>
        <v>Mark Bua; Keller Williams Studio City</v>
      </c>
      <c r="L6" s="5"/>
      <c r="M6" s="5" t="str">
        <f ca="1">IFERROR(__xludf.DUMMYFUNCTION("""COMPUTED_VALUE"""),"Listing removed on 11/6/24 at $8,500, relisted for rent on 1/9/25 at 35.3% increase")</f>
        <v>Listing removed on 11/6/24 at $8,500, relisted for rent on 1/9/25 at 35.3% increase</v>
      </c>
      <c r="N6" s="26" t="str">
        <f ca="1">IFERROR(__xludf.DUMMYFUNCTION("""COMPUTED_VALUE"""),"https://drive.google.com/open?id=1csTqJmRE_F3wALrmm-rYWP3W2ef8M5Ts")</f>
        <v>https://drive.google.com/open?id=1csTqJmRE_F3wALrmm-rYWP3W2ef8M5Ts</v>
      </c>
      <c r="O6" s="5">
        <f ca="1">IFERROR(__xludf.DUMMYFUNCTION("""COMPUTED_VALUE"""),5560025007)</f>
        <v>5560025007</v>
      </c>
      <c r="P6" s="5" t="str">
        <f ca="1">IFERROR(__xludf.DUMMYFUNCTION("""COMPUTED_VALUE"""),"(818) 380-5206")</f>
        <v>(818) 380-5206</v>
      </c>
      <c r="Q6" s="5"/>
      <c r="R6" s="5"/>
      <c r="S6" s="5"/>
      <c r="T6" s="5"/>
    </row>
    <row r="7" spans="1:20" ht="12.75">
      <c r="A7" s="24">
        <f ca="1">IFERROR(__xludf.DUMMYFUNCTION("""COMPUTED_VALUE"""),45668.9894928935)</f>
        <v>45668.989492893503</v>
      </c>
      <c r="B7" s="5" t="str">
        <f ca="1">IFERROR(__xludf.DUMMYFUNCTION("""COMPUTED_VALUE"""),"1923 Sunset Plaza")</f>
        <v>1923 Sunset Plaza</v>
      </c>
      <c r="C7" s="5" t="str">
        <f ca="1">IFERROR(__xludf.DUMMYFUNCTION("""COMPUTED_VALUE"""),"Los Angeles")</f>
        <v>Los Angeles</v>
      </c>
      <c r="D7" s="5" t="str">
        <f ca="1">IFERROR(__xludf.DUMMYFUNCTION("""COMPUTED_VALUE"""),"CA")</f>
        <v>CA</v>
      </c>
      <c r="E7" s="5">
        <f ca="1">IFERROR(__xludf.DUMMYFUNCTION("""COMPUTED_VALUE"""),90069)</f>
        <v>90069</v>
      </c>
      <c r="F7" s="19">
        <f ca="1">IFERROR(__xludf.DUMMYFUNCTION("""COMPUTED_VALUE"""),11850)</f>
        <v>11850</v>
      </c>
      <c r="G7" s="19">
        <f ca="1">IFERROR(__xludf.DUMMYFUNCTION("""COMPUTED_VALUE"""),13500)</f>
        <v>13500</v>
      </c>
      <c r="H7" s="18">
        <f ca="1">IFERROR(__xludf.DUMMYFUNCTION("""COMPUTED_VALUE"""),45667)</f>
        <v>45667</v>
      </c>
      <c r="I7" s="5" t="str">
        <f ca="1">IFERROR(__xludf.DUMMYFUNCTION("""COMPUTED_VALUE"""),"Zillow")</f>
        <v>Zillow</v>
      </c>
      <c r="J7" s="25" t="str">
        <f ca="1">IFERROR(__xludf.DUMMYFUNCTION("""COMPUTED_VALUE"""),"https://www.zillow.com/homedetails/1923-Sunset-Plaza-Dr-Los-Angeles-CA-90069/20798097_zpid/")</f>
        <v>https://www.zillow.com/homedetails/1923-Sunset-Plaza-Dr-Los-Angeles-CA-90069/20798097_zpid/</v>
      </c>
      <c r="K7" s="5" t="str">
        <f ca="1">IFERROR(__xludf.DUMMYFUNCTION("""COMPUTED_VALUE"""),"Marisa; Revel Real Estate")</f>
        <v>Marisa; Revel Real Estate</v>
      </c>
      <c r="L7" s="5"/>
      <c r="M7" s="5" t="str">
        <f ca="1">IFERROR(__xludf.DUMMYFUNCTION("""COMPUTED_VALUE"""),"Price dropped to $11,850 on 12/25/24, price increase by 13.9% to $13,500 on 1/10/25")</f>
        <v>Price dropped to $11,850 on 12/25/24, price increase by 13.9% to $13,500 on 1/10/25</v>
      </c>
      <c r="N7" s="26" t="str">
        <f ca="1">IFERROR(__xludf.DUMMYFUNCTION("""COMPUTED_VALUE"""),"https://drive.google.com/open?id=1VZKz8NhCgbqmURwk6w9lnrv9BO0R5Eaw")</f>
        <v>https://drive.google.com/open?id=1VZKz8NhCgbqmURwk6w9lnrv9BO0R5Eaw</v>
      </c>
      <c r="O7" s="5">
        <f ca="1">IFERROR(__xludf.DUMMYFUNCTION("""COMPUTED_VALUE"""),5558002013)</f>
        <v>5558002013</v>
      </c>
      <c r="P7" s="5" t="str">
        <f ca="1">IFERROR(__xludf.DUMMYFUNCTION("""COMPUTED_VALUE"""),"(213) 318-4745")</f>
        <v>(213) 318-4745</v>
      </c>
      <c r="Q7" s="5"/>
      <c r="R7" s="5"/>
      <c r="S7" s="5"/>
      <c r="T7" s="5"/>
    </row>
    <row r="8" spans="1:20" ht="12.75">
      <c r="A8" s="24">
        <f ca="1">IFERROR(__xludf.DUMMYFUNCTION("""COMPUTED_VALUE"""),45668.9919443981)</f>
        <v>45668.991944398098</v>
      </c>
      <c r="B8" s="5" t="str">
        <f ca="1">IFERROR(__xludf.DUMMYFUNCTION("""COMPUTED_VALUE"""),"Undisclosed Address")</f>
        <v>Undisclosed Address</v>
      </c>
      <c r="C8" s="5" t="str">
        <f ca="1">IFERROR(__xludf.DUMMYFUNCTION("""COMPUTED_VALUE"""),"Los Angeles")</f>
        <v>Los Angeles</v>
      </c>
      <c r="D8" s="5" t="str">
        <f ca="1">IFERROR(__xludf.DUMMYFUNCTION("""COMPUTED_VALUE"""),"CA")</f>
        <v>CA</v>
      </c>
      <c r="E8" s="5">
        <f ca="1">IFERROR(__xludf.DUMMYFUNCTION("""COMPUTED_VALUE"""),90046)</f>
        <v>90046</v>
      </c>
      <c r="F8" s="19">
        <f ca="1">IFERROR(__xludf.DUMMYFUNCTION("""COMPUTED_VALUE"""),11500)</f>
        <v>11500</v>
      </c>
      <c r="G8" s="19">
        <f ca="1">IFERROR(__xludf.DUMMYFUNCTION("""COMPUTED_VALUE"""),15000)</f>
        <v>15000</v>
      </c>
      <c r="H8" s="18">
        <f ca="1">IFERROR(__xludf.DUMMYFUNCTION("""COMPUTED_VALUE"""),45666)</f>
        <v>45666</v>
      </c>
      <c r="I8" s="5" t="str">
        <f ca="1">IFERROR(__xludf.DUMMYFUNCTION("""COMPUTED_VALUE"""),"Zillow")</f>
        <v>Zillow</v>
      </c>
      <c r="J8" s="25" t="str">
        <f ca="1">IFERROR(__xludf.DUMMYFUNCTION("""COMPUTED_VALUE"""),"https://www.zillow.com/homedetails/Los-Angeles-CA-90046/20803208_zpid/")</f>
        <v>https://www.zillow.com/homedetails/Los-Angeles-CA-90046/20803208_zpid/</v>
      </c>
      <c r="K8" s="5"/>
      <c r="L8" s="5" t="str">
        <f ca="1">IFERROR(__xludf.DUMMYFUNCTION("""COMPUTED_VALUE"""),"echo 2 llc")</f>
        <v>echo 2 llc</v>
      </c>
      <c r="M8" s="5" t="str">
        <f ca="1">IFERROR(__xludf.DUMMYFUNCTION("""COMPUTED_VALUE"""),"Listed for rent on 1/4/25 at a 25% increase from it's previous listing in Oct 2024, price increased again 5 days later on 1/9/25 for another 30% to $15k/month!")</f>
        <v>Listed for rent on 1/4/25 at a 25% increase from it's previous listing in Oct 2024, price increased again 5 days later on 1/9/25 for another 30% to $15k/month!</v>
      </c>
      <c r="N8" s="26" t="str">
        <f ca="1">IFERROR(__xludf.DUMMYFUNCTION("""COMPUTED_VALUE"""),"https://drive.google.com/open?id=1zziP6iwuq3qVslEmht_f7YUJnREGjhjx")</f>
        <v>https://drive.google.com/open?id=1zziP6iwuq3qVslEmht_f7YUJnREGjhjx</v>
      </c>
      <c r="O8" s="5" t="str">
        <f ca="1">IFERROR(__xludf.DUMMYFUNCTION("""COMPUTED_VALUE"""),"N/A ")</f>
        <v xml:space="preserve">N/A </v>
      </c>
      <c r="P8" s="5" t="str">
        <f ca="1">IFERROR(__xludf.DUMMYFUNCTION("""COMPUTED_VALUE"""),"No data")</f>
        <v>No data</v>
      </c>
      <c r="Q8" s="5"/>
      <c r="R8" s="5" t="str">
        <f ca="1">IFERROR(__xludf.DUMMYFUNCTION("""COMPUTED_VALUE"""),"(213) 393-6060")</f>
        <v>(213) 393-6060</v>
      </c>
      <c r="S8" s="5"/>
      <c r="T8" s="5"/>
    </row>
    <row r="9" spans="1:20" ht="12.75">
      <c r="A9" s="24">
        <f ca="1">IFERROR(__xludf.DUMMYFUNCTION("""COMPUTED_VALUE"""),45668.9949593981)</f>
        <v>45668.9949593981</v>
      </c>
      <c r="B9" s="5" t="str">
        <f ca="1">IFERROR(__xludf.DUMMYFUNCTION("""COMPUTED_VALUE"""),"1915 S Crescent Heights Blvd")</f>
        <v>1915 S Crescent Heights Blvd</v>
      </c>
      <c r="C9" s="5" t="str">
        <f ca="1">IFERROR(__xludf.DUMMYFUNCTION("""COMPUTED_VALUE"""),"Los Angeles")</f>
        <v>Los Angeles</v>
      </c>
      <c r="D9" s="5" t="str">
        <f ca="1">IFERROR(__xludf.DUMMYFUNCTION("""COMPUTED_VALUE"""),"CA")</f>
        <v>CA</v>
      </c>
      <c r="E9" s="5">
        <f ca="1">IFERROR(__xludf.DUMMYFUNCTION("""COMPUTED_VALUE"""),90034)</f>
        <v>90034</v>
      </c>
      <c r="F9" s="19">
        <f ca="1">IFERROR(__xludf.DUMMYFUNCTION("""COMPUTED_VALUE"""),6600)</f>
        <v>6600</v>
      </c>
      <c r="G9" s="19">
        <f ca="1">IFERROR(__xludf.DUMMYFUNCTION("""COMPUTED_VALUE"""),10000)</f>
        <v>10000</v>
      </c>
      <c r="H9" s="18">
        <f ca="1">IFERROR(__xludf.DUMMYFUNCTION("""COMPUTED_VALUE"""),45666)</f>
        <v>45666</v>
      </c>
      <c r="I9" s="5" t="str">
        <f ca="1">IFERROR(__xludf.DUMMYFUNCTION("""COMPUTED_VALUE"""),"Zillow")</f>
        <v>Zillow</v>
      </c>
      <c r="J9" s="25" t="str">
        <f ca="1">IFERROR(__xludf.DUMMYFUNCTION("""COMPUTED_VALUE"""),"https://www.zillow.com/homedetails/1915-S-Crescent-Heights-Blvd-Los-Angeles-CA-90034/20598384_zpid/")</f>
        <v>https://www.zillow.com/homedetails/1915-S-Crescent-Heights-Blvd-Los-Angeles-CA-90034/20598384_zpid/</v>
      </c>
      <c r="K9" s="5"/>
      <c r="L9" s="5" t="str">
        <f ca="1">IFERROR(__xludf.DUMMYFUNCTION("""COMPUTED_VALUE"""),"Fariba and Carmelo")</f>
        <v>Fariba and Carmelo</v>
      </c>
      <c r="M9" s="5" t="str">
        <f ca="1">IFERROR(__xludf.DUMMYFUNCTION("""COMPUTED_VALUE"""),"The listing was removed about a year ago and relisted on 1/9/25. However, flagging this one because the price previously ranged from 6-7k. The relisted price after the fires is now $15,000/month which is a 127.3% increase from it's previous listing just o"&amp;"ne year ago.")</f>
        <v>The listing was removed about a year ago and relisted on 1/9/25. However, flagging this one because the price previously ranged from 6-7k. The relisted price after the fires is now $15,000/month which is a 127.3% increase from it's previous listing just one year ago.</v>
      </c>
      <c r="N9" s="26" t="str">
        <f ca="1">IFERROR(__xludf.DUMMYFUNCTION("""COMPUTED_VALUE"""),"https://drive.google.com/open?id=1Zew-llRUzDNfN8RUPCh1xX5c3y-3Waca")</f>
        <v>https://drive.google.com/open?id=1Zew-llRUzDNfN8RUPCh1xX5c3y-3Waca</v>
      </c>
      <c r="O9" s="5">
        <f ca="1">IFERROR(__xludf.DUMMYFUNCTION("""COMPUTED_VALUE"""),5066004003)</f>
        <v>5066004003</v>
      </c>
      <c r="P9" s="5" t="str">
        <f ca="1">IFERROR(__xludf.DUMMYFUNCTION("""COMPUTED_VALUE"""),"(310) 666-9972")</f>
        <v>(310) 666-9972</v>
      </c>
      <c r="Q9" s="5"/>
      <c r="R9" s="5" t="str">
        <f ca="1">IFERROR(__xludf.DUMMYFUNCTION("""COMPUTED_VALUE"""),"(310) 666-9972")</f>
        <v>(310) 666-9972</v>
      </c>
      <c r="S9" s="5"/>
      <c r="T9" s="5"/>
    </row>
    <row r="10" spans="1:20" ht="12.75">
      <c r="A10" s="24">
        <f ca="1">IFERROR(__xludf.DUMMYFUNCTION("""COMPUTED_VALUE"""),45668.9978797916)</f>
        <v>45668.997879791597</v>
      </c>
      <c r="B10" s="5" t="str">
        <f ca="1">IFERROR(__xludf.DUMMYFUNCTION("""COMPUTED_VALUE"""),"23716 Archwood St")</f>
        <v>23716 Archwood St</v>
      </c>
      <c r="C10" s="5" t="str">
        <f ca="1">IFERROR(__xludf.DUMMYFUNCTION("""COMPUTED_VALUE"""),"West Hills")</f>
        <v>West Hills</v>
      </c>
      <c r="D10" s="5" t="str">
        <f ca="1">IFERROR(__xludf.DUMMYFUNCTION("""COMPUTED_VALUE"""),"CA")</f>
        <v>CA</v>
      </c>
      <c r="E10" s="5">
        <f ca="1">IFERROR(__xludf.DUMMYFUNCTION("""COMPUTED_VALUE"""),91307)</f>
        <v>91307</v>
      </c>
      <c r="F10" s="19">
        <f ca="1">IFERROR(__xludf.DUMMYFUNCTION("""COMPUTED_VALUE"""),10500)</f>
        <v>10500</v>
      </c>
      <c r="G10" s="19">
        <f ca="1">IFERROR(__xludf.DUMMYFUNCTION("""COMPUTED_VALUE"""),13000)</f>
        <v>13000</v>
      </c>
      <c r="H10" s="18">
        <f ca="1">IFERROR(__xludf.DUMMYFUNCTION("""COMPUTED_VALUE"""),45668)</f>
        <v>45668</v>
      </c>
      <c r="I10" s="5" t="str">
        <f ca="1">IFERROR(__xludf.DUMMYFUNCTION("""COMPUTED_VALUE"""),"Zillow")</f>
        <v>Zillow</v>
      </c>
      <c r="J10" s="25" t="str">
        <f ca="1">IFERROR(__xludf.DUMMYFUNCTION("""COMPUTED_VALUE"""),"https://www.zillow.com/homedetails/23716-Archwood-St-West-Hills-CA-91307/340040879_zpid/")</f>
        <v>https://www.zillow.com/homedetails/23716-Archwood-St-West-Hills-CA-91307/340040879_zpid/</v>
      </c>
      <c r="K10" s="5" t="str">
        <f ca="1">IFERROR(__xludf.DUMMYFUNCTION("""COMPUTED_VALUE"""),"Sharon FurmanLee; Lakai LLC")</f>
        <v>Sharon FurmanLee; Lakai LLC</v>
      </c>
      <c r="L10" s="5"/>
      <c r="M10" s="5" t="str">
        <f ca="1">IFERROR(__xludf.DUMMYFUNCTION("""COMPUTED_VALUE"""),"Previously listed at $10,500 and removed on 11/6/24..relisted after the fires for $12,000 on 1/9/25 (14.3% increase) and increased again on 1/11/25 to $13,000 (another 8.3%). Total increase of 23.8% in just 2 months.")</f>
        <v>Previously listed at $10,500 and removed on 11/6/24..relisted after the fires for $12,000 on 1/9/25 (14.3% increase) and increased again on 1/11/25 to $13,000 (another 8.3%). Total increase of 23.8% in just 2 months.</v>
      </c>
      <c r="N10" s="26" t="str">
        <f ca="1">IFERROR(__xludf.DUMMYFUNCTION("""COMPUTED_VALUE"""),"https://drive.google.com/open?id=1islSFMMCwgXyhAlstDg6hU7Xl7m3yO9p")</f>
        <v>https://drive.google.com/open?id=1islSFMMCwgXyhAlstDg6hU7Xl7m3yO9p</v>
      </c>
      <c r="O10" s="5" t="str">
        <f ca="1">IFERROR(__xludf.DUMMYFUNCTION("""COMPUTED_VALUE"""),"N/A ")</f>
        <v xml:space="preserve">N/A </v>
      </c>
      <c r="P10" s="5" t="str">
        <f ca="1">IFERROR(__xludf.DUMMYFUNCTION("""COMPUTED_VALUE"""),"(310) 696-9620")</f>
        <v>(310) 696-9620</v>
      </c>
      <c r="Q10" s="5"/>
      <c r="R10" s="5"/>
      <c r="S10" s="5"/>
      <c r="T10" s="5"/>
    </row>
    <row r="11" spans="1:20" ht="12.75">
      <c r="A11" s="24">
        <f ca="1">IFERROR(__xludf.DUMMYFUNCTION("""COMPUTED_VALUE"""),45669.0006598148)</f>
        <v>45669.000659814803</v>
      </c>
      <c r="B11" s="5" t="str">
        <f ca="1">IFERROR(__xludf.DUMMYFUNCTION("""COMPUTED_VALUE"""),"6255 W Olympic Blvd #2")</f>
        <v>6255 W Olympic Blvd #2</v>
      </c>
      <c r="C11" s="5" t="str">
        <f ca="1">IFERROR(__xludf.DUMMYFUNCTION("""COMPUTED_VALUE"""),"Los Angeles")</f>
        <v>Los Angeles</v>
      </c>
      <c r="D11" s="5" t="str">
        <f ca="1">IFERROR(__xludf.DUMMYFUNCTION("""COMPUTED_VALUE"""),"CA")</f>
        <v>CA</v>
      </c>
      <c r="E11" s="5">
        <f ca="1">IFERROR(__xludf.DUMMYFUNCTION("""COMPUTED_VALUE"""),90048)</f>
        <v>90048</v>
      </c>
      <c r="F11" s="19">
        <f ca="1">IFERROR(__xludf.DUMMYFUNCTION("""COMPUTED_VALUE"""),5500)</f>
        <v>5500</v>
      </c>
      <c r="G11" s="19">
        <f ca="1">IFERROR(__xludf.DUMMYFUNCTION("""COMPUTED_VALUE"""),15000)</f>
        <v>15000</v>
      </c>
      <c r="H11" s="18">
        <f ca="1">IFERROR(__xludf.DUMMYFUNCTION("""COMPUTED_VALUE"""),45668)</f>
        <v>45668</v>
      </c>
      <c r="I11" s="5" t="str">
        <f ca="1">IFERROR(__xludf.DUMMYFUNCTION("""COMPUTED_VALUE"""),"Zillow")</f>
        <v>Zillow</v>
      </c>
      <c r="J11" s="25" t="str">
        <f ca="1">IFERROR(__xludf.DUMMYFUNCTION("""COMPUTED_VALUE"""),"https://www.zillow.com/homedetails/6255-W-Olympic-Blvd-2-Los-Angeles-CA-90048/443225953_zpid/")</f>
        <v>https://www.zillow.com/homedetails/6255-W-Olympic-Blvd-2-Los-Angeles-CA-90048/443225953_zpid/</v>
      </c>
      <c r="K11" s="5" t="str">
        <f ca="1">IFERROR(__xludf.DUMMYFUNCTION("""COMPUTED_VALUE"""),"Cubier Inc")</f>
        <v>Cubier Inc</v>
      </c>
      <c r="L11" s="5"/>
      <c r="M11" s="5" t="str">
        <f ca="1">IFERROR(__xludf.DUMMYFUNCTION("""COMPUTED_VALUE"""),"Price decrease to $5,500 on 12/29/24 followed by a 36.4% increase to $7,500 after fires on 1/10/25. The next day, the price doubled to $15k. A total of 136% increase.")</f>
        <v>Price decrease to $5,500 on 12/29/24 followed by a 36.4% increase to $7,500 after fires on 1/10/25. The next day, the price doubled to $15k. A total of 136% increase.</v>
      </c>
      <c r="N11" s="26" t="str">
        <f ca="1">IFERROR(__xludf.DUMMYFUNCTION("""COMPUTED_VALUE"""),"https://drive.google.com/open?id=1LFNYyfOfLWzQJCUTfqJyy5sO9xFI8daV")</f>
        <v>https://drive.google.com/open?id=1LFNYyfOfLWzQJCUTfqJyy5sO9xFI8daV</v>
      </c>
      <c r="O11" s="5" t="str">
        <f ca="1">IFERROR(__xludf.DUMMYFUNCTION("""COMPUTED_VALUE"""),"N/A ")</f>
        <v xml:space="preserve">N/A </v>
      </c>
      <c r="P11" s="5" t="str">
        <f ca="1">IFERROR(__xludf.DUMMYFUNCTION("""COMPUTED_VALUE"""),"No data")</f>
        <v>No data</v>
      </c>
      <c r="Q11" s="5"/>
      <c r="R11" s="5"/>
      <c r="S11" s="5"/>
      <c r="T11" s="5"/>
    </row>
    <row r="12" spans="1:20" ht="12.75">
      <c r="A12" s="24">
        <f ca="1">IFERROR(__xludf.DUMMYFUNCTION("""COMPUTED_VALUE"""),45669.0171630555)</f>
        <v>45669.017163055498</v>
      </c>
      <c r="B12" s="5" t="str">
        <f ca="1">IFERROR(__xludf.DUMMYFUNCTION("""COMPUTED_VALUE"""),"2700 Cahuenga Blvd E APT 4111")</f>
        <v>2700 Cahuenga Blvd E APT 4111</v>
      </c>
      <c r="C12" s="5" t="str">
        <f ca="1">IFERROR(__xludf.DUMMYFUNCTION("""COMPUTED_VALUE"""),"Los Angeles")</f>
        <v>Los Angeles</v>
      </c>
      <c r="D12" s="5" t="str">
        <f ca="1">IFERROR(__xludf.DUMMYFUNCTION("""COMPUTED_VALUE"""),"CA")</f>
        <v>CA</v>
      </c>
      <c r="E12" s="5">
        <f ca="1">IFERROR(__xludf.DUMMYFUNCTION("""COMPUTED_VALUE"""),90068)</f>
        <v>90068</v>
      </c>
      <c r="F12" s="19">
        <f ca="1">IFERROR(__xludf.DUMMYFUNCTION("""COMPUTED_VALUE"""),3200)</f>
        <v>3200</v>
      </c>
      <c r="G12" s="19">
        <f ca="1">IFERROR(__xludf.DUMMYFUNCTION("""COMPUTED_VALUE"""),3600)</f>
        <v>3600</v>
      </c>
      <c r="H12" s="18">
        <f ca="1">IFERROR(__xludf.DUMMYFUNCTION("""COMPUTED_VALUE"""),45664)</f>
        <v>45664</v>
      </c>
      <c r="I12" s="5" t="str">
        <f ca="1">IFERROR(__xludf.DUMMYFUNCTION("""COMPUTED_VALUE"""),"Zillow")</f>
        <v>Zillow</v>
      </c>
      <c r="J12" s="25" t="str">
        <f ca="1">IFERROR(__xludf.DUMMYFUNCTION("""COMPUTED_VALUE"""),"https://www.zillow.com/homedetails/2700-Cahuenga-Blvd-E-APT-4111-Los-Angeles-CA-90068/20804778_zpid/")</f>
        <v>https://www.zillow.com/homedetails/2700-Cahuenga-Blvd-E-APT-4111-Los-Angeles-CA-90068/20804778_zpid/</v>
      </c>
      <c r="K12" s="5"/>
      <c r="L12" s="5" t="str">
        <f ca="1">IFERROR(__xludf.DUMMYFUNCTION("""COMPUTED_VALUE"""),"Christopher Fitzmorris")</f>
        <v>Christopher Fitzmorris</v>
      </c>
      <c r="M12" s="5"/>
      <c r="N12" s="5"/>
      <c r="O12" s="5">
        <f ca="1">IFERROR(__xludf.DUMMYFUNCTION("""COMPUTED_VALUE"""),5577010114)</f>
        <v>5577010114</v>
      </c>
      <c r="P12" s="5" t="str">
        <f ca="1">IFERROR(__xludf.DUMMYFUNCTION("""COMPUTED_VALUE"""),"(310) 362-9937")</f>
        <v>(310) 362-9937</v>
      </c>
      <c r="Q12" s="5"/>
      <c r="R12" s="5" t="str">
        <f ca="1">IFERROR(__xludf.DUMMYFUNCTION("""COMPUTED_VALUE"""),"(310) 362-9937")</f>
        <v>(310) 362-9937</v>
      </c>
      <c r="S12" s="5"/>
      <c r="T12" s="5"/>
    </row>
    <row r="13" spans="1:20" ht="12.75">
      <c r="A13" s="24">
        <f ca="1">IFERROR(__xludf.DUMMYFUNCTION("""COMPUTED_VALUE"""),45669.0179430902)</f>
        <v>45669.017943090199</v>
      </c>
      <c r="B13" s="5" t="str">
        <f ca="1">IFERROR(__xludf.DUMMYFUNCTION("""COMPUTED_VALUE"""),"3715 kelton ave apt 3")</f>
        <v>3715 kelton ave apt 3</v>
      </c>
      <c r="C13" s="5" t="str">
        <f ca="1">IFERROR(__xludf.DUMMYFUNCTION("""COMPUTED_VALUE"""),"los angeles")</f>
        <v>los angeles</v>
      </c>
      <c r="D13" s="5" t="str">
        <f ca="1">IFERROR(__xludf.DUMMYFUNCTION("""COMPUTED_VALUE"""),"CA")</f>
        <v>CA</v>
      </c>
      <c r="E13" s="5">
        <f ca="1">IFERROR(__xludf.DUMMYFUNCTION("""COMPUTED_VALUE"""),90034)</f>
        <v>90034</v>
      </c>
      <c r="F13" s="19">
        <f ca="1">IFERROR(__xludf.DUMMYFUNCTION("""COMPUTED_VALUE"""),3695)</f>
        <v>3695</v>
      </c>
      <c r="G13" s="19">
        <f ca="1">IFERROR(__xludf.DUMMYFUNCTION("""COMPUTED_VALUE"""),4500)</f>
        <v>4500</v>
      </c>
      <c r="H13" s="18">
        <f ca="1">IFERROR(__xludf.DUMMYFUNCTION("""COMPUTED_VALUE"""),45668)</f>
        <v>45668</v>
      </c>
      <c r="I13" s="5" t="str">
        <f ca="1">IFERROR(__xludf.DUMMYFUNCTION("""COMPUTED_VALUE"""),"Zillow")</f>
        <v>Zillow</v>
      </c>
      <c r="J13" s="25" t="str">
        <f ca="1">IFERROR(__xludf.DUMMYFUNCTION("""COMPUTED_VALUE"""),"https://www.zillow.com/homedetails/3715-Kelton-Ave-APT-3-Los-Angeles-CA-90034/2080996983_zpid/")</f>
        <v>https://www.zillow.com/homedetails/3715-Kelton-Ave-APT-3-Los-Angeles-CA-90034/2080996983_zpid/</v>
      </c>
      <c r="K13" s="5" t="str">
        <f ca="1">IFERROR(__xludf.DUMMYFUNCTION("""COMPUTED_VALUE""")," Mark Rogo; Metropolitan Property Services, LLC")</f>
        <v xml:space="preserve"> Mark Rogo; Metropolitan Property Services, LLC</v>
      </c>
      <c r="L13" s="5"/>
      <c r="M13" s="5" t="str">
        <f ca="1">IFERROR(__xludf.DUMMYFUNCTION("""COMPUTED_VALUE"""),"I used to live here and moved out Oct 2024 - when i lived there, the rent was 3100 total. when my roommates and i moved out, the property was turned over to a management company and the unit has stayed vacant since. i have seen the price for the empty uni"&amp;"t fluctuate since i’ve checked up on it since we moved out but this recent jump is unprecedented and illegal. the property is still owned by Mark Rogo and it’s a four unit building, with long-term residents in units 1 and 4.")</f>
        <v>I used to live here and moved out Oct 2024 - when i lived there, the rent was 3100 total. when my roommates and i moved out, the property was turned over to a management company and the unit has stayed vacant since. i have seen the price for the empty unit fluctuate since i’ve checked up on it since we moved out but this recent jump is unprecedented and illegal. the property is still owned by Mark Rogo and it’s a four unit building, with long-term residents in units 1 and 4.</v>
      </c>
      <c r="N13" s="5" t="str">
        <f ca="1">IFERROR(__xludf.DUMMYFUNCTION("""COMPUTED_VALUE"""),"https://drive.google.com/open?id=1vp-6LaM8Q3pmMyzuwPU02qK0UPQGiEwJ, https://drive.google.com/open?id=1R-N4owVS9QscAZdWDwfFzRTCvzjJ7rBB")</f>
        <v>https://drive.google.com/open?id=1vp-6LaM8Q3pmMyzuwPU02qK0UPQGiEwJ, https://drive.google.com/open?id=1R-N4owVS9QscAZdWDwfFzRTCvzjJ7rBB</v>
      </c>
      <c r="O13" s="5" t="str">
        <f ca="1">IFERROR(__xludf.DUMMYFUNCTION("""COMPUTED_VALUE"""),"N/A ")</f>
        <v xml:space="preserve">N/A </v>
      </c>
      <c r="P13" s="5" t="str">
        <f ca="1">IFERROR(__xludf.DUMMYFUNCTION("""COMPUTED_VALUE"""),"(213) 280-6415")</f>
        <v>(213) 280-6415</v>
      </c>
      <c r="Q13" s="5"/>
      <c r="R13" s="5"/>
      <c r="S13" s="5"/>
      <c r="T13" s="5"/>
    </row>
    <row r="14" spans="1:20" ht="12.75">
      <c r="A14" s="24">
        <f ca="1">IFERROR(__xludf.DUMMYFUNCTION("""COMPUTED_VALUE"""),45669.0188928935)</f>
        <v>45669.018892893502</v>
      </c>
      <c r="B14" s="5" t="str">
        <f ca="1">IFERROR(__xludf.DUMMYFUNCTION("""COMPUTED_VALUE"""),"5059 Hermosa Ave")</f>
        <v>5059 Hermosa Ave</v>
      </c>
      <c r="C14" s="5" t="str">
        <f ca="1">IFERROR(__xludf.DUMMYFUNCTION("""COMPUTED_VALUE"""),"Los Angeles")</f>
        <v>Los Angeles</v>
      </c>
      <c r="D14" s="5" t="str">
        <f ca="1">IFERROR(__xludf.DUMMYFUNCTION("""COMPUTED_VALUE"""),"CA")</f>
        <v>CA</v>
      </c>
      <c r="E14" s="5">
        <f ca="1">IFERROR(__xludf.DUMMYFUNCTION("""COMPUTED_VALUE"""),90041)</f>
        <v>90041</v>
      </c>
      <c r="F14" s="19">
        <f ca="1">IFERROR(__xludf.DUMMYFUNCTION("""COMPUTED_VALUE"""),2995)</f>
        <v>2995</v>
      </c>
      <c r="G14" s="19">
        <f ca="1">IFERROR(__xludf.DUMMYFUNCTION("""COMPUTED_VALUE"""),3600)</f>
        <v>3600</v>
      </c>
      <c r="H14" s="18">
        <f ca="1">IFERROR(__xludf.DUMMYFUNCTION("""COMPUTED_VALUE"""),45665)</f>
        <v>45665</v>
      </c>
      <c r="I14" s="5" t="str">
        <f ca="1">IFERROR(__xludf.DUMMYFUNCTION("""COMPUTED_VALUE"""),"Zillow")</f>
        <v>Zillow</v>
      </c>
      <c r="J14" s="25" t="str">
        <f ca="1">IFERROR(__xludf.DUMMYFUNCTION("""COMPUTED_VALUE"""),"https://www.zillow.com/homedetails/5059-Hermosa-Ave-Los-Angeles-CA-90041/2090546544_zpid/")</f>
        <v>https://www.zillow.com/homedetails/5059-Hermosa-Ave-Los-Angeles-CA-90041/2090546544_zpid/</v>
      </c>
      <c r="K14" s="5" t="str">
        <f ca="1">IFERROR(__xludf.DUMMYFUNCTION("""COMPUTED_VALUE"""),"Benjamin Cheng")</f>
        <v>Benjamin Cheng</v>
      </c>
      <c r="L14" s="5"/>
      <c r="M14" s="5"/>
      <c r="N14" s="5"/>
      <c r="O14" s="5" t="str">
        <f ca="1">IFERROR(__xludf.DUMMYFUNCTION("""COMPUTED_VALUE"""),"N/A ")</f>
        <v xml:space="preserve">N/A </v>
      </c>
      <c r="P14" s="5" t="str">
        <f ca="1">IFERROR(__xludf.DUMMYFUNCTION("""COMPUTED_VALUE"""),"(657) 571-7642")</f>
        <v>(657) 571-7642</v>
      </c>
      <c r="Q14" s="5"/>
      <c r="R14" s="5"/>
      <c r="S14" s="5"/>
      <c r="T14" s="5"/>
    </row>
    <row r="15" spans="1:20" ht="12.75">
      <c r="A15" s="24">
        <f ca="1">IFERROR(__xludf.DUMMYFUNCTION("""COMPUTED_VALUE"""),45669.0275119791)</f>
        <v>45669.027511979097</v>
      </c>
      <c r="B15" s="5" t="str">
        <f ca="1">IFERROR(__xludf.DUMMYFUNCTION("""COMPUTED_VALUE"""),"1427 Columbia Dr")</f>
        <v>1427 Columbia Dr</v>
      </c>
      <c r="C15" s="5" t="str">
        <f ca="1">IFERROR(__xludf.DUMMYFUNCTION("""COMPUTED_VALUE"""),"Glendale")</f>
        <v>Glendale</v>
      </c>
      <c r="D15" s="5" t="str">
        <f ca="1">IFERROR(__xludf.DUMMYFUNCTION("""COMPUTED_VALUE"""),"CA")</f>
        <v>CA</v>
      </c>
      <c r="E15" s="5">
        <f ca="1">IFERROR(__xludf.DUMMYFUNCTION("""COMPUTED_VALUE"""),91205)</f>
        <v>91205</v>
      </c>
      <c r="F15" s="19">
        <f ca="1">IFERROR(__xludf.DUMMYFUNCTION("""COMPUTED_VALUE"""),8500)</f>
        <v>8500</v>
      </c>
      <c r="G15" s="19">
        <f ca="1">IFERROR(__xludf.DUMMYFUNCTION("""COMPUTED_VALUE"""),19500)</f>
        <v>19500</v>
      </c>
      <c r="H15" s="18">
        <f ca="1">IFERROR(__xludf.DUMMYFUNCTION("""COMPUTED_VALUE"""),45669)</f>
        <v>45669</v>
      </c>
      <c r="I15" s="5" t="str">
        <f ca="1">IFERROR(__xludf.DUMMYFUNCTION("""COMPUTED_VALUE"""),"Zillow")</f>
        <v>Zillow</v>
      </c>
      <c r="J15" s="25" t="str">
        <f ca="1">IFERROR(__xludf.DUMMYFUNCTION("""COMPUTED_VALUE"""),"https://www.zillow.com/homedetails/1427-Columbia-Dr-Glendale-CA-91205/20847539_zpid/")</f>
        <v>https://www.zillow.com/homedetails/1427-Columbia-Dr-Glendale-CA-91205/20847539_zpid/</v>
      </c>
      <c r="K15" s="5" t="str">
        <f ca="1">IFERROR(__xludf.DUMMYFUNCTION("""COMPUTED_VALUE"""),"Iliana (no longer listed? 1/12 AS)")</f>
        <v>Iliana (no longer listed? 1/12 AS)</v>
      </c>
      <c r="L15" s="5" t="str">
        <f ca="1">IFERROR(__xludf.DUMMYFUNCTION("""COMPUTED_VALUE"""),"Philip")</f>
        <v>Philip</v>
      </c>
      <c r="M15" s="5" t="str">
        <f ca="1">IFERROR(__xludf.DUMMYFUNCTION("""COMPUTED_VALUE"""),"The last time they price gouged this home was 02/07/2020, increasing the rent 240% from 2,500 a month to 8,500 a month so they seem to have a history of price gouging during emergencies.")</f>
        <v>The last time they price gouged this home was 02/07/2020, increasing the rent 240% from 2,500 a month to 8,500 a month so they seem to have a history of price gouging during emergencies.</v>
      </c>
      <c r="N15" s="5"/>
      <c r="O15" s="5">
        <f ca="1">IFERROR(__xludf.DUMMYFUNCTION("""COMPUTED_VALUE"""),5677025001)</f>
        <v>5677025001</v>
      </c>
      <c r="P15" s="5"/>
      <c r="Q15" s="5"/>
      <c r="R15" s="5" t="str">
        <f ca="1">IFERROR(__xludf.DUMMYFUNCTION("""COMPUTED_VALUE"""),"(323) 577-5992")</f>
        <v>(323) 577-5992</v>
      </c>
      <c r="S15" s="5"/>
      <c r="T15" s="5"/>
    </row>
    <row r="16" spans="1:20" ht="12.75">
      <c r="A16" s="24">
        <f ca="1">IFERROR(__xludf.DUMMYFUNCTION("""COMPUTED_VALUE"""),45669.1113504166)</f>
        <v>45669.111350416599</v>
      </c>
      <c r="B16" s="5" t="str">
        <f ca="1">IFERROR(__xludf.DUMMYFUNCTION("""COMPUTED_VALUE"""),"3931Berry Drive")</f>
        <v>3931Berry Drive</v>
      </c>
      <c r="C16" s="5" t="str">
        <f ca="1">IFERROR(__xludf.DUMMYFUNCTION("""COMPUTED_VALUE"""),"Studio City")</f>
        <v>Studio City</v>
      </c>
      <c r="D16" s="5" t="str">
        <f ca="1">IFERROR(__xludf.DUMMYFUNCTION("""COMPUTED_VALUE"""),"CA")</f>
        <v>CA</v>
      </c>
      <c r="E16" s="5">
        <f ca="1">IFERROR(__xludf.DUMMYFUNCTION("""COMPUTED_VALUE"""),91604)</f>
        <v>91604</v>
      </c>
      <c r="F16" s="19">
        <f ca="1">IFERROR(__xludf.DUMMYFUNCTION("""COMPUTED_VALUE"""),10000)</f>
        <v>10000</v>
      </c>
      <c r="G16" s="19">
        <f ca="1">IFERROR(__xludf.DUMMYFUNCTION("""COMPUTED_VALUE"""),16000)</f>
        <v>16000</v>
      </c>
      <c r="H16" s="18">
        <f ca="1">IFERROR(__xludf.DUMMYFUNCTION("""COMPUTED_VALUE"""),45666)</f>
        <v>45666</v>
      </c>
      <c r="I16" s="5" t="str">
        <f ca="1">IFERROR(__xludf.DUMMYFUNCTION("""COMPUTED_VALUE"""),"Zillow")</f>
        <v>Zillow</v>
      </c>
      <c r="J16" s="25" t="str">
        <f ca="1">IFERROR(__xludf.DUMMYFUNCTION("""COMPUTED_VALUE"""),"https://www.zillow.com/homedetails/3931-Berry-Dr-Studio-City-CA-91604/20028364_zpid/")</f>
        <v>https://www.zillow.com/homedetails/3931-Berry-Dr-Studio-City-CA-91604/20028364_zpid/</v>
      </c>
      <c r="K16" s="5" t="str">
        <f ca="1">IFERROR(__xludf.DUMMYFUNCTION("""COMPUTED_VALUE"""),"Month2month")</f>
        <v>Month2month</v>
      </c>
      <c r="L16" s="5"/>
      <c r="M16" s="5" t="str">
        <f ca="1">IFERROR(__xludf.DUMMYFUNCTION("""COMPUTED_VALUE"""),"$10,000 on 08/01/2024, changed to $16,000 on 01/09/2025")</f>
        <v>$10,000 on 08/01/2024, changed to $16,000 on 01/09/2025</v>
      </c>
      <c r="N16" s="26" t="str">
        <f ca="1">IFERROR(__xludf.DUMMYFUNCTION("""COMPUTED_VALUE"""),"https://drive.google.com/open?id=1N-jwy0O5CQlECavSOx0ioz1XnjQZUOe8")</f>
        <v>https://drive.google.com/open?id=1N-jwy0O5CQlECavSOx0ioz1XnjQZUOe8</v>
      </c>
      <c r="O16" s="5">
        <f ca="1">IFERROR(__xludf.DUMMYFUNCTION("""COMPUTED_VALUE"""),2369037006)</f>
        <v>2369037006</v>
      </c>
      <c r="P16" s="5" t="str">
        <f ca="1">IFERROR(__xludf.DUMMYFUNCTION("""COMPUTED_VALUE"""),"(949) 649-4946")</f>
        <v>(949) 649-4946</v>
      </c>
      <c r="Q16" s="5"/>
      <c r="R16" s="5"/>
      <c r="S16" s="5"/>
      <c r="T16" s="5"/>
    </row>
    <row r="17" spans="1:20" ht="12.75">
      <c r="A17" s="24">
        <f ca="1">IFERROR(__xludf.DUMMYFUNCTION("""COMPUTED_VALUE"""),45669.113668287)</f>
        <v>45669.113668286998</v>
      </c>
      <c r="B17" s="5" t="str">
        <f ca="1">IFERROR(__xludf.DUMMYFUNCTION("""COMPUTED_VALUE"""),"1941 Glencod Way")</f>
        <v>1941 Glencod Way</v>
      </c>
      <c r="C17" s="5" t="str">
        <f ca="1">IFERROR(__xludf.DUMMYFUNCTION("""COMPUTED_VALUE"""),"Los Angeles")</f>
        <v>Los Angeles</v>
      </c>
      <c r="D17" s="5" t="str">
        <f ca="1">IFERROR(__xludf.DUMMYFUNCTION("""COMPUTED_VALUE"""),"CA")</f>
        <v>CA</v>
      </c>
      <c r="E17" s="5">
        <f ca="1">IFERROR(__xludf.DUMMYFUNCTION("""COMPUTED_VALUE"""),90068)</f>
        <v>90068</v>
      </c>
      <c r="F17" s="19">
        <f ca="1">IFERROR(__xludf.DUMMYFUNCTION("""COMPUTED_VALUE"""),8500)</f>
        <v>8500</v>
      </c>
      <c r="G17" s="19">
        <f ca="1">IFERROR(__xludf.DUMMYFUNCTION("""COMPUTED_VALUE"""),12500)</f>
        <v>12500</v>
      </c>
      <c r="H17" s="18">
        <f ca="1">IFERROR(__xludf.DUMMYFUNCTION("""COMPUTED_VALUE"""),45668)</f>
        <v>45668</v>
      </c>
      <c r="I17" s="5" t="str">
        <f ca="1">IFERROR(__xludf.DUMMYFUNCTION("""COMPUTED_VALUE"""),"Zillow")</f>
        <v>Zillow</v>
      </c>
      <c r="J17" s="25" t="str">
        <f ca="1">IFERROR(__xludf.DUMMYFUNCTION("""COMPUTED_VALUE"""),"https://www.zillow.com/homedetails/1941-Glencoe-Way-Los-Angeles-CA-90068/20793801_zpid/?utm_campaign=iosappmessage&amp;utm_medium=referral&amp;utm_source=txtshare")</f>
        <v>https://www.zillow.com/homedetails/1941-Glencoe-Way-Los-Angeles-CA-90068/20793801_zpid/?utm_campaign=iosappmessage&amp;utm_medium=referral&amp;utm_source=txtshare</v>
      </c>
      <c r="K17" s="5"/>
      <c r="L17" s="5" t="str">
        <f ca="1">IFERROR(__xludf.DUMMYFUNCTION("""COMPUTED_VALUE"""),"Shaked and Andrea Berenson")</f>
        <v>Shaked and Andrea Berenson</v>
      </c>
      <c r="M17" s="5"/>
      <c r="N17" s="5"/>
      <c r="O17" s="5">
        <f ca="1">IFERROR(__xludf.DUMMYFUNCTION("""COMPUTED_VALUE"""),5549022024)</f>
        <v>5549022024</v>
      </c>
      <c r="P17" s="5" t="str">
        <f ca="1">IFERROR(__xludf.DUMMYFUNCTION("""COMPUTED_VALUE"""),"(213) 645-2864")</f>
        <v>(213) 645-2864</v>
      </c>
      <c r="Q17" s="5"/>
      <c r="R17" s="5" t="str">
        <f ca="1">IFERROR(__xludf.DUMMYFUNCTION("""COMPUTED_VALUE"""),"(213) 645-2864")</f>
        <v>(213) 645-2864</v>
      </c>
      <c r="S17" s="5"/>
      <c r="T17" s="5"/>
    </row>
    <row r="18" spans="1:20" ht="12.75">
      <c r="A18" s="24">
        <f ca="1">IFERROR(__xludf.DUMMYFUNCTION("""COMPUTED_VALUE"""),45669.1153186574)</f>
        <v>45669.115318657401</v>
      </c>
      <c r="B18" s="5" t="str">
        <f ca="1">IFERROR(__xludf.DUMMYFUNCTION("""COMPUTED_VALUE"""),"256 S Van Ness")</f>
        <v>256 S Van Ness</v>
      </c>
      <c r="C18" s="5" t="str">
        <f ca="1">IFERROR(__xludf.DUMMYFUNCTION("""COMPUTED_VALUE"""),"Los Angeles")</f>
        <v>Los Angeles</v>
      </c>
      <c r="D18" s="5" t="str">
        <f ca="1">IFERROR(__xludf.DUMMYFUNCTION("""COMPUTED_VALUE"""),"CA")</f>
        <v>CA</v>
      </c>
      <c r="E18" s="5">
        <f ca="1">IFERROR(__xludf.DUMMYFUNCTION("""COMPUTED_VALUE"""),90004)</f>
        <v>90004</v>
      </c>
      <c r="F18" s="19">
        <f ca="1">IFERROR(__xludf.DUMMYFUNCTION("""COMPUTED_VALUE"""),8000)</f>
        <v>8000</v>
      </c>
      <c r="G18" s="19">
        <f ca="1">IFERROR(__xludf.DUMMYFUNCTION("""COMPUTED_VALUE"""),10000)</f>
        <v>10000</v>
      </c>
      <c r="H18" s="18">
        <f ca="1">IFERROR(__xludf.DUMMYFUNCTION("""COMPUTED_VALUE"""),45665)</f>
        <v>45665</v>
      </c>
      <c r="I18" s="5" t="str">
        <f ca="1">IFERROR(__xludf.DUMMYFUNCTION("""COMPUTED_VALUE"""),"Zillow")</f>
        <v>Zillow</v>
      </c>
      <c r="J18" s="25" t="str">
        <f ca="1">IFERROR(__xludf.DUMMYFUNCTION("""COMPUTED_VALUE"""),"https://www.zillow.com/homedetails/256-S-Van-Ness-Ave-Los-Angeles-CA-90004/20779975_zpid/?utm_campaign=iosappmessage&amp;utm_medium=referral&amp;utm_source=txtshare")</f>
        <v>https://www.zillow.com/homedetails/256-S-Van-Ness-Ave-Los-Angeles-CA-90004/20779975_zpid/?utm_campaign=iosappmessage&amp;utm_medium=referral&amp;utm_source=txtshare</v>
      </c>
      <c r="K18" s="5" t="str">
        <f ca="1">IFERROR(__xludf.DUMMYFUNCTION("""COMPUTED_VALUE""")," Peter V Buonocore; Keller Williams Realty")</f>
        <v xml:space="preserve"> Peter V Buonocore; Keller Williams Realty</v>
      </c>
      <c r="L18" s="5"/>
      <c r="M18" s="5"/>
      <c r="N18" s="5"/>
      <c r="O18" s="5">
        <f ca="1">IFERROR(__xludf.DUMMYFUNCTION("""COMPUTED_VALUE"""),5516010001)</f>
        <v>5516010001</v>
      </c>
      <c r="P18" s="5" t="str">
        <f ca="1">IFERROR(__xludf.DUMMYFUNCTION("""COMPUTED_VALUE"""),"(323) 762-2561")</f>
        <v>(323) 762-2561</v>
      </c>
      <c r="Q18" s="5"/>
      <c r="R18" s="5"/>
      <c r="S18" s="5"/>
      <c r="T18" s="5"/>
    </row>
    <row r="19" spans="1:20" ht="12.75">
      <c r="A19" s="24">
        <f ca="1">IFERROR(__xludf.DUMMYFUNCTION("""COMPUTED_VALUE"""),45669.1202387152)</f>
        <v>45669.120238715201</v>
      </c>
      <c r="B19" s="5" t="str">
        <f ca="1">IFERROR(__xludf.DUMMYFUNCTION("""COMPUTED_VALUE"""),"649 N Edinburgh Ave")</f>
        <v>649 N Edinburgh Ave</v>
      </c>
      <c r="C19" s="5" t="str">
        <f ca="1">IFERROR(__xludf.DUMMYFUNCTION("""COMPUTED_VALUE"""),"Los Angeles")</f>
        <v>Los Angeles</v>
      </c>
      <c r="D19" s="5" t="str">
        <f ca="1">IFERROR(__xludf.DUMMYFUNCTION("""COMPUTED_VALUE"""),"CA")</f>
        <v>CA</v>
      </c>
      <c r="E19" s="5">
        <f ca="1">IFERROR(__xludf.DUMMYFUNCTION("""COMPUTED_VALUE"""),90048)</f>
        <v>90048</v>
      </c>
      <c r="F19" s="19">
        <f ca="1">IFERROR(__xludf.DUMMYFUNCTION("""COMPUTED_VALUE"""),24000)</f>
        <v>24000</v>
      </c>
      <c r="G19" s="19">
        <f ca="1">IFERROR(__xludf.DUMMYFUNCTION("""COMPUTED_VALUE"""),35000)</f>
        <v>35000</v>
      </c>
      <c r="H19" s="18">
        <f ca="1">IFERROR(__xludf.DUMMYFUNCTION("""COMPUTED_VALUE"""),45669)</f>
        <v>45669</v>
      </c>
      <c r="I19" s="5" t="str">
        <f ca="1">IFERROR(__xludf.DUMMYFUNCTION("""COMPUTED_VALUE"""),"Zillow")</f>
        <v>Zillow</v>
      </c>
      <c r="J19" s="25" t="str">
        <f ca="1">IFERROR(__xludf.DUMMYFUNCTION("""COMPUTED_VALUE"""),"https://www.zillow.com/homedetails/649-N-Edinburgh-Ave-Los-Angeles-CA-90048/20786041_zpid/?utm_campaign=iosappmessage&amp;utm_medium=referral&amp;utm_source=txtshare")</f>
        <v>https://www.zillow.com/homedetails/649-N-Edinburgh-Ave-Los-Angeles-CA-90048/20786041_zpid/?utm_campaign=iosappmessage&amp;utm_medium=referral&amp;utm_source=txtshare</v>
      </c>
      <c r="K19" s="5" t="str">
        <f ca="1">IFERROR(__xludf.DUMMYFUNCTION("""COMPUTED_VALUE"""),"LA Luxuries Real Estate Agency")</f>
        <v>LA Luxuries Real Estate Agency</v>
      </c>
      <c r="L19" s="5"/>
      <c r="M19" s="5"/>
      <c r="N19" s="5"/>
      <c r="O19" s="5">
        <f ca="1">IFERROR(__xludf.DUMMYFUNCTION("""COMPUTED_VALUE"""),5527015009)</f>
        <v>5527015009</v>
      </c>
      <c r="P19" s="5" t="str">
        <f ca="1">IFERROR(__xludf.DUMMYFUNCTION("""COMPUTED_VALUE"""),"(213) 275-2092")</f>
        <v>(213) 275-2092</v>
      </c>
      <c r="Q19" s="5"/>
      <c r="R19" s="5"/>
      <c r="S19" s="5"/>
      <c r="T19" s="5"/>
    </row>
    <row r="20" spans="1:20" ht="12.75">
      <c r="A20" s="24">
        <f ca="1">IFERROR(__xludf.DUMMYFUNCTION("""COMPUTED_VALUE"""),45669.1370529976)</f>
        <v>45669.137052997597</v>
      </c>
      <c r="B20" s="5" t="str">
        <f ca="1">IFERROR(__xludf.DUMMYFUNCTION("""COMPUTED_VALUE"""),"6105 Del Valle Dr")</f>
        <v>6105 Del Valle Dr</v>
      </c>
      <c r="C20" s="5" t="str">
        <f ca="1">IFERROR(__xludf.DUMMYFUNCTION("""COMPUTED_VALUE"""),"Los Angeles")</f>
        <v>Los Angeles</v>
      </c>
      <c r="D20" s="5" t="str">
        <f ca="1">IFERROR(__xludf.DUMMYFUNCTION("""COMPUTED_VALUE"""),"CA")</f>
        <v>CA</v>
      </c>
      <c r="E20" s="5">
        <f ca="1">IFERROR(__xludf.DUMMYFUNCTION("""COMPUTED_VALUE"""),90068)</f>
        <v>90068</v>
      </c>
      <c r="F20" s="19">
        <f ca="1">IFERROR(__xludf.DUMMYFUNCTION("""COMPUTED_VALUE"""),8999)</f>
        <v>8999</v>
      </c>
      <c r="G20" s="19">
        <f ca="1">IFERROR(__xludf.DUMMYFUNCTION("""COMPUTED_VALUE"""),12500)</f>
        <v>12500</v>
      </c>
      <c r="H20" s="18">
        <f ca="1">IFERROR(__xludf.DUMMYFUNCTION("""COMPUTED_VALUE"""),45669)</f>
        <v>45669</v>
      </c>
      <c r="I20" s="5" t="str">
        <f ca="1">IFERROR(__xludf.DUMMYFUNCTION("""COMPUTED_VALUE"""),"Zillow")</f>
        <v>Zillow</v>
      </c>
      <c r="J20" s="25" t="str">
        <f ca="1">IFERROR(__xludf.DUMMYFUNCTION("""COMPUTED_VALUE"""),"https://www.zillow.com/homedetails/6105-Del-Valle-Dr-Los-Angeles-CA-90048/20609699_zpid/")</f>
        <v>https://www.zillow.com/homedetails/6105-Del-Valle-Dr-Los-Angeles-CA-90048/20609699_zpid/</v>
      </c>
      <c r="K20" s="5" t="str">
        <f ca="1">IFERROR(__xludf.DUMMYFUNCTION("""COMPUTED_VALUE"""),"Fiona Falanga")</f>
        <v>Fiona Falanga</v>
      </c>
      <c r="L20" s="5"/>
      <c r="M20" s="5"/>
      <c r="N20" s="5"/>
      <c r="O20" s="5">
        <f ca="1">IFERROR(__xludf.DUMMYFUNCTION("""COMPUTED_VALUE"""),5088003052)</f>
        <v>5088003052</v>
      </c>
      <c r="P20" s="5" t="str">
        <f ca="1">IFERROR(__xludf.DUMMYFUNCTION("""COMPUTED_VALUE"""),"(310) 978-5252")</f>
        <v>(310) 978-5252</v>
      </c>
      <c r="Q20" s="5"/>
      <c r="R20" s="5"/>
      <c r="S20" s="5"/>
      <c r="T20" s="5"/>
    </row>
    <row r="21" spans="1:20" ht="12.75">
      <c r="A21" s="24">
        <f ca="1">IFERROR(__xludf.DUMMYFUNCTION("""COMPUTED_VALUE"""),45669.1383910416)</f>
        <v>45669.138391041597</v>
      </c>
      <c r="B21" s="5" t="str">
        <f ca="1">IFERROR(__xludf.DUMMYFUNCTION("""COMPUTED_VALUE"""),"1916 W Court St")</f>
        <v>1916 W Court St</v>
      </c>
      <c r="C21" s="5" t="str">
        <f ca="1">IFERROR(__xludf.DUMMYFUNCTION("""COMPUTED_VALUE"""),"Los Angeles")</f>
        <v>Los Angeles</v>
      </c>
      <c r="D21" s="5" t="str">
        <f ca="1">IFERROR(__xludf.DUMMYFUNCTION("""COMPUTED_VALUE"""),"CA")</f>
        <v>CA</v>
      </c>
      <c r="E21" s="5">
        <f ca="1">IFERROR(__xludf.DUMMYFUNCTION("""COMPUTED_VALUE"""),90026)</f>
        <v>90026</v>
      </c>
      <c r="F21" s="19">
        <f ca="1">IFERROR(__xludf.DUMMYFUNCTION("""COMPUTED_VALUE"""),9995)</f>
        <v>9995</v>
      </c>
      <c r="G21" s="19">
        <f ca="1">IFERROR(__xludf.DUMMYFUNCTION("""COMPUTED_VALUE"""),14500)</f>
        <v>14500</v>
      </c>
      <c r="H21" s="18">
        <f ca="1">IFERROR(__xludf.DUMMYFUNCTION("""COMPUTED_VALUE"""),45669)</f>
        <v>45669</v>
      </c>
      <c r="I21" s="5" t="str">
        <f ca="1">IFERROR(__xludf.DUMMYFUNCTION("""COMPUTED_VALUE"""),"Zillow")</f>
        <v>Zillow</v>
      </c>
      <c r="J21" s="25" t="str">
        <f ca="1">IFERROR(__xludf.DUMMYFUNCTION("""COMPUTED_VALUE"""),"https://www.zillow.com/homedetails/1916-W-Court-St-Los-Angeles-CA-90026/20627817_zpid/")</f>
        <v>https://www.zillow.com/homedetails/1916-W-Court-St-Los-Angeles-CA-90026/20627817_zpid/</v>
      </c>
      <c r="K21" s="5" t="str">
        <f ca="1">IFERROR(__xludf.DUMMYFUNCTION("""COMPUTED_VALUE"""),"Ofir Malul")</f>
        <v>Ofir Malul</v>
      </c>
      <c r="L21" s="5"/>
      <c r="M21" s="5"/>
      <c r="N21" s="5"/>
      <c r="O21" s="5">
        <f ca="1">IFERROR(__xludf.DUMMYFUNCTION("""COMPUTED_VALUE"""),5157027044)</f>
        <v>5157027044</v>
      </c>
      <c r="P21" s="5"/>
      <c r="Q21" s="5"/>
      <c r="R21" s="5"/>
      <c r="S21" s="5"/>
      <c r="T21" s="5"/>
    </row>
    <row r="22" spans="1:20" ht="12.75">
      <c r="A22" s="24">
        <f ca="1">IFERROR(__xludf.DUMMYFUNCTION("""COMPUTED_VALUE"""),45669.1399846875)</f>
        <v>45669.139984687499</v>
      </c>
      <c r="B22" s="5" t="str">
        <f ca="1">IFERROR(__xludf.DUMMYFUNCTION("""COMPUTED_VALUE"""),"1702 Sunset Plaza Dr")</f>
        <v>1702 Sunset Plaza Dr</v>
      </c>
      <c r="C22" s="5" t="str">
        <f ca="1">IFERROR(__xludf.DUMMYFUNCTION("""COMPUTED_VALUE"""),"Los Angeles")</f>
        <v>Los Angeles</v>
      </c>
      <c r="D22" s="5" t="str">
        <f ca="1">IFERROR(__xludf.DUMMYFUNCTION("""COMPUTED_VALUE"""),"CA")</f>
        <v>CA</v>
      </c>
      <c r="E22" s="5">
        <f ca="1">IFERROR(__xludf.DUMMYFUNCTION("""COMPUTED_VALUE"""),90069)</f>
        <v>90069</v>
      </c>
      <c r="F22" s="19">
        <f ca="1">IFERROR(__xludf.DUMMYFUNCTION("""COMPUTED_VALUE"""),20000)</f>
        <v>20000</v>
      </c>
      <c r="G22" s="19">
        <f ca="1">IFERROR(__xludf.DUMMYFUNCTION("""COMPUTED_VALUE"""),22500)</f>
        <v>22500</v>
      </c>
      <c r="H22" s="18">
        <f ca="1">IFERROR(__xludf.DUMMYFUNCTION("""COMPUTED_VALUE"""),45666)</f>
        <v>45666</v>
      </c>
      <c r="I22" s="5" t="str">
        <f ca="1">IFERROR(__xludf.DUMMYFUNCTION("""COMPUTED_VALUE"""),"Zillow")</f>
        <v>Zillow</v>
      </c>
      <c r="J22" s="25" t="str">
        <f ca="1">IFERROR(__xludf.DUMMYFUNCTION("""COMPUTED_VALUE"""),"https://www.zillow.com/homedetails/1702-Sunset-Plaza-Dr-Los-Angeles-CA-90069/20798287_zpid/")</f>
        <v>https://www.zillow.com/homedetails/1702-Sunset-Plaza-Dr-Los-Angeles-CA-90069/20798287_zpid/</v>
      </c>
      <c r="K22" s="5" t="str">
        <f ca="1">IFERROR(__xludf.DUMMYFUNCTION("""COMPUTED_VALUE"""),"Stay Awhile Villas")</f>
        <v>Stay Awhile Villas</v>
      </c>
      <c r="L22" s="5"/>
      <c r="M22" s="5"/>
      <c r="N22" s="5"/>
      <c r="O22" s="5">
        <f ca="1">IFERROR(__xludf.DUMMYFUNCTION("""COMPUTED_VALUE"""),5558016025)</f>
        <v>5558016025</v>
      </c>
      <c r="P22" s="5" t="str">
        <f ca="1">IFERROR(__xludf.DUMMYFUNCTION("""COMPUTED_VALUE"""),"(310) 310-2711")</f>
        <v>(310) 310-2711</v>
      </c>
      <c r="Q22" s="5"/>
      <c r="R22" s="5"/>
      <c r="S22" s="5"/>
      <c r="T22" s="5"/>
    </row>
    <row r="23" spans="1:20" ht="12.75">
      <c r="A23" s="24">
        <f ca="1">IFERROR(__xludf.DUMMYFUNCTION("""COMPUTED_VALUE"""),45669.1410370486)</f>
        <v>45669.141037048597</v>
      </c>
      <c r="B23" s="5" t="str">
        <f ca="1">IFERROR(__xludf.DUMMYFUNCTION("""COMPUTED_VALUE"""),"8405 Edwin Dr")</f>
        <v>8405 Edwin Dr</v>
      </c>
      <c r="C23" s="5" t="str">
        <f ca="1">IFERROR(__xludf.DUMMYFUNCTION("""COMPUTED_VALUE"""),"Los Angeles")</f>
        <v>Los Angeles</v>
      </c>
      <c r="D23" s="5" t="str">
        <f ca="1">IFERROR(__xludf.DUMMYFUNCTION("""COMPUTED_VALUE"""),"CA")</f>
        <v>CA</v>
      </c>
      <c r="E23" s="5">
        <f ca="1">IFERROR(__xludf.DUMMYFUNCTION("""COMPUTED_VALUE"""),90046)</f>
        <v>90046</v>
      </c>
      <c r="F23" s="19">
        <f ca="1">IFERROR(__xludf.DUMMYFUNCTION("""COMPUTED_VALUE"""),15495)</f>
        <v>15495</v>
      </c>
      <c r="G23" s="19">
        <f ca="1">IFERROR(__xludf.DUMMYFUNCTION("""COMPUTED_VALUE"""),22000)</f>
        <v>22000</v>
      </c>
      <c r="H23" s="18">
        <f ca="1">IFERROR(__xludf.DUMMYFUNCTION("""COMPUTED_VALUE"""),45666)</f>
        <v>45666</v>
      </c>
      <c r="I23" s="5" t="str">
        <f ca="1">IFERROR(__xludf.DUMMYFUNCTION("""COMPUTED_VALUE"""),"Zillow")</f>
        <v>Zillow</v>
      </c>
      <c r="J23" s="25" t="str">
        <f ca="1">IFERROR(__xludf.DUMMYFUNCTION("""COMPUTED_VALUE"""),"https://www.zillow.com/homedetails/8405-Edwin-Dr-Los-Angeles-CA-90046/20801360_zpid/")</f>
        <v>https://www.zillow.com/homedetails/8405-Edwin-Dr-Los-Angeles-CA-90046/20801360_zpid/</v>
      </c>
      <c r="K23" s="5" t="str">
        <f ca="1">IFERROR(__xludf.DUMMYFUNCTION("""COMPUTED_VALUE"""),"Angel City Leasing, LLC")</f>
        <v>Angel City Leasing, LLC</v>
      </c>
      <c r="L23" s="5"/>
      <c r="M23" s="5"/>
      <c r="N23" s="5"/>
      <c r="O23" s="5">
        <f ca="1">IFERROR(__xludf.DUMMYFUNCTION("""COMPUTED_VALUE"""),5565040037)</f>
        <v>5565040037</v>
      </c>
      <c r="P23" s="5" t="str">
        <f ca="1">IFERROR(__xludf.DUMMYFUNCTION("""COMPUTED_VALUE"""),"(310) 908-0896")</f>
        <v>(310) 908-0896</v>
      </c>
      <c r="Q23" s="5"/>
      <c r="R23" s="5"/>
      <c r="S23" s="5"/>
      <c r="T23" s="5"/>
    </row>
    <row r="24" spans="1:20" ht="12.75">
      <c r="A24" s="24">
        <f ca="1">IFERROR(__xludf.DUMMYFUNCTION("""COMPUTED_VALUE"""),45669.1424214583)</f>
        <v>45669.142421458302</v>
      </c>
      <c r="B24" s="5" t="str">
        <f ca="1">IFERROR(__xludf.DUMMYFUNCTION("""COMPUTED_VALUE"""),"2229 Willetta St")</f>
        <v>2229 Willetta St</v>
      </c>
      <c r="C24" s="5" t="str">
        <f ca="1">IFERROR(__xludf.DUMMYFUNCTION("""COMPUTED_VALUE"""),"Los Angeles")</f>
        <v>Los Angeles</v>
      </c>
      <c r="D24" s="5" t="str">
        <f ca="1">IFERROR(__xludf.DUMMYFUNCTION("""COMPUTED_VALUE"""),"CA")</f>
        <v>CA</v>
      </c>
      <c r="E24" s="5">
        <f ca="1">IFERROR(__xludf.DUMMYFUNCTION("""COMPUTED_VALUE"""),90068)</f>
        <v>90068</v>
      </c>
      <c r="F24" s="19">
        <f ca="1">IFERROR(__xludf.DUMMYFUNCTION("""COMPUTED_VALUE"""),10500)</f>
        <v>10500</v>
      </c>
      <c r="G24" s="19">
        <f ca="1">IFERROR(__xludf.DUMMYFUNCTION("""COMPUTED_VALUE"""),16500)</f>
        <v>16500</v>
      </c>
      <c r="H24" s="18">
        <f ca="1">IFERROR(__xludf.DUMMYFUNCTION("""COMPUTED_VALUE"""),45669)</f>
        <v>45669</v>
      </c>
      <c r="I24" s="5" t="str">
        <f ca="1">IFERROR(__xludf.DUMMYFUNCTION("""COMPUTED_VALUE"""),"Zillow")</f>
        <v>Zillow</v>
      </c>
      <c r="J24" s="25" t="str">
        <f ca="1">IFERROR(__xludf.DUMMYFUNCTION("""COMPUTED_VALUE"""),"https://www.zillow.com/homedetails/2229-Willetta-St-Los-Angeles-CA-90068/20804418_zpid/")</f>
        <v>https://www.zillow.com/homedetails/2229-Willetta-St-Los-Angeles-CA-90068/20804418_zpid/</v>
      </c>
      <c r="K24" s="5" t="str">
        <f ca="1">IFERROR(__xludf.DUMMYFUNCTION("""COMPUTED_VALUE""")," Mike Equity Union")</f>
        <v xml:space="preserve"> Mike Equity Union</v>
      </c>
      <c r="L24" s="5"/>
      <c r="M24" s="5"/>
      <c r="N24" s="5"/>
      <c r="O24" s="5">
        <f ca="1">IFERROR(__xludf.DUMMYFUNCTION("""COMPUTED_VALUE"""),5576015017)</f>
        <v>5576015017</v>
      </c>
      <c r="P24" s="5" t="str">
        <f ca="1">IFERROR(__xludf.DUMMYFUNCTION("""COMPUTED_VALUE"""),"(213) 466-1186")</f>
        <v>(213) 466-1186</v>
      </c>
      <c r="Q24" s="5"/>
      <c r="R24" s="5"/>
      <c r="S24" s="5"/>
      <c r="T24" s="5"/>
    </row>
    <row r="25" spans="1:20" ht="12.75">
      <c r="A25" s="24">
        <f ca="1">IFERROR(__xludf.DUMMYFUNCTION("""COMPUTED_VALUE"""),45669.1434356944)</f>
        <v>45669.143435694401</v>
      </c>
      <c r="B25" s="5" t="str">
        <f ca="1">IFERROR(__xludf.DUMMYFUNCTION("""COMPUTED_VALUE"""),"7177 Pacific View Dr")</f>
        <v>7177 Pacific View Dr</v>
      </c>
      <c r="C25" s="5" t="str">
        <f ca="1">IFERROR(__xludf.DUMMYFUNCTION("""COMPUTED_VALUE"""),"Los Angeles")</f>
        <v>Los Angeles</v>
      </c>
      <c r="D25" s="5" t="str">
        <f ca="1">IFERROR(__xludf.DUMMYFUNCTION("""COMPUTED_VALUE"""),"CA")</f>
        <v>CA</v>
      </c>
      <c r="E25" s="5">
        <f ca="1">IFERROR(__xludf.DUMMYFUNCTION("""COMPUTED_VALUE"""),90068)</f>
        <v>90068</v>
      </c>
      <c r="F25" s="19">
        <f ca="1">IFERROR(__xludf.DUMMYFUNCTION("""COMPUTED_VALUE"""),14995)</f>
        <v>14995</v>
      </c>
      <c r="G25" s="19">
        <f ca="1">IFERROR(__xludf.DUMMYFUNCTION("""COMPUTED_VALUE"""),17500)</f>
        <v>17500</v>
      </c>
      <c r="H25" s="18">
        <f ca="1">IFERROR(__xludf.DUMMYFUNCTION("""COMPUTED_VALUE"""),45668)</f>
        <v>45668</v>
      </c>
      <c r="I25" s="5" t="str">
        <f ca="1">IFERROR(__xludf.DUMMYFUNCTION("""COMPUTED_VALUE"""),"Zillow")</f>
        <v>Zillow</v>
      </c>
      <c r="J25" s="25" t="str">
        <f ca="1">IFERROR(__xludf.DUMMYFUNCTION("""COMPUTED_VALUE"""),"https://www.zillow.com/homedetails/7177-Pacific-View-Dr-Los-Angeles-CA-90068/20045420_zpid/")</f>
        <v>https://www.zillow.com/homedetails/7177-Pacific-View-Dr-Los-Angeles-CA-90068/20045420_zpid/</v>
      </c>
      <c r="K25" s="5" t="str">
        <f ca="1">IFERROR(__xludf.DUMMYFUNCTION("""COMPUTED_VALUE"""),"Peter Cornell; The Oppenheim Group")</f>
        <v>Peter Cornell; The Oppenheim Group</v>
      </c>
      <c r="L25" s="5"/>
      <c r="M25" s="5"/>
      <c r="N25" s="5"/>
      <c r="O25" s="5">
        <f ca="1">IFERROR(__xludf.DUMMYFUNCTION("""COMPUTED_VALUE"""),2428010032)</f>
        <v>2428010032</v>
      </c>
      <c r="P25" s="5" t="str">
        <f ca="1">IFERROR(__xludf.DUMMYFUNCTION("""COMPUTED_VALUE"""),"(310) 466-3200")</f>
        <v>(310) 466-3200</v>
      </c>
      <c r="Q25" s="5"/>
      <c r="R25" s="5"/>
      <c r="S25" s="5"/>
      <c r="T25" s="5"/>
    </row>
    <row r="26" spans="1:20" ht="12.75">
      <c r="A26" s="24">
        <f ca="1">IFERROR(__xludf.DUMMYFUNCTION("""COMPUTED_VALUE"""),45669.1446370486)</f>
        <v>45669.144637048601</v>
      </c>
      <c r="B26" s="5" t="str">
        <f ca="1">IFERROR(__xludf.DUMMYFUNCTION("""COMPUTED_VALUE"""),"2309 Hollyridge Dr")</f>
        <v>2309 Hollyridge Dr</v>
      </c>
      <c r="C26" s="5" t="str">
        <f ca="1">IFERROR(__xludf.DUMMYFUNCTION("""COMPUTED_VALUE"""),"Los Angeles")</f>
        <v>Los Angeles</v>
      </c>
      <c r="D26" s="5" t="str">
        <f ca="1">IFERROR(__xludf.DUMMYFUNCTION("""COMPUTED_VALUE"""),"CA")</f>
        <v>CA</v>
      </c>
      <c r="E26" s="5">
        <f ca="1">IFERROR(__xludf.DUMMYFUNCTION("""COMPUTED_VALUE"""),90068)</f>
        <v>90068</v>
      </c>
      <c r="F26" s="19">
        <f ca="1">IFERROR(__xludf.DUMMYFUNCTION("""COMPUTED_VALUE"""),17995)</f>
        <v>17995</v>
      </c>
      <c r="G26" s="19">
        <f ca="1">IFERROR(__xludf.DUMMYFUNCTION("""COMPUTED_VALUE"""),23000)</f>
        <v>23000</v>
      </c>
      <c r="H26" s="18">
        <f ca="1">IFERROR(__xludf.DUMMYFUNCTION("""COMPUTED_VALUE"""),45667)</f>
        <v>45667</v>
      </c>
      <c r="I26" s="5" t="str">
        <f ca="1">IFERROR(__xludf.DUMMYFUNCTION("""COMPUTED_VALUE"""),"Zillow")</f>
        <v>Zillow</v>
      </c>
      <c r="J26" s="25" t="str">
        <f ca="1">IFERROR(__xludf.DUMMYFUNCTION("""COMPUTED_VALUE"""),"https://www.zillow.com/homedetails/2309-Hollyridge-Dr-Los-Angeles-CA-90068/20807768_zpid/")</f>
        <v>https://www.zillow.com/homedetails/2309-Hollyridge-Dr-Los-Angeles-CA-90068/20807768_zpid/</v>
      </c>
      <c r="K26" s="5" t="str">
        <f ca="1">IFERROR(__xludf.DUMMYFUNCTION("""COMPUTED_VALUE"""),"Sandy Shifers; Compass Beverly Hills
")</f>
        <v xml:space="preserve">Sandy Shifers; Compass Beverly Hills
</v>
      </c>
      <c r="L26" s="5"/>
      <c r="M26" s="5"/>
      <c r="N26" s="5"/>
      <c r="O26" s="5">
        <f ca="1">IFERROR(__xludf.DUMMYFUNCTION("""COMPUTED_VALUE"""),5586018041)</f>
        <v>5586018041</v>
      </c>
      <c r="P26" s="5" t="str">
        <f ca="1">IFERROR(__xludf.DUMMYFUNCTION("""COMPUTED_VALUE"""),"(626) 660-5596")</f>
        <v>(626) 660-5596</v>
      </c>
      <c r="Q26" s="5"/>
      <c r="R26" s="5"/>
      <c r="S26" s="5"/>
      <c r="T26" s="5"/>
    </row>
    <row r="27" spans="1:20" ht="12.75">
      <c r="A27" s="24">
        <f ca="1">IFERROR(__xludf.DUMMYFUNCTION("""COMPUTED_VALUE"""),45669.1470880439)</f>
        <v>45669.147088043901</v>
      </c>
      <c r="B27" s="5" t="str">
        <f ca="1">IFERROR(__xludf.DUMMYFUNCTION("""COMPUTED_VALUE"""),"1914 Laurel Canyon Blvd")</f>
        <v>1914 Laurel Canyon Blvd</v>
      </c>
      <c r="C27" s="5" t="str">
        <f ca="1">IFERROR(__xludf.DUMMYFUNCTION("""COMPUTED_VALUE"""),"Los Angeles")</f>
        <v>Los Angeles</v>
      </c>
      <c r="D27" s="5" t="str">
        <f ca="1">IFERROR(__xludf.DUMMYFUNCTION("""COMPUTED_VALUE"""),"CA")</f>
        <v>CA</v>
      </c>
      <c r="E27" s="5">
        <f ca="1">IFERROR(__xludf.DUMMYFUNCTION("""COMPUTED_VALUE"""),90046)</f>
        <v>90046</v>
      </c>
      <c r="F27" s="19">
        <f ca="1">IFERROR(__xludf.DUMMYFUNCTION("""COMPUTED_VALUE"""),33000)</f>
        <v>33000</v>
      </c>
      <c r="G27" s="19">
        <f ca="1">IFERROR(__xludf.DUMMYFUNCTION("""COMPUTED_VALUE"""),42000)</f>
        <v>42000</v>
      </c>
      <c r="H27" s="18">
        <f ca="1">IFERROR(__xludf.DUMMYFUNCTION("""COMPUTED_VALUE"""),45667)</f>
        <v>45667</v>
      </c>
      <c r="I27" s="5" t="str">
        <f ca="1">IFERROR(__xludf.DUMMYFUNCTION("""COMPUTED_VALUE"""),"Zillow")</f>
        <v>Zillow</v>
      </c>
      <c r="J27" s="25" t="str">
        <f ca="1">IFERROR(__xludf.DUMMYFUNCTION("""COMPUTED_VALUE"""),"https://www.zillow.com/homedetails/1914-Laurel-Canyon-Blvd-Los-Angeles-CA-90046/20802462_zpid/")</f>
        <v>https://www.zillow.com/homedetails/1914-Laurel-Canyon-Blvd-Los-Angeles-CA-90046/20802462_zpid/</v>
      </c>
      <c r="K27" s="5" t="str">
        <f ca="1">IFERROR(__xludf.DUMMYFUNCTION("""COMPUTED_VALUE"""),"Soar Estates; The Agency")</f>
        <v>Soar Estates; The Agency</v>
      </c>
      <c r="L27" s="5"/>
      <c r="M27" s="5"/>
      <c r="N27" s="5"/>
      <c r="O27" s="5">
        <f ca="1">IFERROR(__xludf.DUMMYFUNCTION("""COMPUTED_VALUE"""),5569036003)</f>
        <v>5569036003</v>
      </c>
      <c r="P27" s="5" t="str">
        <f ca="1">IFERROR(__xludf.DUMMYFUNCTION("""COMPUTED_VALUE"""),"(626) 720-4680")</f>
        <v>(626) 720-4680</v>
      </c>
      <c r="Q27" s="5"/>
      <c r="R27" s="5"/>
      <c r="S27" s="5"/>
      <c r="T27" s="5"/>
    </row>
    <row r="28" spans="1:20" ht="12.75">
      <c r="A28" s="24">
        <f ca="1">IFERROR(__xludf.DUMMYFUNCTION("""COMPUTED_VALUE"""),45669.1481650115)</f>
        <v>45669.148165011502</v>
      </c>
      <c r="B28" s="5" t="str">
        <f ca="1">IFERROR(__xludf.DUMMYFUNCTION("""COMPUTED_VALUE"""),"1456 Sunset Plaza Dr")</f>
        <v>1456 Sunset Plaza Dr</v>
      </c>
      <c r="C28" s="5" t="str">
        <f ca="1">IFERROR(__xludf.DUMMYFUNCTION("""COMPUTED_VALUE"""),"Los Angeles")</f>
        <v>Los Angeles</v>
      </c>
      <c r="D28" s="5" t="str">
        <f ca="1">IFERROR(__xludf.DUMMYFUNCTION("""COMPUTED_VALUE"""),"CA")</f>
        <v>CA</v>
      </c>
      <c r="E28" s="5">
        <f ca="1">IFERROR(__xludf.DUMMYFUNCTION("""COMPUTED_VALUE"""),90069)</f>
        <v>90069</v>
      </c>
      <c r="F28" s="19">
        <f ca="1">IFERROR(__xludf.DUMMYFUNCTION("""COMPUTED_VALUE"""),19000)</f>
        <v>19000</v>
      </c>
      <c r="G28" s="19">
        <f ca="1">IFERROR(__xludf.DUMMYFUNCTION("""COMPUTED_VALUE"""),25000)</f>
        <v>25000</v>
      </c>
      <c r="H28" s="18">
        <f ca="1">IFERROR(__xludf.DUMMYFUNCTION("""COMPUTED_VALUE"""),45668)</f>
        <v>45668</v>
      </c>
      <c r="I28" s="5" t="str">
        <f ca="1">IFERROR(__xludf.DUMMYFUNCTION("""COMPUTED_VALUE"""),"Zillow")</f>
        <v>Zillow</v>
      </c>
      <c r="J28" s="25" t="str">
        <f ca="1">IFERROR(__xludf.DUMMYFUNCTION("""COMPUTED_VALUE"""),"https://www.zillow.com/homedetails/1456-Sunset-Plaza-Dr-Los-Angeles-CA-90069/20799013_zpid/")</f>
        <v>https://www.zillow.com/homedetails/1456-Sunset-Plaza-Dr-Los-Angeles-CA-90069/20799013_zpid/</v>
      </c>
      <c r="K28" s="5" t="str">
        <f ca="1">IFERROR(__xludf.DUMMYFUNCTION("""COMPUTED_VALUE"""),"Billy Rose")</f>
        <v>Billy Rose</v>
      </c>
      <c r="L28" s="5"/>
      <c r="M28" s="5"/>
      <c r="N28" s="5"/>
      <c r="O28" s="5">
        <f ca="1">IFERROR(__xludf.DUMMYFUNCTION("""COMPUTED_VALUE"""),5559013002)</f>
        <v>5559013002</v>
      </c>
      <c r="P28" s="5"/>
      <c r="Q28" s="5"/>
      <c r="R28" s="5"/>
      <c r="S28" s="5"/>
      <c r="T28" s="5"/>
    </row>
    <row r="29" spans="1:20" ht="12.75">
      <c r="A29" s="24">
        <f ca="1">IFERROR(__xludf.DUMMYFUNCTION("""COMPUTED_VALUE"""),45669.1493918402)</f>
        <v>45669.149391840197</v>
      </c>
      <c r="B29" s="5" t="str">
        <f ca="1">IFERROR(__xludf.DUMMYFUNCTION("""COMPUTED_VALUE"""),"1470 Blue Jay Way")</f>
        <v>1470 Blue Jay Way</v>
      </c>
      <c r="C29" s="5" t="str">
        <f ca="1">IFERROR(__xludf.DUMMYFUNCTION("""COMPUTED_VALUE"""),"Los Angeles")</f>
        <v>Los Angeles</v>
      </c>
      <c r="D29" s="5" t="str">
        <f ca="1">IFERROR(__xludf.DUMMYFUNCTION("""COMPUTED_VALUE"""),"CA")</f>
        <v>CA</v>
      </c>
      <c r="E29" s="5">
        <f ca="1">IFERROR(__xludf.DUMMYFUNCTION("""COMPUTED_VALUE"""),90069)</f>
        <v>90069</v>
      </c>
      <c r="F29" s="19">
        <f ca="1">IFERROR(__xludf.DUMMYFUNCTION("""COMPUTED_VALUE"""),21000)</f>
        <v>21000</v>
      </c>
      <c r="G29" s="19">
        <f ca="1">IFERROR(__xludf.DUMMYFUNCTION("""COMPUTED_VALUE"""),28500)</f>
        <v>28500</v>
      </c>
      <c r="H29" s="18">
        <f ca="1">IFERROR(__xludf.DUMMYFUNCTION("""COMPUTED_VALUE"""),45665)</f>
        <v>45665</v>
      </c>
      <c r="I29" s="5" t="str">
        <f ca="1">IFERROR(__xludf.DUMMYFUNCTION("""COMPUTED_VALUE"""),"Zillow")</f>
        <v>Zillow</v>
      </c>
      <c r="J29" s="25" t="str">
        <f ca="1">IFERROR(__xludf.DUMMYFUNCTION("""COMPUTED_VALUE"""),"https://www.zillow.com/homedetails/1470-Blue-Jay-Way-Los-Angeles-CA-90069/20799733_zpid/")</f>
        <v>https://www.zillow.com/homedetails/1470-Blue-Jay-Way-Los-Angeles-CA-90069/20799733_zpid/</v>
      </c>
      <c r="K29" s="5" t="str">
        <f ca="1">IFERROR(__xludf.DUMMYFUNCTION("""COMPUTED_VALUE"""),"Dustin Nicholas - Nicholas Property Group Inc.")</f>
        <v>Dustin Nicholas - Nicholas Property Group Inc.</v>
      </c>
      <c r="L29" s="5"/>
      <c r="M29" s="5"/>
      <c r="N29" s="5"/>
      <c r="O29" s="5">
        <f ca="1">IFERROR(__xludf.DUMMYFUNCTION("""COMPUTED_VALUE"""),5561010016)</f>
        <v>5561010016</v>
      </c>
      <c r="P29" s="5" t="str">
        <f ca="1">IFERROR(__xludf.DUMMYFUNCTION("""COMPUTED_VALUE"""),"(310) 770-1847")</f>
        <v>(310) 770-1847</v>
      </c>
      <c r="Q29" s="5"/>
      <c r="R29" s="5"/>
      <c r="S29" s="5"/>
      <c r="T29" s="5"/>
    </row>
    <row r="30" spans="1:20" ht="12.75">
      <c r="A30" s="24">
        <f ca="1">IFERROR(__xludf.DUMMYFUNCTION("""COMPUTED_VALUE"""),45669.150517905)</f>
        <v>45669.150517905</v>
      </c>
      <c r="B30" s="5" t="str">
        <f ca="1">IFERROR(__xludf.DUMMYFUNCTION("""COMPUTED_VALUE"""),"9289 Swallow Dr")</f>
        <v>9289 Swallow Dr</v>
      </c>
      <c r="C30" s="5" t="str">
        <f ca="1">IFERROR(__xludf.DUMMYFUNCTION("""COMPUTED_VALUE"""),"Los Angeles")</f>
        <v>Los Angeles</v>
      </c>
      <c r="D30" s="5" t="str">
        <f ca="1">IFERROR(__xludf.DUMMYFUNCTION("""COMPUTED_VALUE"""),"CA")</f>
        <v>CA</v>
      </c>
      <c r="E30" s="5">
        <f ca="1">IFERROR(__xludf.DUMMYFUNCTION("""COMPUTED_VALUE"""),90069)</f>
        <v>90069</v>
      </c>
      <c r="F30" s="19">
        <f ca="1">IFERROR(__xludf.DUMMYFUNCTION("""COMPUTED_VALUE"""),20000)</f>
        <v>20000</v>
      </c>
      <c r="G30" s="19">
        <f ca="1">IFERROR(__xludf.DUMMYFUNCTION("""COMPUTED_VALUE"""),23995)</f>
        <v>23995</v>
      </c>
      <c r="H30" s="18">
        <f ca="1">IFERROR(__xludf.DUMMYFUNCTION("""COMPUTED_VALUE"""),45669)</f>
        <v>45669</v>
      </c>
      <c r="I30" s="5" t="str">
        <f ca="1">IFERROR(__xludf.DUMMYFUNCTION("""COMPUTED_VALUE"""),"Zillow")</f>
        <v>Zillow</v>
      </c>
      <c r="J30" s="25" t="str">
        <f ca="1">IFERROR(__xludf.DUMMYFUNCTION("""COMPUTED_VALUE"""),"https://www.zillow.com/homedetails/9289-Swallow-Dr-Los-Angeles-CA-90069/20799708_zpid/")</f>
        <v>https://www.zillow.com/homedetails/9289-Swallow-Dr-Los-Angeles-CA-90069/20799708_zpid/</v>
      </c>
      <c r="K30" s="5" t="str">
        <f ca="1">IFERROR(__xludf.DUMMYFUNCTION("""COMPUTED_VALUE"""),"Patrick Michael; LA Estate Brokerage")</f>
        <v>Patrick Michael; LA Estate Brokerage</v>
      </c>
      <c r="L30" s="5"/>
      <c r="M30" s="5"/>
      <c r="N30" s="5"/>
      <c r="O30" s="5">
        <f ca="1">IFERROR(__xludf.DUMMYFUNCTION("""COMPUTED_VALUE"""),5561009027)</f>
        <v>5561009027</v>
      </c>
      <c r="P30" s="5" t="str">
        <f ca="1">IFERROR(__xludf.DUMMYFUNCTION("""COMPUTED_VALUE"""),"(310) 776-5170")</f>
        <v>(310) 776-5170</v>
      </c>
      <c r="Q30" s="5"/>
      <c r="R30" s="5"/>
      <c r="S30" s="5"/>
      <c r="T30" s="5"/>
    </row>
    <row r="31" spans="1:20" ht="12.75">
      <c r="A31" s="24">
        <f ca="1">IFERROR(__xludf.DUMMYFUNCTION("""COMPUTED_VALUE"""),45669.1519085763)</f>
        <v>45669.151908576299</v>
      </c>
      <c r="B31" s="5" t="str">
        <f ca="1">IFERROR(__xludf.DUMMYFUNCTION("""COMPUTED_VALUE"""),"3663 Edenhurst Dr")</f>
        <v>3663 Edenhurst Dr</v>
      </c>
      <c r="C31" s="5" t="str">
        <f ca="1">IFERROR(__xludf.DUMMYFUNCTION("""COMPUTED_VALUE"""),"Los Angeles")</f>
        <v>Los Angeles</v>
      </c>
      <c r="D31" s="5" t="str">
        <f ca="1">IFERROR(__xludf.DUMMYFUNCTION("""COMPUTED_VALUE"""),"CA")</f>
        <v>CA</v>
      </c>
      <c r="E31" s="5">
        <f ca="1">IFERROR(__xludf.DUMMYFUNCTION("""COMPUTED_VALUE"""),90039)</f>
        <v>90039</v>
      </c>
      <c r="F31" s="19">
        <f ca="1">IFERROR(__xludf.DUMMYFUNCTION("""COMPUTED_VALUE"""),8000)</f>
        <v>8000</v>
      </c>
      <c r="G31" s="19">
        <f ca="1">IFERROR(__xludf.DUMMYFUNCTION("""COMPUTED_VALUE"""),9000)</f>
        <v>9000</v>
      </c>
      <c r="H31" s="18">
        <f ca="1">IFERROR(__xludf.DUMMYFUNCTION("""COMPUTED_VALUE"""),45666)</f>
        <v>45666</v>
      </c>
      <c r="I31" s="5" t="str">
        <f ca="1">IFERROR(__xludf.DUMMYFUNCTION("""COMPUTED_VALUE"""),"Zillow")</f>
        <v>Zillow</v>
      </c>
      <c r="J31" s="25" t="str">
        <f ca="1">IFERROR(__xludf.DUMMYFUNCTION("""COMPUTED_VALUE"""),"https://www.zillow.com/homedetails/3663-Edenhurst-Ave-Los-Angeles-CA-90039/20749912_zpid/")</f>
        <v>https://www.zillow.com/homedetails/3663-Edenhurst-Ave-Los-Angeles-CA-90039/20749912_zpid/</v>
      </c>
      <c r="K31" s="5"/>
      <c r="L31" s="5" t="str">
        <f ca="1">IFERROR(__xludf.DUMMYFUNCTION("""COMPUTED_VALUE"""),"Suzie")</f>
        <v>Suzie</v>
      </c>
      <c r="M31" s="5"/>
      <c r="N31" s="5"/>
      <c r="O31" s="5">
        <f ca="1">IFERROR(__xludf.DUMMYFUNCTION("""COMPUTED_VALUE"""),5435014021)</f>
        <v>5435014021</v>
      </c>
      <c r="P31" s="5"/>
      <c r="Q31" s="5"/>
      <c r="R31" s="5" t="str">
        <f ca="1">IFERROR(__xludf.DUMMYFUNCTION("""COMPUTED_VALUE"""),"(310) 909-3276")</f>
        <v>(310) 909-3276</v>
      </c>
      <c r="S31" s="5"/>
      <c r="T31" s="5"/>
    </row>
    <row r="32" spans="1:20" ht="12.75">
      <c r="A32" s="24">
        <f ca="1">IFERROR(__xludf.DUMMYFUNCTION("""COMPUTED_VALUE"""),45669.1530641087)</f>
        <v>45669.153064108701</v>
      </c>
      <c r="B32" s="5" t="str">
        <f ca="1">IFERROR(__xludf.DUMMYFUNCTION("""COMPUTED_VALUE"""),"2260 Maravilla Dr")</f>
        <v>2260 Maravilla Dr</v>
      </c>
      <c r="C32" s="5" t="str">
        <f ca="1">IFERROR(__xludf.DUMMYFUNCTION("""COMPUTED_VALUE"""),"Los Angeles")</f>
        <v>Los Angeles</v>
      </c>
      <c r="D32" s="5" t="str">
        <f ca="1">IFERROR(__xludf.DUMMYFUNCTION("""COMPUTED_VALUE"""),"CA")</f>
        <v>CA</v>
      </c>
      <c r="E32" s="5">
        <f ca="1">IFERROR(__xludf.DUMMYFUNCTION("""COMPUTED_VALUE"""),90068)</f>
        <v>90068</v>
      </c>
      <c r="F32" s="19">
        <f ca="1">IFERROR(__xludf.DUMMYFUNCTION("""COMPUTED_VALUE"""),29900)</f>
        <v>29900</v>
      </c>
      <c r="G32" s="19">
        <f ca="1">IFERROR(__xludf.DUMMYFUNCTION("""COMPUTED_VALUE"""),34999)</f>
        <v>34999</v>
      </c>
      <c r="H32" s="18">
        <f ca="1">IFERROR(__xludf.DUMMYFUNCTION("""COMPUTED_VALUE"""),45666)</f>
        <v>45666</v>
      </c>
      <c r="I32" s="5" t="str">
        <f ca="1">IFERROR(__xludf.DUMMYFUNCTION("""COMPUTED_VALUE"""),"Zillow")</f>
        <v>Zillow</v>
      </c>
      <c r="J32" s="25" t="str">
        <f ca="1">IFERROR(__xludf.DUMMYFUNCTION("""COMPUTED_VALUE"""),"https://www.zillow.com/homedetails/2260-Maravilla-Dr-Los-Angeles-CA-90068/20793606_zpid/")</f>
        <v>https://www.zillow.com/homedetails/2260-Maravilla-Dr-Los-Angeles-CA-90068/20793606_zpid/</v>
      </c>
      <c r="K32" s="5"/>
      <c r="L32" s="5" t="str">
        <f ca="1">IFERROR(__xludf.DUMMYFUNCTION("""COMPUTED_VALUE"""),"peri tubul")</f>
        <v>peri tubul</v>
      </c>
      <c r="M32" s="5"/>
      <c r="N32" s="5"/>
      <c r="O32" s="5">
        <f ca="1">IFERROR(__xludf.DUMMYFUNCTION("""COMPUTED_VALUE"""),5549013020)</f>
        <v>5549013020</v>
      </c>
      <c r="P32" s="5"/>
      <c r="Q32" s="5"/>
      <c r="R32" s="5" t="str">
        <f ca="1">IFERROR(__xludf.DUMMYFUNCTION("""COMPUTED_VALUE"""),"(702) 502-3223")</f>
        <v>(702) 502-3223</v>
      </c>
      <c r="S32" s="5"/>
      <c r="T32" s="5"/>
    </row>
    <row r="33" spans="1:20" ht="12.75">
      <c r="A33" s="24">
        <f ca="1">IFERROR(__xludf.DUMMYFUNCTION("""COMPUTED_VALUE"""),45669.1544910763)</f>
        <v>45669.154491076297</v>
      </c>
      <c r="B33" s="5" t="str">
        <f ca="1">IFERROR(__xludf.DUMMYFUNCTION("""COMPUTED_VALUE"""),"1610 S Hayworth Ave")</f>
        <v>1610 S Hayworth Ave</v>
      </c>
      <c r="C33" s="5" t="str">
        <f ca="1">IFERROR(__xludf.DUMMYFUNCTION("""COMPUTED_VALUE"""),"Los Angeles")</f>
        <v>Los Angeles</v>
      </c>
      <c r="D33" s="5" t="str">
        <f ca="1">IFERROR(__xludf.DUMMYFUNCTION("""COMPUTED_VALUE"""),"CA")</f>
        <v>CA</v>
      </c>
      <c r="E33" s="5">
        <f ca="1">IFERROR(__xludf.DUMMYFUNCTION("""COMPUTED_VALUE"""),90035)</f>
        <v>90035</v>
      </c>
      <c r="F33" s="19">
        <f ca="1">IFERROR(__xludf.DUMMYFUNCTION("""COMPUTED_VALUE"""),6995)</f>
        <v>6995</v>
      </c>
      <c r="G33" s="19">
        <f ca="1">IFERROR(__xludf.DUMMYFUNCTION("""COMPUTED_VALUE"""),8790)</f>
        <v>8790</v>
      </c>
      <c r="H33" s="18">
        <f ca="1">IFERROR(__xludf.DUMMYFUNCTION("""COMPUTED_VALUE"""),45667)</f>
        <v>45667</v>
      </c>
      <c r="I33" s="5" t="str">
        <f ca="1">IFERROR(__xludf.DUMMYFUNCTION("""COMPUTED_VALUE"""),"Zillow")</f>
        <v>Zillow</v>
      </c>
      <c r="J33" s="25" t="str">
        <f ca="1">IFERROR(__xludf.DUMMYFUNCTION("""COMPUTED_VALUE"""),"https://www.zillow.com/homedetails/1610-S-Hayworth-Ave-Los-Angeles-CA-90035/20599960_zpid/")</f>
        <v>https://www.zillow.com/homedetails/1610-S-Hayworth-Ave-Los-Angeles-CA-90035/20599960_zpid/</v>
      </c>
      <c r="K33" s="5" t="str">
        <f ca="1">IFERROR(__xludf.DUMMYFUNCTION("""COMPUTED_VALUE"""),"Rachel")</f>
        <v>Rachel</v>
      </c>
      <c r="L33" s="5"/>
      <c r="M33" s="5"/>
      <c r="N33" s="5"/>
      <c r="O33" s="5">
        <f ca="1">IFERROR(__xludf.DUMMYFUNCTION("""COMPUTED_VALUE"""),5068020027)</f>
        <v>5068020027</v>
      </c>
      <c r="P33" s="5" t="str">
        <f ca="1">IFERROR(__xludf.DUMMYFUNCTION("""COMPUTED_VALUE"""),"(213) 816-4915")</f>
        <v>(213) 816-4915</v>
      </c>
      <c r="Q33" s="5"/>
      <c r="R33" s="5"/>
      <c r="S33" s="5"/>
      <c r="T33" s="5"/>
    </row>
    <row r="34" spans="1:20" ht="12.75">
      <c r="A34" s="24">
        <f ca="1">IFERROR(__xludf.DUMMYFUNCTION("""COMPUTED_VALUE"""),45669.1571016319)</f>
        <v>45669.157101631899</v>
      </c>
      <c r="B34" s="5" t="str">
        <f ca="1">IFERROR(__xludf.DUMMYFUNCTION("""COMPUTED_VALUE"""),"8401 Wyndham Rd")</f>
        <v>8401 Wyndham Rd</v>
      </c>
      <c r="C34" s="5" t="str">
        <f ca="1">IFERROR(__xludf.DUMMYFUNCTION("""COMPUTED_VALUE"""),"Los Angeles")</f>
        <v>Los Angeles</v>
      </c>
      <c r="D34" s="5" t="str">
        <f ca="1">IFERROR(__xludf.DUMMYFUNCTION("""COMPUTED_VALUE"""),"CA")</f>
        <v>CA</v>
      </c>
      <c r="E34" s="5">
        <f ca="1">IFERROR(__xludf.DUMMYFUNCTION("""COMPUTED_VALUE"""),90046)</f>
        <v>90046</v>
      </c>
      <c r="F34" s="19">
        <f ca="1">IFERROR(__xludf.DUMMYFUNCTION("""COMPUTED_VALUE"""),19950)</f>
        <v>19950</v>
      </c>
      <c r="G34" s="19">
        <f ca="1">IFERROR(__xludf.DUMMYFUNCTION("""COMPUTED_VALUE"""),23500)</f>
        <v>23500</v>
      </c>
      <c r="H34" s="18">
        <f ca="1">IFERROR(__xludf.DUMMYFUNCTION("""COMPUTED_VALUE"""),45667)</f>
        <v>45667</v>
      </c>
      <c r="I34" s="5" t="str">
        <f ca="1">IFERROR(__xludf.DUMMYFUNCTION("""COMPUTED_VALUE"""),"Zillow")</f>
        <v>Zillow</v>
      </c>
      <c r="J34" s="25" t="str">
        <f ca="1">IFERROR(__xludf.DUMMYFUNCTION("""COMPUTED_VALUE"""),"https://www.zillow.com/homedetails/8401-Wyndham-Rd-Los-Angeles-CA-90046/20801560_zpid/")</f>
        <v>https://www.zillow.com/homedetails/8401-Wyndham-Rd-Los-Angeles-CA-90046/20801560_zpid/</v>
      </c>
      <c r="K34" s="5" t="str">
        <f ca="1">IFERROR(__xludf.DUMMYFUNCTION("""COMPUTED_VALUE"""),"Noelle")</f>
        <v>Noelle</v>
      </c>
      <c r="L34" s="5"/>
      <c r="M34" s="5"/>
      <c r="N34" s="5"/>
      <c r="O34" s="5">
        <f ca="1">IFERROR(__xludf.DUMMYFUNCTION("""COMPUTED_VALUE"""),5567007001)</f>
        <v>5567007001</v>
      </c>
      <c r="P34" s="5" t="str">
        <f ca="1">IFERROR(__xludf.DUMMYFUNCTION("""COMPUTED_VALUE"""),"(714) 822-0661")</f>
        <v>(714) 822-0661</v>
      </c>
      <c r="Q34" s="5"/>
      <c r="R34" s="5"/>
      <c r="S34" s="5"/>
      <c r="T34" s="5"/>
    </row>
    <row r="35" spans="1:20" ht="12.75">
      <c r="A35" s="24">
        <f ca="1">IFERROR(__xludf.DUMMYFUNCTION("""COMPUTED_VALUE"""),45669.1593557754)</f>
        <v>45669.159355775402</v>
      </c>
      <c r="B35" s="5" t="str">
        <f ca="1">IFERROR(__xludf.DUMMYFUNCTION("""COMPUTED_VALUE"""),"8400 Grand View Dr")</f>
        <v>8400 Grand View Dr</v>
      </c>
      <c r="C35" s="5" t="str">
        <f ca="1">IFERROR(__xludf.DUMMYFUNCTION("""COMPUTED_VALUE"""),"Los Angeles")</f>
        <v>Los Angeles</v>
      </c>
      <c r="D35" s="5" t="str">
        <f ca="1">IFERROR(__xludf.DUMMYFUNCTION("""COMPUTED_VALUE"""),"CA")</f>
        <v>CA</v>
      </c>
      <c r="E35" s="5">
        <f ca="1">IFERROR(__xludf.DUMMYFUNCTION("""COMPUTED_VALUE"""),90046)</f>
        <v>90046</v>
      </c>
      <c r="F35" s="19">
        <f ca="1">IFERROR(__xludf.DUMMYFUNCTION("""COMPUTED_VALUE"""),24985)</f>
        <v>24985</v>
      </c>
      <c r="G35" s="19">
        <f ca="1">IFERROR(__xludf.DUMMYFUNCTION("""COMPUTED_VALUE"""),29995)</f>
        <v>29995</v>
      </c>
      <c r="H35" s="18">
        <f ca="1">IFERROR(__xludf.DUMMYFUNCTION("""COMPUTED_VALUE"""),45666)</f>
        <v>45666</v>
      </c>
      <c r="I35" s="5" t="str">
        <f ca="1">IFERROR(__xludf.DUMMYFUNCTION("""COMPUTED_VALUE"""),"Zillow")</f>
        <v>Zillow</v>
      </c>
      <c r="J35" s="25" t="str">
        <f ca="1">IFERROR(__xludf.DUMMYFUNCTION("""COMPUTED_VALUE"""),"https://www.zillow.com/homedetails/8400-Grand-View-Dr-Los-Angeles-CA-90046/20797928_zpid/")</f>
        <v>https://www.zillow.com/homedetails/8400-Grand-View-Dr-Los-Angeles-CA-90046/20797928_zpid/</v>
      </c>
      <c r="K35" s="5" t="str">
        <f ca="1">IFERROR(__xludf.DUMMYFUNCTION("""COMPUTED_VALUE"""),"Tyler Buck")</f>
        <v>Tyler Buck</v>
      </c>
      <c r="L35" s="5"/>
      <c r="M35" s="5"/>
      <c r="N35" s="5"/>
      <c r="O35" s="5">
        <f ca="1">IFERROR(__xludf.DUMMYFUNCTION("""COMPUTED_VALUE"""),5556021011)</f>
        <v>5556021011</v>
      </c>
      <c r="P35" s="5" t="str">
        <f ca="1">IFERROR(__xludf.DUMMYFUNCTION("""COMPUTED_VALUE"""),"(310) 735-5458")</f>
        <v>(310) 735-5458</v>
      </c>
      <c r="Q35" s="5"/>
      <c r="R35" s="5"/>
      <c r="S35" s="5"/>
      <c r="T35" s="5"/>
    </row>
    <row r="36" spans="1:20" ht="12.75">
      <c r="A36" s="24">
        <f ca="1">IFERROR(__xludf.DUMMYFUNCTION("""COMPUTED_VALUE"""),45669.1605224421)</f>
        <v>45669.1605224421</v>
      </c>
      <c r="B36" s="5" t="str">
        <f ca="1">IFERROR(__xludf.DUMMYFUNCTION("""COMPUTED_VALUE"""),"1780 S Garth Ave")</f>
        <v>1780 S Garth Ave</v>
      </c>
      <c r="C36" s="5" t="str">
        <f ca="1">IFERROR(__xludf.DUMMYFUNCTION("""COMPUTED_VALUE"""),"Los Angeles")</f>
        <v>Los Angeles</v>
      </c>
      <c r="D36" s="5" t="str">
        <f ca="1">IFERROR(__xludf.DUMMYFUNCTION("""COMPUTED_VALUE"""),"CA ")</f>
        <v xml:space="preserve">CA </v>
      </c>
      <c r="E36" s="5">
        <f ca="1">IFERROR(__xludf.DUMMYFUNCTION("""COMPUTED_VALUE"""),90035)</f>
        <v>90035</v>
      </c>
      <c r="F36" s="19">
        <f ca="1">IFERROR(__xludf.DUMMYFUNCTION("""COMPUTED_VALUE"""),6000)</f>
        <v>6000</v>
      </c>
      <c r="G36" s="19">
        <f ca="1">IFERROR(__xludf.DUMMYFUNCTION("""COMPUTED_VALUE"""),7000)</f>
        <v>7000</v>
      </c>
      <c r="H36" s="18">
        <f ca="1">IFERROR(__xludf.DUMMYFUNCTION("""COMPUTED_VALUE"""),45667)</f>
        <v>45667</v>
      </c>
      <c r="I36" s="5" t="str">
        <f ca="1">IFERROR(__xludf.DUMMYFUNCTION("""COMPUTED_VALUE"""),"Zillow")</f>
        <v>Zillow</v>
      </c>
      <c r="J36" s="25" t="str">
        <f ca="1">IFERROR(__xludf.DUMMYFUNCTION("""COMPUTED_VALUE"""),"https://www.zillow.com/homedetails/1780-S-Garth-Ave-Los-Angeles-CA-90035/20492198_zpid/")</f>
        <v>https://www.zillow.com/homedetails/1780-S-Garth-Ave-Los-Angeles-CA-90035/20492198_zpid/</v>
      </c>
      <c r="K36" s="5" t="str">
        <f ca="1">IFERROR(__xludf.DUMMYFUNCTION("""COMPUTED_VALUE"""),"Cliff Uzan; Uzan Realty")</f>
        <v>Cliff Uzan; Uzan Realty</v>
      </c>
      <c r="L36" s="5"/>
      <c r="M36" s="5"/>
      <c r="N36" s="5"/>
      <c r="O36" s="5">
        <f ca="1">IFERROR(__xludf.DUMMYFUNCTION("""COMPUTED_VALUE"""),4303027022)</f>
        <v>4303027022</v>
      </c>
      <c r="P36" s="5" t="str">
        <f ca="1">IFERROR(__xludf.DUMMYFUNCTION("""COMPUTED_VALUE"""),"(310) 704-5653")</f>
        <v>(310) 704-5653</v>
      </c>
      <c r="Q36" s="5"/>
      <c r="R36" s="5"/>
      <c r="S36" s="5"/>
      <c r="T36" s="5"/>
    </row>
    <row r="37" spans="1:20" ht="12.75">
      <c r="A37" s="24">
        <f ca="1">IFERROR(__xludf.DUMMYFUNCTION("""COMPUTED_VALUE"""),45669.162180949)</f>
        <v>45669.162180949003</v>
      </c>
      <c r="B37" s="5" t="str">
        <f ca="1">IFERROR(__xludf.DUMMYFUNCTION("""COMPUTED_VALUE"""),"7612 Willow Glen Rd")</f>
        <v>7612 Willow Glen Rd</v>
      </c>
      <c r="C37" s="5" t="str">
        <f ca="1">IFERROR(__xludf.DUMMYFUNCTION("""COMPUTED_VALUE"""),"Los Angeles")</f>
        <v>Los Angeles</v>
      </c>
      <c r="D37" s="5" t="str">
        <f ca="1">IFERROR(__xludf.DUMMYFUNCTION("""COMPUTED_VALUE"""),"CA")</f>
        <v>CA</v>
      </c>
      <c r="E37" s="5">
        <f ca="1">IFERROR(__xludf.DUMMYFUNCTION("""COMPUTED_VALUE"""),90046)</f>
        <v>90046</v>
      </c>
      <c r="F37" s="19">
        <f ca="1">IFERROR(__xludf.DUMMYFUNCTION("""COMPUTED_VALUE"""),19485)</f>
        <v>19485</v>
      </c>
      <c r="G37" s="19">
        <f ca="1">IFERROR(__xludf.DUMMYFUNCTION("""COMPUTED_VALUE"""),25495)</f>
        <v>25495</v>
      </c>
      <c r="H37" s="18">
        <f ca="1">IFERROR(__xludf.DUMMYFUNCTION("""COMPUTED_VALUE"""),45666)</f>
        <v>45666</v>
      </c>
      <c r="I37" s="5" t="str">
        <f ca="1">IFERROR(__xludf.DUMMYFUNCTION("""COMPUTED_VALUE"""),"Zillow")</f>
        <v>Zillow</v>
      </c>
      <c r="J37" s="25" t="str">
        <f ca="1">IFERROR(__xludf.DUMMYFUNCTION("""COMPUTED_VALUE"""),"https://www.zillow.com/homedetails/7612-Willow-Glen-Rd-Los-Angeles-CA-90046/20801864_zpid/")</f>
        <v>https://www.zillow.com/homedetails/7612-Willow-Glen-Rd-Los-Angeles-CA-90046/20801864_zpid/</v>
      </c>
      <c r="K37" s="5"/>
      <c r="L37" s="5"/>
      <c r="M37" s="5"/>
      <c r="N37" s="5"/>
      <c r="O37" s="5">
        <f ca="1">IFERROR(__xludf.DUMMYFUNCTION("""COMPUTED_VALUE"""),5569004010)</f>
        <v>5569004010</v>
      </c>
      <c r="P37" s="5"/>
      <c r="Q37" s="5"/>
      <c r="R37" s="5"/>
      <c r="S37" s="5"/>
      <c r="T37" s="5"/>
    </row>
    <row r="38" spans="1:20" ht="12.75">
      <c r="A38" s="24">
        <f ca="1">IFERROR(__xludf.DUMMYFUNCTION("""COMPUTED_VALUE"""),45669.1632686921)</f>
        <v>45669.1632686921</v>
      </c>
      <c r="B38" s="5" t="str">
        <f ca="1">IFERROR(__xludf.DUMMYFUNCTION("""COMPUTED_VALUE"""),"2379 Venus Dr")</f>
        <v>2379 Venus Dr</v>
      </c>
      <c r="C38" s="5" t="str">
        <f ca="1">IFERROR(__xludf.DUMMYFUNCTION("""COMPUTED_VALUE"""),"Los Angeles")</f>
        <v>Los Angeles</v>
      </c>
      <c r="D38" s="5" t="str">
        <f ca="1">IFERROR(__xludf.DUMMYFUNCTION("""COMPUTED_VALUE"""),"CA")</f>
        <v>CA</v>
      </c>
      <c r="E38" s="5">
        <f ca="1">IFERROR(__xludf.DUMMYFUNCTION("""COMPUTED_VALUE"""),90046)</f>
        <v>90046</v>
      </c>
      <c r="F38" s="19">
        <f ca="1">IFERROR(__xludf.DUMMYFUNCTION("""COMPUTED_VALUE"""),30000)</f>
        <v>30000</v>
      </c>
      <c r="G38" s="19">
        <f ca="1">IFERROR(__xludf.DUMMYFUNCTION("""COMPUTED_VALUE"""),38000)</f>
        <v>38000</v>
      </c>
      <c r="H38" s="18">
        <f ca="1">IFERROR(__xludf.DUMMYFUNCTION("""COMPUTED_VALUE"""),45668)</f>
        <v>45668</v>
      </c>
      <c r="I38" s="5" t="str">
        <f ca="1">IFERROR(__xludf.DUMMYFUNCTION("""COMPUTED_VALUE"""),"Zillow")</f>
        <v>Zillow</v>
      </c>
      <c r="J38" s="25" t="str">
        <f ca="1">IFERROR(__xludf.DUMMYFUNCTION("""COMPUTED_VALUE"""),"https://www.zillow.com/homedetails/2379-Venus-Dr-Los-Angeles-CA-90046/20802341_zpid/")</f>
        <v>https://www.zillow.com/homedetails/2379-Venus-Dr-Los-Angeles-CA-90046/20802341_zpid/</v>
      </c>
      <c r="K38" s="5"/>
      <c r="L38" s="5" t="str">
        <f ca="1">IFERROR(__xludf.DUMMYFUNCTION("""COMPUTED_VALUE"""),"George Papanikolas")</f>
        <v>George Papanikolas</v>
      </c>
      <c r="M38" s="5"/>
      <c r="N38" s="5"/>
      <c r="O38" s="5">
        <f ca="1">IFERROR(__xludf.DUMMYFUNCTION("""COMPUTED_VALUE"""),5569028032)</f>
        <v>5569028032</v>
      </c>
      <c r="P38" s="5"/>
      <c r="Q38" s="5"/>
      <c r="R38" s="5" t="str">
        <f ca="1">IFERROR(__xludf.DUMMYFUNCTION("""COMPUTED_VALUE"""),"(323) 547-2347")</f>
        <v>(323) 547-2347</v>
      </c>
      <c r="S38" s="5"/>
      <c r="T38" s="5"/>
    </row>
    <row r="39" spans="1:20" ht="12.75">
      <c r="A39" s="24">
        <f ca="1">IFERROR(__xludf.DUMMYFUNCTION("""COMPUTED_VALUE"""),45669.3220250347)</f>
        <v>45669.3220250347</v>
      </c>
      <c r="B39" s="5" t="str">
        <f ca="1">IFERROR(__xludf.DUMMYFUNCTION("""COMPUTED_VALUE"""),"1235 Highland Oaks Dr")</f>
        <v>1235 Highland Oaks Dr</v>
      </c>
      <c r="C39" s="5" t="str">
        <f ca="1">IFERROR(__xludf.DUMMYFUNCTION("""COMPUTED_VALUE"""),"Arcadia")</f>
        <v>Arcadia</v>
      </c>
      <c r="D39" s="5" t="str">
        <f ca="1">IFERROR(__xludf.DUMMYFUNCTION("""COMPUTED_VALUE"""),"Ca")</f>
        <v>Ca</v>
      </c>
      <c r="E39" s="5">
        <f ca="1">IFERROR(__xludf.DUMMYFUNCTION("""COMPUTED_VALUE"""),91006)</f>
        <v>91006</v>
      </c>
      <c r="F39" s="19">
        <f ca="1">IFERROR(__xludf.DUMMYFUNCTION("""COMPUTED_VALUE"""),5495)</f>
        <v>5495</v>
      </c>
      <c r="G39" s="19">
        <f ca="1">IFERROR(__xludf.DUMMYFUNCTION("""COMPUTED_VALUE"""),6250)</f>
        <v>6250</v>
      </c>
      <c r="H39" s="18">
        <f ca="1">IFERROR(__xludf.DUMMYFUNCTION("""COMPUTED_VALUE"""),45667)</f>
        <v>45667</v>
      </c>
      <c r="I39" s="5" t="str">
        <f ca="1">IFERROR(__xludf.DUMMYFUNCTION("""COMPUTED_VALUE"""),"Zillow")</f>
        <v>Zillow</v>
      </c>
      <c r="J39" s="25" t="str">
        <f ca="1">IFERROR(__xludf.DUMMYFUNCTION("""COMPUTED_VALUE"""),"https://www.zillow.com/homedetails/1235-Highland-Oaks-Dr-Arcadia-CA-91006/20887520_zpid/?utm_campaign=iosappmessage&amp;utm_medium=referral&amp;utm_source=txtshare")</f>
        <v>https://www.zillow.com/homedetails/1235-Highland-Oaks-Dr-Arcadia-CA-91006/20887520_zpid/?utm_campaign=iosappmessage&amp;utm_medium=referral&amp;utm_source=txtshare</v>
      </c>
      <c r="K39" s="5" t="str">
        <f ca="1">IFERROR(__xludf.DUMMYFUNCTION("""COMPUTED_VALUE"""),"Sam Lee; 88capital")</f>
        <v>Sam Lee; 88capital</v>
      </c>
      <c r="L39" s="5"/>
      <c r="M39" s="5"/>
      <c r="N39" s="5" t="str">
        <f ca="1">IFERROR(__xludf.DUMMYFUNCTION("""COMPUTED_VALUE"""),"https://drive.google.com/open?id=1EhYkpGtscSVh38GQP94reTz7v9YNqzZE, https://drive.google.com/open?id=1nqeybsIvAugEySDDvtxyAzX3s-WKGAlS")</f>
        <v>https://drive.google.com/open?id=1EhYkpGtscSVh38GQP94reTz7v9YNqzZE, https://drive.google.com/open?id=1nqeybsIvAugEySDDvtxyAzX3s-WKGAlS</v>
      </c>
      <c r="O39" s="5">
        <f ca="1">IFERROR(__xludf.DUMMYFUNCTION("""COMPUTED_VALUE"""),5771018012)</f>
        <v>5771018012</v>
      </c>
      <c r="P39" s="5" t="str">
        <f ca="1">IFERROR(__xludf.DUMMYFUNCTION("""COMPUTED_VALUE"""),"(626) 772-6245")</f>
        <v>(626) 772-6245</v>
      </c>
      <c r="Q39" s="5"/>
      <c r="R39" s="5"/>
      <c r="S39" s="5"/>
      <c r="T39" s="5"/>
    </row>
    <row r="40" spans="1:20" ht="12.75">
      <c r="A40" s="24">
        <f ca="1">IFERROR(__xludf.DUMMYFUNCTION("""COMPUTED_VALUE"""),45669.3366102777)</f>
        <v>45669.3366102777</v>
      </c>
      <c r="B40" s="5" t="str">
        <f ca="1">IFERROR(__xludf.DUMMYFUNCTION("""COMPUTED_VALUE"""),"361 Norumbega Dr, Monrovia")</f>
        <v>361 Norumbega Dr, Monrovia</v>
      </c>
      <c r="C40" s="5" t="str">
        <f ca="1">IFERROR(__xludf.DUMMYFUNCTION("""COMPUTED_VALUE"""),"Monrovia")</f>
        <v>Monrovia</v>
      </c>
      <c r="D40" s="5" t="str">
        <f ca="1">IFERROR(__xludf.DUMMYFUNCTION("""COMPUTED_VALUE"""),"CA")</f>
        <v>CA</v>
      </c>
      <c r="E40" s="5">
        <f ca="1">IFERROR(__xludf.DUMMYFUNCTION("""COMPUTED_VALUE"""),91016)</f>
        <v>91016</v>
      </c>
      <c r="F40" s="19">
        <f ca="1">IFERROR(__xludf.DUMMYFUNCTION("""COMPUTED_VALUE"""),4500)</f>
        <v>4500</v>
      </c>
      <c r="G40" s="19">
        <f ca="1">IFERROR(__xludf.DUMMYFUNCTION("""COMPUTED_VALUE"""),5000)</f>
        <v>5000</v>
      </c>
      <c r="H40" s="18">
        <f ca="1">IFERROR(__xludf.DUMMYFUNCTION("""COMPUTED_VALUE"""),45667)</f>
        <v>45667</v>
      </c>
      <c r="I40" s="5" t="str">
        <f ca="1">IFERROR(__xludf.DUMMYFUNCTION("""COMPUTED_VALUE"""),"Zillow")</f>
        <v>Zillow</v>
      </c>
      <c r="J40" s="25" t="str">
        <f ca="1">IFERROR(__xludf.DUMMYFUNCTION("""COMPUTED_VALUE"""),"https://www.zillow.com/homedetails/361-Norumbega-Dr-Monrovia-CA-91016/21583767_zpid/?utm_campaign=iosappmessage&amp;utm_medium=referral&amp;utm_source=txtshare")</f>
        <v>https://www.zillow.com/homedetails/361-Norumbega-Dr-Monrovia-CA-91016/21583767_zpid/?utm_campaign=iosappmessage&amp;utm_medium=referral&amp;utm_source=txtshare</v>
      </c>
      <c r="K40" s="5"/>
      <c r="L40" s="5"/>
      <c r="M40" s="5"/>
      <c r="N40" s="5" t="str">
        <f ca="1">IFERROR(__xludf.DUMMYFUNCTION("""COMPUTED_VALUE"""),"https://drive.google.com/open?id=16hgeT3Uaj0LNWsm6szMe_esT9seGv9yN, https://drive.google.com/open?id=1jwkfyIX8rQsY1uKiSapgtE_J_T0gWpm5")</f>
        <v>https://drive.google.com/open?id=16hgeT3Uaj0LNWsm6szMe_esT9seGv9yN, https://drive.google.com/open?id=1jwkfyIX8rQsY1uKiSapgtE_J_T0gWpm5</v>
      </c>
      <c r="O40" s="5">
        <f ca="1">IFERROR(__xludf.DUMMYFUNCTION("""COMPUTED_VALUE"""),8518022015)</f>
        <v>8518022015</v>
      </c>
      <c r="P40" s="5"/>
      <c r="Q40" s="5"/>
      <c r="R40" s="5"/>
      <c r="S40" s="5"/>
      <c r="T40" s="5"/>
    </row>
    <row r="41" spans="1:20" ht="12.75">
      <c r="A41" s="24">
        <f ca="1">IFERROR(__xludf.DUMMYFUNCTION("""COMPUTED_VALUE"""),45669.3420916551)</f>
        <v>45669.342091655097</v>
      </c>
      <c r="B41" s="5" t="str">
        <f ca="1">IFERROR(__xludf.DUMMYFUNCTION("""COMPUTED_VALUE"""),"2030 S Chapel Ave")</f>
        <v>2030 S Chapel Ave</v>
      </c>
      <c r="C41" s="5" t="str">
        <f ca="1">IFERROR(__xludf.DUMMYFUNCTION("""COMPUTED_VALUE"""),"Alhambra")</f>
        <v>Alhambra</v>
      </c>
      <c r="D41" s="5" t="str">
        <f ca="1">IFERROR(__xludf.DUMMYFUNCTION("""COMPUTED_VALUE"""),"Ca")</f>
        <v>Ca</v>
      </c>
      <c r="E41" s="5">
        <f ca="1">IFERROR(__xludf.DUMMYFUNCTION("""COMPUTED_VALUE"""),91801)</f>
        <v>91801</v>
      </c>
      <c r="F41" s="19">
        <f ca="1">IFERROR(__xludf.DUMMYFUNCTION("""COMPUTED_VALUE"""),4850)</f>
        <v>4850</v>
      </c>
      <c r="G41" s="19">
        <f ca="1">IFERROR(__xludf.DUMMYFUNCTION("""COMPUTED_VALUE"""),5800)</f>
        <v>5800</v>
      </c>
      <c r="H41" s="18">
        <f ca="1">IFERROR(__xludf.DUMMYFUNCTION("""COMPUTED_VALUE"""),45666)</f>
        <v>45666</v>
      </c>
      <c r="I41" s="5" t="str">
        <f ca="1">IFERROR(__xludf.DUMMYFUNCTION("""COMPUTED_VALUE"""),"Zillow")</f>
        <v>Zillow</v>
      </c>
      <c r="J41" s="25" t="str">
        <f ca="1">IFERROR(__xludf.DUMMYFUNCTION("""COMPUTED_VALUE"""),"https://www.zillow.com/homedetails/2030-S-Chapel-Ave-Alhambra-CA-91801/442707493_zpid/?utm_campaign=iosappmessage&amp;utm_medium=referral&amp;utm_source=txtshare")</f>
        <v>https://www.zillow.com/homedetails/2030-S-Chapel-Ave-Alhambra-CA-91801/442707493_zpid/?utm_campaign=iosappmessage&amp;utm_medium=referral&amp;utm_source=txtshare</v>
      </c>
      <c r="K41" s="5"/>
      <c r="L41" s="5" t="str">
        <f ca="1">IFERROR(__xludf.DUMMYFUNCTION("""COMPUTED_VALUE"""),"Lawrence Chung")</f>
        <v>Lawrence Chung</v>
      </c>
      <c r="M41" s="5"/>
      <c r="N41" s="5" t="str">
        <f ca="1">IFERROR(__xludf.DUMMYFUNCTION("""COMPUTED_VALUE"""),"https://drive.google.com/open?id=1RYPJH8Sm9tcuupW47xVccMPLhqzwEofp, https://drive.google.com/open?id=1dwmrrMDRz6kMvj4bEzICJVCiCn1eoiEw")</f>
        <v>https://drive.google.com/open?id=1RYPJH8Sm9tcuupW47xVccMPLhqzwEofp, https://drive.google.com/open?id=1dwmrrMDRz6kMvj4bEzICJVCiCn1eoiEw</v>
      </c>
      <c r="O41" s="5" t="str">
        <f ca="1">IFERROR(__xludf.DUMMYFUNCTION("""COMPUTED_VALUE"""),"N/A")</f>
        <v>N/A</v>
      </c>
      <c r="P41" s="5"/>
      <c r="Q41" s="5"/>
      <c r="R41" s="5" t="str">
        <f ca="1">IFERROR(__xludf.DUMMYFUNCTION("""COMPUTED_VALUE"""),"(626) 560-9364")</f>
        <v>(626) 560-9364</v>
      </c>
      <c r="S41" s="5"/>
      <c r="T41" s="5"/>
    </row>
    <row r="42" spans="1:20" ht="12.75">
      <c r="A42" s="24">
        <f ca="1">IFERROR(__xludf.DUMMYFUNCTION("""COMPUTED_VALUE"""),45669.3460847338)</f>
        <v>45669.346084733799</v>
      </c>
      <c r="B42" s="5" t="str">
        <f ca="1">IFERROR(__xludf.DUMMYFUNCTION("""COMPUTED_VALUE"""),"907 Pine Grove Ave")</f>
        <v>907 Pine Grove Ave</v>
      </c>
      <c r="C42" s="5" t="str">
        <f ca="1">IFERROR(__xludf.DUMMYFUNCTION("""COMPUTED_VALUE"""),"Los angeles")</f>
        <v>Los angeles</v>
      </c>
      <c r="D42" s="5" t="str">
        <f ca="1">IFERROR(__xludf.DUMMYFUNCTION("""COMPUTED_VALUE"""),"Ca")</f>
        <v>Ca</v>
      </c>
      <c r="E42" s="5">
        <f ca="1">IFERROR(__xludf.DUMMYFUNCTION("""COMPUTED_VALUE"""),90042)</f>
        <v>90042</v>
      </c>
      <c r="F42" s="19">
        <f ca="1">IFERROR(__xludf.DUMMYFUNCTION("""COMPUTED_VALUE"""),5250)</f>
        <v>5250</v>
      </c>
      <c r="G42" s="19">
        <f ca="1">IFERROR(__xludf.DUMMYFUNCTION("""COMPUTED_VALUE"""),5800)</f>
        <v>5800</v>
      </c>
      <c r="H42" s="18">
        <f ca="1">IFERROR(__xludf.DUMMYFUNCTION("""COMPUTED_VALUE"""),45669)</f>
        <v>45669</v>
      </c>
      <c r="I42" s="5" t="str">
        <f ca="1">IFERROR(__xludf.DUMMYFUNCTION("""COMPUTED_VALUE"""),"Zillow")</f>
        <v>Zillow</v>
      </c>
      <c r="J42" s="25" t="str">
        <f ca="1">IFERROR(__xludf.DUMMYFUNCTION("""COMPUTED_VALUE"""),"https://www.zillow.com/homedetails/907-Pine-Grove-Ave-Los-Angeles-CA-90042/20769156_zpid/?utm_campaign=iosappmessage&amp;utm_medium=referral&amp;utm_source=txtshare")</f>
        <v>https://www.zillow.com/homedetails/907-Pine-Grove-Ave-Los-Angeles-CA-90042/20769156_zpid/?utm_campaign=iosappmessage&amp;utm_medium=referral&amp;utm_source=txtshare</v>
      </c>
      <c r="K42" s="5"/>
      <c r="L42" s="5" t="str">
        <f ca="1">IFERROR(__xludf.DUMMYFUNCTION("""COMPUTED_VALUE"""),"Jonathan Sklar")</f>
        <v>Jonathan Sklar</v>
      </c>
      <c r="M42" s="5"/>
      <c r="N42" s="5" t="str">
        <f ca="1">IFERROR(__xludf.DUMMYFUNCTION("""COMPUTED_VALUE"""),"https://drive.google.com/open?id=1UnDaRtHDdF6FaD4NWEYsmPqRdTbapLkW, https://drive.google.com/open?id=1OwDID4F7CSCfVuHdMGxDfEuA1QNFDn4K")</f>
        <v>https://drive.google.com/open?id=1UnDaRtHDdF6FaD4NWEYsmPqRdTbapLkW, https://drive.google.com/open?id=1OwDID4F7CSCfVuHdMGxDfEuA1QNFDn4K</v>
      </c>
      <c r="O42" s="5">
        <f ca="1">IFERROR(__xludf.DUMMYFUNCTION("""COMPUTED_VALUE"""),5481005027)</f>
        <v>5481005027</v>
      </c>
      <c r="P42" s="5" t="str">
        <f ca="1">IFERROR(__xludf.DUMMYFUNCTION("""COMPUTED_VALUE"""),"No data")</f>
        <v>No data</v>
      </c>
      <c r="Q42" s="5"/>
      <c r="R42" s="5"/>
      <c r="S42" s="5"/>
      <c r="T42" s="5"/>
    </row>
    <row r="43" spans="1:20" ht="12.75">
      <c r="A43" s="24">
        <f ca="1">IFERROR(__xludf.DUMMYFUNCTION("""COMPUTED_VALUE"""),45669.3489568171)</f>
        <v>45669.348956817099</v>
      </c>
      <c r="B43" s="5" t="str">
        <f ca="1">IFERROR(__xludf.DUMMYFUNCTION("""COMPUTED_VALUE"""),"3711 Flora Ave")</f>
        <v>3711 Flora Ave</v>
      </c>
      <c r="C43" s="5" t="str">
        <f ca="1">IFERROR(__xludf.DUMMYFUNCTION("""COMPUTED_VALUE"""),"Los Angeles")</f>
        <v>Los Angeles</v>
      </c>
      <c r="D43" s="5" t="str">
        <f ca="1">IFERROR(__xludf.DUMMYFUNCTION("""COMPUTED_VALUE"""),"Ca")</f>
        <v>Ca</v>
      </c>
      <c r="E43" s="5">
        <f ca="1">IFERROR(__xludf.DUMMYFUNCTION("""COMPUTED_VALUE"""),90031)</f>
        <v>90031</v>
      </c>
      <c r="F43" s="19">
        <f ca="1">IFERROR(__xludf.DUMMYFUNCTION("""COMPUTED_VALUE"""),4200)</f>
        <v>4200</v>
      </c>
      <c r="G43" s="19">
        <f ca="1">IFERROR(__xludf.DUMMYFUNCTION("""COMPUTED_VALUE"""),5000)</f>
        <v>5000</v>
      </c>
      <c r="H43" s="18">
        <f ca="1">IFERROR(__xludf.DUMMYFUNCTION("""COMPUTED_VALUE"""),45667)</f>
        <v>45667</v>
      </c>
      <c r="I43" s="5" t="str">
        <f ca="1">IFERROR(__xludf.DUMMYFUNCTION("""COMPUTED_VALUE"""),"Zillow")</f>
        <v>Zillow</v>
      </c>
      <c r="J43" s="25" t="str">
        <f ca="1">IFERROR(__xludf.DUMMYFUNCTION("""COMPUTED_VALUE"""),"https://www.zillow.com/homedetails/3711-Flora-Ave-Los-Angeles-CA-90031/20637876_zpid/?utm_campaign=iosappmessage&amp;utm_medium=referral&amp;utm_source=txtshare")</f>
        <v>https://www.zillow.com/homedetails/3711-Flora-Ave-Los-Angeles-CA-90031/20637876_zpid/?utm_campaign=iosappmessage&amp;utm_medium=referral&amp;utm_source=txtshare</v>
      </c>
      <c r="K43" s="5"/>
      <c r="L43" s="5" t="str">
        <f ca="1">IFERROR(__xludf.DUMMYFUNCTION("""COMPUTED_VALUE"""),"Richard Evanns")</f>
        <v>Richard Evanns</v>
      </c>
      <c r="M43" s="5"/>
      <c r="N43" s="5" t="str">
        <f ca="1">IFERROR(__xludf.DUMMYFUNCTION("""COMPUTED_VALUE"""),"https://drive.google.com/open?id=1Q_XJnIeCvWolERAKf164CSo4JJPMAfy3, https://drive.google.com/open?id=1J-0aiPNmTT6NP91leHEEv8YoEJDZJETZ")</f>
        <v>https://drive.google.com/open?id=1Q_XJnIeCvWolERAKf164CSo4JJPMAfy3, https://drive.google.com/open?id=1J-0aiPNmTT6NP91leHEEv8YoEJDZJETZ</v>
      </c>
      <c r="O43" s="5">
        <f ca="1">IFERROR(__xludf.DUMMYFUNCTION("""COMPUTED_VALUE"""),5209002017)</f>
        <v>5209002017</v>
      </c>
      <c r="P43" s="5"/>
      <c r="Q43" s="5"/>
      <c r="R43" s="5" t="str">
        <f ca="1">IFERROR(__xludf.DUMMYFUNCTION("""COMPUTED_VALUE"""),"(213) 291-4109")</f>
        <v>(213) 291-4109</v>
      </c>
      <c r="S43" s="5"/>
      <c r="T43" s="5"/>
    </row>
    <row r="44" spans="1:20" ht="12.75">
      <c r="A44" s="24">
        <f ca="1">IFERROR(__xludf.DUMMYFUNCTION("""COMPUTED_VALUE"""),45669.3537324074)</f>
        <v>45669.353732407399</v>
      </c>
      <c r="B44" s="5" t="str">
        <f ca="1">IFERROR(__xludf.DUMMYFUNCTION("""COMPUTED_VALUE"""),"915 Edie Dr")</f>
        <v>915 Edie Dr</v>
      </c>
      <c r="C44" s="5" t="str">
        <f ca="1">IFERROR(__xludf.DUMMYFUNCTION("""COMPUTED_VALUE"""),"Duarte")</f>
        <v>Duarte</v>
      </c>
      <c r="D44" s="5" t="str">
        <f ca="1">IFERROR(__xludf.DUMMYFUNCTION("""COMPUTED_VALUE"""),"Ca")</f>
        <v>Ca</v>
      </c>
      <c r="E44" s="5">
        <f ca="1">IFERROR(__xludf.DUMMYFUNCTION("""COMPUTED_VALUE"""),91010)</f>
        <v>91010</v>
      </c>
      <c r="F44" s="19">
        <f ca="1">IFERROR(__xludf.DUMMYFUNCTION("""COMPUTED_VALUE"""),9995)</f>
        <v>9995</v>
      </c>
      <c r="G44" s="19">
        <f ca="1">IFERROR(__xludf.DUMMYFUNCTION("""COMPUTED_VALUE"""),11995)</f>
        <v>11995</v>
      </c>
      <c r="H44" s="18">
        <f ca="1">IFERROR(__xludf.DUMMYFUNCTION("""COMPUTED_VALUE"""),45666)</f>
        <v>45666</v>
      </c>
      <c r="I44" s="5" t="str">
        <f ca="1">IFERROR(__xludf.DUMMYFUNCTION("""COMPUTED_VALUE"""),"Zillow")</f>
        <v>Zillow</v>
      </c>
      <c r="J44" s="25" t="str">
        <f ca="1">IFERROR(__xludf.DUMMYFUNCTION("""COMPUTED_VALUE"""),"https://www.zillow.com/homedetails/915-Edie-Dr-Duarte-CA-91010/58477819_zpid/?utm_campaign=iosappmessage&amp;utm_medium=referral&amp;utm_source=txtshare")</f>
        <v>https://www.zillow.com/homedetails/915-Edie-Dr-Duarte-CA-91010/58477819_zpid/?utm_campaign=iosappmessage&amp;utm_medium=referral&amp;utm_source=txtshare</v>
      </c>
      <c r="K44" s="5" t="str">
        <f ca="1">IFERROR(__xludf.DUMMYFUNCTION("""COMPUTED_VALUE"""),"Michael Mikail")</f>
        <v>Michael Mikail</v>
      </c>
      <c r="L44" s="5"/>
      <c r="M44" s="5"/>
      <c r="N44" s="5" t="str">
        <f ca="1">IFERROR(__xludf.DUMMYFUNCTION("""COMPUTED_VALUE"""),"https://drive.google.com/open?id=1KgNPgncSSxMN6oinQq5sEZoWKnApzGTT, https://drive.google.com/open?id=1VwBk4mkG1TsJDBozMcmkDau32bNVF9_6")</f>
        <v>https://drive.google.com/open?id=1KgNPgncSSxMN6oinQq5sEZoWKnApzGTT, https://drive.google.com/open?id=1VwBk4mkG1TsJDBozMcmkDau32bNVF9_6</v>
      </c>
      <c r="O44" s="5">
        <f ca="1">IFERROR(__xludf.DUMMYFUNCTION("""COMPUTED_VALUE"""),8604002065)</f>
        <v>8604002065</v>
      </c>
      <c r="P44" s="5" t="str">
        <f ca="1">IFERROR(__xludf.DUMMYFUNCTION("""COMPUTED_VALUE"""),"(310) 617-6272")</f>
        <v>(310) 617-6272</v>
      </c>
      <c r="Q44" s="5"/>
      <c r="R44" s="5"/>
      <c r="S44" s="5"/>
      <c r="T44" s="5"/>
    </row>
    <row r="45" spans="1:20" ht="12.75">
      <c r="A45" s="24">
        <f ca="1">IFERROR(__xludf.DUMMYFUNCTION("""COMPUTED_VALUE"""),45669.3580186111)</f>
        <v>45669.358018611099</v>
      </c>
      <c r="B45" s="5" t="str">
        <f ca="1">IFERROR(__xludf.DUMMYFUNCTION("""COMPUTED_VALUE"""),"2527 E Cameron Ave")</f>
        <v>2527 E Cameron Ave</v>
      </c>
      <c r="C45" s="5" t="str">
        <f ca="1">IFERROR(__xludf.DUMMYFUNCTION("""COMPUTED_VALUE"""),"West covina")</f>
        <v>West covina</v>
      </c>
      <c r="D45" s="5" t="str">
        <f ca="1">IFERROR(__xludf.DUMMYFUNCTION("""COMPUTED_VALUE"""),"Ca")</f>
        <v>Ca</v>
      </c>
      <c r="E45" s="5">
        <f ca="1">IFERROR(__xludf.DUMMYFUNCTION("""COMPUTED_VALUE"""),91791)</f>
        <v>91791</v>
      </c>
      <c r="F45" s="19">
        <f ca="1">IFERROR(__xludf.DUMMYFUNCTION("""COMPUTED_VALUE"""),2800)</f>
        <v>2800</v>
      </c>
      <c r="G45" s="19">
        <f ca="1">IFERROR(__xludf.DUMMYFUNCTION("""COMPUTED_VALUE"""),7500)</f>
        <v>7500</v>
      </c>
      <c r="H45" s="18">
        <f ca="1">IFERROR(__xludf.DUMMYFUNCTION("""COMPUTED_VALUE"""),45669)</f>
        <v>45669</v>
      </c>
      <c r="I45" s="5" t="str">
        <f ca="1">IFERROR(__xludf.DUMMYFUNCTION("""COMPUTED_VALUE"""),"Zillow")</f>
        <v>Zillow</v>
      </c>
      <c r="J45" s="25" t="str">
        <f ca="1">IFERROR(__xludf.DUMMYFUNCTION("""COMPUTED_VALUE"""),"https://www.zillow.com/homedetails/2527-E-Cameron-Ave-West-Covina-CA-91791/21571053_zpid/?utm_campaign=iosappmessage&amp;utm_medium=referral&amp;utm_source=txtshare")</f>
        <v>https://www.zillow.com/homedetails/2527-E-Cameron-Ave-West-Covina-CA-91791/21571053_zpid/?utm_campaign=iosappmessage&amp;utm_medium=referral&amp;utm_source=txtshare</v>
      </c>
      <c r="K45" s="5" t="str">
        <f ca="1">IFERROR(__xludf.DUMMYFUNCTION("""COMPUTED_VALUE"""),"Caroline Ma - Coldwell Banker Realty")</f>
        <v>Caroline Ma - Coldwell Banker Realty</v>
      </c>
      <c r="L45" s="5"/>
      <c r="M45" s="5" t="str">
        <f ca="1">IFERROR(__xludf.DUMMYFUNCTION("""COMPUTED_VALUE"""),"Was listed in April at 2800. Listing removed in May. Now back up at 5000.")</f>
        <v>Was listed in April at 2800. Listing removed in May. Now back up at 5000.</v>
      </c>
      <c r="N45" s="5" t="str">
        <f ca="1">IFERROR(__xludf.DUMMYFUNCTION("""COMPUTED_VALUE"""),"https://drive.google.com/open?id=1BfUhQlJ9C9C_1r6ZAyrLh04pe5uhDkxm, https://drive.google.com/open?id=1iDPMz5m-cgD4kuSFU1DaBp2QbtYWwF1k")</f>
        <v>https://drive.google.com/open?id=1BfUhQlJ9C9C_1r6ZAyrLh04pe5uhDkxm, https://drive.google.com/open?id=1iDPMz5m-cgD4kuSFU1DaBp2QbtYWwF1k</v>
      </c>
      <c r="O45" s="5">
        <f ca="1">IFERROR(__xludf.DUMMYFUNCTION("""COMPUTED_VALUE"""),8484010014)</f>
        <v>8484010014</v>
      </c>
      <c r="P45" s="5" t="str">
        <f ca="1">IFERROR(__xludf.DUMMYFUNCTION("""COMPUTED_VALUE"""),"(626) 234-9369")</f>
        <v>(626) 234-9369</v>
      </c>
      <c r="Q45" s="5"/>
      <c r="R45" s="5"/>
      <c r="S45" s="5"/>
      <c r="T45" s="5"/>
    </row>
    <row r="46" spans="1:20" ht="12.75">
      <c r="A46" s="24">
        <f ca="1">IFERROR(__xludf.DUMMYFUNCTION("""COMPUTED_VALUE"""),45669.3626272453)</f>
        <v>45669.362627245297</v>
      </c>
      <c r="B46" s="5" t="str">
        <f ca="1">IFERROR(__xludf.DUMMYFUNCTION("""COMPUTED_VALUE"""),"3512 Crestmont Ave")</f>
        <v>3512 Crestmont Ave</v>
      </c>
      <c r="C46" s="5" t="str">
        <f ca="1">IFERROR(__xludf.DUMMYFUNCTION("""COMPUTED_VALUE"""),"los angeles")</f>
        <v>los angeles</v>
      </c>
      <c r="D46" s="5" t="str">
        <f ca="1">IFERROR(__xludf.DUMMYFUNCTION("""COMPUTED_VALUE"""),"ca")</f>
        <v>ca</v>
      </c>
      <c r="E46" s="5">
        <f ca="1">IFERROR(__xludf.DUMMYFUNCTION("""COMPUTED_VALUE"""),90026)</f>
        <v>90026</v>
      </c>
      <c r="F46" s="19">
        <f ca="1">IFERROR(__xludf.DUMMYFUNCTION("""COMPUTED_VALUE"""),9000)</f>
        <v>9000</v>
      </c>
      <c r="G46" s="19">
        <f ca="1">IFERROR(__xludf.DUMMYFUNCTION("""COMPUTED_VALUE"""),11000)</f>
        <v>11000</v>
      </c>
      <c r="H46" s="18">
        <f ca="1">IFERROR(__xludf.DUMMYFUNCTION("""COMPUTED_VALUE"""),45668)</f>
        <v>45668</v>
      </c>
      <c r="I46" s="5" t="str">
        <f ca="1">IFERROR(__xludf.DUMMYFUNCTION("""COMPUTED_VALUE"""),"Zillow")</f>
        <v>Zillow</v>
      </c>
      <c r="J46" s="25" t="str">
        <f ca="1">IFERROR(__xludf.DUMMYFUNCTION("""COMPUTED_VALUE"""),"https://www.zillow.com/homedetails/3512-Crestmont-Ave-Los-Angeles-CA-90026/20746365_zpid/")</f>
        <v>https://www.zillow.com/homedetails/3512-Crestmont-Ave-Los-Angeles-CA-90026/20746365_zpid/</v>
      </c>
      <c r="K46" s="5" t="str">
        <f ca="1">IFERROR(__xludf.DUMMYFUNCTION("""COMPUTED_VALUE"""),"Edward Kay")</f>
        <v>Edward Kay</v>
      </c>
      <c r="L46" s="5" t="str">
        <f ca="1">IFERROR(__xludf.DUMMYFUNCTION("""COMPUTED_VALUE"""),"unknown")</f>
        <v>unknown</v>
      </c>
      <c r="M46" s="5" t="str">
        <f ca="1">IFERROR(__xludf.DUMMYFUNCTION("""COMPUTED_VALUE"""),"This is my current landord who is a slum lord and has also raised our rent each year despite refusing to fix issues such as a termites, oven leaking gas, mold and more. He's also listed my place (i'm moving out, which is a convenient time for him) above w"&amp;"hat we currently pay despite raising rents each year. and removed all the past prices to protect himself. I will post this in another response line.")</f>
        <v>This is my current landord who is a slum lord and has also raised our rent each year despite refusing to fix issues such as a termites, oven leaking gas, mold and more. He's also listed my place (i'm moving out, which is a convenient time for him) above what we currently pay despite raising rents each year. and removed all the past prices to protect himself. I will post this in another response line.</v>
      </c>
      <c r="N46" s="5" t="str">
        <f ca="1">IFERROR(__xludf.DUMMYFUNCTION("""COMPUTED_VALUE"""),"https://drive.google.com/open?id=1fUtFcarp3fSa5WpVMnL2osvUZW5PSK35, https://drive.google.com/open?id=1gBqVB9tsfjVnwIBsasIv_xlsrNoNIO-r")</f>
        <v>https://drive.google.com/open?id=1fUtFcarp3fSa5WpVMnL2osvUZW5PSK35, https://drive.google.com/open?id=1gBqVB9tsfjVnwIBsasIv_xlsrNoNIO-r</v>
      </c>
      <c r="O46" s="5">
        <f ca="1">IFERROR(__xludf.DUMMYFUNCTION("""COMPUTED_VALUE"""),5429020022)</f>
        <v>5429020022</v>
      </c>
      <c r="P46" s="5" t="str">
        <f ca="1">IFERROR(__xludf.DUMMYFUNCTION("""COMPUTED_VALUE"""),"No data")</f>
        <v>No data</v>
      </c>
      <c r="Q46" s="5"/>
      <c r="R46" s="5"/>
      <c r="S46" s="5"/>
      <c r="T46" s="5"/>
    </row>
    <row r="47" spans="1:20" ht="12.75">
      <c r="A47" s="24">
        <f ca="1">IFERROR(__xludf.DUMMYFUNCTION("""COMPUTED_VALUE"""),45669.3653386342)</f>
        <v>45669.365338634198</v>
      </c>
      <c r="B47" s="5" t="str">
        <f ca="1">IFERROR(__xludf.DUMMYFUNCTION("""COMPUTED_VALUE"""),"1851 tamerlane dr")</f>
        <v>1851 tamerlane dr</v>
      </c>
      <c r="C47" s="5" t="str">
        <f ca="1">IFERROR(__xludf.DUMMYFUNCTION("""COMPUTED_VALUE"""),"glendale")</f>
        <v>glendale</v>
      </c>
      <c r="D47" s="5" t="str">
        <f ca="1">IFERROR(__xludf.DUMMYFUNCTION("""COMPUTED_VALUE"""),"ca")</f>
        <v>ca</v>
      </c>
      <c r="E47" s="5">
        <f ca="1">IFERROR(__xludf.DUMMYFUNCTION("""COMPUTED_VALUE"""),91208)</f>
        <v>91208</v>
      </c>
      <c r="F47" s="19">
        <f ca="1">IFERROR(__xludf.DUMMYFUNCTION("""COMPUTED_VALUE"""),11950)</f>
        <v>11950</v>
      </c>
      <c r="G47" s="19">
        <f ca="1">IFERROR(__xludf.DUMMYFUNCTION("""COMPUTED_VALUE"""),13000)</f>
        <v>13000</v>
      </c>
      <c r="H47" s="18">
        <f ca="1">IFERROR(__xludf.DUMMYFUNCTION("""COMPUTED_VALUE"""),45667)</f>
        <v>45667</v>
      </c>
      <c r="I47" s="5" t="str">
        <f ca="1">IFERROR(__xludf.DUMMYFUNCTION("""COMPUTED_VALUE"""),"Zillow")</f>
        <v>Zillow</v>
      </c>
      <c r="J47" s="25" t="str">
        <f ca="1">IFERROR(__xludf.DUMMYFUNCTION("""COMPUTED_VALUE"""),"https://www.zillow.com/homedetails/1851-Tamerlane-Dr-Glendale-CA-91208/20839703_zpid/?utm_campaign=iosappmessage&amp;utm_medium=referral&amp;utm_source=txtshare")</f>
        <v>https://www.zillow.com/homedetails/1851-Tamerlane-Dr-Glendale-CA-91208/20839703_zpid/?utm_campaign=iosappmessage&amp;utm_medium=referral&amp;utm_source=txtshare</v>
      </c>
      <c r="K47" s="5"/>
      <c r="L47" s="5" t="str">
        <f ca="1">IFERROR(__xludf.DUMMYFUNCTION("""COMPUTED_VALUE"""),"Allen")</f>
        <v>Allen</v>
      </c>
      <c r="M47" s="5"/>
      <c r="N47" s="5" t="str">
        <f ca="1">IFERROR(__xludf.DUMMYFUNCTION("""COMPUTED_VALUE"""),"https://drive.google.com/open?id=19LlQ80HxAZ8VAIdStOsuWCYC7YKB2P8t, https://drive.google.com/open?id=1ErD5gAVW0593FzIV_wGsVpEKxYyclwfr")</f>
        <v>https://drive.google.com/open?id=19LlQ80HxAZ8VAIdStOsuWCYC7YKB2P8t, https://drive.google.com/open?id=1ErD5gAVW0593FzIV_wGsVpEKxYyclwfr</v>
      </c>
      <c r="O47" s="5">
        <f ca="1">IFERROR(__xludf.DUMMYFUNCTION("""COMPUTED_VALUE"""),5652020023)</f>
        <v>5652020023</v>
      </c>
      <c r="P47" s="5"/>
      <c r="Q47" s="5"/>
      <c r="R47" s="5" t="str">
        <f ca="1">IFERROR(__xludf.DUMMYFUNCTION("""COMPUTED_VALUE"""),"(818) 640-3989")</f>
        <v>(818) 640-3989</v>
      </c>
      <c r="S47" s="5"/>
      <c r="T47" s="5"/>
    </row>
    <row r="48" spans="1:20" ht="12.75">
      <c r="A48" s="24">
        <f ca="1">IFERROR(__xludf.DUMMYFUNCTION("""COMPUTED_VALUE"""),45669.365896956)</f>
        <v>45669.365896955998</v>
      </c>
      <c r="B48" s="5" t="str">
        <f ca="1">IFERROR(__xludf.DUMMYFUNCTION("""COMPUTED_VALUE"""),"4115 camero ave")</f>
        <v>4115 camero ave</v>
      </c>
      <c r="C48" s="5" t="str">
        <f ca="1">IFERROR(__xludf.DUMMYFUNCTION("""COMPUTED_VALUE"""),"los angeles")</f>
        <v>los angeles</v>
      </c>
      <c r="D48" s="5" t="str">
        <f ca="1">IFERROR(__xludf.DUMMYFUNCTION("""COMPUTED_VALUE"""),"ca")</f>
        <v>ca</v>
      </c>
      <c r="E48" s="5">
        <f ca="1">IFERROR(__xludf.DUMMYFUNCTION("""COMPUTED_VALUE"""),90027)</f>
        <v>90027</v>
      </c>
      <c r="F48" s="5" t="str">
        <f ca="1">IFERROR(__xludf.DUMMYFUNCTION("""COMPUTED_VALUE"""),"4550 was where it started in 2021 and now its 5670")</f>
        <v>4550 was where it started in 2021 and now its 5670</v>
      </c>
      <c r="G48" s="19">
        <f ca="1">IFERROR(__xludf.DUMMYFUNCTION("""COMPUTED_VALUE"""),6000)</f>
        <v>6000</v>
      </c>
      <c r="H48" s="18">
        <f ca="1">IFERROR(__xludf.DUMMYFUNCTION("""COMPUTED_VALUE"""),45665)</f>
        <v>45665</v>
      </c>
      <c r="I48" s="5" t="str">
        <f ca="1">IFERROR(__xludf.DUMMYFUNCTION("""COMPUTED_VALUE"""),"Zillow")</f>
        <v>Zillow</v>
      </c>
      <c r="J48" s="25" t="str">
        <f ca="1">IFERROR(__xludf.DUMMYFUNCTION("""COMPUTED_VALUE"""),"https://www.zillow.com/homedetails/4115-Camero-Ave-Los-Angeles-CA-90027/20746609_zpid/")</f>
        <v>https://www.zillow.com/homedetails/4115-Camero-Ave-Los-Angeles-CA-90027/20746609_zpid/</v>
      </c>
      <c r="K48" s="5" t="str">
        <f ca="1">IFERROR(__xludf.DUMMYFUNCTION("""COMPUTED_VALUE"""),"Edward Kay")</f>
        <v>Edward Kay</v>
      </c>
      <c r="L48" s="5" t="str">
        <f ca="1">IFERROR(__xludf.DUMMYFUNCTION("""COMPUTED_VALUE"""),"Nede Management")</f>
        <v>Nede Management</v>
      </c>
      <c r="M48" s="5" t="str">
        <f ca="1">IFERROR(__xludf.DUMMYFUNCTION("""COMPUTED_VALUE"""),"this is a follow up to the cresmont listing, same owners. Also same ""management company"" - who are slumlords. He has removed all old pricing to hide what he's done. Would advise anyone to AVOID EDWARD KAY and NEDE at all costs and for them to be reporte"&amp;"d for price gouging on the other unit.  https://caselaw.findlaw.com/court/ca-court-of-appeal/2145340.html")</f>
        <v>this is a follow up to the cresmont listing, same owners. Also same "management company" - who are slumlords. He has removed all old pricing to hide what he's done. Would advise anyone to AVOID EDWARD KAY and NEDE at all costs and for them to be reported for price gouging on the other unit.  https://caselaw.findlaw.com/court/ca-court-of-appeal/2145340.html</v>
      </c>
      <c r="N48" s="26" t="str">
        <f ca="1">IFERROR(__xludf.DUMMYFUNCTION("""COMPUTED_VALUE"""),"https://drive.google.com/open?id=1KA7SEr3u08PLtg69OQnxNBQ5kLiPLxeu")</f>
        <v>https://drive.google.com/open?id=1KA7SEr3u08PLtg69OQnxNBQ5kLiPLxeu</v>
      </c>
      <c r="O48" s="5">
        <f ca="1">IFERROR(__xludf.DUMMYFUNCTION("""COMPUTED_VALUE"""),5430002037)</f>
        <v>5430002037</v>
      </c>
      <c r="P48" s="5" t="str">
        <f ca="1">IFERROR(__xludf.DUMMYFUNCTION("""COMPUTED_VALUE"""),"No data")</f>
        <v>No data</v>
      </c>
      <c r="Q48" s="5"/>
      <c r="R48" s="5"/>
      <c r="S48" s="5"/>
      <c r="T48" s="5"/>
    </row>
    <row r="49" spans="1:20" ht="12.75">
      <c r="A49" s="24">
        <f ca="1">IFERROR(__xludf.DUMMYFUNCTION("""COMPUTED_VALUE"""),45669.3694410532)</f>
        <v>45669.369441053197</v>
      </c>
      <c r="B49" s="5" t="str">
        <f ca="1">IFERROR(__xludf.DUMMYFUNCTION("""COMPUTED_VALUE"""),"3113 Prospect Ave")</f>
        <v>3113 Prospect Ave</v>
      </c>
      <c r="C49" s="5" t="str">
        <f ca="1">IFERROR(__xludf.DUMMYFUNCTION("""COMPUTED_VALUE"""),"La Crescenta")</f>
        <v>La Crescenta</v>
      </c>
      <c r="D49" s="5" t="str">
        <f ca="1">IFERROR(__xludf.DUMMYFUNCTION("""COMPUTED_VALUE"""),"ca")</f>
        <v>ca</v>
      </c>
      <c r="E49" s="5">
        <f ca="1">IFERROR(__xludf.DUMMYFUNCTION("""COMPUTED_VALUE"""),91214)</f>
        <v>91214</v>
      </c>
      <c r="F49" s="19">
        <f ca="1">IFERROR(__xludf.DUMMYFUNCTION("""COMPUTED_VALUE"""),2000)</f>
        <v>2000</v>
      </c>
      <c r="G49" s="19">
        <f ca="1">IFERROR(__xludf.DUMMYFUNCTION("""COMPUTED_VALUE"""),7000)</f>
        <v>7000</v>
      </c>
      <c r="H49" s="18">
        <f ca="1">IFERROR(__xludf.DUMMYFUNCTION("""COMPUTED_VALUE"""),45667)</f>
        <v>45667</v>
      </c>
      <c r="I49" s="5" t="str">
        <f ca="1">IFERROR(__xludf.DUMMYFUNCTION("""COMPUTED_VALUE"""),"Zillow")</f>
        <v>Zillow</v>
      </c>
      <c r="J49" s="25" t="str">
        <f ca="1">IFERROR(__xludf.DUMMYFUNCTION("""COMPUTED_VALUE"""),"https://www.zillow.com/homedetails/3113-Prospect-Ave-La-Crescenta-CA-91214/20898422_zpid/?utm_campaign=iosappmessage&amp;utm_medium=referral&amp;utm_source=txtshare")</f>
        <v>https://www.zillow.com/homedetails/3113-Prospect-Ave-La-Crescenta-CA-91214/20898422_zpid/?utm_campaign=iosappmessage&amp;utm_medium=referral&amp;utm_source=txtshare</v>
      </c>
      <c r="K49" s="5"/>
      <c r="L49" s="5"/>
      <c r="M49" s="5"/>
      <c r="N49" s="5" t="str">
        <f ca="1">IFERROR(__xludf.DUMMYFUNCTION("""COMPUTED_VALUE"""),"https://drive.google.com/open?id=1cn9ZNg1aapevvuRzarDYFuYapeqHYr7Y, https://drive.google.com/open?id=1Q-dF1D3krqE3f6Ma608OJCTMbqknlzoG")</f>
        <v>https://drive.google.com/open?id=1cn9ZNg1aapevvuRzarDYFuYapeqHYr7Y, https://drive.google.com/open?id=1Q-dF1D3krqE3f6Ma608OJCTMbqknlzoG</v>
      </c>
      <c r="O49" s="5">
        <f ca="1">IFERROR(__xludf.DUMMYFUNCTION("""COMPUTED_VALUE"""),5801002036)</f>
        <v>5801002036</v>
      </c>
      <c r="P49" s="5"/>
      <c r="Q49" s="5"/>
      <c r="R49" s="5"/>
      <c r="S49" s="5"/>
      <c r="T49" s="5"/>
    </row>
    <row r="50" spans="1:20" ht="12.75">
      <c r="A50" s="24">
        <f ca="1">IFERROR(__xludf.DUMMYFUNCTION("""COMPUTED_VALUE"""),45669.3700755324)</f>
        <v>45669.370075532403</v>
      </c>
      <c r="B50" s="5" t="str">
        <f ca="1">IFERROR(__xludf.DUMMYFUNCTION("""COMPUTED_VALUE"""),"3055 Landa St, ")</f>
        <v xml:space="preserve">3055 Landa St, </v>
      </c>
      <c r="C50" s="5" t="str">
        <f ca="1">IFERROR(__xludf.DUMMYFUNCTION("""COMPUTED_VALUE"""),"Los Angeles, ")</f>
        <v xml:space="preserve">Los Angeles, </v>
      </c>
      <c r="D50" s="5" t="str">
        <f ca="1">IFERROR(__xludf.DUMMYFUNCTION("""COMPUTED_VALUE"""),"CA ")</f>
        <v xml:space="preserve">CA </v>
      </c>
      <c r="E50" s="5">
        <f ca="1">IFERROR(__xludf.DUMMYFUNCTION("""COMPUTED_VALUE"""),90039)</f>
        <v>90039</v>
      </c>
      <c r="F50" s="19">
        <f ca="1">IFERROR(__xludf.DUMMYFUNCTION("""COMPUTED_VALUE"""),9000)</f>
        <v>9000</v>
      </c>
      <c r="G50" s="19">
        <f ca="1">IFERROR(__xludf.DUMMYFUNCTION("""COMPUTED_VALUE"""),12000)</f>
        <v>12000</v>
      </c>
      <c r="H50" s="18">
        <f ca="1">IFERROR(__xludf.DUMMYFUNCTION("""COMPUTED_VALUE"""),45668)</f>
        <v>45668</v>
      </c>
      <c r="I50" s="5" t="str">
        <f ca="1">IFERROR(__xludf.DUMMYFUNCTION("""COMPUTED_VALUE"""),"Zillow")</f>
        <v>Zillow</v>
      </c>
      <c r="J50" s="25" t="str">
        <f ca="1">IFERROR(__xludf.DUMMYFUNCTION("""COMPUTED_VALUE"""),"https://www.zillow.com/homedetails/3055-Landa-St-Los-Angeles-CA-90039/20747666_zpid/")</f>
        <v>https://www.zillow.com/homedetails/3055-Landa-St-Los-Angeles-CA-90039/20747666_zpid/</v>
      </c>
      <c r="K50" s="5" t="str">
        <f ca="1">IFERROR(__xludf.DUMMYFUNCTION("""COMPUTED_VALUE"""),"Edward Kay")</f>
        <v>Edward Kay</v>
      </c>
      <c r="L50" s="5" t="str">
        <f ca="1">IFERROR(__xludf.DUMMYFUNCTION("""COMPUTED_VALUE"""),"unknown")</f>
        <v>unknown</v>
      </c>
      <c r="M50" s="5" t="str">
        <f ca="1">IFERROR(__xludf.DUMMYFUNCTION("""COMPUTED_VALUE"""),"not sure if this is also a NEDE management property but edward kay is bumping up prices all over los feliz, silverlake area. ")</f>
        <v xml:space="preserve">not sure if this is also a NEDE management property but edward kay is bumping up prices all over los feliz, silverlake area. </v>
      </c>
      <c r="N50" s="5" t="str">
        <f ca="1">IFERROR(__xludf.DUMMYFUNCTION("""COMPUTED_VALUE"""),"https://drive.google.com/open?id=1kTg-6Gr7k7wNoN4ezitPWtCUFNneQmST, https://drive.google.com/open?id=1j8JIocmTZgH0NFa0lAh2N34RY1M4pLL9")</f>
        <v>https://drive.google.com/open?id=1kTg-6Gr7k7wNoN4ezitPWtCUFNneQmST, https://drive.google.com/open?id=1j8JIocmTZgH0NFa0lAh2N34RY1M4pLL9</v>
      </c>
      <c r="O50" s="5">
        <f ca="1">IFERROR(__xludf.DUMMYFUNCTION("""COMPUTED_VALUE"""),5431021002)</f>
        <v>5431021002</v>
      </c>
      <c r="P50" s="5"/>
      <c r="Q50" s="5"/>
      <c r="R50" s="5"/>
      <c r="S50" s="5"/>
      <c r="T50" s="5"/>
    </row>
    <row r="51" spans="1:20" ht="12.75">
      <c r="A51" s="24">
        <f ca="1">IFERROR(__xludf.DUMMYFUNCTION("""COMPUTED_VALUE"""),45669.3803124537)</f>
        <v>45669.380312453701</v>
      </c>
      <c r="B51" s="5" t="str">
        <f ca="1">IFERROR(__xludf.DUMMYFUNCTION("""COMPUTED_VALUE"""),"8 Rancho Laguna dr")</f>
        <v>8 Rancho Laguna dr</v>
      </c>
      <c r="C51" s="5" t="str">
        <f ca="1">IFERROR(__xludf.DUMMYFUNCTION("""COMPUTED_VALUE"""),"Pomona")</f>
        <v>Pomona</v>
      </c>
      <c r="D51" s="5" t="str">
        <f ca="1">IFERROR(__xludf.DUMMYFUNCTION("""COMPUTED_VALUE"""),"Ca")</f>
        <v>Ca</v>
      </c>
      <c r="E51" s="5">
        <f ca="1">IFERROR(__xludf.DUMMYFUNCTION("""COMPUTED_VALUE"""),91766)</f>
        <v>91766</v>
      </c>
      <c r="F51" s="19">
        <f ca="1">IFERROR(__xludf.DUMMYFUNCTION("""COMPUTED_VALUE"""),7500)</f>
        <v>7500</v>
      </c>
      <c r="G51" s="19">
        <f ca="1">IFERROR(__xludf.DUMMYFUNCTION("""COMPUTED_VALUE"""),8768)</f>
        <v>8768</v>
      </c>
      <c r="H51" s="18">
        <f ca="1">IFERROR(__xludf.DUMMYFUNCTION("""COMPUTED_VALUE"""),45667)</f>
        <v>45667</v>
      </c>
      <c r="I51" s="5" t="str">
        <f ca="1">IFERROR(__xludf.DUMMYFUNCTION("""COMPUTED_VALUE"""),"Zillow")</f>
        <v>Zillow</v>
      </c>
      <c r="J51" s="25" t="str">
        <f ca="1">IFERROR(__xludf.DUMMYFUNCTION("""COMPUTED_VALUE"""),"https://www.zillow.com/homedetails/8-Rancho-Laguna-Dr-Pomona-CA-91766/21662573_zpid/?utm_campaign=iosappmessage&amp;utm_medium=referral&amp;utm_source=txtshare")</f>
        <v>https://www.zillow.com/homedetails/8-Rancho-Laguna-Dr-Pomona-CA-91766/21662573_zpid/?utm_campaign=iosappmessage&amp;utm_medium=referral&amp;utm_source=txtshare</v>
      </c>
      <c r="K51" s="5" t="str">
        <f ca="1">IFERROR(__xludf.DUMMYFUNCTION("""COMPUTED_VALUE"""),"Longwise Group")</f>
        <v>Longwise Group</v>
      </c>
      <c r="L51" s="5"/>
      <c r="M51" s="5"/>
      <c r="N51" s="5" t="str">
        <f ca="1">IFERROR(__xludf.DUMMYFUNCTION("""COMPUTED_VALUE"""),"https://drive.google.com/open?id=16tR66HzRTM25OXlI86u6f3kAOLKIgMnx, https://drive.google.com/open?id=1o6hlQivCGZUJ7PGnd4ev9dFErKr34fmv")</f>
        <v>https://drive.google.com/open?id=16tR66HzRTM25OXlI86u6f3kAOLKIgMnx, https://drive.google.com/open?id=1o6hlQivCGZUJ7PGnd4ev9dFErKr34fmv</v>
      </c>
      <c r="O51" s="5">
        <f ca="1">IFERROR(__xludf.DUMMYFUNCTION("""COMPUTED_VALUE"""),8704015018)</f>
        <v>8704015018</v>
      </c>
      <c r="P51" s="5" t="str">
        <f ca="1">IFERROR(__xludf.DUMMYFUNCTION("""COMPUTED_VALUE"""),"(408) 207-8058")</f>
        <v>(408) 207-8058</v>
      </c>
      <c r="Q51" s="5"/>
      <c r="R51" s="5"/>
      <c r="S51" s="5"/>
      <c r="T51" s="5"/>
    </row>
    <row r="52" spans="1:20" ht="12.75">
      <c r="A52" s="24">
        <f ca="1">IFERROR(__xludf.DUMMYFUNCTION("""COMPUTED_VALUE"""),45669.3932973726)</f>
        <v>45669.393297372597</v>
      </c>
      <c r="B52" s="5" t="str">
        <f ca="1">IFERROR(__xludf.DUMMYFUNCTION("""COMPUTED_VALUE"""),"1218 E Tujunga Ave")</f>
        <v>1218 E Tujunga Ave</v>
      </c>
      <c r="C52" s="5" t="str">
        <f ca="1">IFERROR(__xludf.DUMMYFUNCTION("""COMPUTED_VALUE"""),"Burbank")</f>
        <v>Burbank</v>
      </c>
      <c r="D52" s="5" t="str">
        <f ca="1">IFERROR(__xludf.DUMMYFUNCTION("""COMPUTED_VALUE"""),"Ca")</f>
        <v>Ca</v>
      </c>
      <c r="E52" s="5">
        <f ca="1">IFERROR(__xludf.DUMMYFUNCTION("""COMPUTED_VALUE"""),91501)</f>
        <v>91501</v>
      </c>
      <c r="F52" s="19">
        <f ca="1">IFERROR(__xludf.DUMMYFUNCTION("""COMPUTED_VALUE"""),7900)</f>
        <v>7900</v>
      </c>
      <c r="G52" s="19">
        <f ca="1">IFERROR(__xludf.DUMMYFUNCTION("""COMPUTED_VALUE"""),10900)</f>
        <v>10900</v>
      </c>
      <c r="H52" s="18">
        <f ca="1">IFERROR(__xludf.DUMMYFUNCTION("""COMPUTED_VALUE"""),45666)</f>
        <v>45666</v>
      </c>
      <c r="I52" s="5" t="str">
        <f ca="1">IFERROR(__xludf.DUMMYFUNCTION("""COMPUTED_VALUE"""),"Zillow")</f>
        <v>Zillow</v>
      </c>
      <c r="J52" s="25" t="str">
        <f ca="1">IFERROR(__xludf.DUMMYFUNCTION("""COMPUTED_VALUE"""),"https://www.zillow.com/homedetails/1218-E-Tujunga-Ave-Burbank-CA-91501/20816771_zpid/?utm_campaign=iosappmessage&amp;utm_medium=referral&amp;utm_source=txtshare")</f>
        <v>https://www.zillow.com/homedetails/1218-E-Tujunga-Ave-Burbank-CA-91501/20816771_zpid/?utm_campaign=iosappmessage&amp;utm_medium=referral&amp;utm_source=txtshare</v>
      </c>
      <c r="K52" s="5" t="str">
        <f ca="1">IFERROR(__xludf.DUMMYFUNCTION("""COMPUTED_VALUE"""),"Maya Gulbekova; RE/MAX Tri City Realty")</f>
        <v>Maya Gulbekova; RE/MAX Tri City Realty</v>
      </c>
      <c r="L52" s="5"/>
      <c r="M52" s="5" t="str">
        <f ca="1">IFERROR(__xludf.DUMMYFUNCTION("""COMPUTED_VALUE"""),"In December, listing was removed at 7900. Now posted at 10900.")</f>
        <v>In December, listing was removed at 7900. Now posted at 10900.</v>
      </c>
      <c r="N52" s="5" t="str">
        <f ca="1">IFERROR(__xludf.DUMMYFUNCTION("""COMPUTED_VALUE"""),"https://drive.google.com/open?id=1rNbP5bND-r3Nd1ieuz71ND7wxHzVxEhu, https://drive.google.com/open?id=1433JMZEzkVtqfFvkS9bsRDv8ENcaTEuV, https://drive.google.com/open?id=1vcU0YPVLUzNUG7PeRJQZwzByrdka2LNr")</f>
        <v>https://drive.google.com/open?id=1rNbP5bND-r3Nd1ieuz71ND7wxHzVxEhu, https://drive.google.com/open?id=1433JMZEzkVtqfFvkS9bsRDv8ENcaTEuV, https://drive.google.com/open?id=1vcU0YPVLUzNUG7PeRJQZwzByrdka2LNr</v>
      </c>
      <c r="O52" s="5">
        <f ca="1">IFERROR(__xludf.DUMMYFUNCTION("""COMPUTED_VALUE"""),5608026022)</f>
        <v>5608026022</v>
      </c>
      <c r="P52" s="5" t="str">
        <f ca="1">IFERROR(__xludf.DUMMYFUNCTION("""COMPUTED_VALUE"""),"(818) 427-1772")</f>
        <v>(818) 427-1772</v>
      </c>
      <c r="Q52" s="5"/>
      <c r="R52" s="5"/>
      <c r="S52" s="5"/>
      <c r="T52" s="5"/>
    </row>
    <row r="53" spans="1:20" ht="12.75">
      <c r="A53" s="24">
        <f ca="1">IFERROR(__xludf.DUMMYFUNCTION("""COMPUTED_VALUE"""),45669.3957270138)</f>
        <v>45669.395727013798</v>
      </c>
      <c r="B53" s="5" t="str">
        <f ca="1">IFERROR(__xludf.DUMMYFUNCTION("""COMPUTED_VALUE"""),"6505 Pacific Ave #1")</f>
        <v>6505 Pacific Ave #1</v>
      </c>
      <c r="C53" s="5" t="str">
        <f ca="1">IFERROR(__xludf.DUMMYFUNCTION("""COMPUTED_VALUE"""),"Playa Del Rey")</f>
        <v>Playa Del Rey</v>
      </c>
      <c r="D53" s="5" t="str">
        <f ca="1">IFERROR(__xludf.DUMMYFUNCTION("""COMPUTED_VALUE"""),"CA")</f>
        <v>CA</v>
      </c>
      <c r="E53" s="5">
        <f ca="1">IFERROR(__xludf.DUMMYFUNCTION("""COMPUTED_VALUE"""),90293)</f>
        <v>90293</v>
      </c>
      <c r="F53" s="19">
        <f ca="1">IFERROR(__xludf.DUMMYFUNCTION("""COMPUTED_VALUE"""),3795)</f>
        <v>3795</v>
      </c>
      <c r="G53" s="19">
        <f ca="1">IFERROR(__xludf.DUMMYFUNCTION("""COMPUTED_VALUE"""),6900)</f>
        <v>6900</v>
      </c>
      <c r="H53" s="18">
        <f ca="1">IFERROR(__xludf.DUMMYFUNCTION("""COMPUTED_VALUE"""),45666)</f>
        <v>45666</v>
      </c>
      <c r="I53" s="5" t="str">
        <f ca="1">IFERROR(__xludf.DUMMYFUNCTION("""COMPUTED_VALUE"""),"Zillow")</f>
        <v>Zillow</v>
      </c>
      <c r="J53" s="25" t="str">
        <f ca="1">IFERROR(__xludf.DUMMYFUNCTION("""COMPUTED_VALUE"""),"https://www.zillow.com/homedetails/6505-Pacific-Ave-1-Playa-Del-Rey-CA-90293/2089340224_zpid/")</f>
        <v>https://www.zillow.com/homedetails/6505-Pacific-Ave-1-Playa-Del-Rey-CA-90293/2089340224_zpid/</v>
      </c>
      <c r="K53" s="5" t="str">
        <f ca="1">IFERROR(__xludf.DUMMYFUNCTION("""COMPUTED_VALUE"""),"Jean-Paul Issock")</f>
        <v>Jean-Paul Issock</v>
      </c>
      <c r="L53" s="5"/>
      <c r="M53" s="5" t="str">
        <f ca="1">IFERROR(__xludf.DUMMYFUNCTION("""COMPUTED_VALUE"""),"
JeanPaul Issock
Jean-Paul Issock
Management company
Verified
(213) 371-9204")</f>
        <v xml:space="preserve">
JeanPaul Issock
Jean-Paul Issock
Management company
Verified
(213) 371-9204</v>
      </c>
      <c r="N53" s="5" t="str">
        <f ca="1">IFERROR(__xludf.DUMMYFUNCTION("""COMPUTED_VALUE"""),"https://drive.google.com/open?id=1TshQacjN_Ps3UOw4_y48aZ8gvKSTJEv7, https://drive.google.com/open?id=1txBUPikw3zimLopB7hnWw1gfoNYKZMHd, https://drive.google.com/open?id=1XUlD0FBC8P6M_qZxSx2vk7HHGdz8w_s3")</f>
        <v>https://drive.google.com/open?id=1TshQacjN_Ps3UOw4_y48aZ8gvKSTJEv7, https://drive.google.com/open?id=1txBUPikw3zimLopB7hnWw1gfoNYKZMHd, https://drive.google.com/open?id=1XUlD0FBC8P6M_qZxSx2vk7HHGdz8w_s3</v>
      </c>
      <c r="O53" s="5">
        <f ca="1">IFERROR(__xludf.DUMMYFUNCTION("""COMPUTED_VALUE"""),4116002035)</f>
        <v>4116002035</v>
      </c>
      <c r="P53" s="5" t="str">
        <f ca="1">IFERROR(__xludf.DUMMYFUNCTION("""COMPUTED_VALUE"""),"(213) 371-9204")</f>
        <v>(213) 371-9204</v>
      </c>
      <c r="Q53" s="5"/>
      <c r="R53" s="5"/>
      <c r="S53" s="5"/>
      <c r="T53" s="5"/>
    </row>
    <row r="54" spans="1:20" ht="12.75">
      <c r="A54" s="24">
        <f ca="1">IFERROR(__xludf.DUMMYFUNCTION("""COMPUTED_VALUE"""),45669.3972102199)</f>
        <v>45669.397210219897</v>
      </c>
      <c r="B54" s="5" t="str">
        <f ca="1">IFERROR(__xludf.DUMMYFUNCTION("""COMPUTED_VALUE"""),"1670 Arboles Dr")</f>
        <v>1670 Arboles Dr</v>
      </c>
      <c r="C54" s="5" t="str">
        <f ca="1">IFERROR(__xludf.DUMMYFUNCTION("""COMPUTED_VALUE"""),"Glendale")</f>
        <v>Glendale</v>
      </c>
      <c r="D54" s="5" t="str">
        <f ca="1">IFERROR(__xludf.DUMMYFUNCTION("""COMPUTED_VALUE"""),"CA")</f>
        <v>CA</v>
      </c>
      <c r="E54" s="5">
        <f ca="1">IFERROR(__xludf.DUMMYFUNCTION("""COMPUTED_VALUE"""),91207)</f>
        <v>91207</v>
      </c>
      <c r="F54" s="19">
        <f ca="1">IFERROR(__xludf.DUMMYFUNCTION("""COMPUTED_VALUE"""),11800)</f>
        <v>11800</v>
      </c>
      <c r="G54" s="19">
        <f ca="1">IFERROR(__xludf.DUMMYFUNCTION("""COMPUTED_VALUE"""),17900)</f>
        <v>17900</v>
      </c>
      <c r="H54" s="18">
        <f ca="1">IFERROR(__xludf.DUMMYFUNCTION("""COMPUTED_VALUE"""),45666)</f>
        <v>45666</v>
      </c>
      <c r="I54" s="5" t="str">
        <f ca="1">IFERROR(__xludf.DUMMYFUNCTION("""COMPUTED_VALUE"""),"Zillow")</f>
        <v>Zillow</v>
      </c>
      <c r="J54" s="25" t="str">
        <f ca="1">IFERROR(__xludf.DUMMYFUNCTION("""COMPUTED_VALUE"""),"https://www.zillow.com/homedetails/1670-Arboles-Dr-Glendale-CA-91207/20838671_zpid/?utm_campaign=iosappmessage&amp;utm_medium=referral&amp;utm_source=txtshare")</f>
        <v>https://www.zillow.com/homedetails/1670-Arboles-Dr-Glendale-CA-91207/20838671_zpid/?utm_campaign=iosappmessage&amp;utm_medium=referral&amp;utm_source=txtshare</v>
      </c>
      <c r="K54" s="5" t="str">
        <f ca="1">IFERROR(__xludf.DUMMYFUNCTION("""COMPUTED_VALUE"""),"Arthur Mangassarian; RE/MAx Tri City Realty")</f>
        <v>Arthur Mangassarian; RE/MAx Tri City Realty</v>
      </c>
      <c r="L54" s="5"/>
      <c r="M54" s="5"/>
      <c r="N54" s="5" t="str">
        <f ca="1">IFERROR(__xludf.DUMMYFUNCTION("""COMPUTED_VALUE"""),"https://drive.google.com/open?id=1dleLiJO9WbqmPO3JWlIhsX7EyDOISnG3, https://drive.google.com/open?id=1KF5vIrQY8U8ZObBt6B65luIZLEa9Z63t")</f>
        <v>https://drive.google.com/open?id=1dleLiJO9WbqmPO3JWlIhsX7EyDOISnG3, https://drive.google.com/open?id=1KF5vIrQY8U8ZObBt6B65luIZLEa9Z63t</v>
      </c>
      <c r="O54" s="5">
        <f ca="1">IFERROR(__xludf.DUMMYFUNCTION("""COMPUTED_VALUE"""),5650001002)</f>
        <v>5650001002</v>
      </c>
      <c r="P54" s="5" t="str">
        <f ca="1">IFERROR(__xludf.DUMMYFUNCTION("""COMPUTED_VALUE"""),"(818) 549-9000")</f>
        <v>(818) 549-9000</v>
      </c>
      <c r="Q54" s="5"/>
      <c r="R54" s="5"/>
      <c r="S54" s="5"/>
      <c r="T54" s="5"/>
    </row>
    <row r="55" spans="1:20" ht="12.75">
      <c r="A55" s="24">
        <f ca="1">IFERROR(__xludf.DUMMYFUNCTION("""COMPUTED_VALUE"""),45669.4203312847)</f>
        <v>45669.420331284702</v>
      </c>
      <c r="B55" s="5" t="str">
        <f ca="1">IFERROR(__xludf.DUMMYFUNCTION("""COMPUTED_VALUE"""),"17845 Calle Barcelona")</f>
        <v>17845 Calle Barcelona</v>
      </c>
      <c r="C55" s="5" t="str">
        <f ca="1">IFERROR(__xludf.DUMMYFUNCTION("""COMPUTED_VALUE"""),"Rowland Heights")</f>
        <v>Rowland Heights</v>
      </c>
      <c r="D55" s="5" t="str">
        <f ca="1">IFERROR(__xludf.DUMMYFUNCTION("""COMPUTED_VALUE"""),"CA")</f>
        <v>CA</v>
      </c>
      <c r="E55" s="5">
        <f ca="1">IFERROR(__xludf.DUMMYFUNCTION("""COMPUTED_VALUE"""),91748)</f>
        <v>91748</v>
      </c>
      <c r="F55" s="19">
        <f ca="1">IFERROR(__xludf.DUMMYFUNCTION("""COMPUTED_VALUE"""),9000)</f>
        <v>9000</v>
      </c>
      <c r="G55" s="19">
        <f ca="1">IFERROR(__xludf.DUMMYFUNCTION("""COMPUTED_VALUE"""),12500)</f>
        <v>12500</v>
      </c>
      <c r="H55" s="18">
        <f ca="1">IFERROR(__xludf.DUMMYFUNCTION("""COMPUTED_VALUE"""),45667)</f>
        <v>45667</v>
      </c>
      <c r="I55" s="5" t="str">
        <f ca="1">IFERROR(__xludf.DUMMYFUNCTION("""COMPUTED_VALUE"""),"Zillow")</f>
        <v>Zillow</v>
      </c>
      <c r="J55" s="25" t="str">
        <f ca="1">IFERROR(__xludf.DUMMYFUNCTION("""COMPUTED_VALUE"""),"https://www.zillow.com/homedetails/17845-Calle-Barcelona-Rowland-Heights-CA-91748/21479818_zpid/?utm_campaign=iosappmessage&amp;utm_medium=referral&amp;utm_source=txtshare")</f>
        <v>https://www.zillow.com/homedetails/17845-Calle-Barcelona-Rowland-Heights-CA-91748/21479818_zpid/?utm_campaign=iosappmessage&amp;utm_medium=referral&amp;utm_source=txtshare</v>
      </c>
      <c r="K55" s="5" t="str">
        <f ca="1">IFERROR(__xludf.DUMMYFUNCTION("""COMPUTED_VALUE"""),"Penny Liu; RE/MAX 2000")</f>
        <v>Penny Liu; RE/MAX 2000</v>
      </c>
      <c r="L55" s="5"/>
      <c r="M55" s="5"/>
      <c r="N55" s="5" t="str">
        <f ca="1">IFERROR(__xludf.DUMMYFUNCTION("""COMPUTED_VALUE"""),"https://drive.google.com/open?id=1R2W_PJ1B5bScpGYBl02RUIZyf64eCqE1, https://drive.google.com/open?id=1d0vhKYAkYhz4uLlg-oOa0aQ3-pD4nG_K, https://drive.google.com/open?id=1_RJ3E3FL8DiGuQQKHgJnjLwq6YWghiMG")</f>
        <v>https://drive.google.com/open?id=1R2W_PJ1B5bScpGYBl02RUIZyf64eCqE1, https://drive.google.com/open?id=1d0vhKYAkYhz4uLlg-oOa0aQ3-pD4nG_K, https://drive.google.com/open?id=1_RJ3E3FL8DiGuQQKHgJnjLwq6YWghiMG</v>
      </c>
      <c r="O55" s="5">
        <f ca="1">IFERROR(__xludf.DUMMYFUNCTION("""COMPUTED_VALUE"""),8265045008)</f>
        <v>8265045008</v>
      </c>
      <c r="P55" s="5" t="str">
        <f ca="1">IFERROR(__xludf.DUMMYFUNCTION("""COMPUTED_VALUE"""),"626-890-9218")</f>
        <v>626-890-9218</v>
      </c>
      <c r="Q55" s="5"/>
      <c r="R55" s="5"/>
      <c r="S55" s="5"/>
      <c r="T55" s="5"/>
    </row>
    <row r="56" spans="1:20" ht="12.75">
      <c r="A56" s="24">
        <f ca="1">IFERROR(__xludf.DUMMYFUNCTION("""COMPUTED_VALUE"""),45669.4475914699)</f>
        <v>45669.4475914699</v>
      </c>
      <c r="B56" s="5" t="str">
        <f ca="1">IFERROR(__xludf.DUMMYFUNCTION("""COMPUTED_VALUE"""),"2950 Warwick Ave")</f>
        <v>2950 Warwick Ave</v>
      </c>
      <c r="C56" s="5" t="str">
        <f ca="1">IFERROR(__xludf.DUMMYFUNCTION("""COMPUTED_VALUE"""),"Los Angeles ")</f>
        <v xml:space="preserve">Los Angeles </v>
      </c>
      <c r="D56" s="5" t="str">
        <f ca="1">IFERROR(__xludf.DUMMYFUNCTION("""COMPUTED_VALUE"""),"CA ")</f>
        <v xml:space="preserve">CA </v>
      </c>
      <c r="E56" s="5">
        <f ca="1">IFERROR(__xludf.DUMMYFUNCTION("""COMPUTED_VALUE"""),90032)</f>
        <v>90032</v>
      </c>
      <c r="F56" s="19">
        <f ca="1">IFERROR(__xludf.DUMMYFUNCTION("""COMPUTED_VALUE"""),3500)</f>
        <v>3500</v>
      </c>
      <c r="G56" s="19">
        <f ca="1">IFERROR(__xludf.DUMMYFUNCTION("""COMPUTED_VALUE"""),4200)</f>
        <v>4200</v>
      </c>
      <c r="H56" s="18">
        <f ca="1">IFERROR(__xludf.DUMMYFUNCTION("""COMPUTED_VALUE"""),45668)</f>
        <v>45668</v>
      </c>
      <c r="I56" s="5" t="str">
        <f ca="1">IFERROR(__xludf.DUMMYFUNCTION("""COMPUTED_VALUE"""),"Zillow")</f>
        <v>Zillow</v>
      </c>
      <c r="J56" s="25" t="str">
        <f ca="1">IFERROR(__xludf.DUMMYFUNCTION("""COMPUTED_VALUE"""),"https://www.zillow.com/homedetails/2950-Warwick-Ave-Los-Angeles-CA-90032/20643542_zpid/?utm_campaign=iosappmessage&amp;utm_medium=referral&amp;utm_source=txtshare")</f>
        <v>https://www.zillow.com/homedetails/2950-Warwick-Ave-Los-Angeles-CA-90032/20643542_zpid/?utm_campaign=iosappmessage&amp;utm_medium=referral&amp;utm_source=txtshare</v>
      </c>
      <c r="K56" s="5"/>
      <c r="L56" s="5"/>
      <c r="M56" s="5"/>
      <c r="N56" s="5"/>
      <c r="O56" s="5">
        <f ca="1">IFERROR(__xludf.DUMMYFUNCTION("""COMPUTED_VALUE"""),5220022022)</f>
        <v>5220022022</v>
      </c>
      <c r="P56" s="5" t="str">
        <f ca="1">IFERROR(__xludf.DUMMYFUNCTION("""COMPUTED_VALUE"""),"No data")</f>
        <v>No data</v>
      </c>
      <c r="Q56" s="5"/>
      <c r="R56" s="5"/>
      <c r="S56" s="5"/>
      <c r="T56" s="5"/>
    </row>
    <row r="57" spans="1:20" ht="12.75">
      <c r="A57" s="24">
        <f ca="1">IFERROR(__xludf.DUMMYFUNCTION("""COMPUTED_VALUE"""),45669.4528059027)</f>
        <v>45669.4528059027</v>
      </c>
      <c r="B57" s="5" t="str">
        <f ca="1">IFERROR(__xludf.DUMMYFUNCTION("""COMPUTED_VALUE"""),"2943 Virginia Ave")</f>
        <v>2943 Virginia Ave</v>
      </c>
      <c r="C57" s="5" t="str">
        <f ca="1">IFERROR(__xludf.DUMMYFUNCTION("""COMPUTED_VALUE"""),"Santa Monica")</f>
        <v>Santa Monica</v>
      </c>
      <c r="D57" s="5" t="str">
        <f ca="1">IFERROR(__xludf.DUMMYFUNCTION("""COMPUTED_VALUE"""),"CA")</f>
        <v>CA</v>
      </c>
      <c r="E57" s="5">
        <f ca="1">IFERROR(__xludf.DUMMYFUNCTION("""COMPUTED_VALUE"""),90404)</f>
        <v>90404</v>
      </c>
      <c r="F57" s="19">
        <f ca="1">IFERROR(__xludf.DUMMYFUNCTION("""COMPUTED_VALUE"""),19800)</f>
        <v>19800</v>
      </c>
      <c r="G57" s="19">
        <f ca="1">IFERROR(__xludf.DUMMYFUNCTION("""COMPUTED_VALUE"""),35000)</f>
        <v>35000</v>
      </c>
      <c r="H57" s="18">
        <f ca="1">IFERROR(__xludf.DUMMYFUNCTION("""COMPUTED_VALUE"""),45669)</f>
        <v>45669</v>
      </c>
      <c r="I57" s="5" t="str">
        <f ca="1">IFERROR(__xludf.DUMMYFUNCTION("""COMPUTED_VALUE"""),"Zillow")</f>
        <v>Zillow</v>
      </c>
      <c r="J57" s="25" t="str">
        <f ca="1">IFERROR(__xludf.DUMMYFUNCTION("""COMPUTED_VALUE"""),"https://www.zillow.com/homedetails/2943-Virginia-Ave-Santa-Monica-CA-90404/20471162_zpid/")</f>
        <v>https://www.zillow.com/homedetails/2943-Virginia-Ave-Santa-Monica-CA-90404/20471162_zpid/</v>
      </c>
      <c r="K57" s="5" t="str">
        <f ca="1">IFERROR(__xludf.DUMMYFUNCTION("""COMPUTED_VALUE"""),"Mark Wong")</f>
        <v>Mark Wong</v>
      </c>
      <c r="L57" s="5"/>
      <c r="M57" s="5" t="str">
        <f ca="1">IFERROR(__xludf.DUMMYFUNCTION("""COMPUTED_VALUE"""),"Listed for $19,800 in 2023. Re-listed on 1-12-2025 at $35,000. That's a 56% increase.")</f>
        <v>Listed for $19,800 in 2023. Re-listed on 1-12-2025 at $35,000. That's a 56% increase.</v>
      </c>
      <c r="N57" s="26" t="str">
        <f ca="1">IFERROR(__xludf.DUMMYFUNCTION("""COMPUTED_VALUE"""),"https://drive.google.com/open?id=1ykTw-MninZQREUhz3VJJVdhr_XoM3_rA")</f>
        <v>https://drive.google.com/open?id=1ykTw-MninZQREUhz3VJJVdhr_XoM3_rA</v>
      </c>
      <c r="O57" s="5">
        <f ca="1">IFERROR(__xludf.DUMMYFUNCTION("""COMPUTED_VALUE"""),4268021032)</f>
        <v>4268021032</v>
      </c>
      <c r="P57" s="5" t="str">
        <f ca="1">IFERROR(__xludf.DUMMYFUNCTION("""COMPUTED_VALUE"""),"No data")</f>
        <v>No data</v>
      </c>
      <c r="Q57" s="5"/>
      <c r="R57" s="5"/>
      <c r="S57" s="5"/>
      <c r="T57" s="5"/>
    </row>
    <row r="58" spans="1:20" ht="12.75">
      <c r="A58" s="24">
        <f ca="1">IFERROR(__xludf.DUMMYFUNCTION("""COMPUTED_VALUE"""),45669.4551010995)</f>
        <v>45669.455101099498</v>
      </c>
      <c r="B58" s="5" t="str">
        <f ca="1">IFERROR(__xludf.DUMMYFUNCTION("""COMPUTED_VALUE"""),"130 S Meredith Ave Apartment 1")</f>
        <v>130 S Meredith Ave Apartment 1</v>
      </c>
      <c r="C58" s="5" t="str">
        <f ca="1">IFERROR(__xludf.DUMMYFUNCTION("""COMPUTED_VALUE"""),"Pasadena")</f>
        <v>Pasadena</v>
      </c>
      <c r="D58" s="5" t="str">
        <f ca="1">IFERROR(__xludf.DUMMYFUNCTION("""COMPUTED_VALUE"""),"CA")</f>
        <v>CA</v>
      </c>
      <c r="E58" s="5">
        <f ca="1">IFERROR(__xludf.DUMMYFUNCTION("""COMPUTED_VALUE"""),91106)</f>
        <v>91106</v>
      </c>
      <c r="F58" s="19">
        <f ca="1">IFERROR(__xludf.DUMMYFUNCTION("""COMPUTED_VALUE"""),1000)</f>
        <v>1000</v>
      </c>
      <c r="G58" s="19">
        <f ca="1">IFERROR(__xludf.DUMMYFUNCTION("""COMPUTED_VALUE"""),1750)</f>
        <v>1750</v>
      </c>
      <c r="H58" s="18">
        <f ca="1">IFERROR(__xludf.DUMMYFUNCTION("""COMPUTED_VALUE"""),45536)</f>
        <v>45536</v>
      </c>
      <c r="I58" s="5" t="str">
        <f ca="1">IFERROR(__xludf.DUMMYFUNCTION("""COMPUTED_VALUE"""),"Zillow")</f>
        <v>Zillow</v>
      </c>
      <c r="J58" s="5" t="str">
        <f ca="1">IFERROR(__xludf.DUMMYFUNCTION("""COMPUTED_VALUE"""),"N/A")</f>
        <v>N/A</v>
      </c>
      <c r="K58" s="5"/>
      <c r="L58" s="5"/>
      <c r="M58" s="5" t="str">
        <f ca="1">IFERROR(__xludf.DUMMYFUNCTION("""COMPUTED_VALUE"""),"Subleasing")</f>
        <v>Subleasing</v>
      </c>
      <c r="N58" s="5"/>
      <c r="O58" s="5">
        <f ca="1">IFERROR(__xludf.DUMMYFUNCTION("""COMPUTED_VALUE"""),5736026032)</f>
        <v>5736026032</v>
      </c>
      <c r="P58" s="5"/>
      <c r="Q58" s="5"/>
      <c r="R58" s="5"/>
      <c r="S58" s="5"/>
      <c r="T58" s="5"/>
    </row>
    <row r="59" spans="1:20" ht="12.75">
      <c r="A59" s="24">
        <f ca="1">IFERROR(__xludf.DUMMYFUNCTION("""COMPUTED_VALUE"""),45669.4993642361)</f>
        <v>45669.499364236101</v>
      </c>
      <c r="B59" s="5" t="str">
        <f ca="1">IFERROR(__xludf.DUMMYFUNCTION("""COMPUTED_VALUE"""),"710 Westbourne Dr")</f>
        <v>710 Westbourne Dr</v>
      </c>
      <c r="C59" s="5" t="str">
        <f ca="1">IFERROR(__xludf.DUMMYFUNCTION("""COMPUTED_VALUE"""),"West Hollywood")</f>
        <v>West Hollywood</v>
      </c>
      <c r="D59" s="5" t="str">
        <f ca="1">IFERROR(__xludf.DUMMYFUNCTION("""COMPUTED_VALUE"""),"CA")</f>
        <v>CA</v>
      </c>
      <c r="E59" s="5">
        <f ca="1">IFERROR(__xludf.DUMMYFUNCTION("""COMPUTED_VALUE"""),90069)</f>
        <v>90069</v>
      </c>
      <c r="F59" s="19">
        <f ca="1">IFERROR(__xludf.DUMMYFUNCTION("""COMPUTED_VALUE"""),9500)</f>
        <v>9500</v>
      </c>
      <c r="G59" s="19">
        <f ca="1">IFERROR(__xludf.DUMMYFUNCTION("""COMPUTED_VALUE"""),11995)</f>
        <v>11995</v>
      </c>
      <c r="H59" s="18">
        <f ca="1">IFERROR(__xludf.DUMMYFUNCTION("""COMPUTED_VALUE"""),45668)</f>
        <v>45668</v>
      </c>
      <c r="I59" s="5" t="str">
        <f ca="1">IFERROR(__xludf.DUMMYFUNCTION("""COMPUTED_VALUE"""),"Zillow")</f>
        <v>Zillow</v>
      </c>
      <c r="J59" s="25" t="str">
        <f ca="1">IFERROR(__xludf.DUMMYFUNCTION("""COMPUTED_VALUE"""),"https://www.zillow.com/homedetails/710-Westbourne-Dr-West-Hollywood-CA-90069/2098186436_zpid/")</f>
        <v>https://www.zillow.com/homedetails/710-Westbourne-Dr-West-Hollywood-CA-90069/2098186436_zpid/</v>
      </c>
      <c r="K59" s="5" t="str">
        <f ca="1">IFERROR(__xludf.DUMMYFUNCTION("""COMPUTED_VALUE"""),"Sabrina Herman; Gussman Czako Estates")</f>
        <v>Sabrina Herman; Gussman Czako Estates</v>
      </c>
      <c r="L59" s="5"/>
      <c r="M59" s="5"/>
      <c r="N59" s="5" t="str">
        <f ca="1">IFERROR(__xludf.DUMMYFUNCTION("""COMPUTED_VALUE"""),"https://drive.google.com/open?id=1K_uIEDphLlRd9luFXdu03FtXHzbaBOWQ, https://drive.google.com/open?id=1Nya9jQRlkzc6zZpHyLCeIIp0lfeWWPC9")</f>
        <v>https://drive.google.com/open?id=1K_uIEDphLlRd9luFXdu03FtXHzbaBOWQ, https://drive.google.com/open?id=1Nya9jQRlkzc6zZpHyLCeIIp0lfeWWPC9</v>
      </c>
      <c r="O59" s="5" t="str">
        <f ca="1">IFERROR(__xludf.DUMMYFUNCTION("""COMPUTED_VALUE"""),"NA")</f>
        <v>NA</v>
      </c>
      <c r="P59" s="5" t="str">
        <f ca="1">IFERROR(__xludf.DUMMYFUNCTION("""COMPUTED_VALUE"""),"(805) 455-9494")</f>
        <v>(805) 455-9494</v>
      </c>
      <c r="Q59" s="5"/>
      <c r="R59" s="5"/>
      <c r="S59" s="5"/>
      <c r="T59" s="5"/>
    </row>
    <row r="60" spans="1:20" ht="12.75">
      <c r="A60" s="24">
        <f ca="1">IFERROR(__xludf.DUMMYFUNCTION("""COMPUTED_VALUE"""),45669.5125526388)</f>
        <v>45669.5125526388</v>
      </c>
      <c r="B60" s="5" t="str">
        <f ca="1">IFERROR(__xludf.DUMMYFUNCTION("""COMPUTED_VALUE"""),"Many")</f>
        <v>Many</v>
      </c>
      <c r="C60" s="5" t="str">
        <f ca="1">IFERROR(__xludf.DUMMYFUNCTION("""COMPUTED_VALUE"""),"Los Angeles, etc")</f>
        <v>Los Angeles, etc</v>
      </c>
      <c r="D60" s="5" t="str">
        <f ca="1">IFERROR(__xludf.DUMMYFUNCTION("""COMPUTED_VALUE"""),"CA")</f>
        <v>CA</v>
      </c>
      <c r="E60" s="5">
        <f ca="1">IFERROR(__xludf.DUMMYFUNCTION("""COMPUTED_VALUE"""),90026)</f>
        <v>90026</v>
      </c>
      <c r="F60" s="5" t="str">
        <f ca="1">IFERROR(__xludf.DUMMYFUNCTION("""COMPUTED_VALUE"""),"varies")</f>
        <v>varies</v>
      </c>
      <c r="G60" s="5" t="str">
        <f ca="1">IFERROR(__xludf.DUMMYFUNCTION("""COMPUTED_VALUE"""),"varies")</f>
        <v>varies</v>
      </c>
      <c r="H60" s="18">
        <f ca="1">IFERROR(__xludf.DUMMYFUNCTION("""COMPUTED_VALUE"""),45668)</f>
        <v>45668</v>
      </c>
      <c r="I60" s="5" t="str">
        <f ca="1">IFERROR(__xludf.DUMMYFUNCTION("""COMPUTED_VALUE"""),"Zillow")</f>
        <v>Zillow</v>
      </c>
      <c r="J60" s="25" t="str">
        <f ca="1">IFERROR(__xludf.DUMMYFUNCTION("""COMPUTED_VALUE"""),"https://www.zillow.com/homedetails/636-Acanto-St-APT-104-Los-Angeles-CA-90049/2123187503_zpid/  https://www.zillow.com/homedetails/3715-Kelton-Ave-APT-3-Los-Angeles-CA-90034/2080996983_zpid/  https://www.zillow.com/homedetails/4800-Zelzah-Ave-Encino-CA-91"&amp;"316/19950258_zpid/  https://www.zillow.com/homedetails/1129-La-Puerta-St-Los-Angeles-CA-90023/20635360_zpid/  https://www.zillow.com/homedetails/2397-Mayfield-Ave-Montrose-CA-91020/2054213653_zpid/  https://www.zillow.com/homedetails/2950-Warwick-Ave-Los-"&amp;"Angeles-CA-90032/20643542_zpid/  https://www.zillow.com/homedetails/8700-Chalmers-Dr-301-Los-Angeles-CA-90035/2078397244_zpid/  https://www.zillow.com/homedetails/2451-Century-Hl-Los-Angeles-CA-90067/20510302_zpid/  https://www.zillow.com/homedetails/503-"&amp;"N-Santa-Anita-Ave-A-Arcadia-CA-91006/2077677076_zpid/  https://www.zillow.com/homedetails/5351-Packard-St-Los-Angeles-CA-90019/20608115_zpid/  https://www.zillow.com/homedetails/121-N-Croft-Ave-APT-205-Los-Angeles-CA-90048/20776940_zpid/  https://www.zill"&amp;"ow.com/homedetails/9297-Burton-Way-B-Beverly-Hills-CA-90210/2070939537_zpid/  https://www.zillow.com/homedetails/1026-E-Verdugo-Ave-Burbank-CA-91501/20054588_zpid/")</f>
        <v>https://www.zillow.com/homedetails/636-Acanto-St-APT-104-Los-Angeles-CA-90049/2123187503_zpid/  https://www.zillow.com/homedetails/3715-Kelton-Ave-APT-3-Los-Angeles-CA-90034/2080996983_zpid/  https://www.zillow.com/homedetails/4800-Zelzah-Ave-Encino-CA-91316/19950258_zpid/  https://www.zillow.com/homedetails/1129-La-Puerta-St-Los-Angeles-CA-90023/20635360_zpid/  https://www.zillow.com/homedetails/2397-Mayfield-Ave-Montrose-CA-91020/2054213653_zpid/  https://www.zillow.com/homedetails/2950-Warwick-Ave-Los-Angeles-CA-90032/20643542_zpid/  https://www.zillow.com/homedetails/8700-Chalmers-Dr-301-Los-Angeles-CA-90035/2078397244_zpid/  https://www.zillow.com/homedetails/2451-Century-Hl-Los-Angeles-CA-90067/20510302_zpid/  https://www.zillow.com/homedetails/503-N-Santa-Anita-Ave-A-Arcadia-CA-91006/2077677076_zpid/  https://www.zillow.com/homedetails/5351-Packard-St-Los-Angeles-CA-90019/20608115_zpid/  https://www.zillow.com/homedetails/121-N-Croft-Ave-APT-205-Los-Angeles-CA-90048/20776940_zpid/  https://www.zillow.com/homedetails/9297-Burton-Way-B-Beverly-Hills-CA-90210/2070939537_zpid/  https://www.zillow.com/homedetails/1026-E-Verdugo-Ave-Burbank-CA-91501/20054588_zpid/</v>
      </c>
      <c r="K60" s="5"/>
      <c r="L60" s="5"/>
      <c r="M60" s="5"/>
      <c r="N60" s="5"/>
      <c r="O60" s="5" t="str">
        <f ca="1">IFERROR(__xludf.DUMMYFUNCTION("""COMPUTED_VALUE"""),"Can't find them")</f>
        <v>Can't find them</v>
      </c>
      <c r="P60" s="5"/>
      <c r="Q60" s="5"/>
      <c r="R60" s="5"/>
      <c r="S60" s="5"/>
      <c r="T60" s="5"/>
    </row>
    <row r="61" spans="1:20" ht="12.75">
      <c r="A61" s="24">
        <f ca="1">IFERROR(__xludf.DUMMYFUNCTION("""COMPUTED_VALUE"""),45669.5293315162)</f>
        <v>45669.529331516198</v>
      </c>
      <c r="B61" s="5" t="str">
        <f ca="1">IFERROR(__xludf.DUMMYFUNCTION("""COMPUTED_VALUE"""),"1026 E Verdugo Ave")</f>
        <v>1026 E Verdugo Ave</v>
      </c>
      <c r="C61" s="5" t="str">
        <f ca="1">IFERROR(__xludf.DUMMYFUNCTION("""COMPUTED_VALUE"""),"Burbank")</f>
        <v>Burbank</v>
      </c>
      <c r="D61" s="5" t="str">
        <f ca="1">IFERROR(__xludf.DUMMYFUNCTION("""COMPUTED_VALUE"""),"CA")</f>
        <v>CA</v>
      </c>
      <c r="E61" s="5">
        <f ca="1">IFERROR(__xludf.DUMMYFUNCTION("""COMPUTED_VALUE"""),91501)</f>
        <v>91501</v>
      </c>
      <c r="F61" s="19">
        <f ca="1">IFERROR(__xludf.DUMMYFUNCTION("""COMPUTED_VALUE"""),7865)</f>
        <v>7865</v>
      </c>
      <c r="G61" s="19">
        <f ca="1">IFERROR(__xludf.DUMMYFUNCTION("""COMPUTED_VALUE"""),8650)</f>
        <v>8650</v>
      </c>
      <c r="H61" s="18">
        <f ca="1">IFERROR(__xludf.DUMMYFUNCTION("""COMPUTED_VALUE"""),45668)</f>
        <v>45668</v>
      </c>
      <c r="I61" s="5" t="str">
        <f ca="1">IFERROR(__xludf.DUMMYFUNCTION("""COMPUTED_VALUE"""),"Zillow")</f>
        <v>Zillow</v>
      </c>
      <c r="J61" s="25" t="str">
        <f ca="1">IFERROR(__xludf.DUMMYFUNCTION("""COMPUTED_VALUE"""),"https://www.zillow.com/homedetails/1026-E-Verdugo-Ave-Burbank-CA-91501/20054588_zpid/")</f>
        <v>https://www.zillow.com/homedetails/1026-E-Verdugo-Ave-Burbank-CA-91501/20054588_zpid/</v>
      </c>
      <c r="K61" s="5" t="str">
        <f ca="1">IFERROR(__xludf.DUMMYFUNCTION("""COMPUTED_VALUE"""),"Arthur Mangassarian RE/MAX TRI-CITY REALTY")</f>
        <v>Arthur Mangassarian RE/MAX TRI-CITY REALTY</v>
      </c>
      <c r="L61" s="5"/>
      <c r="M61" s="5" t="str">
        <f ca="1">IFERROR(__xludf.DUMMYFUNCTION("""COMPUTED_VALUE"""),"Initially increased price to $12,000 on 1/9 (52.6% increase), then lowered it again")</f>
        <v>Initially increased price to $12,000 on 1/9 (52.6% increase), then lowered it again</v>
      </c>
      <c r="N61" s="26" t="str">
        <f ca="1">IFERROR(__xludf.DUMMYFUNCTION("""COMPUTED_VALUE"""),"https://drive.google.com/open?id=19LOxbfLT395OOpkSgqGooyVIaWmio7sh")</f>
        <v>https://drive.google.com/open?id=19LOxbfLT395OOpkSgqGooyVIaWmio7sh</v>
      </c>
      <c r="O61" s="5">
        <f ca="1">IFERROR(__xludf.DUMMYFUNCTION("""COMPUTED_VALUE"""),2456035010)</f>
        <v>2456035010</v>
      </c>
      <c r="P61" s="5" t="str">
        <f ca="1">IFERROR(__xludf.DUMMYFUNCTION("""COMPUTED_VALUE"""),"(818) 549-9000")</f>
        <v>(818) 549-9000</v>
      </c>
      <c r="Q61" s="5"/>
      <c r="R61" s="5"/>
      <c r="S61" s="5"/>
      <c r="T61" s="5"/>
    </row>
    <row r="62" spans="1:20" ht="12.75">
      <c r="A62" s="24">
        <f ca="1">IFERROR(__xludf.DUMMYFUNCTION("""COMPUTED_VALUE"""),45669.538424699)</f>
        <v>45669.538424699</v>
      </c>
      <c r="B62" s="5" t="str">
        <f ca="1">IFERROR(__xludf.DUMMYFUNCTION("""COMPUTED_VALUE"""),"223 Lake Shore Terrace Unit 1/2")</f>
        <v>223 Lake Shore Terrace Unit 1/2</v>
      </c>
      <c r="C62" s="5" t="str">
        <f ca="1">IFERROR(__xludf.DUMMYFUNCTION("""COMPUTED_VALUE"""),"Los Angeles")</f>
        <v>Los Angeles</v>
      </c>
      <c r="D62" s="5" t="str">
        <f ca="1">IFERROR(__xludf.DUMMYFUNCTION("""COMPUTED_VALUE"""),"CA")</f>
        <v>CA</v>
      </c>
      <c r="E62" s="5">
        <f ca="1">IFERROR(__xludf.DUMMYFUNCTION("""COMPUTED_VALUE"""),90026)</f>
        <v>90026</v>
      </c>
      <c r="F62" s="19">
        <f ca="1">IFERROR(__xludf.DUMMYFUNCTION("""COMPUTED_VALUE"""),1995)</f>
        <v>1995</v>
      </c>
      <c r="G62" s="19">
        <f ca="1">IFERROR(__xludf.DUMMYFUNCTION("""COMPUTED_VALUE"""),2250)</f>
        <v>2250</v>
      </c>
      <c r="H62" s="18">
        <f ca="1">IFERROR(__xludf.DUMMYFUNCTION("""COMPUTED_VALUE"""),45665)</f>
        <v>45665</v>
      </c>
      <c r="I62" s="5" t="str">
        <f ca="1">IFERROR(__xludf.DUMMYFUNCTION("""COMPUTED_VALUE"""),"Zillow")</f>
        <v>Zillow</v>
      </c>
      <c r="J62" s="25" t="str">
        <f ca="1">IFERROR(__xludf.DUMMYFUNCTION("""COMPUTED_VALUE"""),"https://www.zillow.com/homedetails/223-Lake-Shore-Ter-UNIT-12-Los-Angeles-CA-90026/2058442885_zpid/?utm_campaign=iosappmessage&amp;utm_medium=referral&amp;utm_source=txtshare")</f>
        <v>https://www.zillow.com/homedetails/223-Lake-Shore-Ter-UNIT-12-Los-Angeles-CA-90026/2058442885_zpid/?utm_campaign=iosappmessage&amp;utm_medium=referral&amp;utm_source=txtshare</v>
      </c>
      <c r="K62" s="5"/>
      <c r="L62" s="5" t="str">
        <f ca="1">IFERROR(__xludf.DUMMYFUNCTION("""COMPUTED_VALUE"""),"Violeta")</f>
        <v>Violeta</v>
      </c>
      <c r="M62" s="5"/>
      <c r="N62" s="5" t="str">
        <f ca="1">IFERROR(__xludf.DUMMYFUNCTION("""COMPUTED_VALUE"""),"https://drive.google.com/open?id=1h8c3wJw0YdpQTKzUU2gqVQVx2XickIxF, https://drive.google.com/open?id=10to9cyP3yny8Qn1QRyQdc8vKMeSUJ34G")</f>
        <v>https://drive.google.com/open?id=1h8c3wJw0YdpQTKzUU2gqVQVx2XickIxF, https://drive.google.com/open?id=10to9cyP3yny8Qn1QRyQdc8vKMeSUJ34G</v>
      </c>
      <c r="O62" s="5">
        <f ca="1">IFERROR(__xludf.DUMMYFUNCTION("""COMPUTED_VALUE"""),5159017005)</f>
        <v>5159017005</v>
      </c>
      <c r="P62" s="5"/>
      <c r="Q62" s="5"/>
      <c r="R62" s="5" t="str">
        <f ca="1">IFERROR(__xludf.DUMMYFUNCTION("""COMPUTED_VALUE"""),"N/A")</f>
        <v>N/A</v>
      </c>
      <c r="S62" s="5"/>
      <c r="T62" s="5"/>
    </row>
    <row r="63" spans="1:20" ht="12.75">
      <c r="A63" s="24">
        <f ca="1">IFERROR(__xludf.DUMMYFUNCTION("""COMPUTED_VALUE"""),45669.5659818171)</f>
        <v>45669.565981817097</v>
      </c>
      <c r="B63" s="5" t="str">
        <f ca="1">IFERROR(__xludf.DUMMYFUNCTION("""COMPUTED_VALUE"""),"Undisclosed Address")</f>
        <v>Undisclosed Address</v>
      </c>
      <c r="C63" s="5" t="str">
        <f ca="1">IFERROR(__xludf.DUMMYFUNCTION("""COMPUTED_VALUE"""),"Venice")</f>
        <v>Venice</v>
      </c>
      <c r="D63" s="5" t="str">
        <f ca="1">IFERROR(__xludf.DUMMYFUNCTION("""COMPUTED_VALUE"""),"CA")</f>
        <v>CA</v>
      </c>
      <c r="E63" s="5">
        <f ca="1">IFERROR(__xludf.DUMMYFUNCTION("""COMPUTED_VALUE"""),90291)</f>
        <v>90291</v>
      </c>
      <c r="F63" s="19">
        <f ca="1">IFERROR(__xludf.DUMMYFUNCTION("""COMPUTED_VALUE"""),19500)</f>
        <v>19500</v>
      </c>
      <c r="G63" s="19">
        <f ca="1">IFERROR(__xludf.DUMMYFUNCTION("""COMPUTED_VALUE"""),29000)</f>
        <v>29000</v>
      </c>
      <c r="H63" s="18">
        <f ca="1">IFERROR(__xludf.DUMMYFUNCTION("""COMPUTED_VALUE"""),45669)</f>
        <v>45669</v>
      </c>
      <c r="I63" s="5" t="str">
        <f ca="1">IFERROR(__xludf.DUMMYFUNCTION("""COMPUTED_VALUE"""),"Zillow")</f>
        <v>Zillow</v>
      </c>
      <c r="J63" s="25" t="str">
        <f ca="1">IFERROR(__xludf.DUMMYFUNCTION("""COMPUTED_VALUE"""),"https://www.zillow.com/homedetails/Venice-CA-90291/2059889727_zpid/")</f>
        <v>https://www.zillow.com/homedetails/Venice-CA-90291/2059889727_zpid/</v>
      </c>
      <c r="K63" s="5"/>
      <c r="L63" s="5" t="str">
        <f ca="1">IFERROR(__xludf.DUMMYFUNCTION("""COMPUTED_VALUE"""),"Jill Belasco")</f>
        <v>Jill Belasco</v>
      </c>
      <c r="M63" s="5" t="str">
        <f ca="1">IFERROR(__xludf.DUMMYFUNCTION("""COMPUTED_VALUE"""),"This listing was removed on 10/26/23 and while just relisted on the market on 1/12/25, it's now gone from $19,500 to $29,000 which is a 48.7% increase in a little over the year.")</f>
        <v>This listing was removed on 10/26/23 and while just relisted on the market on 1/12/25, it's now gone from $19,500 to $29,000 which is a 48.7% increase in a little over the year.</v>
      </c>
      <c r="N63" s="26" t="str">
        <f ca="1">IFERROR(__xludf.DUMMYFUNCTION("""COMPUTED_VALUE"""),"https://drive.google.com/open?id=1lurDtvavOtJQHEH-jszWykgd0ctuSATo")</f>
        <v>https://drive.google.com/open?id=1lurDtvavOtJQHEH-jszWykgd0ctuSATo</v>
      </c>
      <c r="O63" s="5" t="str">
        <f ca="1">IFERROR(__xludf.DUMMYFUNCTION("""COMPUTED_VALUE"""),"Not Listed")</f>
        <v>Not Listed</v>
      </c>
      <c r="P63" s="5"/>
      <c r="Q63" s="5"/>
      <c r="R63" s="5" t="str">
        <f ca="1">IFERROR(__xludf.DUMMYFUNCTION("""COMPUTED_VALUE"""),"(213) 463-7003")</f>
        <v>(213) 463-7003</v>
      </c>
      <c r="S63" s="5"/>
      <c r="T63" s="5"/>
    </row>
    <row r="64" spans="1:20" ht="12.75">
      <c r="A64" s="24">
        <f ca="1">IFERROR(__xludf.DUMMYFUNCTION("""COMPUTED_VALUE"""),45669.5695564351)</f>
        <v>45669.569556435097</v>
      </c>
      <c r="B64" s="5" t="str">
        <f ca="1">IFERROR(__xludf.DUMMYFUNCTION("""COMPUTED_VALUE"""),"2390 Nalin Dr")</f>
        <v>2390 Nalin Dr</v>
      </c>
      <c r="C64" s="5" t="str">
        <f ca="1">IFERROR(__xludf.DUMMYFUNCTION("""COMPUTED_VALUE"""),"Los Angeles")</f>
        <v>Los Angeles</v>
      </c>
      <c r="D64" s="5" t="str">
        <f ca="1">IFERROR(__xludf.DUMMYFUNCTION("""COMPUTED_VALUE"""),"CA")</f>
        <v>CA</v>
      </c>
      <c r="E64" s="5">
        <f ca="1">IFERROR(__xludf.DUMMYFUNCTION("""COMPUTED_VALUE"""),90077)</f>
        <v>90077</v>
      </c>
      <c r="F64" s="19">
        <f ca="1">IFERROR(__xludf.DUMMYFUNCTION("""COMPUTED_VALUE"""),8350)</f>
        <v>8350</v>
      </c>
      <c r="G64" s="19">
        <f ca="1">IFERROR(__xludf.DUMMYFUNCTION("""COMPUTED_VALUE"""),9950)</f>
        <v>9950</v>
      </c>
      <c r="H64" s="18">
        <f ca="1">IFERROR(__xludf.DUMMYFUNCTION("""COMPUTED_VALUE"""),45669)</f>
        <v>45669</v>
      </c>
      <c r="I64" s="5" t="str">
        <f ca="1">IFERROR(__xludf.DUMMYFUNCTION("""COMPUTED_VALUE"""),"Zillow")</f>
        <v>Zillow</v>
      </c>
      <c r="J64" s="25" t="str">
        <f ca="1">IFERROR(__xludf.DUMMYFUNCTION("""COMPUTED_VALUE"""),"https://www.zillow.com/homedetails/2390-Nalin-Dr-Los-Angeles-CA-90077/20531088_zpid/")</f>
        <v>https://www.zillow.com/homedetails/2390-Nalin-Dr-Los-Angeles-CA-90077/20531088_zpid/</v>
      </c>
      <c r="K64" s="5" t="str">
        <f ca="1">IFERROR(__xludf.DUMMYFUNCTION("""COMPUTED_VALUE"""),"Scott Saltzman")</f>
        <v>Scott Saltzman</v>
      </c>
      <c r="L64" s="5"/>
      <c r="M64" s="5"/>
      <c r="N64" s="5" t="str">
        <f ca="1">IFERROR(__xludf.DUMMYFUNCTION("""COMPUTED_VALUE"""),"https://drive.google.com/open?id=1T9CRsfcg9fYBOs5oaK-N5mTkJ9Qu0LKr, https://drive.google.com/open?id=1eKaVskjxUh39LVHrSYN2pKxaSFblbPbO")</f>
        <v>https://drive.google.com/open?id=1T9CRsfcg9fYBOs5oaK-N5mTkJ9Qu0LKr, https://drive.google.com/open?id=1eKaVskjxUh39LVHrSYN2pKxaSFblbPbO</v>
      </c>
      <c r="O64" s="5">
        <f ca="1">IFERROR(__xludf.DUMMYFUNCTION("""COMPUTED_VALUE"""),4378028024)</f>
        <v>4378028024</v>
      </c>
      <c r="P64" s="5" t="str">
        <f ca="1">IFERROR(__xludf.DUMMYFUNCTION("""COMPUTED_VALUE"""),"(818) 802-8669")</f>
        <v>(818) 802-8669</v>
      </c>
      <c r="Q64" s="5"/>
      <c r="R64" s="5"/>
      <c r="S64" s="5"/>
      <c r="T64" s="5"/>
    </row>
    <row r="65" spans="1:20" ht="12.75">
      <c r="A65" s="24">
        <f ca="1">IFERROR(__xludf.DUMMYFUNCTION("""COMPUTED_VALUE"""),45669.5713281828)</f>
        <v>45669.571328182799</v>
      </c>
      <c r="B65" s="5" t="str">
        <f ca="1">IFERROR(__xludf.DUMMYFUNCTION("""COMPUTED_VALUE"""),"1439 Cabrillo Ave")</f>
        <v>1439 Cabrillo Ave</v>
      </c>
      <c r="C65" s="5" t="str">
        <f ca="1">IFERROR(__xludf.DUMMYFUNCTION("""COMPUTED_VALUE"""),"Venice")</f>
        <v>Venice</v>
      </c>
      <c r="D65" s="5" t="str">
        <f ca="1">IFERROR(__xludf.DUMMYFUNCTION("""COMPUTED_VALUE"""),"CA")</f>
        <v>CA</v>
      </c>
      <c r="E65" s="5">
        <f ca="1">IFERROR(__xludf.DUMMYFUNCTION("""COMPUTED_VALUE"""),90291)</f>
        <v>90291</v>
      </c>
      <c r="F65" s="19">
        <f ca="1">IFERROR(__xludf.DUMMYFUNCTION("""COMPUTED_VALUE"""),7200)</f>
        <v>7200</v>
      </c>
      <c r="G65" s="19">
        <f ca="1">IFERROR(__xludf.DUMMYFUNCTION("""COMPUTED_VALUE"""),8500)</f>
        <v>8500</v>
      </c>
      <c r="H65" s="18">
        <f ca="1">IFERROR(__xludf.DUMMYFUNCTION("""COMPUTED_VALUE"""),45668)</f>
        <v>45668</v>
      </c>
      <c r="I65" s="5" t="str">
        <f ca="1">IFERROR(__xludf.DUMMYFUNCTION("""COMPUTED_VALUE"""),"Zillow")</f>
        <v>Zillow</v>
      </c>
      <c r="J65" s="25" t="str">
        <f ca="1">IFERROR(__xludf.DUMMYFUNCTION("""COMPUTED_VALUE"""),"https://www.zillow.com/homedetails/1439-Cabrillo-Ave-Venice-CA-90291/20450140_zpid/")</f>
        <v>https://www.zillow.com/homedetails/1439-Cabrillo-Ave-Venice-CA-90291/20450140_zpid/</v>
      </c>
      <c r="K65" s="5"/>
      <c r="L65" s="5" t="str">
        <f ca="1">IFERROR(__xludf.DUMMYFUNCTION("""COMPUTED_VALUE"""),"Alan")</f>
        <v>Alan</v>
      </c>
      <c r="M65" s="5" t="str">
        <f ca="1">IFERROR(__xludf.DUMMYFUNCTION("""COMPUTED_VALUE"""),"Rent was listed at $7,200 just one year ago on 1/11/24 before it was removed from market on 1/15/24. Relisted on 1/11/25 after the fires at an 18.1% increase, to $8,500.")</f>
        <v>Rent was listed at $7,200 just one year ago on 1/11/24 before it was removed from market on 1/15/24. Relisted on 1/11/25 after the fires at an 18.1% increase, to $8,500.</v>
      </c>
      <c r="N65" s="26" t="str">
        <f ca="1">IFERROR(__xludf.DUMMYFUNCTION("""COMPUTED_VALUE"""),"https://drive.google.com/open?id=1wxNjKYoel_QAQMNm9a86uwQOoKNzPqvq")</f>
        <v>https://drive.google.com/open?id=1wxNjKYoel_QAQMNm9a86uwQOoKNzPqvq</v>
      </c>
      <c r="O65" s="5">
        <f ca="1">IFERROR(__xludf.DUMMYFUNCTION("""COMPUTED_VALUE"""),4238004028)</f>
        <v>4238004028</v>
      </c>
      <c r="P65" s="5"/>
      <c r="Q65" s="5"/>
      <c r="R65" s="5" t="str">
        <f ca="1">IFERROR(__xludf.DUMMYFUNCTION("""COMPUTED_VALUE"""),"(424) 567-6639")</f>
        <v>(424) 567-6639</v>
      </c>
      <c r="S65" s="5"/>
      <c r="T65" s="5"/>
    </row>
    <row r="66" spans="1:20" ht="12.75">
      <c r="A66" s="24">
        <f ca="1">IFERROR(__xludf.DUMMYFUNCTION("""COMPUTED_VALUE"""),45669.5727570949)</f>
        <v>45669.572757094902</v>
      </c>
      <c r="B66" s="5" t="str">
        <f ca="1">IFERROR(__xludf.DUMMYFUNCTION("""COMPUTED_VALUE"""),"636 Acanto St APT 104")</f>
        <v>636 Acanto St APT 104</v>
      </c>
      <c r="C66" s="5" t="str">
        <f ca="1">IFERROR(__xludf.DUMMYFUNCTION("""COMPUTED_VALUE"""),"Los Angeles")</f>
        <v>Los Angeles</v>
      </c>
      <c r="D66" s="5" t="str">
        <f ca="1">IFERROR(__xludf.DUMMYFUNCTION("""COMPUTED_VALUE"""),"CA")</f>
        <v>CA</v>
      </c>
      <c r="E66" s="5">
        <f ca="1">IFERROR(__xludf.DUMMYFUNCTION("""COMPUTED_VALUE"""),90049)</f>
        <v>90049</v>
      </c>
      <c r="F66" s="19">
        <f ca="1">IFERROR(__xludf.DUMMYFUNCTION("""COMPUTED_VALUE"""),2600)</f>
        <v>2600</v>
      </c>
      <c r="G66" s="19">
        <f ca="1">IFERROR(__xludf.DUMMYFUNCTION("""COMPUTED_VALUE"""),3100)</f>
        <v>3100</v>
      </c>
      <c r="H66" s="18">
        <f ca="1">IFERROR(__xludf.DUMMYFUNCTION("""COMPUTED_VALUE"""),45667)</f>
        <v>45667</v>
      </c>
      <c r="I66" s="5" t="str">
        <f ca="1">IFERROR(__xludf.DUMMYFUNCTION("""COMPUTED_VALUE"""),"Zillow")</f>
        <v>Zillow</v>
      </c>
      <c r="J66" s="25" t="str">
        <f ca="1">IFERROR(__xludf.DUMMYFUNCTION("""COMPUTED_VALUE"""),"https://www.zillow.com/homedetails/636-Acanto-St-APT-104-Los-Angeles-CA-90049/2123187503_zpid/")</f>
        <v>https://www.zillow.com/homedetails/636-Acanto-St-APT-104-Los-Angeles-CA-90049/2123187503_zpid/</v>
      </c>
      <c r="K66" s="5" t="str">
        <f ca="1">IFERROR(__xludf.DUMMYFUNCTION("""COMPUTED_VALUE"""),"Paola Mireles")</f>
        <v>Paola Mireles</v>
      </c>
      <c r="L66" s="5"/>
      <c r="M66" s="5"/>
      <c r="N66" s="26" t="str">
        <f ca="1">IFERROR(__xludf.DUMMYFUNCTION("""COMPUTED_VALUE"""),"https://drive.google.com/open?id=1qpacoSkvsBYeqUK6C-z3dB2yY0lScYrd")</f>
        <v>https://drive.google.com/open?id=1qpacoSkvsBYeqUK6C-z3dB2yY0lScYrd</v>
      </c>
      <c r="O66" s="5" t="str">
        <f ca="1">IFERROR(__xludf.DUMMYFUNCTION("""COMPUTED_VALUE"""),"N/A")</f>
        <v>N/A</v>
      </c>
      <c r="P66" s="5" t="str">
        <f ca="1">IFERROR(__xludf.DUMMYFUNCTION("""COMPUTED_VALUE"""),"(213) 682-3675")</f>
        <v>(213) 682-3675</v>
      </c>
      <c r="Q66" s="5"/>
      <c r="R66" s="5"/>
      <c r="S66" s="5"/>
      <c r="T66" s="5"/>
    </row>
    <row r="67" spans="1:20" ht="12.75">
      <c r="A67" s="24">
        <f ca="1">IFERROR(__xludf.DUMMYFUNCTION("""COMPUTED_VALUE"""),45669.5745459953)</f>
        <v>45669.574545995303</v>
      </c>
      <c r="B67" s="5" t="str">
        <f ca="1">IFERROR(__xludf.DUMMYFUNCTION("""COMPUTED_VALUE"""),"1916 W. Court St.")</f>
        <v>1916 W. Court St.</v>
      </c>
      <c r="C67" s="5" t="str">
        <f ca="1">IFERROR(__xludf.DUMMYFUNCTION("""COMPUTED_VALUE"""),"Los Angeles")</f>
        <v>Los Angeles</v>
      </c>
      <c r="D67" s="5" t="str">
        <f ca="1">IFERROR(__xludf.DUMMYFUNCTION("""COMPUTED_VALUE"""),"CA")</f>
        <v>CA</v>
      </c>
      <c r="E67" s="5">
        <f ca="1">IFERROR(__xludf.DUMMYFUNCTION("""COMPUTED_VALUE"""),90026)</f>
        <v>90026</v>
      </c>
      <c r="F67" s="19">
        <f ca="1">IFERROR(__xludf.DUMMYFUNCTION("""COMPUTED_VALUE"""),9995)</f>
        <v>9995</v>
      </c>
      <c r="G67" s="19">
        <f ca="1">IFERROR(__xludf.DUMMYFUNCTION("""COMPUTED_VALUE"""),14500)</f>
        <v>14500</v>
      </c>
      <c r="H67" s="18">
        <f ca="1">IFERROR(__xludf.DUMMYFUNCTION("""COMPUTED_VALUE"""),45669)</f>
        <v>45669</v>
      </c>
      <c r="I67" s="5" t="str">
        <f ca="1">IFERROR(__xludf.DUMMYFUNCTION("""COMPUTED_VALUE"""),"Zillow")</f>
        <v>Zillow</v>
      </c>
      <c r="J67" s="25" t="str">
        <f ca="1">IFERROR(__xludf.DUMMYFUNCTION("""COMPUTED_VALUE"""),"https://www.zillow.com/homedetails/1916-W-Court-St-Los-Angeles-CA-90026/20627817_zpid/")</f>
        <v>https://www.zillow.com/homedetails/1916-W-Court-St-Los-Angeles-CA-90026/20627817_zpid/</v>
      </c>
      <c r="K67" s="5" t="str">
        <f ca="1">IFERROR(__xludf.DUMMYFUNCTION("""COMPUTED_VALUE"""),"Ofir Malul")</f>
        <v>Ofir Malul</v>
      </c>
      <c r="L67" s="5"/>
      <c r="M67" s="5"/>
      <c r="N67" s="5" t="str">
        <f ca="1">IFERROR(__xludf.DUMMYFUNCTION("""COMPUTED_VALUE"""),"https://drive.google.com/open?id=1mhNPI3BdVU4qRbZf2SqEM23-9WAwME9C, https://drive.google.com/open?id=1KJMm8QAOpPLNXNayxSuW2F0VPx-5Hx7L")</f>
        <v>https://drive.google.com/open?id=1mhNPI3BdVU4qRbZf2SqEM23-9WAwME9C, https://drive.google.com/open?id=1KJMm8QAOpPLNXNayxSuW2F0VPx-5Hx7L</v>
      </c>
      <c r="O67" s="5">
        <f ca="1">IFERROR(__xludf.DUMMYFUNCTION("""COMPUTED_VALUE"""),5157027044)</f>
        <v>5157027044</v>
      </c>
      <c r="P67" s="5" t="str">
        <f ca="1">IFERROR(__xludf.DUMMYFUNCTION("""COMPUTED_VALUE"""),"818-220-2703")</f>
        <v>818-220-2703</v>
      </c>
      <c r="Q67" s="5"/>
      <c r="R67" s="5"/>
      <c r="S67" s="5"/>
      <c r="T67" s="5"/>
    </row>
    <row r="68" spans="1:20" ht="12.75">
      <c r="A68" s="24">
        <f ca="1">IFERROR(__xludf.DUMMYFUNCTION("""COMPUTED_VALUE"""),45669.574682743)</f>
        <v>45669.574682742998</v>
      </c>
      <c r="B68" s="5" t="str">
        <f ca="1">IFERROR(__xludf.DUMMYFUNCTION("""COMPUTED_VALUE"""),"3715 Kelton Ave APT 3")</f>
        <v>3715 Kelton Ave APT 3</v>
      </c>
      <c r="C68" s="5" t="str">
        <f ca="1">IFERROR(__xludf.DUMMYFUNCTION("""COMPUTED_VALUE"""),"Los Angeles")</f>
        <v>Los Angeles</v>
      </c>
      <c r="D68" s="5" t="str">
        <f ca="1">IFERROR(__xludf.DUMMYFUNCTION("""COMPUTED_VALUE"""),"CA")</f>
        <v>CA</v>
      </c>
      <c r="E68" s="5">
        <f ca="1">IFERROR(__xludf.DUMMYFUNCTION("""COMPUTED_VALUE"""),90034)</f>
        <v>90034</v>
      </c>
      <c r="F68" s="19">
        <f ca="1">IFERROR(__xludf.DUMMYFUNCTION("""COMPUTED_VALUE"""),3695)</f>
        <v>3695</v>
      </c>
      <c r="G68" s="19">
        <f ca="1">IFERROR(__xludf.DUMMYFUNCTION("""COMPUTED_VALUE"""),4500)</f>
        <v>4500</v>
      </c>
      <c r="H68" s="18">
        <f ca="1">IFERROR(__xludf.DUMMYFUNCTION("""COMPUTED_VALUE"""),45668)</f>
        <v>45668</v>
      </c>
      <c r="I68" s="5" t="str">
        <f ca="1">IFERROR(__xludf.DUMMYFUNCTION("""COMPUTED_VALUE"""),"Zillow")</f>
        <v>Zillow</v>
      </c>
      <c r="J68" s="25" t="str">
        <f ca="1">IFERROR(__xludf.DUMMYFUNCTION("""COMPUTED_VALUE"""),"https://www.zillow.com/homedetails/3715-Kelton-Ave-APT-3-Los-Angeles-CA-90034/2080996983_zpid/")</f>
        <v>https://www.zillow.com/homedetails/3715-Kelton-Ave-APT-3-Los-Angeles-CA-90034/2080996983_zpid/</v>
      </c>
      <c r="K68" s="5" t="str">
        <f ca="1">IFERROR(__xludf.DUMMYFUNCTION("""COMPUTED_VALUE""")," Metropolitan Property Services, LLC")</f>
        <v xml:space="preserve"> Metropolitan Property Services, LLC</v>
      </c>
      <c r="L68" s="5"/>
      <c r="M68" s="5"/>
      <c r="N68" s="26" t="str">
        <f ca="1">IFERROR(__xludf.DUMMYFUNCTION("""COMPUTED_VALUE"""),"https://drive.google.com/open?id=1yXe6Ac2kk8syGVdp2eVnmztgqk2TvenN")</f>
        <v>https://drive.google.com/open?id=1yXe6Ac2kk8syGVdp2eVnmztgqk2TvenN</v>
      </c>
      <c r="O68" s="5" t="str">
        <f ca="1">IFERROR(__xludf.DUMMYFUNCTION("""COMPUTED_VALUE"""),"N/A")</f>
        <v>N/A</v>
      </c>
      <c r="P68" s="5" t="str">
        <f ca="1">IFERROR(__xludf.DUMMYFUNCTION("""COMPUTED_VALUE"""),"(310) 758-8711")</f>
        <v>(310) 758-8711</v>
      </c>
      <c r="Q68" s="5"/>
      <c r="R68" s="5"/>
      <c r="S68" s="5"/>
      <c r="T68" s="5"/>
    </row>
    <row r="69" spans="1:20" ht="12.75">
      <c r="A69" s="24">
        <f ca="1">IFERROR(__xludf.DUMMYFUNCTION("""COMPUTED_VALUE"""),45669.5754024189)</f>
        <v>45669.575402418901</v>
      </c>
      <c r="B69" s="5" t="str">
        <f ca="1">IFERROR(__xludf.DUMMYFUNCTION("""COMPUTED_VALUE"""),"16754 Armstead St")</f>
        <v>16754 Armstead St</v>
      </c>
      <c r="C69" s="5" t="str">
        <f ca="1">IFERROR(__xludf.DUMMYFUNCTION("""COMPUTED_VALUE""")," Granada Hills")</f>
        <v xml:space="preserve"> Granada Hills</v>
      </c>
      <c r="D69" s="5" t="str">
        <f ca="1">IFERROR(__xludf.DUMMYFUNCTION("""COMPUTED_VALUE"""),"CA")</f>
        <v>CA</v>
      </c>
      <c r="E69" s="5">
        <f ca="1">IFERROR(__xludf.DUMMYFUNCTION("""COMPUTED_VALUE"""),91344)</f>
        <v>91344</v>
      </c>
      <c r="F69" s="19">
        <f ca="1">IFERROR(__xludf.DUMMYFUNCTION("""COMPUTED_VALUE"""),6000)</f>
        <v>6000</v>
      </c>
      <c r="G69" s="19">
        <f ca="1">IFERROR(__xludf.DUMMYFUNCTION("""COMPUTED_VALUE"""),7000)</f>
        <v>7000</v>
      </c>
      <c r="H69" s="18">
        <f ca="1">IFERROR(__xludf.DUMMYFUNCTION("""COMPUTED_VALUE"""),45669)</f>
        <v>45669</v>
      </c>
      <c r="I69" s="5" t="str">
        <f ca="1">IFERROR(__xludf.DUMMYFUNCTION("""COMPUTED_VALUE"""),"Zillow")</f>
        <v>Zillow</v>
      </c>
      <c r="J69" s="25" t="str">
        <f ca="1">IFERROR(__xludf.DUMMYFUNCTION("""COMPUTED_VALUE"""),"https://www.zillow.com/homedetails/16754-Armstead-St-Granada-Hills-CA-91344/20110441_zpid/")</f>
        <v>https://www.zillow.com/homedetails/16754-Armstead-St-Granada-Hills-CA-91344/20110441_zpid/</v>
      </c>
      <c r="K69" s="5" t="str">
        <f ca="1">IFERROR(__xludf.DUMMYFUNCTION("""COMPUTED_VALUE"""),"Lana")</f>
        <v>Lana</v>
      </c>
      <c r="L69" s="5"/>
      <c r="M69" s="5"/>
      <c r="N69" s="5" t="str">
        <f ca="1">IFERROR(__xludf.DUMMYFUNCTION("""COMPUTED_VALUE"""),"https://drive.google.com/open?id=1YzaRtVgrXqa7ILmizKVeVlZm9F3rRPIy, https://drive.google.com/open?id=1zPdlfaYgt-8RWcw75Nyp0uEIW1VKWx3M")</f>
        <v>https://drive.google.com/open?id=1YzaRtVgrXqa7ILmizKVeVlZm9F3rRPIy, https://drive.google.com/open?id=1zPdlfaYgt-8RWcw75Nyp0uEIW1VKWx3M</v>
      </c>
      <c r="O69" s="5">
        <f ca="1">IFERROR(__xludf.DUMMYFUNCTION("""COMPUTED_VALUE"""),2610012002)</f>
        <v>2610012002</v>
      </c>
      <c r="P69" s="5" t="str">
        <f ca="1">IFERROR(__xludf.DUMMYFUNCTION("""COMPUTED_VALUE"""),"(213) 715-4914")</f>
        <v>(213) 715-4914</v>
      </c>
      <c r="Q69" s="5"/>
      <c r="R69" s="5"/>
      <c r="S69" s="5"/>
      <c r="T69" s="5"/>
    </row>
    <row r="70" spans="1:20" ht="12.75">
      <c r="A70" s="24">
        <f ca="1">IFERROR(__xludf.DUMMYFUNCTION("""COMPUTED_VALUE"""),45669.5792020601)</f>
        <v>45669.5792020601</v>
      </c>
      <c r="B70" s="5" t="str">
        <f ca="1">IFERROR(__xludf.DUMMYFUNCTION("""COMPUTED_VALUE"""),"14949 La Cumbre Dr")</f>
        <v>14949 La Cumbre Dr</v>
      </c>
      <c r="C70" s="5" t="str">
        <f ca="1">IFERROR(__xludf.DUMMYFUNCTION("""COMPUTED_VALUE"""),"Los Angeles")</f>
        <v>Los Angeles</v>
      </c>
      <c r="D70" s="5" t="str">
        <f ca="1">IFERROR(__xludf.DUMMYFUNCTION("""COMPUTED_VALUE"""),"CA")</f>
        <v>CA</v>
      </c>
      <c r="E70" s="5">
        <f ca="1">IFERROR(__xludf.DUMMYFUNCTION("""COMPUTED_VALUE"""),90272)</f>
        <v>90272</v>
      </c>
      <c r="F70" s="19">
        <f ca="1">IFERROR(__xludf.DUMMYFUNCTION("""COMPUTED_VALUE"""),29500)</f>
        <v>29500</v>
      </c>
      <c r="G70" s="19">
        <f ca="1">IFERROR(__xludf.DUMMYFUNCTION("""COMPUTED_VALUE"""),35000)</f>
        <v>35000</v>
      </c>
      <c r="H70" s="18">
        <f ca="1">IFERROR(__xludf.DUMMYFUNCTION("""COMPUTED_VALUE"""),45667)</f>
        <v>45667</v>
      </c>
      <c r="I70" s="5" t="str">
        <f ca="1">IFERROR(__xludf.DUMMYFUNCTION("""COMPUTED_VALUE"""),"Zillow")</f>
        <v>Zillow</v>
      </c>
      <c r="J70" s="25" t="str">
        <f ca="1">IFERROR(__xludf.DUMMYFUNCTION("""COMPUTED_VALUE"""),"https://www.zillow.com/homedetails/14949-La-Cumbre-Dr-Pacific-Palisades-CA-90272/20540543_zpid/")</f>
        <v>https://www.zillow.com/homedetails/14949-La-Cumbre-Dr-Pacific-Palisades-CA-90272/20540543_zpid/</v>
      </c>
      <c r="K70" s="5" t="str">
        <f ca="1">IFERROR(__xludf.DUMMYFUNCTION("""COMPUTED_VALUE"""),"Amir Zac Mostame")</f>
        <v>Amir Zac Mostame</v>
      </c>
      <c r="L70" s="5" t="str">
        <f ca="1">IFERROR(__xludf.DUMMYFUNCTION("""COMPUTED_VALUE"""),"N/A")</f>
        <v>N/A</v>
      </c>
      <c r="M70" s="5" t="str">
        <f ca="1">IFERROR(__xludf.DUMMYFUNCTION("""COMPUTED_VALUE"""),"Was listed for sale on 9/3. Offered for rent starting 10/2 and listed for sale again on 10/3. Rent increased on 1/10 while no change in sale price. Listed as available now. Currently listed by brokerage.")</f>
        <v>Was listed for sale on 9/3. Offered for rent starting 10/2 and listed for sale again on 10/3. Rent increased on 1/10 while no change in sale price. Listed as available now. Currently listed by brokerage.</v>
      </c>
      <c r="N70" s="26" t="str">
        <f ca="1">IFERROR(__xludf.DUMMYFUNCTION("""COMPUTED_VALUE"""),"https://drive.google.com/open?id=1pvzkBpdeIXh2kqSpYTEzhjJ8g1t0qowR")</f>
        <v>https://drive.google.com/open?id=1pvzkBpdeIXh2kqSpYTEzhjJ8g1t0qowR</v>
      </c>
      <c r="O70" s="5">
        <f ca="1">IFERROR(__xludf.DUMMYFUNCTION("""COMPUTED_VALUE"""),4411022006)</f>
        <v>4411022006</v>
      </c>
      <c r="P70" s="5" t="str">
        <f ca="1">IFERROR(__xludf.DUMMYFUNCTION("""COMPUTED_VALUE"""),"(424) 527-8889")</f>
        <v>(424) 527-8889</v>
      </c>
      <c r="Q70" s="5"/>
      <c r="R70" s="5" t="str">
        <f ca="1">IFERROR(__xludf.DUMMYFUNCTION("""COMPUTED_VALUE"""),"N/A")</f>
        <v>N/A</v>
      </c>
      <c r="S70" s="5"/>
      <c r="T70" s="5"/>
    </row>
    <row r="71" spans="1:20" ht="12.75">
      <c r="A71" s="24">
        <f ca="1">IFERROR(__xludf.DUMMYFUNCTION("""COMPUTED_VALUE"""),45669.5803597222)</f>
        <v>45669.580359722197</v>
      </c>
      <c r="B71" s="5" t="str">
        <f ca="1">IFERROR(__xludf.DUMMYFUNCTION("""COMPUTED_VALUE"""),"2559 Hutton Dr")</f>
        <v>2559 Hutton Dr</v>
      </c>
      <c r="C71" s="5" t="str">
        <f ca="1">IFERROR(__xludf.DUMMYFUNCTION("""COMPUTED_VALUE"""),"Beverly Hills")</f>
        <v>Beverly Hills</v>
      </c>
      <c r="D71" s="5" t="str">
        <f ca="1">IFERROR(__xludf.DUMMYFUNCTION("""COMPUTED_VALUE"""),"CA")</f>
        <v>CA</v>
      </c>
      <c r="E71" s="5">
        <f ca="1">IFERROR(__xludf.DUMMYFUNCTION("""COMPUTED_VALUE"""),90210)</f>
        <v>90210</v>
      </c>
      <c r="F71" s="19">
        <f ca="1">IFERROR(__xludf.DUMMYFUNCTION("""COMPUTED_VALUE"""),7999)</f>
        <v>7999</v>
      </c>
      <c r="G71" s="19">
        <f ca="1">IFERROR(__xludf.DUMMYFUNCTION("""COMPUTED_VALUE"""),10500)</f>
        <v>10500</v>
      </c>
      <c r="H71" s="18">
        <f ca="1">IFERROR(__xludf.DUMMYFUNCTION("""COMPUTED_VALUE"""),45669)</f>
        <v>45669</v>
      </c>
      <c r="I71" s="5" t="str">
        <f ca="1">IFERROR(__xludf.DUMMYFUNCTION("""COMPUTED_VALUE"""),"Zillow")</f>
        <v>Zillow</v>
      </c>
      <c r="J71" s="25" t="str">
        <f ca="1">IFERROR(__xludf.DUMMYFUNCTION("""COMPUTED_VALUE"""),"https://www.zillow.com/homedetails/2559-Hutton-Dr-Beverly-Hills-CA-90210/20532078_zpid/")</f>
        <v>https://www.zillow.com/homedetails/2559-Hutton-Dr-Beverly-Hills-CA-90210/20532078_zpid/</v>
      </c>
      <c r="K71" s="5" t="str">
        <f ca="1">IFERROR(__xludf.DUMMYFUNCTION("""COMPUTED_VALUE"""),"Roger Perry")</f>
        <v>Roger Perry</v>
      </c>
      <c r="L71" s="5"/>
      <c r="M71" s="5"/>
      <c r="N71" s="5" t="str">
        <f ca="1">IFERROR(__xludf.DUMMYFUNCTION("""COMPUTED_VALUE"""),"https://drive.google.com/open?id=1LURpu8yngxl-mK9Pu61OBwY3_579prGj, https://drive.google.com/open?id=1Vj3c892l2r6dXGTy5pgg26hTBR_CH6xA")</f>
        <v>https://drive.google.com/open?id=1LURpu8yngxl-mK9Pu61OBwY3_579prGj, https://drive.google.com/open?id=1Vj3c892l2r6dXGTy5pgg26hTBR_CH6xA</v>
      </c>
      <c r="O71" s="5">
        <f ca="1">IFERROR(__xludf.DUMMYFUNCTION("""COMPUTED_VALUE"""),4382011014)</f>
        <v>4382011014</v>
      </c>
      <c r="P71" s="5" t="str">
        <f ca="1">IFERROR(__xludf.DUMMYFUNCTION("""COMPUTED_VALUE"""),"(310) 740-4029")</f>
        <v>(310) 740-4029</v>
      </c>
      <c r="Q71" s="5"/>
      <c r="R71" s="5"/>
      <c r="S71" s="5"/>
      <c r="T71" s="5"/>
    </row>
    <row r="72" spans="1:20" ht="12.75">
      <c r="A72" s="24">
        <f ca="1">IFERROR(__xludf.DUMMYFUNCTION("""COMPUTED_VALUE"""),45669.5804012037)</f>
        <v>45669.580401203697</v>
      </c>
      <c r="B72" s="5" t="str">
        <f ca="1">IFERROR(__xludf.DUMMYFUNCTION("""COMPUTED_VALUE"""),"1240 Morningside Way")</f>
        <v>1240 Morningside Way</v>
      </c>
      <c r="C72" s="5" t="str">
        <f ca="1">IFERROR(__xludf.DUMMYFUNCTION("""COMPUTED_VALUE"""),"Venice")</f>
        <v>Venice</v>
      </c>
      <c r="D72" s="5" t="str">
        <f ca="1">IFERROR(__xludf.DUMMYFUNCTION("""COMPUTED_VALUE"""),"CA")</f>
        <v>CA</v>
      </c>
      <c r="E72" s="5">
        <f ca="1">IFERROR(__xludf.DUMMYFUNCTION("""COMPUTED_VALUE"""),90291)</f>
        <v>90291</v>
      </c>
      <c r="F72" s="19">
        <f ca="1">IFERROR(__xludf.DUMMYFUNCTION("""COMPUTED_VALUE"""),3000)</f>
        <v>3000</v>
      </c>
      <c r="G72" s="19">
        <f ca="1">IFERROR(__xludf.DUMMYFUNCTION("""COMPUTED_VALUE"""),31888)</f>
        <v>31888</v>
      </c>
      <c r="H72" s="18">
        <f ca="1">IFERROR(__xludf.DUMMYFUNCTION("""COMPUTED_VALUE"""),45669)</f>
        <v>45669</v>
      </c>
      <c r="I72" s="5" t="str">
        <f ca="1">IFERROR(__xludf.DUMMYFUNCTION("""COMPUTED_VALUE"""),"Zillow")</f>
        <v>Zillow</v>
      </c>
      <c r="J72" s="25" t="str">
        <f ca="1">IFERROR(__xludf.DUMMYFUNCTION("""COMPUTED_VALUE"""),"https://www.zillow.com/homedetails/1240-Morningside-Way-Venice-CA-90291/20454370_zpid/")</f>
        <v>https://www.zillow.com/homedetails/1240-Morningside-Way-Venice-CA-90291/20454370_zpid/</v>
      </c>
      <c r="K72" s="5"/>
      <c r="L72" s="5" t="str">
        <f ca="1">IFERROR(__xludf.DUMMYFUNCTION("""COMPUTED_VALUE"""),"Richman Bry")</f>
        <v>Richman Bry</v>
      </c>
      <c r="M72" s="5" t="str">
        <f ca="1">IFERROR(__xludf.DUMMYFUNCTION("""COMPUTED_VALUE"""),"The home was removed from the market just 2 years ago on 1/11/23 with a listed price of $3,000 a month. The home was put back on the market after the fires on 1/12/25 for $31,888 which is a 962.9% increase from previously listed price.")</f>
        <v>The home was removed from the market just 2 years ago on 1/11/23 with a listed price of $3,000 a month. The home was put back on the market after the fires on 1/12/25 for $31,888 which is a 962.9% increase from previously listed price.</v>
      </c>
      <c r="N72" s="26" t="str">
        <f ca="1">IFERROR(__xludf.DUMMYFUNCTION("""COMPUTED_VALUE"""),"https://drive.google.com/open?id=1V18ERb5uGG3twa-Qp410Y2d9PmUGuzm2")</f>
        <v>https://drive.google.com/open?id=1V18ERb5uGG3twa-Qp410Y2d9PmUGuzm2</v>
      </c>
      <c r="O72" s="5">
        <f ca="1">IFERROR(__xludf.DUMMYFUNCTION("""COMPUTED_VALUE"""),4244019018)</f>
        <v>4244019018</v>
      </c>
      <c r="P72" s="5"/>
      <c r="Q72" s="5"/>
      <c r="R72" s="5" t="str">
        <f ca="1">IFERROR(__xludf.DUMMYFUNCTION("""COMPUTED_VALUE"""),"(310) 985-0287")</f>
        <v>(310) 985-0287</v>
      </c>
      <c r="S72" s="5"/>
      <c r="T72" s="5"/>
    </row>
    <row r="73" spans="1:20" ht="12.75">
      <c r="A73" s="24">
        <f ca="1">IFERROR(__xludf.DUMMYFUNCTION("""COMPUTED_VALUE"""),45669.5806405787)</f>
        <v>45669.580640578701</v>
      </c>
      <c r="B73" s="5" t="str">
        <f ca="1">IFERROR(__xludf.DUMMYFUNCTION("""COMPUTED_VALUE"""),"4800 Zelzah Ave")</f>
        <v>4800 Zelzah Ave</v>
      </c>
      <c r="C73" s="5" t="str">
        <f ca="1">IFERROR(__xludf.DUMMYFUNCTION("""COMPUTED_VALUE"""),"Encino")</f>
        <v>Encino</v>
      </c>
      <c r="D73" s="5" t="str">
        <f ca="1">IFERROR(__xludf.DUMMYFUNCTION("""COMPUTED_VALUE"""),"CA")</f>
        <v>CA</v>
      </c>
      <c r="E73" s="5">
        <f ca="1">IFERROR(__xludf.DUMMYFUNCTION("""COMPUTED_VALUE"""),91316)</f>
        <v>91316</v>
      </c>
      <c r="F73" s="19">
        <f ca="1">IFERROR(__xludf.DUMMYFUNCTION("""COMPUTED_VALUE"""),35000)</f>
        <v>35000</v>
      </c>
      <c r="G73" s="19">
        <f ca="1">IFERROR(__xludf.DUMMYFUNCTION("""COMPUTED_VALUE"""),80000)</f>
        <v>80000</v>
      </c>
      <c r="H73" s="18">
        <f ca="1">IFERROR(__xludf.DUMMYFUNCTION("""COMPUTED_VALUE"""),45666)</f>
        <v>45666</v>
      </c>
      <c r="I73" s="5" t="str">
        <f ca="1">IFERROR(__xludf.DUMMYFUNCTION("""COMPUTED_VALUE"""),"Zillow")</f>
        <v>Zillow</v>
      </c>
      <c r="J73" s="25" t="str">
        <f ca="1">IFERROR(__xludf.DUMMYFUNCTION("""COMPUTED_VALUE"""),"https://www.zillow.com/homedetails/4800-Zelzah-Ave-Encino-CA-91316/19950258_zpid/")</f>
        <v>https://www.zillow.com/homedetails/4800-Zelzah-Ave-Encino-CA-91316/19950258_zpid/</v>
      </c>
      <c r="K73" s="5"/>
      <c r="L73" s="5"/>
      <c r="M73" s="5"/>
      <c r="N73" s="26" t="str">
        <f ca="1">IFERROR(__xludf.DUMMYFUNCTION("""COMPUTED_VALUE"""),"https://drive.google.com/open?id=1fhSobXuxZhGPcfrN-Jlxfuhn11GnH5jQ")</f>
        <v>https://drive.google.com/open?id=1fhSobXuxZhGPcfrN-Jlxfuhn11GnH5jQ</v>
      </c>
      <c r="O73" s="5">
        <f ca="1">IFERROR(__xludf.DUMMYFUNCTION("""COMPUTED_VALUE"""),2182016006)</f>
        <v>2182016006</v>
      </c>
      <c r="P73" s="5"/>
      <c r="Q73" s="5"/>
      <c r="R73" s="5"/>
      <c r="S73" s="5"/>
      <c r="T73" s="5"/>
    </row>
    <row r="74" spans="1:20" ht="12.75">
      <c r="A74" s="24">
        <f ca="1">IFERROR(__xludf.DUMMYFUNCTION("""COMPUTED_VALUE"""),45669.5821579745)</f>
        <v>45669.582157974502</v>
      </c>
      <c r="B74" s="5" t="str">
        <f ca="1">IFERROR(__xludf.DUMMYFUNCTION("""COMPUTED_VALUE"""),"1129 La Puerta St")</f>
        <v>1129 La Puerta St</v>
      </c>
      <c r="C74" s="5" t="str">
        <f ca="1">IFERROR(__xludf.DUMMYFUNCTION("""COMPUTED_VALUE"""),"Los Angeles")</f>
        <v>Los Angeles</v>
      </c>
      <c r="D74" s="5" t="str">
        <f ca="1">IFERROR(__xludf.DUMMYFUNCTION("""COMPUTED_VALUE"""),"CA")</f>
        <v>CA</v>
      </c>
      <c r="E74" s="5">
        <f ca="1">IFERROR(__xludf.DUMMYFUNCTION("""COMPUTED_VALUE"""),90023)</f>
        <v>90023</v>
      </c>
      <c r="F74" s="19">
        <f ca="1">IFERROR(__xludf.DUMMYFUNCTION("""COMPUTED_VALUE"""),3500)</f>
        <v>3500</v>
      </c>
      <c r="G74" s="19">
        <f ca="1">IFERROR(__xludf.DUMMYFUNCTION("""COMPUTED_VALUE"""),4000)</f>
        <v>4000</v>
      </c>
      <c r="H74" s="18">
        <f ca="1">IFERROR(__xludf.DUMMYFUNCTION("""COMPUTED_VALUE"""),45669)</f>
        <v>45669</v>
      </c>
      <c r="I74" s="5" t="str">
        <f ca="1">IFERROR(__xludf.DUMMYFUNCTION("""COMPUTED_VALUE"""),"Zillow")</f>
        <v>Zillow</v>
      </c>
      <c r="J74" s="25" t="str">
        <f ca="1">IFERROR(__xludf.DUMMYFUNCTION("""COMPUTED_VALUE"""),"https://www.zillow.com/homedetails/1129-La-Puerta-St-Los-Angeles-CA-90023/20635360_zpid/")</f>
        <v>https://www.zillow.com/homedetails/1129-La-Puerta-St-Los-Angeles-CA-90023/20635360_zpid/</v>
      </c>
      <c r="K74" s="5" t="str">
        <f ca="1">IFERROR(__xludf.DUMMYFUNCTION("""COMPUTED_VALUE"""),"David Tramontano The Jireh Group - Property Management and Realty")</f>
        <v>David Tramontano The Jireh Group - Property Management and Realty</v>
      </c>
      <c r="L74" s="5"/>
      <c r="M74" s="5"/>
      <c r="N74" s="26" t="str">
        <f ca="1">IFERROR(__xludf.DUMMYFUNCTION("""COMPUTED_VALUE"""),"https://drive.google.com/open?id=1dJQe56fwRBMNI5SOGMC31gPXmo_2Do6N")</f>
        <v>https://drive.google.com/open?id=1dJQe56fwRBMNI5SOGMC31gPXmo_2Do6N</v>
      </c>
      <c r="O74" s="5">
        <f ca="1">IFERROR(__xludf.DUMMYFUNCTION("""COMPUTED_VALUE"""),5191002003)</f>
        <v>5191002003</v>
      </c>
      <c r="P74" s="5" t="str">
        <f ca="1">IFERROR(__xludf.DUMMYFUNCTION("""COMPUTED_VALUE"""),"(626) 324-9448")</f>
        <v>(626) 324-9448</v>
      </c>
      <c r="Q74" s="5"/>
      <c r="R74" s="5"/>
      <c r="S74" s="5"/>
      <c r="T74" s="5"/>
    </row>
    <row r="75" spans="1:20" ht="12.75">
      <c r="A75" s="24">
        <f ca="1">IFERROR(__xludf.DUMMYFUNCTION("""COMPUTED_VALUE"""),45669.5830951967)</f>
        <v>45669.5830951967</v>
      </c>
      <c r="B75" s="5" t="str">
        <f ca="1">IFERROR(__xludf.DUMMYFUNCTION("""COMPUTED_VALUE"""),"114 Pacific Ave")</f>
        <v>114 Pacific Ave</v>
      </c>
      <c r="C75" s="5" t="str">
        <f ca="1">IFERROR(__xludf.DUMMYFUNCTION("""COMPUTED_VALUE"""),"Venice")</f>
        <v>Venice</v>
      </c>
      <c r="D75" s="5" t="str">
        <f ca="1">IFERROR(__xludf.DUMMYFUNCTION("""COMPUTED_VALUE"""),"CA")</f>
        <v>CA</v>
      </c>
      <c r="E75" s="5">
        <f ca="1">IFERROR(__xludf.DUMMYFUNCTION("""COMPUTED_VALUE"""),90291)</f>
        <v>90291</v>
      </c>
      <c r="F75" s="19">
        <f ca="1">IFERROR(__xludf.DUMMYFUNCTION("""COMPUTED_VALUE"""),8995)</f>
        <v>8995</v>
      </c>
      <c r="G75" s="19">
        <f ca="1">IFERROR(__xludf.DUMMYFUNCTION("""COMPUTED_VALUE"""),11500)</f>
        <v>11500</v>
      </c>
      <c r="H75" s="18">
        <f ca="1">IFERROR(__xludf.DUMMYFUNCTION("""COMPUTED_VALUE"""),45669)</f>
        <v>45669</v>
      </c>
      <c r="I75" s="5" t="str">
        <f ca="1">IFERROR(__xludf.DUMMYFUNCTION("""COMPUTED_VALUE"""),"Zillow")</f>
        <v>Zillow</v>
      </c>
      <c r="J75" s="25" t="str">
        <f ca="1">IFERROR(__xludf.DUMMYFUNCTION("""COMPUTED_VALUE"""),"https://www.zillow.com/homedetails/114-Pacific-Ave-Venice-CA-90291/20482017_zpid/")</f>
        <v>https://www.zillow.com/homedetails/114-Pacific-Ave-Venice-CA-90291/20482017_zpid/</v>
      </c>
      <c r="K75" s="5" t="str">
        <f ca="1">IFERROR(__xludf.DUMMYFUNCTION("""COMPUTED_VALUE"""),"Lee Tonks - Tonks Agency Inc")</f>
        <v>Lee Tonks - Tonks Agency Inc</v>
      </c>
      <c r="L75" s="5"/>
      <c r="M75" s="5" t="str">
        <f ca="1">IFERROR(__xludf.DUMMYFUNCTION("""COMPUTED_VALUE"""),"The price was repeatedly dropped on this listing since 2023. The last listing was increased to $8,995 before removed on 10/5/24. The house was put back on the market on 1/12/25 for $11,500 for a 27.8% increase from it's previous price.")</f>
        <v>The price was repeatedly dropped on this listing since 2023. The last listing was increased to $8,995 before removed on 10/5/24. The house was put back on the market on 1/12/25 for $11,500 for a 27.8% increase from it's previous price.</v>
      </c>
      <c r="N75" s="26" t="str">
        <f ca="1">IFERROR(__xludf.DUMMYFUNCTION("""COMPUTED_VALUE"""),"https://drive.google.com/open?id=15mqxuwsMa7JJ_yiSeiBzSZBXdars85Gd")</f>
        <v>https://drive.google.com/open?id=15mqxuwsMa7JJ_yiSeiBzSZBXdars85Gd</v>
      </c>
      <c r="O75" s="5">
        <f ca="1">IFERROR(__xludf.DUMMYFUNCTION("""COMPUTED_VALUE"""),4286017023)</f>
        <v>4286017023</v>
      </c>
      <c r="P75" s="5" t="str">
        <f ca="1">IFERROR(__xludf.DUMMYFUNCTION("""COMPUTED_VALUE"""),"(310) 980-3979")</f>
        <v>(310) 980-3979</v>
      </c>
      <c r="Q75" s="5"/>
      <c r="R75" s="5"/>
      <c r="S75" s="5"/>
      <c r="T75" s="5"/>
    </row>
    <row r="76" spans="1:20" ht="12.75">
      <c r="A76" s="24">
        <f ca="1">IFERROR(__xludf.DUMMYFUNCTION("""COMPUTED_VALUE"""),45669.5839255671)</f>
        <v>45669.583925567102</v>
      </c>
      <c r="B76" s="5" t="str">
        <f ca="1">IFERROR(__xludf.DUMMYFUNCTION("""COMPUTED_VALUE"""),"2950 Warwick Ave")</f>
        <v>2950 Warwick Ave</v>
      </c>
      <c r="C76" s="5" t="str">
        <f ca="1">IFERROR(__xludf.DUMMYFUNCTION("""COMPUTED_VALUE"""),"Los Angeles")</f>
        <v>Los Angeles</v>
      </c>
      <c r="D76" s="5" t="str">
        <f ca="1">IFERROR(__xludf.DUMMYFUNCTION("""COMPUTED_VALUE"""),"CA")</f>
        <v>CA</v>
      </c>
      <c r="E76" s="5">
        <f ca="1">IFERROR(__xludf.DUMMYFUNCTION("""COMPUTED_VALUE"""),90032)</f>
        <v>90032</v>
      </c>
      <c r="F76" s="19">
        <f ca="1">IFERROR(__xludf.DUMMYFUNCTION("""COMPUTED_VALUE"""),3500)</f>
        <v>3500</v>
      </c>
      <c r="G76" s="19">
        <f ca="1">IFERROR(__xludf.DUMMYFUNCTION("""COMPUTED_VALUE"""),4200)</f>
        <v>4200</v>
      </c>
      <c r="H76" s="18">
        <f ca="1">IFERROR(__xludf.DUMMYFUNCTION("""COMPUTED_VALUE"""),45668)</f>
        <v>45668</v>
      </c>
      <c r="I76" s="5" t="str">
        <f ca="1">IFERROR(__xludf.DUMMYFUNCTION("""COMPUTED_VALUE"""),"Zillow")</f>
        <v>Zillow</v>
      </c>
      <c r="J76" s="25" t="str">
        <f ca="1">IFERROR(__xludf.DUMMYFUNCTION("""COMPUTED_VALUE"""),"https://www.zillow.com/homedetails/2950-Warwick-Ave-Los-Angeles-CA-90032/20643542_zpid/")</f>
        <v>https://www.zillow.com/homedetails/2950-Warwick-Ave-Los-Angeles-CA-90032/20643542_zpid/</v>
      </c>
      <c r="K76" s="5"/>
      <c r="L76" s="5" t="str">
        <f ca="1">IFERROR(__xludf.DUMMYFUNCTION("""COMPUTED_VALUE"""),"Rasheed Thompson")</f>
        <v>Rasheed Thompson</v>
      </c>
      <c r="M76" s="5"/>
      <c r="N76" s="26" t="str">
        <f ca="1">IFERROR(__xludf.DUMMYFUNCTION("""COMPUTED_VALUE"""),"https://drive.google.com/open?id=1-cvodFRKoFesDkWtRQeY95iFgkwQpx-W")</f>
        <v>https://drive.google.com/open?id=1-cvodFRKoFesDkWtRQeY95iFgkwQpx-W</v>
      </c>
      <c r="O76" s="5">
        <f ca="1">IFERROR(__xludf.DUMMYFUNCTION("""COMPUTED_VALUE"""),5220022022)</f>
        <v>5220022022</v>
      </c>
      <c r="P76" s="5"/>
      <c r="Q76" s="5"/>
      <c r="R76" s="5" t="str">
        <f ca="1">IFERROR(__xludf.DUMMYFUNCTION("""COMPUTED_VALUE"""),"(323) 546-6776")</f>
        <v>(323) 546-6776</v>
      </c>
      <c r="S76" s="5"/>
      <c r="T76" s="5"/>
    </row>
    <row r="77" spans="1:20" ht="12.75">
      <c r="A77" s="24">
        <f ca="1">IFERROR(__xludf.DUMMYFUNCTION("""COMPUTED_VALUE"""),45669.585358125)</f>
        <v>45669.585358124998</v>
      </c>
      <c r="B77" s="5" t="str">
        <f ca="1">IFERROR(__xludf.DUMMYFUNCTION("""COMPUTED_VALUE"""),"636 Acanto St Apt 104")</f>
        <v>636 Acanto St Apt 104</v>
      </c>
      <c r="C77" s="5" t="str">
        <f ca="1">IFERROR(__xludf.DUMMYFUNCTION("""COMPUTED_VALUE"""),"Los Angeles")</f>
        <v>Los Angeles</v>
      </c>
      <c r="D77" s="5" t="str">
        <f ca="1">IFERROR(__xludf.DUMMYFUNCTION("""COMPUTED_VALUE"""),"CA")</f>
        <v>CA</v>
      </c>
      <c r="E77" s="5">
        <f ca="1">IFERROR(__xludf.DUMMYFUNCTION("""COMPUTED_VALUE"""),90049)</f>
        <v>90049</v>
      </c>
      <c r="F77" s="19">
        <f ca="1">IFERROR(__xludf.DUMMYFUNCTION("""COMPUTED_VALUE"""),2600)</f>
        <v>2600</v>
      </c>
      <c r="G77" s="19">
        <f ca="1">IFERROR(__xludf.DUMMYFUNCTION("""COMPUTED_VALUE"""),3100)</f>
        <v>3100</v>
      </c>
      <c r="H77" s="18">
        <f ca="1">IFERROR(__xludf.DUMMYFUNCTION("""COMPUTED_VALUE"""),45667)</f>
        <v>45667</v>
      </c>
      <c r="I77" s="5" t="str">
        <f ca="1">IFERROR(__xludf.DUMMYFUNCTION("""COMPUTED_VALUE"""),"Zillow")</f>
        <v>Zillow</v>
      </c>
      <c r="J77" s="25" t="str">
        <f ca="1">IFERROR(__xludf.DUMMYFUNCTION("""COMPUTED_VALUE"""),"https://www.zillow.com/homedetails/636-Acanto-St-APT-104-Los-Angeles-CA-90049/2123187503_zpid/")</f>
        <v>https://www.zillow.com/homedetails/636-Acanto-St-APT-104-Los-Angeles-CA-90049/2123187503_zpid/</v>
      </c>
      <c r="K77" s="5" t="str">
        <f ca="1">IFERROR(__xludf.DUMMYFUNCTION("""COMPUTED_VALUE"""),"Paola Mireles")</f>
        <v>Paola Mireles</v>
      </c>
      <c r="L77" s="5" t="str">
        <f ca="1">IFERROR(__xludf.DUMMYFUNCTION("""COMPUTED_VALUE"""),"N/A")</f>
        <v>N/A</v>
      </c>
      <c r="M77" s="5" t="str">
        <f ca="1">IFERROR(__xludf.DUMMYFUNCTION("""COMPUTED_VALUE"""),"Listed through a management company, The InterGroup Corporation. ")</f>
        <v xml:space="preserve">Listed through a management company, The InterGroup Corporation. </v>
      </c>
      <c r="N77" s="26" t="str">
        <f ca="1">IFERROR(__xludf.DUMMYFUNCTION("""COMPUTED_VALUE"""),"https://drive.google.com/open?id=1Ei5-VXrLkQjHCznDByVsJ5fRZdgP66hS")</f>
        <v>https://drive.google.com/open?id=1Ei5-VXrLkQjHCznDByVsJ5fRZdgP66hS</v>
      </c>
      <c r="O77" s="5">
        <f ca="1">IFERROR(__xludf.DUMMYFUNCTION("""COMPUTED_VALUE"""),4368016024)</f>
        <v>4368016024</v>
      </c>
      <c r="P77" s="5" t="str">
        <f ca="1">IFERROR(__xludf.DUMMYFUNCTION("""COMPUTED_VALUE"""),"(213) 682-3675")</f>
        <v>(213) 682-3675</v>
      </c>
      <c r="Q77" s="5"/>
      <c r="R77" s="5" t="str">
        <f ca="1">IFERROR(__xludf.DUMMYFUNCTION("""COMPUTED_VALUE"""),"N/A")</f>
        <v>N/A</v>
      </c>
      <c r="S77" s="5"/>
      <c r="T77" s="5"/>
    </row>
    <row r="78" spans="1:20" ht="12.75">
      <c r="A78" s="24">
        <f ca="1">IFERROR(__xludf.DUMMYFUNCTION("""COMPUTED_VALUE"""),45669.5858205439)</f>
        <v>45669.5858205439</v>
      </c>
      <c r="B78" s="5" t="str">
        <f ca="1">IFERROR(__xludf.DUMMYFUNCTION("""COMPUTED_VALUE"""),"8700 Chalmers Dr #301")</f>
        <v>8700 Chalmers Dr #301</v>
      </c>
      <c r="C78" s="5" t="str">
        <f ca="1">IFERROR(__xludf.DUMMYFUNCTION("""COMPUTED_VALUE"""),"Los Angeles")</f>
        <v>Los Angeles</v>
      </c>
      <c r="D78" s="5" t="str">
        <f ca="1">IFERROR(__xludf.DUMMYFUNCTION("""COMPUTED_VALUE"""),"CA")</f>
        <v>CA</v>
      </c>
      <c r="E78" s="5">
        <f ca="1">IFERROR(__xludf.DUMMYFUNCTION("""COMPUTED_VALUE"""),90035)</f>
        <v>90035</v>
      </c>
      <c r="F78" s="19">
        <f ca="1">IFERROR(__xludf.DUMMYFUNCTION("""COMPUTED_VALUE"""),6500)</f>
        <v>6500</v>
      </c>
      <c r="G78" s="19">
        <f ca="1">IFERROR(__xludf.DUMMYFUNCTION("""COMPUTED_VALUE"""),9000)</f>
        <v>9000</v>
      </c>
      <c r="H78" s="18">
        <f ca="1">IFERROR(__xludf.DUMMYFUNCTION("""COMPUTED_VALUE"""),45667)</f>
        <v>45667</v>
      </c>
      <c r="I78" s="5" t="str">
        <f ca="1">IFERROR(__xludf.DUMMYFUNCTION("""COMPUTED_VALUE"""),"Zillow")</f>
        <v>Zillow</v>
      </c>
      <c r="J78" s="25" t="str">
        <f ca="1">IFERROR(__xludf.DUMMYFUNCTION("""COMPUTED_VALUE"""),"https://www.zillow.com/homedetails/8700-Chalmers-Dr-301-Los-Angeles-CA-90035/2078397244_zpid/")</f>
        <v>https://www.zillow.com/homedetails/8700-Chalmers-Dr-301-Los-Angeles-CA-90035/2078397244_zpid/</v>
      </c>
      <c r="K78" s="5" t="str">
        <f ca="1">IFERROR(__xludf.DUMMYFUNCTION("""COMPUTED_VALUE"""),"Teresa L. Rabbanian")</f>
        <v>Teresa L. Rabbanian</v>
      </c>
      <c r="L78" s="5"/>
      <c r="M78" s="5"/>
      <c r="N78" s="26" t="str">
        <f ca="1">IFERROR(__xludf.DUMMYFUNCTION("""COMPUTED_VALUE"""),"https://drive.google.com/open?id=1CIKkpaEIAOHnw38kVHxej3ixDpajsgzN")</f>
        <v>https://drive.google.com/open?id=1CIKkpaEIAOHnw38kVHxej3ixDpajsgzN</v>
      </c>
      <c r="O78" s="5">
        <f ca="1">IFERROR(__xludf.DUMMYFUNCTION("""COMPUTED_VALUE"""),1)</f>
        <v>1</v>
      </c>
      <c r="P78" s="5" t="str">
        <f ca="1">IFERROR(__xludf.DUMMYFUNCTION("""COMPUTED_VALUE"""),"(310) 770-5618")</f>
        <v>(310) 770-5618</v>
      </c>
      <c r="Q78" s="5"/>
      <c r="R78" s="5"/>
      <c r="S78" s="5"/>
      <c r="T78" s="5"/>
    </row>
    <row r="79" spans="1:20" ht="12.75">
      <c r="A79" s="24">
        <f ca="1">IFERROR(__xludf.DUMMYFUNCTION("""COMPUTED_VALUE"""),45669.5902617245)</f>
        <v>45669.590261724501</v>
      </c>
      <c r="B79" s="5" t="str">
        <f ca="1">IFERROR(__xludf.DUMMYFUNCTION("""COMPUTED_VALUE"""),"28 26th Ave #A")</f>
        <v>28 26th Ave #A</v>
      </c>
      <c r="C79" s="5" t="str">
        <f ca="1">IFERROR(__xludf.DUMMYFUNCTION("""COMPUTED_VALUE"""),"Venice")</f>
        <v>Venice</v>
      </c>
      <c r="D79" s="5" t="str">
        <f ca="1">IFERROR(__xludf.DUMMYFUNCTION("""COMPUTED_VALUE"""),"CA")</f>
        <v>CA</v>
      </c>
      <c r="E79" s="5">
        <f ca="1">IFERROR(__xludf.DUMMYFUNCTION("""COMPUTED_VALUE"""),90291)</f>
        <v>90291</v>
      </c>
      <c r="F79" s="19">
        <f ca="1">IFERROR(__xludf.DUMMYFUNCTION("""COMPUTED_VALUE"""),6600)</f>
        <v>6600</v>
      </c>
      <c r="G79" s="19">
        <f ca="1">IFERROR(__xludf.DUMMYFUNCTION("""COMPUTED_VALUE"""),7950)</f>
        <v>7950</v>
      </c>
      <c r="H79" s="18">
        <f ca="1">IFERROR(__xludf.DUMMYFUNCTION("""COMPUTED_VALUE"""),45668)</f>
        <v>45668</v>
      </c>
      <c r="I79" s="5" t="str">
        <f ca="1">IFERROR(__xludf.DUMMYFUNCTION("""COMPUTED_VALUE"""),"Zillow")</f>
        <v>Zillow</v>
      </c>
      <c r="J79" s="25" t="str">
        <f ca="1">IFERROR(__xludf.DUMMYFUNCTION("""COMPUTED_VALUE"""),"https://www.zillow.com/homedetails/28-26th-Ave-A-Venice-CA-90291/2098877025_zpid/")</f>
        <v>https://www.zillow.com/homedetails/28-26th-Ave-A-Venice-CA-90291/2098877025_zpid/</v>
      </c>
      <c r="K79" s="5"/>
      <c r="L79" s="5" t="str">
        <f ca="1">IFERROR(__xludf.DUMMYFUNCTION("""COMPUTED_VALUE"""),"Tim Sheridan")</f>
        <v>Tim Sheridan</v>
      </c>
      <c r="M79" s="5" t="str">
        <f ca="1">IFERROR(__xludf.DUMMYFUNCTION("""COMPUTED_VALUE"""),"Last listed price was reduced to $6,600 and removed on 10/8/24. Relisted on 1/22/25 after the fires at a 20.5% increase to $7,950.")</f>
        <v>Last listed price was reduced to $6,600 and removed on 10/8/24. Relisted on 1/22/25 after the fires at a 20.5% increase to $7,950.</v>
      </c>
      <c r="N79" s="26" t="str">
        <f ca="1">IFERROR(__xludf.DUMMYFUNCTION("""COMPUTED_VALUE"""),"https://drive.google.com/open?id=1rwUqrqmKFo81tbR3TrKZLuxhmu6Ra8lf")</f>
        <v>https://drive.google.com/open?id=1rwUqrqmKFo81tbR3TrKZLuxhmu6Ra8lf</v>
      </c>
      <c r="O79" s="5" t="str">
        <f ca="1">IFERROR(__xludf.DUMMYFUNCTION("""COMPUTED_VALUE"""),"NA")</f>
        <v>NA</v>
      </c>
      <c r="P79" s="5"/>
      <c r="Q79" s="5"/>
      <c r="R79" s="5" t="str">
        <f ca="1">IFERROR(__xludf.DUMMYFUNCTION("""COMPUTED_VALUE"""),"(310) 403-4784")</f>
        <v>(310) 403-4784</v>
      </c>
      <c r="S79" s="5"/>
      <c r="T79" s="5"/>
    </row>
    <row r="80" spans="1:20" ht="12.75">
      <c r="A80" s="24">
        <f ca="1">IFERROR(__xludf.DUMMYFUNCTION("""COMPUTED_VALUE"""),45669.5910351736)</f>
        <v>45669.591035173602</v>
      </c>
      <c r="B80" s="5" t="str">
        <f ca="1">IFERROR(__xludf.DUMMYFUNCTION("""COMPUTED_VALUE"""),"2950 Warwick Ave")</f>
        <v>2950 Warwick Ave</v>
      </c>
      <c r="C80" s="5" t="str">
        <f ca="1">IFERROR(__xludf.DUMMYFUNCTION("""COMPUTED_VALUE"""),"Los Angeles")</f>
        <v>Los Angeles</v>
      </c>
      <c r="D80" s="5" t="str">
        <f ca="1">IFERROR(__xludf.DUMMYFUNCTION("""COMPUTED_VALUE"""),"CA")</f>
        <v>CA</v>
      </c>
      <c r="E80" s="5">
        <f ca="1">IFERROR(__xludf.DUMMYFUNCTION("""COMPUTED_VALUE"""),90032)</f>
        <v>90032</v>
      </c>
      <c r="F80" s="19">
        <f ca="1">IFERROR(__xludf.DUMMYFUNCTION("""COMPUTED_VALUE"""),3500)</f>
        <v>3500</v>
      </c>
      <c r="G80" s="19">
        <f ca="1">IFERROR(__xludf.DUMMYFUNCTION("""COMPUTED_VALUE"""),4200)</f>
        <v>4200</v>
      </c>
      <c r="H80" s="18">
        <f ca="1">IFERROR(__xludf.DUMMYFUNCTION("""COMPUTED_VALUE"""),45668)</f>
        <v>45668</v>
      </c>
      <c r="I80" s="5" t="str">
        <f ca="1">IFERROR(__xludf.DUMMYFUNCTION("""COMPUTED_VALUE"""),"Zillow")</f>
        <v>Zillow</v>
      </c>
      <c r="J80" s="25" t="str">
        <f ca="1">IFERROR(__xludf.DUMMYFUNCTION("""COMPUTED_VALUE"""),"https://www.zillow.com/homedetails/2950-Warwick-Ave-Los-Angeles-CA-90032/20643542_zpid/")</f>
        <v>https://www.zillow.com/homedetails/2950-Warwick-Ave-Los-Angeles-CA-90032/20643542_zpid/</v>
      </c>
      <c r="K80" s="5" t="str">
        <f ca="1">IFERROR(__xludf.DUMMYFUNCTION("""COMPUTED_VALUE"""),"Rasheed Thompson")</f>
        <v>Rasheed Thompson</v>
      </c>
      <c r="L80" s="5"/>
      <c r="M80" s="5"/>
      <c r="N80" s="26" t="str">
        <f ca="1">IFERROR(__xludf.DUMMYFUNCTION("""COMPUTED_VALUE"""),"https://drive.google.com/open?id=1thNNYDPWGjbNzlPLsdv3hy90Qbh3861v")</f>
        <v>https://drive.google.com/open?id=1thNNYDPWGjbNzlPLsdv3hy90Qbh3861v</v>
      </c>
      <c r="O80" s="26" t="str">
        <f ca="1">IFERROR(__xludf.DUMMYFUNCTION("""COMPUTED_VALUE"""),"https://docs.google.com/forms/d/e/1FAIpQLSfhIqqLvIBUYrAO6bATa04cSs58X5v2DXYZRmzjpvo8Ar106Q/viewform?pli=1&amp;fbclid=PAZXh0bgNhZW0CMTEAAaZdg1ttoA0qUYpOpTBXNJw_wqebnFAudqkwqaNomvyt-y7HHWptnTuvkr0_aem_hI2pm9MvAL242vDUapJa0Q")</f>
        <v>https://docs.google.com/forms/d/e/1FAIpQLSfhIqqLvIBUYrAO6bATa04cSs58X5v2DXYZRmzjpvo8Ar106Q/viewform?pli=1&amp;fbclid=PAZXh0bgNhZW0CMTEAAaZdg1ttoA0qUYpOpTBXNJw_wqebnFAudqkwqaNomvyt-y7HHWptnTuvkr0_aem_hI2pm9MvAL242vDUapJa0Q</v>
      </c>
      <c r="P80" s="5" t="str">
        <f ca="1">IFERROR(__xludf.DUMMYFUNCTION("""COMPUTED_VALUE"""),"(323) 546-6776")</f>
        <v>(323) 546-6776</v>
      </c>
      <c r="Q80" s="5"/>
      <c r="R80" s="5"/>
      <c r="S80" s="5"/>
      <c r="T80" s="5"/>
    </row>
    <row r="81" spans="1:20" ht="12.75">
      <c r="A81" s="24">
        <f ca="1">IFERROR(__xludf.DUMMYFUNCTION("""COMPUTED_VALUE"""),45669.5920266203)</f>
        <v>45669.592026620303</v>
      </c>
      <c r="B81" s="5" t="str">
        <f ca="1">IFERROR(__xludf.DUMMYFUNCTION("""COMPUTED_VALUE"""),"4865 Eldred St")</f>
        <v>4865 Eldred St</v>
      </c>
      <c r="C81" s="5" t="str">
        <f ca="1">IFERROR(__xludf.DUMMYFUNCTION("""COMPUTED_VALUE"""),"Los Angeles")</f>
        <v>Los Angeles</v>
      </c>
      <c r="D81" s="5" t="str">
        <f ca="1">IFERROR(__xludf.DUMMYFUNCTION("""COMPUTED_VALUE"""),"CA")</f>
        <v>CA</v>
      </c>
      <c r="E81" s="5">
        <f ca="1">IFERROR(__xludf.DUMMYFUNCTION("""COMPUTED_VALUE"""),90042)</f>
        <v>90042</v>
      </c>
      <c r="F81" s="19">
        <f ca="1">IFERROR(__xludf.DUMMYFUNCTION("""COMPUTED_VALUE"""),7500)</f>
        <v>7500</v>
      </c>
      <c r="G81" s="19">
        <f ca="1">IFERROR(__xludf.DUMMYFUNCTION("""COMPUTED_VALUE"""),9000)</f>
        <v>9000</v>
      </c>
      <c r="H81" s="18">
        <f ca="1">IFERROR(__xludf.DUMMYFUNCTION("""COMPUTED_VALUE"""),45667)</f>
        <v>45667</v>
      </c>
      <c r="I81" s="5" t="str">
        <f ca="1">IFERROR(__xludf.DUMMYFUNCTION("""COMPUTED_VALUE"""),"Zillow")</f>
        <v>Zillow</v>
      </c>
      <c r="J81" s="25" t="str">
        <f ca="1">IFERROR(__xludf.DUMMYFUNCTION("""COMPUTED_VALUE"""),"https://www.zillow.com/homedetails/4865-Eldred-St-Los-Angeles-CA-90042/20763415_zpid/")</f>
        <v>https://www.zillow.com/homedetails/4865-Eldred-St-Los-Angeles-CA-90042/20763415_zpid/</v>
      </c>
      <c r="K81" s="5" t="str">
        <f ca="1">IFERROR(__xludf.DUMMYFUNCTION("""COMPUTED_VALUE"""),"JOSE ARANA DRE - CENTURY 21 REALTY MASTERS")</f>
        <v>JOSE ARANA DRE - CENTURY 21 REALTY MASTERS</v>
      </c>
      <c r="L81" s="5" t="str">
        <f ca="1">IFERROR(__xludf.DUMMYFUNCTION("""COMPUTED_VALUE"""),"NA")</f>
        <v>NA</v>
      </c>
      <c r="M81" s="5" t="str">
        <f ca="1">IFERROR(__xludf.DUMMYFUNCTION("""COMPUTED_VALUE"""),"Originally listed at $7,800 on 10/17/24. It was reduced to $7,500 (3.8%) on 12/26/24 before being increased to $9,000 (20%) on 1/10/25. ")</f>
        <v xml:space="preserve">Originally listed at $7,800 on 10/17/24. It was reduced to $7,500 (3.8%) on 12/26/24 before being increased to $9,000 (20%) on 1/10/25. </v>
      </c>
      <c r="N81" s="26" t="str">
        <f ca="1">IFERROR(__xludf.DUMMYFUNCTION("""COMPUTED_VALUE"""),"https://drive.google.com/open?id=1YKY0jAgqx2PN8xqnatLY6-sNOytbD4OL")</f>
        <v>https://drive.google.com/open?id=1YKY0jAgqx2PN8xqnatLY6-sNOytbD4OL</v>
      </c>
      <c r="O81" s="5">
        <f ca="1">IFERROR(__xludf.DUMMYFUNCTION("""COMPUTED_VALUE"""),5471017058)</f>
        <v>5471017058</v>
      </c>
      <c r="P81" s="5"/>
      <c r="Q81" s="5" t="str">
        <f ca="1">IFERROR(__xludf.DUMMYFUNCTION("""COMPUTED_VALUE"""),"josearanasells@hotmail.com")</f>
        <v>josearanasells@hotmail.com</v>
      </c>
      <c r="R81" s="5" t="str">
        <f ca="1">IFERROR(__xludf.DUMMYFUNCTION("""COMPUTED_VALUE"""),"NA")</f>
        <v>NA</v>
      </c>
      <c r="S81" s="5"/>
      <c r="T81" s="5"/>
    </row>
    <row r="82" spans="1:20" ht="12.75">
      <c r="A82" s="24">
        <f ca="1">IFERROR(__xludf.DUMMYFUNCTION("""COMPUTED_VALUE"""),45669.5924953125)</f>
        <v>45669.5924953125</v>
      </c>
      <c r="B82" s="5" t="str">
        <f ca="1">IFERROR(__xludf.DUMMYFUNCTION("""COMPUTED_VALUE"""),"240 Howland Canal Ct")</f>
        <v>240 Howland Canal Ct</v>
      </c>
      <c r="C82" s="5" t="str">
        <f ca="1">IFERROR(__xludf.DUMMYFUNCTION("""COMPUTED_VALUE"""),"Venice")</f>
        <v>Venice</v>
      </c>
      <c r="D82" s="5" t="str">
        <f ca="1">IFERROR(__xludf.DUMMYFUNCTION("""COMPUTED_VALUE"""),"CA")</f>
        <v>CA</v>
      </c>
      <c r="E82" s="5">
        <f ca="1">IFERROR(__xludf.DUMMYFUNCTION("""COMPUTED_VALUE"""),90291)</f>
        <v>90291</v>
      </c>
      <c r="F82" s="19">
        <f ca="1">IFERROR(__xludf.DUMMYFUNCTION("""COMPUTED_VALUE"""),20500)</f>
        <v>20500</v>
      </c>
      <c r="G82" s="19">
        <f ca="1">IFERROR(__xludf.DUMMYFUNCTION("""COMPUTED_VALUE"""),35000)</f>
        <v>35000</v>
      </c>
      <c r="H82" s="18">
        <f ca="1">IFERROR(__xludf.DUMMYFUNCTION("""COMPUTED_VALUE"""),45665)</f>
        <v>45665</v>
      </c>
      <c r="I82" s="5" t="str">
        <f ca="1">IFERROR(__xludf.DUMMYFUNCTION("""COMPUTED_VALUE"""),"Zillow")</f>
        <v>Zillow</v>
      </c>
      <c r="J82" s="25" t="str">
        <f ca="1">IFERROR(__xludf.DUMMYFUNCTION("""COMPUTED_VALUE"""),"https://www.zillow.com/homedetails/240-Howland-Canal-Ct-Venice-CA-90291/443837979_zpid/")</f>
        <v>https://www.zillow.com/homedetails/240-Howland-Canal-Ct-Venice-CA-90291/443837979_zpid/</v>
      </c>
      <c r="K82" s="5"/>
      <c r="L82" s="5" t="str">
        <f ca="1">IFERROR(__xludf.DUMMYFUNCTION("""COMPUTED_VALUE"""),"240 Howland Canal")</f>
        <v>240 Howland Canal</v>
      </c>
      <c r="M82" s="5" t="str">
        <f ca="1">IFERROR(__xludf.DUMMYFUNCTION("""COMPUTED_VALUE"""),"Last listed at $20,500 before it was removed on 3/5/23, relisted on 1/8/25 after the fires at $35k which is a 70.7% increase in less than 2 years since it was last for rent.")</f>
        <v>Last listed at $20,500 before it was removed on 3/5/23, relisted on 1/8/25 after the fires at $35k which is a 70.7% increase in less than 2 years since it was last for rent.</v>
      </c>
      <c r="N82" s="26" t="str">
        <f ca="1">IFERROR(__xludf.DUMMYFUNCTION("""COMPUTED_VALUE"""),"https://drive.google.com/open?id=1G5WVgii-7AsFgWqz56VyorvkwWBWQMhI")</f>
        <v>https://drive.google.com/open?id=1G5WVgii-7AsFgWqz56VyorvkwWBWQMhI</v>
      </c>
      <c r="O82" s="5" t="str">
        <f ca="1">IFERROR(__xludf.DUMMYFUNCTION("""COMPUTED_VALUE"""),"NA")</f>
        <v>NA</v>
      </c>
      <c r="P82" s="5"/>
      <c r="Q82" s="5"/>
      <c r="R82" s="5" t="str">
        <f ca="1">IFERROR(__xludf.DUMMYFUNCTION("""COMPUTED_VALUE"""),"(818) 577-5739")</f>
        <v>(818) 577-5739</v>
      </c>
      <c r="S82" s="5"/>
      <c r="T82" s="5"/>
    </row>
    <row r="83" spans="1:20" ht="12.75">
      <c r="A83" s="24">
        <f ca="1">IFERROR(__xludf.DUMMYFUNCTION("""COMPUTED_VALUE"""),45669.5946899421)</f>
        <v>45669.594689942103</v>
      </c>
      <c r="B83" s="5" t="str">
        <f ca="1">IFERROR(__xludf.DUMMYFUNCTION("""COMPUTED_VALUE"""),"2451 Century Hl")</f>
        <v>2451 Century Hl</v>
      </c>
      <c r="C83" s="5" t="str">
        <f ca="1">IFERROR(__xludf.DUMMYFUNCTION("""COMPUTED_VALUE"""),"Century City")</f>
        <v>Century City</v>
      </c>
      <c r="D83" s="5" t="str">
        <f ca="1">IFERROR(__xludf.DUMMYFUNCTION("""COMPUTED_VALUE"""),"CA")</f>
        <v>CA</v>
      </c>
      <c r="E83" s="5">
        <f ca="1">IFERROR(__xludf.DUMMYFUNCTION("""COMPUTED_VALUE"""),90035)</f>
        <v>90035</v>
      </c>
      <c r="F83" s="19">
        <f ca="1">IFERROR(__xludf.DUMMYFUNCTION("""COMPUTED_VALUE"""),9000)</f>
        <v>9000</v>
      </c>
      <c r="G83" s="19">
        <f ca="1">IFERROR(__xludf.DUMMYFUNCTION("""COMPUTED_VALUE"""),6500)</f>
        <v>6500</v>
      </c>
      <c r="H83" s="18">
        <f ca="1">IFERROR(__xludf.DUMMYFUNCTION("""COMPUTED_VALUE"""),45667)</f>
        <v>45667</v>
      </c>
      <c r="I83" s="5" t="str">
        <f ca="1">IFERROR(__xludf.DUMMYFUNCTION("""COMPUTED_VALUE"""),"Zillow")</f>
        <v>Zillow</v>
      </c>
      <c r="J83" s="25" t="str">
        <f ca="1">IFERROR(__xludf.DUMMYFUNCTION("""COMPUTED_VALUE"""),"https://www.zillow.com/homedetails/2451-Century-Hl-Los-Angeles-CA-90067/20510302_zpid/")</f>
        <v>https://www.zillow.com/homedetails/2451-Century-Hl-Los-Angeles-CA-90067/20510302_zpid/</v>
      </c>
      <c r="K83" s="5" t="str">
        <f ca="1">IFERROR(__xludf.DUMMYFUNCTION("""COMPUTED_VALUE"""),"Teresa L. Rabbanian")</f>
        <v>Teresa L. Rabbanian</v>
      </c>
      <c r="L83" s="5"/>
      <c r="M83" s="5"/>
      <c r="N83" s="26" t="str">
        <f ca="1">IFERROR(__xludf.DUMMYFUNCTION("""COMPUTED_VALUE"""),"https://drive.google.com/open?id=1eK4g73pSgopIZGRSRDoSubYa0_t8NyfD")</f>
        <v>https://drive.google.com/open?id=1eK4g73pSgopIZGRSRDoSubYa0_t8NyfD</v>
      </c>
      <c r="O83" s="5" t="str">
        <f ca="1">IFERROR(__xludf.DUMMYFUNCTION("""COMPUTED_VALUE"""),"NA")</f>
        <v>NA</v>
      </c>
      <c r="P83" s="5" t="str">
        <f ca="1">IFERROR(__xludf.DUMMYFUNCTION("""COMPUTED_VALUE"""),"(310) 770-5618")</f>
        <v>(310) 770-5618</v>
      </c>
      <c r="Q83" s="5"/>
      <c r="R83" s="5"/>
      <c r="S83" s="5"/>
      <c r="T83" s="5"/>
    </row>
    <row r="84" spans="1:20" ht="12.75">
      <c r="A84" s="24">
        <f ca="1">IFERROR(__xludf.DUMMYFUNCTION("""COMPUTED_VALUE"""),45669.5951493981)</f>
        <v>45669.595149398097</v>
      </c>
      <c r="B84" s="5" t="str">
        <f ca="1">IFERROR(__xludf.DUMMYFUNCTION("""COMPUTED_VALUE"""),"225 Sherman Canal Ct")</f>
        <v>225 Sherman Canal Ct</v>
      </c>
      <c r="C84" s="5" t="str">
        <f ca="1">IFERROR(__xludf.DUMMYFUNCTION("""COMPUTED_VALUE"""),"Venice")</f>
        <v>Venice</v>
      </c>
      <c r="D84" s="5" t="str">
        <f ca="1">IFERROR(__xludf.DUMMYFUNCTION("""COMPUTED_VALUE"""),"CA")</f>
        <v>CA</v>
      </c>
      <c r="E84" s="5">
        <f ca="1">IFERROR(__xludf.DUMMYFUNCTION("""COMPUTED_VALUE"""),90291)</f>
        <v>90291</v>
      </c>
      <c r="F84" s="19">
        <f ca="1">IFERROR(__xludf.DUMMYFUNCTION("""COMPUTED_VALUE"""),11000)</f>
        <v>11000</v>
      </c>
      <c r="G84" s="19">
        <f ca="1">IFERROR(__xludf.DUMMYFUNCTION("""COMPUTED_VALUE"""),15000)</f>
        <v>15000</v>
      </c>
      <c r="H84" s="18">
        <f ca="1">IFERROR(__xludf.DUMMYFUNCTION("""COMPUTED_VALUE"""),45666)</f>
        <v>45666</v>
      </c>
      <c r="I84" s="5" t="str">
        <f ca="1">IFERROR(__xludf.DUMMYFUNCTION("""COMPUTED_VALUE"""),"Zillow")</f>
        <v>Zillow</v>
      </c>
      <c r="J84" s="25" t="str">
        <f ca="1">IFERROR(__xludf.DUMMYFUNCTION("""COMPUTED_VALUE"""),"https://www.zillow.com/homedetails/225-Sherman-Canal-Ct-Venice-CA-90291/443839188_zpid/")</f>
        <v>https://www.zillow.com/homedetails/225-Sherman-Canal-Ct-Venice-CA-90291/443839188_zpid/</v>
      </c>
      <c r="K84" s="5" t="str">
        <f ca="1">IFERROR(__xludf.DUMMYFUNCTION("""COMPUTED_VALUE"""),"Ceylan Tecimer")</f>
        <v>Ceylan Tecimer</v>
      </c>
      <c r="L84" s="5"/>
      <c r="M84" s="5"/>
      <c r="N84" s="5" t="str">
        <f ca="1">IFERROR(__xludf.DUMMYFUNCTION("""COMPUTED_VALUE"""),"https://drive.google.com/open?id=1KEtXSV92pZUCs1ows5OoHpvx201MADfG, https://drive.google.com/open?id=12Iuaqe5v83218qlY3GBz2hfu9qhqnKWt")</f>
        <v>https://drive.google.com/open?id=1KEtXSV92pZUCs1ows5OoHpvx201MADfG, https://drive.google.com/open?id=12Iuaqe5v83218qlY3GBz2hfu9qhqnKWt</v>
      </c>
      <c r="O84" s="5" t="str">
        <f ca="1">IFERROR(__xludf.DUMMYFUNCTION("""COMPUTED_VALUE"""),"NA")</f>
        <v>NA</v>
      </c>
      <c r="P84" s="5" t="str">
        <f ca="1">IFERROR(__xludf.DUMMYFUNCTION("""COMPUTED_VALUE"""),"(949) 500-9045")</f>
        <v>(949) 500-9045</v>
      </c>
      <c r="Q84" s="5"/>
      <c r="R84" s="5"/>
      <c r="S84" s="5"/>
      <c r="T84" s="5"/>
    </row>
    <row r="85" spans="1:20" ht="12.75">
      <c r="A85" s="24">
        <f ca="1">IFERROR(__xludf.DUMMYFUNCTION("""COMPUTED_VALUE"""),45669.5960766087)</f>
        <v>45669.596076608701</v>
      </c>
      <c r="B85" s="5" t="str">
        <f ca="1">IFERROR(__xludf.DUMMYFUNCTION("""COMPUTED_VALUE"""),"503 N Santa Anita Ave #A")</f>
        <v>503 N Santa Anita Ave #A</v>
      </c>
      <c r="C85" s="5" t="str">
        <f ca="1">IFERROR(__xludf.DUMMYFUNCTION("""COMPUTED_VALUE"""),"Arcadia")</f>
        <v>Arcadia</v>
      </c>
      <c r="D85" s="5" t="str">
        <f ca="1">IFERROR(__xludf.DUMMYFUNCTION("""COMPUTED_VALUE"""),"CA")</f>
        <v>CA</v>
      </c>
      <c r="E85" s="5">
        <f ca="1">IFERROR(__xludf.DUMMYFUNCTION("""COMPUTED_VALUE"""),91006)</f>
        <v>91006</v>
      </c>
      <c r="F85" s="19">
        <f ca="1">IFERROR(__xludf.DUMMYFUNCTION("""COMPUTED_VALUE"""),7000)</f>
        <v>7000</v>
      </c>
      <c r="G85" s="19">
        <f ca="1">IFERROR(__xludf.DUMMYFUNCTION("""COMPUTED_VALUE"""),9000)</f>
        <v>9000</v>
      </c>
      <c r="H85" s="18">
        <f ca="1">IFERROR(__xludf.DUMMYFUNCTION("""COMPUTED_VALUE"""),45666)</f>
        <v>45666</v>
      </c>
      <c r="I85" s="5" t="str">
        <f ca="1">IFERROR(__xludf.DUMMYFUNCTION("""COMPUTED_VALUE"""),"Zillow")</f>
        <v>Zillow</v>
      </c>
      <c r="J85" s="25" t="str">
        <f ca="1">IFERROR(__xludf.DUMMYFUNCTION("""COMPUTED_VALUE"""),"https://www.zillow.com/homedetails/503-N-Santa-Anita-Ave-A-Arcadia-CA-91006/2077677076_zpid/")</f>
        <v>https://www.zillow.com/homedetails/503-N-Santa-Anita-Ave-A-Arcadia-CA-91006/2077677076_zpid/</v>
      </c>
      <c r="K85" s="5" t="str">
        <f ca="1">IFERROR(__xludf.DUMMYFUNCTION("""COMPUTED_VALUE"""),"Steven Jiang KW Executive")</f>
        <v>Steven Jiang KW Executive</v>
      </c>
      <c r="L85" s="5"/>
      <c r="M85" s="5"/>
      <c r="N85" s="26" t="str">
        <f ca="1">IFERROR(__xludf.DUMMYFUNCTION("""COMPUTED_VALUE"""),"https://drive.google.com/open?id=14JXnSxRudGw06uRPpcV8TH_FxkUCgQ7n")</f>
        <v>https://drive.google.com/open?id=14JXnSxRudGw06uRPpcV8TH_FxkUCgQ7n</v>
      </c>
      <c r="O85" s="5">
        <f ca="1">IFERROR(__xludf.DUMMYFUNCTION("""COMPUTED_VALUE"""),5775027035)</f>
        <v>5775027035</v>
      </c>
      <c r="P85" s="5" t="str">
        <f ca="1">IFERROR(__xludf.DUMMYFUNCTION("""COMPUTED_VALUE"""),"(626) 551-1332")</f>
        <v>(626) 551-1332</v>
      </c>
      <c r="Q85" s="5"/>
      <c r="R85" s="5"/>
      <c r="S85" s="5"/>
      <c r="T85" s="5"/>
    </row>
    <row r="86" spans="1:20" ht="12.75">
      <c r="A86" s="24">
        <f ca="1">IFERROR(__xludf.DUMMYFUNCTION("""COMPUTED_VALUE"""),45669.5969282638)</f>
        <v>45669.596928263803</v>
      </c>
      <c r="B86" s="5" t="str">
        <f ca="1">IFERROR(__xludf.DUMMYFUNCTION("""COMPUTED_VALUE"""),"5316 Teesdale Ave")</f>
        <v>5316 Teesdale Ave</v>
      </c>
      <c r="C86" s="5" t="str">
        <f ca="1">IFERROR(__xludf.DUMMYFUNCTION("""COMPUTED_VALUE"""),"Los Angeles")</f>
        <v>Los Angeles</v>
      </c>
      <c r="D86" s="5" t="str">
        <f ca="1">IFERROR(__xludf.DUMMYFUNCTION("""COMPUTED_VALUE"""),"CA")</f>
        <v>CA</v>
      </c>
      <c r="E86" s="5">
        <f ca="1">IFERROR(__xludf.DUMMYFUNCTION("""COMPUTED_VALUE"""),91607)</f>
        <v>91607</v>
      </c>
      <c r="F86" s="19">
        <f ca="1">IFERROR(__xludf.DUMMYFUNCTION("""COMPUTED_VALUE"""),2500)</f>
        <v>2500</v>
      </c>
      <c r="G86" s="19">
        <f ca="1">IFERROR(__xludf.DUMMYFUNCTION("""COMPUTED_VALUE"""),3000)</f>
        <v>3000</v>
      </c>
      <c r="H86" s="18">
        <f ca="1">IFERROR(__xludf.DUMMYFUNCTION("""COMPUTED_VALUE"""),45666)</f>
        <v>45666</v>
      </c>
      <c r="I86" s="5" t="str">
        <f ca="1">IFERROR(__xludf.DUMMYFUNCTION("""COMPUTED_VALUE"""),"Zillow")</f>
        <v>Zillow</v>
      </c>
      <c r="J86" s="25" t="str">
        <f ca="1">IFERROR(__xludf.DUMMYFUNCTION("""COMPUTED_VALUE"""),"https://www.zillow.com/homedetails/5316-Teesdale-Ave-Valley-Village-CA-91607/2053789692_zpid/")</f>
        <v>https://www.zillow.com/homedetails/5316-Teesdale-Ave-Valley-Village-CA-91607/2053789692_zpid/</v>
      </c>
      <c r="K86" s="5" t="str">
        <f ca="1">IFERROR(__xludf.DUMMYFUNCTION("""COMPUTED_VALUE"""),"N/A")</f>
        <v>N/A</v>
      </c>
      <c r="L86" s="5" t="str">
        <f ca="1">IFERROR(__xludf.DUMMYFUNCTION("""COMPUTED_VALUE"""),"Not listed ")</f>
        <v xml:space="preserve">Not listed </v>
      </c>
      <c r="M86" s="5" t="str">
        <f ca="1">IFERROR(__xludf.DUMMYFUNCTION("""COMPUTED_VALUE"""),"This is an ADU. Listing was removed on 1/9 at $3,000 / month which is 20% increase form previous listing price of $2,500 on 11/27. No Contact info listed. ")</f>
        <v xml:space="preserve">This is an ADU. Listing was removed on 1/9 at $3,000 / month which is 20% increase form previous listing price of $2,500 on 11/27. No Contact info listed. </v>
      </c>
      <c r="N86" s="26" t="str">
        <f ca="1">IFERROR(__xludf.DUMMYFUNCTION("""COMPUTED_VALUE"""),"https://drive.google.com/open?id=1cdakQbu1clG1T5hojPoqQd22z_EhSDB2")</f>
        <v>https://drive.google.com/open?id=1cdakQbu1clG1T5hojPoqQd22z_EhSDB2</v>
      </c>
      <c r="O86" s="5">
        <f ca="1">IFERROR(__xludf.DUMMYFUNCTION("""COMPUTED_VALUE"""),2346017007)</f>
        <v>2346017007</v>
      </c>
      <c r="P86" s="5"/>
      <c r="Q86" s="5"/>
      <c r="R86" s="5"/>
      <c r="S86" s="5"/>
      <c r="T86" s="5"/>
    </row>
    <row r="87" spans="1:20" ht="12.75">
      <c r="A87" s="24">
        <f ca="1">IFERROR(__xludf.DUMMYFUNCTION("""COMPUTED_VALUE"""),45669.597361493)</f>
        <v>45669.597361492997</v>
      </c>
      <c r="B87" s="5" t="str">
        <f ca="1">IFERROR(__xludf.DUMMYFUNCTION("""COMPUTED_VALUE"""),"5351 Packard St")</f>
        <v>5351 Packard St</v>
      </c>
      <c r="C87" s="5" t="str">
        <f ca="1">IFERROR(__xludf.DUMMYFUNCTION("""COMPUTED_VALUE"""),"Los Angeles")</f>
        <v>Los Angeles</v>
      </c>
      <c r="D87" s="5" t="str">
        <f ca="1">IFERROR(__xludf.DUMMYFUNCTION("""COMPUTED_VALUE"""),"CA")</f>
        <v>CA</v>
      </c>
      <c r="E87" s="5">
        <f ca="1">IFERROR(__xludf.DUMMYFUNCTION("""COMPUTED_VALUE"""),90019)</f>
        <v>90019</v>
      </c>
      <c r="F87" s="19">
        <f ca="1">IFERROR(__xludf.DUMMYFUNCTION("""COMPUTED_VALUE"""),6200)</f>
        <v>6200</v>
      </c>
      <c r="G87" s="19">
        <f ca="1">IFERROR(__xludf.DUMMYFUNCTION("""COMPUTED_VALUE"""),8800)</f>
        <v>8800</v>
      </c>
      <c r="H87" s="18">
        <f ca="1">IFERROR(__xludf.DUMMYFUNCTION("""COMPUTED_VALUE"""),45668)</f>
        <v>45668</v>
      </c>
      <c r="I87" s="5" t="str">
        <f ca="1">IFERROR(__xludf.DUMMYFUNCTION("""COMPUTED_VALUE"""),"Zillow")</f>
        <v>Zillow</v>
      </c>
      <c r="J87" s="25" t="str">
        <f ca="1">IFERROR(__xludf.DUMMYFUNCTION("""COMPUTED_VALUE"""),"https://www.zillow.com/homedetails/5351-Packard-St-Los-Angeles-CA-90019/20608115_zpid/")</f>
        <v>https://www.zillow.com/homedetails/5351-Packard-St-Los-Angeles-CA-90019/20608115_zpid/</v>
      </c>
      <c r="K87" s="5"/>
      <c r="L87" s="5" t="str">
        <f ca="1">IFERROR(__xludf.DUMMYFUNCTION("""COMPUTED_VALUE"""),"Mazal Asulin")</f>
        <v>Mazal Asulin</v>
      </c>
      <c r="M87" s="5"/>
      <c r="N87" s="26" t="str">
        <f ca="1">IFERROR(__xludf.DUMMYFUNCTION("""COMPUTED_VALUE"""),"https://drive.google.com/open?id=14h7zHNkHwVPNkcG8WLH4OawYYrAXlRNB")</f>
        <v>https://drive.google.com/open?id=14h7zHNkHwVPNkcG8WLH4OawYYrAXlRNB</v>
      </c>
      <c r="O87" s="5">
        <f ca="1">IFERROR(__xludf.DUMMYFUNCTION("""COMPUTED_VALUE"""),5085015042)</f>
        <v>5085015042</v>
      </c>
      <c r="P87" s="5"/>
      <c r="Q87" s="5"/>
      <c r="R87" s="5" t="str">
        <f ca="1">IFERROR(__xludf.DUMMYFUNCTION("""COMPUTED_VALUE"""),"(213) 602-8961")</f>
        <v>(213) 602-8961</v>
      </c>
      <c r="S87" s="5"/>
      <c r="T87" s="5"/>
    </row>
    <row r="88" spans="1:20" ht="12.75">
      <c r="A88" s="24">
        <f ca="1">IFERROR(__xludf.DUMMYFUNCTION("""COMPUTED_VALUE"""),45669.5980770254)</f>
        <v>45669.598077025403</v>
      </c>
      <c r="B88" s="5" t="str">
        <f ca="1">IFERROR(__xludf.DUMMYFUNCTION("""COMPUTED_VALUE"""),"2205 Ocean Front Walk")</f>
        <v>2205 Ocean Front Walk</v>
      </c>
      <c r="C88" s="5" t="str">
        <f ca="1">IFERROR(__xludf.DUMMYFUNCTION("""COMPUTED_VALUE"""),"Venice")</f>
        <v>Venice</v>
      </c>
      <c r="D88" s="5" t="str">
        <f ca="1">IFERROR(__xludf.DUMMYFUNCTION("""COMPUTED_VALUE"""),"CA")</f>
        <v>CA</v>
      </c>
      <c r="E88" s="5">
        <f ca="1">IFERROR(__xludf.DUMMYFUNCTION("""COMPUTED_VALUE"""),90291)</f>
        <v>90291</v>
      </c>
      <c r="F88" s="19">
        <f ca="1">IFERROR(__xludf.DUMMYFUNCTION("""COMPUTED_VALUE"""),29995)</f>
        <v>29995</v>
      </c>
      <c r="G88" s="19">
        <f ca="1">IFERROR(__xludf.DUMMYFUNCTION("""COMPUTED_VALUE"""),35000)</f>
        <v>35000</v>
      </c>
      <c r="H88" s="18">
        <f ca="1">IFERROR(__xludf.DUMMYFUNCTION("""COMPUTED_VALUE"""),45667)</f>
        <v>45667</v>
      </c>
      <c r="I88" s="5" t="str">
        <f ca="1">IFERROR(__xludf.DUMMYFUNCTION("""COMPUTED_VALUE"""),"Zillow")</f>
        <v>Zillow</v>
      </c>
      <c r="J88" s="25" t="str">
        <f ca="1">IFERROR(__xludf.DUMMYFUNCTION("""COMPUTED_VALUE"""),"https://www.zillow.com/homedetails/2205-Ocean-Front-Walk-Venice-CA-90291/59276620_zpid/")</f>
        <v>https://www.zillow.com/homedetails/2205-Ocean-Front-Walk-Venice-CA-90291/59276620_zpid/</v>
      </c>
      <c r="K88" s="5" t="str">
        <f ca="1">IFERROR(__xludf.DUMMYFUNCTION("""COMPUTED_VALUE"""),"Bjorn Farrugia - Carolwood Estates")</f>
        <v>Bjorn Farrugia - Carolwood Estates</v>
      </c>
      <c r="L88" s="5"/>
      <c r="M88" s="5" t="str">
        <f ca="1">IFERROR(__xludf.DUMMYFUNCTION("""COMPUTED_VALUE"""),"Listed for rent on 9/30/24 for $29,995 and price increased after the fires on 10/25 to $35K, a 16.7% increase.")</f>
        <v>Listed for rent on 9/30/24 for $29,995 and price increased after the fires on 10/25 to $35K, a 16.7% increase.</v>
      </c>
      <c r="N88" s="26" t="str">
        <f ca="1">IFERROR(__xludf.DUMMYFUNCTION("""COMPUTED_VALUE"""),"https://drive.google.com/open?id=1h2IElqvSaXKs80UlnsYqt1dd7ikWs18s")</f>
        <v>https://drive.google.com/open?id=1h2IElqvSaXKs80UlnsYqt1dd7ikWs18s</v>
      </c>
      <c r="O88" s="5">
        <f ca="1">IFERROR(__xludf.DUMMYFUNCTION("""COMPUTED_VALUE"""),4226015031)</f>
        <v>4226015031</v>
      </c>
      <c r="P88" s="5" t="str">
        <f ca="1">IFERROR(__xludf.DUMMYFUNCTION("""COMPUTED_VALUE"""),"(310) 998-7175")</f>
        <v>(310) 998-7175</v>
      </c>
      <c r="Q88" s="5"/>
      <c r="R88" s="5"/>
      <c r="S88" s="5"/>
      <c r="T88" s="5"/>
    </row>
    <row r="89" spans="1:20" ht="12.75">
      <c r="A89" s="24">
        <f ca="1">IFERROR(__xludf.DUMMYFUNCTION("""COMPUTED_VALUE"""),45669.5983039699)</f>
        <v>45669.598303969899</v>
      </c>
      <c r="B89" s="5" t="str">
        <f ca="1">IFERROR(__xludf.DUMMYFUNCTION("""COMPUTED_VALUE"""),"705 Chaucer Rd")</f>
        <v>705 Chaucer Rd</v>
      </c>
      <c r="C89" s="5" t="str">
        <f ca="1">IFERROR(__xludf.DUMMYFUNCTION("""COMPUTED_VALUE"""),"San Marino")</f>
        <v>San Marino</v>
      </c>
      <c r="D89" s="5" t="str">
        <f ca="1">IFERROR(__xludf.DUMMYFUNCTION("""COMPUTED_VALUE"""),"CA")</f>
        <v>CA</v>
      </c>
      <c r="E89" s="5">
        <f ca="1">IFERROR(__xludf.DUMMYFUNCTION("""COMPUTED_VALUE"""),91108)</f>
        <v>91108</v>
      </c>
      <c r="F89" s="19">
        <f ca="1">IFERROR(__xludf.DUMMYFUNCTION("""COMPUTED_VALUE"""),10500)</f>
        <v>10500</v>
      </c>
      <c r="G89" s="19">
        <f ca="1">IFERROR(__xludf.DUMMYFUNCTION("""COMPUTED_VALUE"""),11900)</f>
        <v>11900</v>
      </c>
      <c r="H89" s="18">
        <f ca="1">IFERROR(__xludf.DUMMYFUNCTION("""COMPUTED_VALUE"""),45667)</f>
        <v>45667</v>
      </c>
      <c r="I89" s="5" t="str">
        <f ca="1">IFERROR(__xludf.DUMMYFUNCTION("""COMPUTED_VALUE"""),"Zillow")</f>
        <v>Zillow</v>
      </c>
      <c r="J89" s="25" t="str">
        <f ca="1">IFERROR(__xludf.DUMMYFUNCTION("""COMPUTED_VALUE"""),"https://www.zillow.com/homedetails/705-Chaucer-Rd-San-Marino-CA-91108/20701815_zpid/")</f>
        <v>https://www.zillow.com/homedetails/705-Chaucer-Rd-San-Marino-CA-91108/20701815_zpid/</v>
      </c>
      <c r="K89" s="5" t="str">
        <f ca="1">IFERROR(__xludf.DUMMYFUNCTION("""COMPUTED_VALUE"""),"Joshua Chao, Help-U-Sell Smart Realty")</f>
        <v>Joshua Chao, Help-U-Sell Smart Realty</v>
      </c>
      <c r="L89" s="5"/>
      <c r="M89" s="5" t="str">
        <f ca="1">IFERROR(__xludf.DUMMYFUNCTION("""COMPUTED_VALUE"""),"Temporarily raised to $13,980 on the 9th (33.1% increase), then lowered on the 10th (Still a 13.3% increase)")</f>
        <v>Temporarily raised to $13,980 on the 9th (33.1% increase), then lowered on the 10th (Still a 13.3% increase)</v>
      </c>
      <c r="N89" s="26" t="str">
        <f ca="1">IFERROR(__xludf.DUMMYFUNCTION("""COMPUTED_VALUE"""),"https://drive.google.com/open?id=1IrXriRSXcp7ZJtW5_erTzE7xDkKv5TO5")</f>
        <v>https://drive.google.com/open?id=1IrXriRSXcp7ZJtW5_erTzE7xDkKv5TO5</v>
      </c>
      <c r="O89" s="5">
        <f ca="1">IFERROR(__xludf.DUMMYFUNCTION("""COMPUTED_VALUE"""),5329016004)</f>
        <v>5329016004</v>
      </c>
      <c r="P89" s="5" t="str">
        <f ca="1">IFERROR(__xludf.DUMMYFUNCTION("""COMPUTED_VALUE"""),"(626) 405-8818")</f>
        <v>(626) 405-8818</v>
      </c>
      <c r="Q89" s="5"/>
      <c r="R89" s="5"/>
      <c r="S89" s="5"/>
      <c r="T89" s="5"/>
    </row>
    <row r="90" spans="1:20" ht="12.75">
      <c r="A90" s="24">
        <f ca="1">IFERROR(__xludf.DUMMYFUNCTION("""COMPUTED_VALUE"""),45669.5985487152)</f>
        <v>45669.598548715199</v>
      </c>
      <c r="B90" s="5" t="str">
        <f ca="1">IFERROR(__xludf.DUMMYFUNCTION("""COMPUTED_VALUE"""),"121 N Croft Ave APT 205,")</f>
        <v>121 N Croft Ave APT 205,</v>
      </c>
      <c r="C90" s="5" t="str">
        <f ca="1">IFERROR(__xludf.DUMMYFUNCTION("""COMPUTED_VALUE"""),"Los Angeles")</f>
        <v>Los Angeles</v>
      </c>
      <c r="D90" s="5" t="str">
        <f ca="1">IFERROR(__xludf.DUMMYFUNCTION("""COMPUTED_VALUE"""),"CA")</f>
        <v>CA</v>
      </c>
      <c r="E90" s="5">
        <f ca="1">IFERROR(__xludf.DUMMYFUNCTION("""COMPUTED_VALUE"""),90048)</f>
        <v>90048</v>
      </c>
      <c r="F90" s="19">
        <f ca="1">IFERROR(__xludf.DUMMYFUNCTION("""COMPUTED_VALUE"""),5000)</f>
        <v>5000</v>
      </c>
      <c r="G90" s="19">
        <f ca="1">IFERROR(__xludf.DUMMYFUNCTION("""COMPUTED_VALUE"""),8000)</f>
        <v>8000</v>
      </c>
      <c r="H90" s="18">
        <f ca="1">IFERROR(__xludf.DUMMYFUNCTION("""COMPUTED_VALUE"""),45669)</f>
        <v>45669</v>
      </c>
      <c r="I90" s="5" t="str">
        <f ca="1">IFERROR(__xludf.DUMMYFUNCTION("""COMPUTED_VALUE"""),"Zillow")</f>
        <v>Zillow</v>
      </c>
      <c r="J90" s="25" t="str">
        <f ca="1">IFERROR(__xludf.DUMMYFUNCTION("""COMPUTED_VALUE"""),"https://www.zillow.com/homedetails/121-N-Croft-Ave-APT-205-Los-Angeles-CA-90048/20776940_zpid/")</f>
        <v>https://www.zillow.com/homedetails/121-N-Croft-Ave-APT-205-Los-Angeles-CA-90048/20776940_zpid/</v>
      </c>
      <c r="K90" s="5" t="str">
        <f ca="1">IFERROR(__xludf.DUMMYFUNCTION("""COMPUTED_VALUE"""),"Jordan Joseph")</f>
        <v>Jordan Joseph</v>
      </c>
      <c r="L90" s="5"/>
      <c r="M90" s="5"/>
      <c r="N90" s="26" t="str">
        <f ca="1">IFERROR(__xludf.DUMMYFUNCTION("""COMPUTED_VALUE"""),"https://drive.google.com/open?id=1CJRwRPkO_XfArK0QZEXey35Yc40CFe70")</f>
        <v>https://drive.google.com/open?id=1CJRwRPkO_XfArK0QZEXey35Yc40CFe70</v>
      </c>
      <c r="O90" s="5">
        <f ca="1">IFERROR(__xludf.DUMMYFUNCTION("""COMPUTED_VALUE"""),5511013042)</f>
        <v>5511013042</v>
      </c>
      <c r="P90" s="5" t="str">
        <f ca="1">IFERROR(__xludf.DUMMYFUNCTION("""COMPUTED_VALUE"""),"(425) 600-2690")</f>
        <v>(425) 600-2690</v>
      </c>
      <c r="Q90" s="5"/>
      <c r="R90" s="5"/>
      <c r="S90" s="5"/>
      <c r="T90" s="5"/>
    </row>
    <row r="91" spans="1:20" ht="12.75">
      <c r="A91" s="24">
        <f ca="1">IFERROR(__xludf.DUMMYFUNCTION("""COMPUTED_VALUE"""),45669.5998297569)</f>
        <v>45669.599829756902</v>
      </c>
      <c r="B91" s="5" t="str">
        <f ca="1">IFERROR(__xludf.DUMMYFUNCTION("""COMPUTED_VALUE"""),"9297 Burton Way #B")</f>
        <v>9297 Burton Way #B</v>
      </c>
      <c r="C91" s="5" t="str">
        <f ca="1">IFERROR(__xludf.DUMMYFUNCTION("""COMPUTED_VALUE"""),"Beverly Hills")</f>
        <v>Beverly Hills</v>
      </c>
      <c r="D91" s="5" t="str">
        <f ca="1">IFERROR(__xludf.DUMMYFUNCTION("""COMPUTED_VALUE"""),"CA")</f>
        <v>CA</v>
      </c>
      <c r="E91" s="5">
        <f ca="1">IFERROR(__xludf.DUMMYFUNCTION("""COMPUTED_VALUE"""),90210)</f>
        <v>90210</v>
      </c>
      <c r="F91" s="19">
        <f ca="1">IFERROR(__xludf.DUMMYFUNCTION("""COMPUTED_VALUE"""),6995)</f>
        <v>6995</v>
      </c>
      <c r="G91" s="19">
        <f ca="1">IFERROR(__xludf.DUMMYFUNCTION("""COMPUTED_VALUE"""),9750)</f>
        <v>9750</v>
      </c>
      <c r="H91" s="18">
        <f ca="1">IFERROR(__xludf.DUMMYFUNCTION("""COMPUTED_VALUE"""),45667)</f>
        <v>45667</v>
      </c>
      <c r="I91" s="5" t="str">
        <f ca="1">IFERROR(__xludf.DUMMYFUNCTION("""COMPUTED_VALUE"""),"Zillow")</f>
        <v>Zillow</v>
      </c>
      <c r="J91" s="25" t="str">
        <f ca="1">IFERROR(__xludf.DUMMYFUNCTION("""COMPUTED_VALUE"""),"https://www.zillow.com/homedetails/9297-Burton-Way-B-Beverly-Hills-CA-90210/2070939537_zpid/")</f>
        <v>https://www.zillow.com/homedetails/9297-Burton-Way-B-Beverly-Hills-CA-90210/2070939537_zpid/</v>
      </c>
      <c r="K91" s="5" t="str">
        <f ca="1">IFERROR(__xludf.DUMMYFUNCTION("""COMPUTED_VALUE"""),"Matti Bialer")</f>
        <v>Matti Bialer</v>
      </c>
      <c r="L91" s="5"/>
      <c r="M91" s="5"/>
      <c r="N91" s="26" t="str">
        <f ca="1">IFERROR(__xludf.DUMMYFUNCTION("""COMPUTED_VALUE"""),"https://drive.google.com/open?id=1k2Y_W1L2mMy_ehol2mP-szsgFOg-lSei")</f>
        <v>https://drive.google.com/open?id=1k2Y_W1L2mMy_ehol2mP-szsgFOg-lSei</v>
      </c>
      <c r="O91" s="5" t="str">
        <f ca="1">IFERROR(__xludf.DUMMYFUNCTION("""COMPUTED_VALUE"""),"N/A")</f>
        <v>N/A</v>
      </c>
      <c r="P91" s="5" t="str">
        <f ca="1">IFERROR(__xludf.DUMMYFUNCTION("""COMPUTED_VALUE"""),"(310) 804-7008")</f>
        <v>(310) 804-7008</v>
      </c>
      <c r="Q91" s="5"/>
      <c r="R91" s="5"/>
      <c r="S91" s="5"/>
      <c r="T91" s="5"/>
    </row>
    <row r="92" spans="1:20" ht="12.75">
      <c r="A92" s="24">
        <f ca="1">IFERROR(__xludf.DUMMYFUNCTION("""COMPUTED_VALUE"""),45669.6009273379)</f>
        <v>45669.600927337902</v>
      </c>
      <c r="B92" s="5" t="str">
        <f ca="1">IFERROR(__xludf.DUMMYFUNCTION("""COMPUTED_VALUE"""),"6076 Hargis St")</f>
        <v>6076 Hargis St</v>
      </c>
      <c r="C92" s="5" t="str">
        <f ca="1">IFERROR(__xludf.DUMMYFUNCTION("""COMPUTED_VALUE"""),"Los Angeles")</f>
        <v>Los Angeles</v>
      </c>
      <c r="D92" s="5" t="str">
        <f ca="1">IFERROR(__xludf.DUMMYFUNCTION("""COMPUTED_VALUE"""),"CA")</f>
        <v>CA</v>
      </c>
      <c r="E92" s="5">
        <f ca="1">IFERROR(__xludf.DUMMYFUNCTION("""COMPUTED_VALUE"""),90034)</f>
        <v>90034</v>
      </c>
      <c r="F92" s="19">
        <f ca="1">IFERROR(__xludf.DUMMYFUNCTION("""COMPUTED_VALUE"""),5000)</f>
        <v>5000</v>
      </c>
      <c r="G92" s="19">
        <f ca="1">IFERROR(__xludf.DUMMYFUNCTION("""COMPUTED_VALUE"""),6000)</f>
        <v>6000</v>
      </c>
      <c r="H92" s="18">
        <f ca="1">IFERROR(__xludf.DUMMYFUNCTION("""COMPUTED_VALUE"""),45667)</f>
        <v>45667</v>
      </c>
      <c r="I92" s="5" t="str">
        <f ca="1">IFERROR(__xludf.DUMMYFUNCTION("""COMPUTED_VALUE"""),"Zillow")</f>
        <v>Zillow</v>
      </c>
      <c r="J92" s="25" t="str">
        <f ca="1">IFERROR(__xludf.DUMMYFUNCTION("""COMPUTED_VALUE"""),"https://www.zillow.com/homedetails/6076-Hargis-St-Los-Angeles-CA-90034/20598124_zpid/")</f>
        <v>https://www.zillow.com/homedetails/6076-Hargis-St-Los-Angeles-CA-90034/20598124_zpid/</v>
      </c>
      <c r="K92" s="5" t="str">
        <f ca="1">IFERROR(__xludf.DUMMYFUNCTION("""COMPUTED_VALUE"""),"NA")</f>
        <v>NA</v>
      </c>
      <c r="L92" s="5" t="str">
        <f ca="1">IFERROR(__xludf.DUMMYFUNCTION("""COMPUTED_VALUE"""),"NA")</f>
        <v>NA</v>
      </c>
      <c r="M92" s="5" t="str">
        <f ca="1">IFERROR(__xludf.DUMMYFUNCTION("""COMPUTED_VALUE"""),"This listing seems to have been on the market since 10/10 /25 at $5000. It was listed most recently on 1/4/25 at $5,000 then removed on 1/10/25 at $6000 (20% increase). ")</f>
        <v xml:space="preserve">This listing seems to have been on the market since 10/10 /25 at $5000. It was listed most recently on 1/4/25 at $5,000 then removed on 1/10/25 at $6000 (20% increase). </v>
      </c>
      <c r="N92" s="26" t="str">
        <f ca="1">IFERROR(__xludf.DUMMYFUNCTION("""COMPUTED_VALUE"""),"https://drive.google.com/open?id=1CaDTWltwVv4hlQ8iFI8RzC8WUzm9-Rpq")</f>
        <v>https://drive.google.com/open?id=1CaDTWltwVv4hlQ8iFI8RzC8WUzm9-Rpq</v>
      </c>
      <c r="O92" s="5">
        <f ca="1">IFERROR(__xludf.DUMMYFUNCTION("""COMPUTED_VALUE"""),5065003042)</f>
        <v>5065003042</v>
      </c>
      <c r="P92" s="5"/>
      <c r="Q92" s="5"/>
      <c r="R92" s="5" t="str">
        <f ca="1">IFERROR(__xludf.DUMMYFUNCTION("""COMPUTED_VALUE"""),"NA")</f>
        <v>NA</v>
      </c>
      <c r="S92" s="5"/>
      <c r="T92" s="5"/>
    </row>
    <row r="93" spans="1:20" ht="12.75">
      <c r="A93" s="24">
        <f ca="1">IFERROR(__xludf.DUMMYFUNCTION("""COMPUTED_VALUE"""),45669.6009295138)</f>
        <v>45669.600929513799</v>
      </c>
      <c r="B93" s="5" t="str">
        <f ca="1">IFERROR(__xludf.DUMMYFUNCTION("""COMPUTED_VALUE"""),"1026 E Verdugo Ave")</f>
        <v>1026 E Verdugo Ave</v>
      </c>
      <c r="C93" s="5" t="str">
        <f ca="1">IFERROR(__xludf.DUMMYFUNCTION("""COMPUTED_VALUE"""),"Burbank")</f>
        <v>Burbank</v>
      </c>
      <c r="D93" s="5" t="str">
        <f ca="1">IFERROR(__xludf.DUMMYFUNCTION("""COMPUTED_VALUE"""),"CA")</f>
        <v>CA</v>
      </c>
      <c r="E93" s="5">
        <f ca="1">IFERROR(__xludf.DUMMYFUNCTION("""COMPUTED_VALUE"""),91501)</f>
        <v>91501</v>
      </c>
      <c r="F93" s="19">
        <f ca="1">IFERROR(__xludf.DUMMYFUNCTION("""COMPUTED_VALUE"""),7865)</f>
        <v>7865</v>
      </c>
      <c r="G93" s="19">
        <f ca="1">IFERROR(__xludf.DUMMYFUNCTION("""COMPUTED_VALUE"""),12000)</f>
        <v>12000</v>
      </c>
      <c r="H93" s="18">
        <f ca="1">IFERROR(__xludf.DUMMYFUNCTION("""COMPUTED_VALUE"""),45666)</f>
        <v>45666</v>
      </c>
      <c r="I93" s="5" t="str">
        <f ca="1">IFERROR(__xludf.DUMMYFUNCTION("""COMPUTED_VALUE"""),"Zillow")</f>
        <v>Zillow</v>
      </c>
      <c r="J93" s="25" t="str">
        <f ca="1">IFERROR(__xludf.DUMMYFUNCTION("""COMPUTED_VALUE"""),"https://www.zillow.com/homedetails/1026-E-Verdugo-Ave-Burbank-CA-91501/20054588_zpid/")</f>
        <v>https://www.zillow.com/homedetails/1026-E-Verdugo-Ave-Burbank-CA-91501/20054588_zpid/</v>
      </c>
      <c r="K93" s="5" t="str">
        <f ca="1">IFERROR(__xludf.DUMMYFUNCTION("""COMPUTED_VALUE"""),"Arthur Mangassarian")</f>
        <v>Arthur Mangassarian</v>
      </c>
      <c r="L93" s="5"/>
      <c r="M93" s="5"/>
      <c r="N93" s="26" t="str">
        <f ca="1">IFERROR(__xludf.DUMMYFUNCTION("""COMPUTED_VALUE"""),"https://drive.google.com/open?id=14OIusrqDiHoOdDslvKMhhJTOLI4w1F0n")</f>
        <v>https://drive.google.com/open?id=14OIusrqDiHoOdDslvKMhhJTOLI4w1F0n</v>
      </c>
      <c r="O93" s="5">
        <f ca="1">IFERROR(__xludf.DUMMYFUNCTION("""COMPUTED_VALUE"""),2456035010)</f>
        <v>2456035010</v>
      </c>
      <c r="P93" s="5" t="str">
        <f ca="1">IFERROR(__xludf.DUMMYFUNCTION("""COMPUTED_VALUE"""),"(818) 549-9000")</f>
        <v>(818) 549-9000</v>
      </c>
      <c r="Q93" s="5"/>
      <c r="R93" s="5"/>
      <c r="S93" s="5"/>
      <c r="T93" s="5"/>
    </row>
    <row r="94" spans="1:20" ht="12.75">
      <c r="A94" s="24">
        <f ca="1">IFERROR(__xludf.DUMMYFUNCTION("""COMPUTED_VALUE"""),45669.6009828356)</f>
        <v>45669.600982835596</v>
      </c>
      <c r="B94" s="5" t="str">
        <f ca="1">IFERROR(__xludf.DUMMYFUNCTION("""COMPUTED_VALUE"""),"1817 N Silver Lake Blvd")</f>
        <v>1817 N Silver Lake Blvd</v>
      </c>
      <c r="C94" s="5" t="str">
        <f ca="1">IFERROR(__xludf.DUMMYFUNCTION("""COMPUTED_VALUE"""),"Los Angeles")</f>
        <v>Los Angeles</v>
      </c>
      <c r="D94" s="5" t="str">
        <f ca="1">IFERROR(__xludf.DUMMYFUNCTION("""COMPUTED_VALUE"""),"CA")</f>
        <v>CA</v>
      </c>
      <c r="E94" s="5">
        <f ca="1">IFERROR(__xludf.DUMMYFUNCTION("""COMPUTED_VALUE"""),90026)</f>
        <v>90026</v>
      </c>
      <c r="F94" s="19">
        <f ca="1">IFERROR(__xludf.DUMMYFUNCTION("""COMPUTED_VALUE"""),4750)</f>
        <v>4750</v>
      </c>
      <c r="G94" s="19">
        <f ca="1">IFERROR(__xludf.DUMMYFUNCTION("""COMPUTED_VALUE"""),6950)</f>
        <v>6950</v>
      </c>
      <c r="H94" s="18">
        <f ca="1">IFERROR(__xludf.DUMMYFUNCTION("""COMPUTED_VALUE"""),45669)</f>
        <v>45669</v>
      </c>
      <c r="I94" s="5" t="str">
        <f ca="1">IFERROR(__xludf.DUMMYFUNCTION("""COMPUTED_VALUE"""),"Zillow")</f>
        <v>Zillow</v>
      </c>
      <c r="J94" s="25" t="str">
        <f ca="1">IFERROR(__xludf.DUMMYFUNCTION("""COMPUTED_VALUE"""),"https://www.zillow.com/homedetails/1817-W-Silver-Lake-Dr-Los-Angeles-CA-90026/2096500924_zpid/")</f>
        <v>https://www.zillow.com/homedetails/1817-W-Silver-Lake-Dr-Los-Angeles-CA-90026/2096500924_zpid/</v>
      </c>
      <c r="K94" s="5" t="str">
        <f ca="1">IFERROR(__xludf.DUMMYFUNCTION("""COMPUTED_VALUE"""),"Clint Lukens Management")</f>
        <v>Clint Lukens Management</v>
      </c>
      <c r="L94" s="5"/>
      <c r="M94" s="5"/>
      <c r="N94" s="5" t="str">
        <f ca="1">IFERROR(__xludf.DUMMYFUNCTION("""COMPUTED_VALUE"""),"https://drive.google.com/open?id=1JnMj3D2S5OQmBttlKzl6BNdIwR4iLKK4, https://drive.google.com/open?id=1ds8SGqm2liJbgkDkRUctz-EM3TkKSmYd")</f>
        <v>https://drive.google.com/open?id=1JnMj3D2S5OQmBttlKzl6BNdIwR4iLKK4, https://drive.google.com/open?id=1ds8SGqm2liJbgkDkRUctz-EM3TkKSmYd</v>
      </c>
      <c r="O94" s="5" t="str">
        <f ca="1">IFERROR(__xludf.DUMMYFUNCTION("""COMPUTED_VALUE"""),"NA")</f>
        <v>NA</v>
      </c>
      <c r="P94" s="5" t="str">
        <f ca="1">IFERROR(__xludf.DUMMYFUNCTION("""COMPUTED_VALUE"""),"(213) 786-4704")</f>
        <v>(213) 786-4704</v>
      </c>
      <c r="Q94" s="5"/>
      <c r="R94" s="5"/>
      <c r="S94" s="5"/>
      <c r="T94" s="5"/>
    </row>
    <row r="95" spans="1:20" ht="12.75">
      <c r="A95" s="24">
        <f ca="1">IFERROR(__xludf.DUMMYFUNCTION("""COMPUTED_VALUE"""),45669.6027766087)</f>
        <v>45669.602776608699</v>
      </c>
      <c r="B95" s="5" t="str">
        <f ca="1">IFERROR(__xludf.DUMMYFUNCTION("""COMPUTED_VALUE"""),"150 Fern Dr")</f>
        <v>150 Fern Dr</v>
      </c>
      <c r="C95" s="5" t="str">
        <f ca="1">IFERROR(__xludf.DUMMYFUNCTION("""COMPUTED_VALUE"""),"Pasadena")</f>
        <v>Pasadena</v>
      </c>
      <c r="D95" s="5" t="str">
        <f ca="1">IFERROR(__xludf.DUMMYFUNCTION("""COMPUTED_VALUE"""),"CA")</f>
        <v>CA</v>
      </c>
      <c r="E95" s="5">
        <f ca="1">IFERROR(__xludf.DUMMYFUNCTION("""COMPUTED_VALUE"""),91105)</f>
        <v>91105</v>
      </c>
      <c r="F95" s="19">
        <f ca="1">IFERROR(__xludf.DUMMYFUNCTION("""COMPUTED_VALUE"""),25000)</f>
        <v>25000</v>
      </c>
      <c r="G95" s="19">
        <f ca="1">IFERROR(__xludf.DUMMYFUNCTION("""COMPUTED_VALUE"""),30000)</f>
        <v>30000</v>
      </c>
      <c r="H95" s="18">
        <f ca="1">IFERROR(__xludf.DUMMYFUNCTION("""COMPUTED_VALUE"""),45669)</f>
        <v>45669</v>
      </c>
      <c r="I95" s="5" t="str">
        <f ca="1">IFERROR(__xludf.DUMMYFUNCTION("""COMPUTED_VALUE"""),"Zillow")</f>
        <v>Zillow</v>
      </c>
      <c r="J95" s="25" t="str">
        <f ca="1">IFERROR(__xludf.DUMMYFUNCTION("""COMPUTED_VALUE"""),"https://www.zillow.com/homedetails/150-Fern-Dr-Pasadena-CA-91105/20856621_zpid/")</f>
        <v>https://www.zillow.com/homedetails/150-Fern-Dr-Pasadena-CA-91105/20856621_zpid/</v>
      </c>
      <c r="K95" s="5"/>
      <c r="L95" s="5"/>
      <c r="M95" s="5" t="str">
        <f ca="1">IFERROR(__xludf.DUMMYFUNCTION("""COMPUTED_VALUE"""),"Initially raised by $5000, then reduced")</f>
        <v>Initially raised by $5000, then reduced</v>
      </c>
      <c r="N95" s="5" t="str">
        <f ca="1">IFERROR(__xludf.DUMMYFUNCTION("""COMPUTED_VALUE"""),"https://drive.google.com/open?id=1t8uybGRdYel7GH8mtox_qFKqalYfJbA-, https://drive.google.com/open?id=1zOFfpc2hCzUSa0nssa7s4T-VdXzRZLIj")</f>
        <v>https://drive.google.com/open?id=1t8uybGRdYel7GH8mtox_qFKqalYfJbA-, https://drive.google.com/open?id=1zOFfpc2hCzUSa0nssa7s4T-VdXzRZLIj</v>
      </c>
      <c r="O95" s="5">
        <f ca="1">IFERROR(__xludf.DUMMYFUNCTION("""COMPUTED_VALUE"""),5708026002)</f>
        <v>5708026002</v>
      </c>
      <c r="P95" s="5" t="str">
        <f ca="1">IFERROR(__xludf.DUMMYFUNCTION("""COMPUTED_VALUE"""),"(213) 583-5741")</f>
        <v>(213) 583-5741</v>
      </c>
      <c r="Q95" s="5"/>
      <c r="R95" s="5"/>
      <c r="S95" s="5"/>
      <c r="T95" s="5"/>
    </row>
    <row r="96" spans="1:20" ht="12.75">
      <c r="A96" s="24">
        <f ca="1">IFERROR(__xludf.DUMMYFUNCTION("""COMPUTED_VALUE"""),45669.6034146412)</f>
        <v>45669.603414641198</v>
      </c>
      <c r="B96" s="5" t="str">
        <f ca="1">IFERROR(__xludf.DUMMYFUNCTION("""COMPUTED_VALUE"""),"1390 Rose Avenue")</f>
        <v>1390 Rose Avenue</v>
      </c>
      <c r="C96" s="5" t="str">
        <f ca="1">IFERROR(__xludf.DUMMYFUNCTION("""COMPUTED_VALUE"""),"Venice")</f>
        <v>Venice</v>
      </c>
      <c r="D96" s="5" t="str">
        <f ca="1">IFERROR(__xludf.DUMMYFUNCTION("""COMPUTED_VALUE"""),"Other")</f>
        <v>Other</v>
      </c>
      <c r="E96" s="5">
        <f ca="1">IFERROR(__xludf.DUMMYFUNCTION("""COMPUTED_VALUE"""),90291)</f>
        <v>90291</v>
      </c>
      <c r="F96" s="19">
        <f ca="1">IFERROR(__xludf.DUMMYFUNCTION("""COMPUTED_VALUE"""),11900)</f>
        <v>11900</v>
      </c>
      <c r="G96" s="19">
        <f ca="1">IFERROR(__xludf.DUMMYFUNCTION("""COMPUTED_VALUE"""),18900)</f>
        <v>18900</v>
      </c>
      <c r="H96" s="18">
        <f ca="1">IFERROR(__xludf.DUMMYFUNCTION("""COMPUTED_VALUE"""),45665)</f>
        <v>45665</v>
      </c>
      <c r="I96" s="5" t="str">
        <f ca="1">IFERROR(__xludf.DUMMYFUNCTION("""COMPUTED_VALUE"""),"Zillow")</f>
        <v>Zillow</v>
      </c>
      <c r="J96" s="25" t="str">
        <f ca="1">IFERROR(__xludf.DUMMYFUNCTION("""COMPUTED_VALUE"""),"https://www.zillow.com/homedetails/1390-Rose-Ave-Venice-CA-90291/20453901_zpid/")</f>
        <v>https://www.zillow.com/homedetails/1390-Rose-Ave-Venice-CA-90291/20453901_zpid/</v>
      </c>
      <c r="K96" s="5" t="str">
        <f ca="1">IFERROR(__xludf.DUMMYFUNCTION("""COMPUTED_VALUE"""),"Paul Huang DRE #01068912")</f>
        <v>Paul Huang DRE #01068912</v>
      </c>
      <c r="L96" s="5"/>
      <c r="M96" s="5"/>
      <c r="N96" s="5" t="str">
        <f ca="1">IFERROR(__xludf.DUMMYFUNCTION("""COMPUTED_VALUE"""),"https://drive.google.com/open?id=1I033cs3NxpcV6AZaY6XzsGQSrlZx3qx5, https://drive.google.com/open?id=1_avQVCKNkn8F5bvXg5sgqN4GRz5IGSIi")</f>
        <v>https://drive.google.com/open?id=1I033cs3NxpcV6AZaY6XzsGQSrlZx3qx5, https://drive.google.com/open?id=1_avQVCKNkn8F5bvXg5sgqN4GRz5IGSIi</v>
      </c>
      <c r="O96" s="5">
        <f ca="1">IFERROR(__xludf.DUMMYFUNCTION("""COMPUTED_VALUE"""),4244003028)</f>
        <v>4244003028</v>
      </c>
      <c r="P96" s="5" t="str">
        <f ca="1">IFERROR(__xludf.DUMMYFUNCTION("""COMPUTED_VALUE"""),"626-964-8999")</f>
        <v>626-964-8999</v>
      </c>
      <c r="Q96" s="5"/>
      <c r="R96" s="5"/>
      <c r="S96" s="5"/>
      <c r="T96" s="5"/>
    </row>
    <row r="97" spans="1:20" ht="12.75">
      <c r="A97" s="24">
        <f ca="1">IFERROR(__xludf.DUMMYFUNCTION("""COMPUTED_VALUE"""),45669.6051000694)</f>
        <v>45669.605100069399</v>
      </c>
      <c r="B97" s="5" t="str">
        <f ca="1">IFERROR(__xludf.DUMMYFUNCTION("""COMPUTED_VALUE"""),"77 E Altadena Drive")</f>
        <v>77 E Altadena Drive</v>
      </c>
      <c r="C97" s="5" t="str">
        <f ca="1">IFERROR(__xludf.DUMMYFUNCTION("""COMPUTED_VALUE"""),"Altadena")</f>
        <v>Altadena</v>
      </c>
      <c r="D97" s="5" t="str">
        <f ca="1">IFERROR(__xludf.DUMMYFUNCTION("""COMPUTED_VALUE"""),"CA")</f>
        <v>CA</v>
      </c>
      <c r="E97" s="5">
        <f ca="1">IFERROR(__xludf.DUMMYFUNCTION("""COMPUTED_VALUE"""),91001)</f>
        <v>91001</v>
      </c>
      <c r="F97" s="19">
        <f ca="1">IFERROR(__xludf.DUMMYFUNCTION("""COMPUTED_VALUE"""),2300)</f>
        <v>2300</v>
      </c>
      <c r="G97" s="19">
        <f ca="1">IFERROR(__xludf.DUMMYFUNCTION("""COMPUTED_VALUE"""),2800)</f>
        <v>2800</v>
      </c>
      <c r="H97" s="18">
        <f ca="1">IFERROR(__xludf.DUMMYFUNCTION("""COMPUTED_VALUE"""),45660)</f>
        <v>45660</v>
      </c>
      <c r="I97" s="5" t="str">
        <f ca="1">IFERROR(__xludf.DUMMYFUNCTION("""COMPUTED_VALUE"""),"Zillow")</f>
        <v>Zillow</v>
      </c>
      <c r="J97" s="25" t="str">
        <f ca="1">IFERROR(__xludf.DUMMYFUNCTION("""COMPUTED_VALUE"""),"https://www.zillow.com/homedetails/77-E-Altadena-Dr-Altadena-CA-91001/20911914_zpid/")</f>
        <v>https://www.zillow.com/homedetails/77-E-Altadena-Dr-Altadena-CA-91001/20911914_zpid/</v>
      </c>
      <c r="K97" s="5"/>
      <c r="L97" s="5" t="str">
        <f ca="1">IFERROR(__xludf.DUMMYFUNCTION("""COMPUTED_VALUE"""),"Jesse")</f>
        <v>Jesse</v>
      </c>
      <c r="M97" s="5"/>
      <c r="N97" s="26" t="str">
        <f ca="1">IFERROR(__xludf.DUMMYFUNCTION("""COMPUTED_VALUE"""),"https://drive.google.com/open?id=12pR2hLzYw3_oSW8qObS5bgVrR5wOpo_Z")</f>
        <v>https://drive.google.com/open?id=12pR2hLzYw3_oSW8qObS5bgVrR5wOpo_Z</v>
      </c>
      <c r="O97" s="5">
        <f ca="1">IFERROR(__xludf.DUMMYFUNCTION("""COMPUTED_VALUE"""),5833028015)</f>
        <v>5833028015</v>
      </c>
      <c r="P97" s="5"/>
      <c r="Q97" s="5"/>
      <c r="R97" s="5" t="str">
        <f ca="1">IFERROR(__xludf.DUMMYFUNCTION("""COMPUTED_VALUE"""),"(626) 712-1205")</f>
        <v>(626) 712-1205</v>
      </c>
      <c r="S97" s="5"/>
      <c r="T97" s="5"/>
    </row>
    <row r="98" spans="1:20" ht="12.75">
      <c r="A98" s="24">
        <f ca="1">IFERROR(__xludf.DUMMYFUNCTION("""COMPUTED_VALUE"""),45669.60811478)</f>
        <v>45669.60811478</v>
      </c>
      <c r="B98" s="5" t="str">
        <f ca="1">IFERROR(__xludf.DUMMYFUNCTION("""COMPUTED_VALUE"""),"9982 Beverly Grv")</f>
        <v>9982 Beverly Grv</v>
      </c>
      <c r="C98" s="5" t="str">
        <f ca="1">IFERROR(__xludf.DUMMYFUNCTION("""COMPUTED_VALUE"""),"Beverly Hills")</f>
        <v>Beverly Hills</v>
      </c>
      <c r="D98" s="5" t="str">
        <f ca="1">IFERROR(__xludf.DUMMYFUNCTION("""COMPUTED_VALUE"""),"CA")</f>
        <v>CA</v>
      </c>
      <c r="E98" s="5">
        <f ca="1">IFERROR(__xludf.DUMMYFUNCTION("""COMPUTED_VALUE"""),90210)</f>
        <v>90210</v>
      </c>
      <c r="F98" s="19">
        <f ca="1">IFERROR(__xludf.DUMMYFUNCTION("""COMPUTED_VALUE"""),65000)</f>
        <v>65000</v>
      </c>
      <c r="G98" s="19">
        <f ca="1">IFERROR(__xludf.DUMMYFUNCTION("""COMPUTED_VALUE"""),85000)</f>
        <v>85000</v>
      </c>
      <c r="H98" s="18">
        <f ca="1">IFERROR(__xludf.DUMMYFUNCTION("""COMPUTED_VALUE"""),45669)</f>
        <v>45669</v>
      </c>
      <c r="I98" s="5" t="str">
        <f ca="1">IFERROR(__xludf.DUMMYFUNCTION("""COMPUTED_VALUE"""),"Zillow")</f>
        <v>Zillow</v>
      </c>
      <c r="J98" s="25" t="str">
        <f ca="1">IFERROR(__xludf.DUMMYFUNCTION("""COMPUTED_VALUE"""),"https://www.zillow.com/homedetails/9982-Beverly-Grv-Beverly-Hills-CA-90210/443685654_zpid/")</f>
        <v>https://www.zillow.com/homedetails/9982-Beverly-Grv-Beverly-Hills-CA-90210/443685654_zpid/</v>
      </c>
      <c r="K98" s="5" t="str">
        <f ca="1">IFERROR(__xludf.DUMMYFUNCTION("""COMPUTED_VALUE"""),"Jordan Pollack - LA Luxuries")</f>
        <v>Jordan Pollack - LA Luxuries</v>
      </c>
      <c r="L98" s="5"/>
      <c r="M98" s="5" t="str">
        <f ca="1">IFERROR(__xludf.DUMMYFUNCTION("""COMPUTED_VALUE"""),"Originally listed 12/31/24 for $65K, increase by 30.8% on 1/12/25 after the fires.")</f>
        <v>Originally listed 12/31/24 for $65K, increase by 30.8% on 1/12/25 after the fires.</v>
      </c>
      <c r="N98" s="26" t="str">
        <f ca="1">IFERROR(__xludf.DUMMYFUNCTION("""COMPUTED_VALUE"""),"https://drive.google.com/open?id=1ou9y_SxG7r66aEb26MltadhISkU0pfpz")</f>
        <v>https://drive.google.com/open?id=1ou9y_SxG7r66aEb26MltadhISkU0pfpz</v>
      </c>
      <c r="O98" s="5" t="str">
        <f ca="1">IFERROR(__xludf.DUMMYFUNCTION("""COMPUTED_VALUE"""),"NA")</f>
        <v>NA</v>
      </c>
      <c r="P98" s="5" t="str">
        <f ca="1">IFERROR(__xludf.DUMMYFUNCTION("""COMPUTED_VALUE"""),"(310) 666-5736")</f>
        <v>(310) 666-5736</v>
      </c>
      <c r="Q98" s="5"/>
      <c r="R98" s="5"/>
      <c r="S98" s="5"/>
      <c r="T98" s="5"/>
    </row>
    <row r="99" spans="1:20" ht="12.75">
      <c r="A99" s="24">
        <f ca="1">IFERROR(__xludf.DUMMYFUNCTION("""COMPUTED_VALUE"""),45669.6087562731)</f>
        <v>45669.608756273097</v>
      </c>
      <c r="B99" s="5" t="str">
        <f ca="1">IFERROR(__xludf.DUMMYFUNCTION("""COMPUTED_VALUE"""),"210 N California St")</f>
        <v>210 N California St</v>
      </c>
      <c r="C99" s="5" t="str">
        <f ca="1">IFERROR(__xludf.DUMMYFUNCTION("""COMPUTED_VALUE"""),"Burbank")</f>
        <v>Burbank</v>
      </c>
      <c r="D99" s="5" t="str">
        <f ca="1">IFERROR(__xludf.DUMMYFUNCTION("""COMPUTED_VALUE"""),"CA")</f>
        <v>CA</v>
      </c>
      <c r="E99" s="5">
        <f ca="1">IFERROR(__xludf.DUMMYFUNCTION("""COMPUTED_VALUE"""),91505)</f>
        <v>91505</v>
      </c>
      <c r="F99" s="19">
        <f ca="1">IFERROR(__xludf.DUMMYFUNCTION("""COMPUTED_VALUE"""),4900)</f>
        <v>4900</v>
      </c>
      <c r="G99" s="19">
        <f ca="1">IFERROR(__xludf.DUMMYFUNCTION("""COMPUTED_VALUE"""),7900)</f>
        <v>7900</v>
      </c>
      <c r="H99" s="18">
        <f ca="1">IFERROR(__xludf.DUMMYFUNCTION("""COMPUTED_VALUE"""),45667)</f>
        <v>45667</v>
      </c>
      <c r="I99" s="5" t="str">
        <f ca="1">IFERROR(__xludf.DUMMYFUNCTION("""COMPUTED_VALUE"""),"Zillow")</f>
        <v>Zillow</v>
      </c>
      <c r="J99" s="25" t="str">
        <f ca="1">IFERROR(__xludf.DUMMYFUNCTION("""COMPUTED_VALUE"""),"https://www.zillow.com/homedetails/Burbank-CA-91505/20065843_zpid/")</f>
        <v>https://www.zillow.com/homedetails/Burbank-CA-91505/20065843_zpid/</v>
      </c>
      <c r="K99" s="5"/>
      <c r="L99" s="5"/>
      <c r="M99" s="5" t="str">
        <f ca="1">IFERROR(__xludf.DUMMYFUNCTION("""COMPUTED_VALUE"""),"Off market as of 1/11/2025")</f>
        <v>Off market as of 1/11/2025</v>
      </c>
      <c r="N99" s="26" t="str">
        <f ca="1">IFERROR(__xludf.DUMMYFUNCTION("""COMPUTED_VALUE"""),"https://drive.google.com/open?id=1vtbMaumh9nMw5CcBflUIrZCw0rhjiKB7")</f>
        <v>https://drive.google.com/open?id=1vtbMaumh9nMw5CcBflUIrZCw0rhjiKB7</v>
      </c>
      <c r="O99" s="5" t="str">
        <f ca="1">IFERROR(__xludf.DUMMYFUNCTION("""COMPUTED_VALUE"""),"2483-022-010")</f>
        <v>2483-022-010</v>
      </c>
      <c r="P99" s="5"/>
      <c r="Q99" s="5"/>
      <c r="R99" s="5"/>
      <c r="S99" s="5"/>
      <c r="T99" s="5"/>
    </row>
    <row r="100" spans="1:20" ht="12.75">
      <c r="A100" s="24">
        <f ca="1">IFERROR(__xludf.DUMMYFUNCTION("""COMPUTED_VALUE"""),45669.6096475578)</f>
        <v>45669.609647557802</v>
      </c>
      <c r="B100" s="5" t="str">
        <f ca="1">IFERROR(__xludf.DUMMYFUNCTION("""COMPUTED_VALUE"""),"3572 E Green St")</f>
        <v>3572 E Green St</v>
      </c>
      <c r="C100" s="5" t="str">
        <f ca="1">IFERROR(__xludf.DUMMYFUNCTION("""COMPUTED_VALUE"""),"Pasadena")</f>
        <v>Pasadena</v>
      </c>
      <c r="D100" s="5" t="str">
        <f ca="1">IFERROR(__xludf.DUMMYFUNCTION("""COMPUTED_VALUE"""),"CA")</f>
        <v>CA</v>
      </c>
      <c r="E100" s="5">
        <f ca="1">IFERROR(__xludf.DUMMYFUNCTION("""COMPUTED_VALUE"""),91107)</f>
        <v>91107</v>
      </c>
      <c r="F100" s="19">
        <f ca="1">IFERROR(__xludf.DUMMYFUNCTION("""COMPUTED_VALUE"""),3800)</f>
        <v>3800</v>
      </c>
      <c r="G100" s="19">
        <f ca="1">IFERROR(__xludf.DUMMYFUNCTION("""COMPUTED_VALUE"""),4200)</f>
        <v>4200</v>
      </c>
      <c r="H100" s="18">
        <f ca="1">IFERROR(__xludf.DUMMYFUNCTION("""COMPUTED_VALUE"""),45668)</f>
        <v>45668</v>
      </c>
      <c r="I100" s="5" t="str">
        <f ca="1">IFERROR(__xludf.DUMMYFUNCTION("""COMPUTED_VALUE"""),"Zillow")</f>
        <v>Zillow</v>
      </c>
      <c r="J100" s="25" t="str">
        <f ca="1">IFERROR(__xludf.DUMMYFUNCTION("""COMPUTED_VALUE"""),"https://www.zillow.com/homedetails/3572-E-Green-St-Pasadena-CA-91107/20878608_zpid/")</f>
        <v>https://www.zillow.com/homedetails/3572-E-Green-St-Pasadena-CA-91107/20878608_zpid/</v>
      </c>
      <c r="K100" s="5" t="str">
        <f ca="1">IFERROR(__xludf.DUMMYFUNCTION("""COMPUTED_VALUE"""),"Mardy MA (OWNER and pasadena local)")</f>
        <v>Mardy MA (OWNER and pasadena local)</v>
      </c>
      <c r="L100" s="5" t="str">
        <f ca="1">IFERROR(__xludf.DUMMYFUNCTION("""COMPUTED_VALUE"""),"Mardy Ma")</f>
        <v>Mardy Ma</v>
      </c>
      <c r="M100" s="5" t="str">
        <f ca="1">IFERROR(__xludf.DUMMYFUNCTION("""COMPUTED_VALUE"""),"Mardy ma is a pasadena local ""actress"" who jacked up the price of this rental by an illegal 10.5% on 1/11. She is the owner of this home. ")</f>
        <v xml:space="preserve">Mardy ma is a pasadena local "actress" who jacked up the price of this rental by an illegal 10.5% on 1/11. She is the owner of this home. </v>
      </c>
      <c r="N100" s="5" t="str">
        <f ca="1">IFERROR(__xludf.DUMMYFUNCTION("""COMPUTED_VALUE"""),"https://drive.google.com/open?id=1GwkX4jXspsaUHCikoqHNC15cHBOTnTWz, https://drive.google.com/open?id=1GqYzHtD_AWSsUd6KK_AqtEmThuua72tC")</f>
        <v>https://drive.google.com/open?id=1GwkX4jXspsaUHCikoqHNC15cHBOTnTWz, https://drive.google.com/open?id=1GqYzHtD_AWSsUd6KK_AqtEmThuua72tC</v>
      </c>
      <c r="O100" s="5">
        <f ca="1">IFERROR(__xludf.DUMMYFUNCTION("""COMPUTED_VALUE"""),5754019017)</f>
        <v>5754019017</v>
      </c>
      <c r="P100" s="5" t="str">
        <f ca="1">IFERROR(__xludf.DUMMYFUNCTION("""COMPUTED_VALUE"""),"(626) 688-1231")</f>
        <v>(626) 688-1231</v>
      </c>
      <c r="Q100" s="5"/>
      <c r="R100" s="5" t="str">
        <f ca="1">IFERROR(__xludf.DUMMYFUNCTION("""COMPUTED_VALUE"""),"(626) 688-1231")</f>
        <v>(626) 688-1231</v>
      </c>
      <c r="S100" s="5"/>
      <c r="T100" s="5"/>
    </row>
    <row r="101" spans="1:20" ht="12.75">
      <c r="A101" s="24">
        <f ca="1">IFERROR(__xludf.DUMMYFUNCTION("""COMPUTED_VALUE"""),45669.6098533912)</f>
        <v>45669.609853391201</v>
      </c>
      <c r="B101" s="5" t="str">
        <f ca="1">IFERROR(__xludf.DUMMYFUNCTION("""COMPUTED_VALUE"""),"2950 Tyburn St")</f>
        <v>2950 Tyburn St</v>
      </c>
      <c r="C101" s="5" t="str">
        <f ca="1">IFERROR(__xludf.DUMMYFUNCTION("""COMPUTED_VALUE"""),"Los Angeles")</f>
        <v>Los Angeles</v>
      </c>
      <c r="D101" s="5" t="str">
        <f ca="1">IFERROR(__xludf.DUMMYFUNCTION("""COMPUTED_VALUE"""),"CA")</f>
        <v>CA</v>
      </c>
      <c r="E101" s="5">
        <f ca="1">IFERROR(__xludf.DUMMYFUNCTION("""COMPUTED_VALUE"""),90039)</f>
        <v>90039</v>
      </c>
      <c r="F101" s="19">
        <f ca="1">IFERROR(__xludf.DUMMYFUNCTION("""COMPUTED_VALUE"""),3800)</f>
        <v>3800</v>
      </c>
      <c r="G101" s="19">
        <f ca="1">IFERROR(__xludf.DUMMYFUNCTION("""COMPUTED_VALUE"""),4500)</f>
        <v>4500</v>
      </c>
      <c r="H101" s="18">
        <f ca="1">IFERROR(__xludf.DUMMYFUNCTION("""COMPUTED_VALUE"""),45669)</f>
        <v>45669</v>
      </c>
      <c r="I101" s="5" t="str">
        <f ca="1">IFERROR(__xludf.DUMMYFUNCTION("""COMPUTED_VALUE"""),"Zillow")</f>
        <v>Zillow</v>
      </c>
      <c r="J101" s="25" t="str">
        <f ca="1">IFERROR(__xludf.DUMMYFUNCTION("""COMPUTED_VALUE"""),"https://www.zillow.com/homedetails/2950-Tyburn-St-Los-Angeles-CA-90039/20751814_zpid/")</f>
        <v>https://www.zillow.com/homedetails/2950-Tyburn-St-Los-Angeles-CA-90039/20751814_zpid/</v>
      </c>
      <c r="K101" s="5" t="str">
        <f ca="1">IFERROR(__xludf.DUMMYFUNCTION("""COMPUTED_VALUE"""),"Vartan Tamamian")</f>
        <v>Vartan Tamamian</v>
      </c>
      <c r="L101" s="5" t="str">
        <f ca="1">IFERROR(__xludf.DUMMYFUNCTION("""COMPUTED_VALUE"""),"Beverly &amp; Company Luxury Properties")</f>
        <v>Beverly &amp; Company Luxury Properties</v>
      </c>
      <c r="M101" s="5"/>
      <c r="N101" s="26" t="str">
        <f ca="1">IFERROR(__xludf.DUMMYFUNCTION("""COMPUTED_VALUE"""),"https://drive.google.com/open?id=1vbZw11CQHxLXuQxQMposEkZ9BeGKzX_q")</f>
        <v>https://drive.google.com/open?id=1vbZw11CQHxLXuQxQMposEkZ9BeGKzX_q</v>
      </c>
      <c r="O101" s="5">
        <f ca="1">IFERROR(__xludf.DUMMYFUNCTION("""COMPUTED_VALUE"""),5437023007)</f>
        <v>5437023007</v>
      </c>
      <c r="P101" s="5" t="str">
        <f ca="1">IFERROR(__xludf.DUMMYFUNCTION("""COMPUTED_VALUE"""),"(626) 590-6647")</f>
        <v>(626) 590-6647</v>
      </c>
      <c r="Q101" s="5"/>
      <c r="R101" s="5"/>
      <c r="S101" s="5"/>
      <c r="T101" s="5"/>
    </row>
    <row r="102" spans="1:20" ht="12.75">
      <c r="A102" s="24">
        <f ca="1">IFERROR(__xludf.DUMMYFUNCTION("""COMPUTED_VALUE"""),45669.6108227199)</f>
        <v>45669.6108227199</v>
      </c>
      <c r="B102" s="5" t="str">
        <f ca="1">IFERROR(__xludf.DUMMYFUNCTION("""COMPUTED_VALUE"""),"220 Avenue A")</f>
        <v>220 Avenue A</v>
      </c>
      <c r="C102" s="5" t="str">
        <f ca="1">IFERROR(__xludf.DUMMYFUNCTION("""COMPUTED_VALUE"""),"Redondo Beach")</f>
        <v>Redondo Beach</v>
      </c>
      <c r="D102" s="5" t="str">
        <f ca="1">IFERROR(__xludf.DUMMYFUNCTION("""COMPUTED_VALUE"""),"CA")</f>
        <v>CA</v>
      </c>
      <c r="E102" s="5">
        <f ca="1">IFERROR(__xludf.DUMMYFUNCTION("""COMPUTED_VALUE"""),90277)</f>
        <v>90277</v>
      </c>
      <c r="F102" s="19">
        <f ca="1">IFERROR(__xludf.DUMMYFUNCTION("""COMPUTED_VALUE"""),7500)</f>
        <v>7500</v>
      </c>
      <c r="G102" s="19">
        <f ca="1">IFERROR(__xludf.DUMMYFUNCTION("""COMPUTED_VALUE"""),13000)</f>
        <v>13000</v>
      </c>
      <c r="H102" s="18">
        <f ca="1">IFERROR(__xludf.DUMMYFUNCTION("""COMPUTED_VALUE"""),45667)</f>
        <v>45667</v>
      </c>
      <c r="I102" s="5" t="str">
        <f ca="1">IFERROR(__xludf.DUMMYFUNCTION("""COMPUTED_VALUE"""),"Zillow")</f>
        <v>Zillow</v>
      </c>
      <c r="J102" s="25" t="str">
        <f ca="1">IFERROR(__xludf.DUMMYFUNCTION("""COMPUTED_VALUE"""),"https://www.zillow.com/homedetails/220-Avenue-A-Redondo-Beach-CA-90277/21322400_zpid/")</f>
        <v>https://www.zillow.com/homedetails/220-Avenue-A-Redondo-Beach-CA-90277/21322400_zpid/</v>
      </c>
      <c r="K102" s="5"/>
      <c r="L102" s="5" t="str">
        <f ca="1">IFERROR(__xludf.DUMMYFUNCTION("""COMPUTED_VALUE"""),"vivian")</f>
        <v>vivian</v>
      </c>
      <c r="M102" s="5"/>
      <c r="N102" s="5" t="str">
        <f ca="1">IFERROR(__xludf.DUMMYFUNCTION("""COMPUTED_VALUE"""),"https://drive.google.com/open?id=1Rt1FZqGd3LC_VR5P9Ehj1Dbog9dY1DCz, https://drive.google.com/open?id=1HhRV5xlGiHyAPswwwKldxcWXOEa9RsNB")</f>
        <v>https://drive.google.com/open?id=1Rt1FZqGd3LC_VR5P9Ehj1Dbog9dY1DCz, https://drive.google.com/open?id=1HhRV5xlGiHyAPswwwKldxcWXOEa9RsNB</v>
      </c>
      <c r="O102" s="5">
        <f ca="1">IFERROR(__xludf.DUMMYFUNCTION("""COMPUTED_VALUE"""),7509003008)</f>
        <v>7509003008</v>
      </c>
      <c r="P102" s="5"/>
      <c r="Q102" s="5"/>
      <c r="R102" s="5" t="str">
        <f ca="1">IFERROR(__xludf.DUMMYFUNCTION("""COMPUTED_VALUE"""),"(702) 937-9997")</f>
        <v>(702) 937-9997</v>
      </c>
      <c r="S102" s="5"/>
      <c r="T102" s="5"/>
    </row>
    <row r="103" spans="1:20" ht="12.75">
      <c r="A103" s="24">
        <f ca="1">IFERROR(__xludf.DUMMYFUNCTION("""COMPUTED_VALUE"""),45669.6122798032)</f>
        <v>45669.612279803201</v>
      </c>
      <c r="B103" s="5" t="str">
        <f ca="1">IFERROR(__xludf.DUMMYFUNCTION("""COMPUTED_VALUE"""),"2943 Virginia Ave, Santa Monica, CA 90404")</f>
        <v>2943 Virginia Ave, Santa Monica, CA 90404</v>
      </c>
      <c r="C103" s="5" t="str">
        <f ca="1">IFERROR(__xludf.DUMMYFUNCTION("""COMPUTED_VALUE"""),"Santa Monica ")</f>
        <v xml:space="preserve">Santa Monica </v>
      </c>
      <c r="D103" s="5" t="str">
        <f ca="1">IFERROR(__xludf.DUMMYFUNCTION("""COMPUTED_VALUE"""),"CA")</f>
        <v>CA</v>
      </c>
      <c r="E103" s="5">
        <f ca="1">IFERROR(__xludf.DUMMYFUNCTION("""COMPUTED_VALUE"""),90404)</f>
        <v>90404</v>
      </c>
      <c r="F103" s="19">
        <f ca="1">IFERROR(__xludf.DUMMYFUNCTION("""COMPUTED_VALUE"""),19500)</f>
        <v>19500</v>
      </c>
      <c r="G103" s="19">
        <f ca="1">IFERROR(__xludf.DUMMYFUNCTION("""COMPUTED_VALUE"""),30000)</f>
        <v>30000</v>
      </c>
      <c r="H103" s="18">
        <f ca="1">IFERROR(__xludf.DUMMYFUNCTION("""COMPUTED_VALUE"""),-684816)</f>
        <v>-684816</v>
      </c>
      <c r="I103" s="5" t="str">
        <f ca="1">IFERROR(__xludf.DUMMYFUNCTION("""COMPUTED_VALUE"""),"Zillow")</f>
        <v>Zillow</v>
      </c>
      <c r="J103" s="25" t="str">
        <f ca="1">IFERROR(__xludf.DUMMYFUNCTION("""COMPUTED_VALUE"""),"https://www.zillow.com/homedetails/2943-Virginia-Ave-Santa-Monica-CA-90404/20471162_zpid/?utm_campaign=iosappmessage&amp;utm_medium=referral&amp;utm_source=txtshare")</f>
        <v>https://www.zillow.com/homedetails/2943-Virginia-Ave-Santa-Monica-CA-90404/20471162_zpid/?utm_campaign=iosappmessage&amp;utm_medium=referral&amp;utm_source=txtshare</v>
      </c>
      <c r="K103" s="5" t="str">
        <f ca="1">IFERROR(__xludf.DUMMYFUNCTION("""COMPUTED_VALUE"""),"Mark wong")</f>
        <v>Mark wong</v>
      </c>
      <c r="L103" s="5" t="str">
        <f ca="1">IFERROR(__xludf.DUMMYFUNCTION("""COMPUTED_VALUE"""),"mark wong")</f>
        <v>mark wong</v>
      </c>
      <c r="M103" s="5"/>
      <c r="N103" s="5" t="str">
        <f ca="1">IFERROR(__xludf.DUMMYFUNCTION("""COMPUTED_VALUE"""),"https://drive.google.com/open?id=1yK4Cm6hZirlFNZEle-3lFr39FABamdNF, https://drive.google.com/open?id=1OFifCrk2qx7-wRsOQbC6gpMj65Cc6WXk")</f>
        <v>https://drive.google.com/open?id=1yK4Cm6hZirlFNZEle-3lFr39FABamdNF, https://drive.google.com/open?id=1OFifCrk2qx7-wRsOQbC6gpMj65Cc6WXk</v>
      </c>
      <c r="O103" s="5" t="str">
        <f ca="1">IFERROR(__xludf.DUMMYFUNCTION("""COMPUTED_VALUE"""),"Parcel number: 4268021032")</f>
        <v>Parcel number: 4268021032</v>
      </c>
      <c r="P103" s="5">
        <f ca="1">IFERROR(__xludf.DUMMYFUNCTION("""COMPUTED_VALUE"""),3106662596)</f>
        <v>3106662596</v>
      </c>
      <c r="Q103" s="5"/>
      <c r="R103" s="5">
        <f ca="1">IFERROR(__xludf.DUMMYFUNCTION("""COMPUTED_VALUE"""),3106662596)</f>
        <v>3106662596</v>
      </c>
      <c r="S103" s="5"/>
      <c r="T103" s="5"/>
    </row>
    <row r="104" spans="1:20" ht="12.75">
      <c r="A104" s="24">
        <f ca="1">IFERROR(__xludf.DUMMYFUNCTION("""COMPUTED_VALUE"""),45669.6130896759)</f>
        <v>45669.613089675899</v>
      </c>
      <c r="B104" s="5" t="str">
        <f ca="1">IFERROR(__xludf.DUMMYFUNCTION("""COMPUTED_VALUE"""),"1719 Wellesley Ave")</f>
        <v>1719 Wellesley Ave</v>
      </c>
      <c r="C104" s="5" t="str">
        <f ca="1">IFERROR(__xludf.DUMMYFUNCTION("""COMPUTED_VALUE"""),"Los Angeles")</f>
        <v>Los Angeles</v>
      </c>
      <c r="D104" s="5" t="str">
        <f ca="1">IFERROR(__xludf.DUMMYFUNCTION("""COMPUTED_VALUE"""),"CA")</f>
        <v>CA</v>
      </c>
      <c r="E104" s="5">
        <f ca="1">IFERROR(__xludf.DUMMYFUNCTION("""COMPUTED_VALUE"""),90025)</f>
        <v>90025</v>
      </c>
      <c r="F104" s="19">
        <f ca="1">IFERROR(__xludf.DUMMYFUNCTION("""COMPUTED_VALUE"""),8495)</f>
        <v>8495</v>
      </c>
      <c r="G104" s="19">
        <f ca="1">IFERROR(__xludf.DUMMYFUNCTION("""COMPUTED_VALUE"""),14995)</f>
        <v>14995</v>
      </c>
      <c r="H104" s="18">
        <f ca="1">IFERROR(__xludf.DUMMYFUNCTION("""COMPUTED_VALUE"""),45666)</f>
        <v>45666</v>
      </c>
      <c r="I104" s="5" t="str">
        <f ca="1">IFERROR(__xludf.DUMMYFUNCTION("""COMPUTED_VALUE"""),"Zillow")</f>
        <v>Zillow</v>
      </c>
      <c r="J104" s="25" t="str">
        <f ca="1">IFERROR(__xludf.DUMMYFUNCTION("""COMPUTED_VALUE"""),"https://www.zillow.com/homedetails/1719-Wellesley-Ave-Los-Angeles-CA-90025/20464247_zpid/")</f>
        <v>https://www.zillow.com/homedetails/1719-Wellesley-Ave-Los-Angeles-CA-90025/20464247_zpid/</v>
      </c>
      <c r="K104" s="5"/>
      <c r="L104" s="5"/>
      <c r="M104" s="5" t="str">
        <f ca="1">IFERROR(__xludf.DUMMYFUNCTION("""COMPUTED_VALUE"""),"Off market now.  Not clear from listing that this was listed as a rental, might have been a sale?")</f>
        <v>Off market now.  Not clear from listing that this was listed as a rental, might have been a sale?</v>
      </c>
      <c r="N104" s="26" t="str">
        <f ca="1">IFERROR(__xludf.DUMMYFUNCTION("""COMPUTED_VALUE"""),"https://drive.google.com/open?id=1ik9yzxfD6mAEk0w99kLSh1ekHxfR0Bbc")</f>
        <v>https://drive.google.com/open?id=1ik9yzxfD6mAEk0w99kLSh1ekHxfR0Bbc</v>
      </c>
      <c r="O104" s="5">
        <f ca="1">IFERROR(__xludf.DUMMYFUNCTION("""COMPUTED_VALUE"""),4259009026)</f>
        <v>4259009026</v>
      </c>
      <c r="P104" s="5"/>
      <c r="Q104" s="5"/>
      <c r="R104" s="5"/>
      <c r="S104" s="5"/>
      <c r="T104" s="5"/>
    </row>
    <row r="105" spans="1:20" ht="12.75">
      <c r="A105" s="24">
        <f ca="1">IFERROR(__xludf.DUMMYFUNCTION("""COMPUTED_VALUE"""),45669.6132527083)</f>
        <v>45669.613252708303</v>
      </c>
      <c r="B105" s="5" t="str">
        <f ca="1">IFERROR(__xludf.DUMMYFUNCTION("""COMPUTED_VALUE"""),"1001 Hanover Dr")</f>
        <v>1001 Hanover Dr</v>
      </c>
      <c r="C105" s="5" t="str">
        <f ca="1">IFERROR(__xludf.DUMMYFUNCTION("""COMPUTED_VALUE"""),"Beverly Hills")</f>
        <v>Beverly Hills</v>
      </c>
      <c r="D105" s="5" t="str">
        <f ca="1">IFERROR(__xludf.DUMMYFUNCTION("""COMPUTED_VALUE"""),"CA")</f>
        <v>CA</v>
      </c>
      <c r="E105" s="5">
        <f ca="1">IFERROR(__xludf.DUMMYFUNCTION("""COMPUTED_VALUE"""),90210)</f>
        <v>90210</v>
      </c>
      <c r="F105" s="19">
        <f ca="1">IFERROR(__xludf.DUMMYFUNCTION("""COMPUTED_VALUE"""),41995)</f>
        <v>41995</v>
      </c>
      <c r="G105" s="19">
        <f ca="1">IFERROR(__xludf.DUMMYFUNCTION("""COMPUTED_VALUE"""),50000)</f>
        <v>50000</v>
      </c>
      <c r="H105" s="18">
        <f ca="1">IFERROR(__xludf.DUMMYFUNCTION("""COMPUTED_VALUE"""),45665)</f>
        <v>45665</v>
      </c>
      <c r="I105" s="5" t="str">
        <f ca="1">IFERROR(__xludf.DUMMYFUNCTION("""COMPUTED_VALUE"""),"Zillow")</f>
        <v>Zillow</v>
      </c>
      <c r="J105" s="25" t="str">
        <f ca="1">IFERROR(__xludf.DUMMYFUNCTION("""COMPUTED_VALUE"""),"https://www.zillow.com/homedetails/1001-Hanover-Dr-Beverly-Hills-CA-90210/20523966_zpid/")</f>
        <v>https://www.zillow.com/homedetails/1001-Hanover-Dr-Beverly-Hills-CA-90210/20523966_zpid/</v>
      </c>
      <c r="K105" s="5" t="str">
        <f ca="1">IFERROR(__xludf.DUMMYFUNCTION("""COMPUTED_VALUE""")," Angel Salvador - The Beverly Hills Estates")</f>
        <v xml:space="preserve"> Angel Salvador - The Beverly Hills Estates</v>
      </c>
      <c r="L105" s="5"/>
      <c r="M105" s="5" t="str">
        <f ca="1">IFERROR(__xludf.DUMMYFUNCTION("""COMPUTED_VALUE"""),"Listed for rent on 9/25/24 for $41,995 which was a decrease from it's previous listing. Price increased by 19.1% on 1/8/25 after the fires to $50k.")</f>
        <v>Listed for rent on 9/25/24 for $41,995 which was a decrease from it's previous listing. Price increased by 19.1% on 1/8/25 after the fires to $50k.</v>
      </c>
      <c r="N105" s="26" t="str">
        <f ca="1">IFERROR(__xludf.DUMMYFUNCTION("""COMPUTED_VALUE"""),"https://drive.google.com/open?id=1Fh3sj9aWBnq7GSLxHwrY3Uz047N6JO6f")</f>
        <v>https://drive.google.com/open?id=1Fh3sj9aWBnq7GSLxHwrY3Uz047N6JO6f</v>
      </c>
      <c r="O105" s="5">
        <f ca="1">IFERROR(__xludf.DUMMYFUNCTION("""COMPUTED_VALUE"""),4358006027)</f>
        <v>4358006027</v>
      </c>
      <c r="P105" s="5" t="str">
        <f ca="1">IFERROR(__xludf.DUMMYFUNCTION("""COMPUTED_VALUE"""),"(818) 744-1469")</f>
        <v>(818) 744-1469</v>
      </c>
      <c r="Q105" s="5"/>
      <c r="R105" s="5"/>
      <c r="S105" s="5"/>
      <c r="T105" s="5"/>
    </row>
    <row r="106" spans="1:20" ht="12.75">
      <c r="A106" s="24">
        <f ca="1">IFERROR(__xludf.DUMMYFUNCTION("""COMPUTED_VALUE"""),45669.6164076157)</f>
        <v>45669.6164076157</v>
      </c>
      <c r="B106" s="5" t="str">
        <f ca="1">IFERROR(__xludf.DUMMYFUNCTION("""COMPUTED_VALUE"""),"22522 Gilmore St")</f>
        <v>22522 Gilmore St</v>
      </c>
      <c r="C106" s="5" t="str">
        <f ca="1">IFERROR(__xludf.DUMMYFUNCTION("""COMPUTED_VALUE"""),"West Hills ")</f>
        <v xml:space="preserve">West Hills </v>
      </c>
      <c r="D106" s="5" t="str">
        <f ca="1">IFERROR(__xludf.DUMMYFUNCTION("""COMPUTED_VALUE"""),"CA")</f>
        <v>CA</v>
      </c>
      <c r="E106" s="5">
        <f ca="1">IFERROR(__xludf.DUMMYFUNCTION("""COMPUTED_VALUE"""),91307)</f>
        <v>91307</v>
      </c>
      <c r="F106" s="19">
        <f ca="1">IFERROR(__xludf.DUMMYFUNCTION("""COMPUTED_VALUE"""),5500)</f>
        <v>5500</v>
      </c>
      <c r="G106" s="19">
        <f ca="1">IFERROR(__xludf.DUMMYFUNCTION("""COMPUTED_VALUE"""),14000)</f>
        <v>14000</v>
      </c>
      <c r="H106" s="18">
        <f ca="1">IFERROR(__xludf.DUMMYFUNCTION("""COMPUTED_VALUE"""),45669)</f>
        <v>45669</v>
      </c>
      <c r="I106" s="5" t="str">
        <f ca="1">IFERROR(__xludf.DUMMYFUNCTION("""COMPUTED_VALUE"""),"Zillow")</f>
        <v>Zillow</v>
      </c>
      <c r="J106" s="25" t="str">
        <f ca="1">IFERROR(__xludf.DUMMYFUNCTION("""COMPUTED_VALUE"""),"https://www.zillow.com/homedetails/22522-Gilmore-St-West-Hills-CA-91307/439680894_zpid/?utm_campaign=iosappmessage&amp;utm_medium=referral&amp;utm_source=txtshare")</f>
        <v>https://www.zillow.com/homedetails/22522-Gilmore-St-West-Hills-CA-91307/439680894_zpid/?utm_campaign=iosappmessage&amp;utm_medium=referral&amp;utm_source=txtshare</v>
      </c>
      <c r="K106" s="5"/>
      <c r="L106" s="5" t="str">
        <f ca="1">IFERROR(__xludf.DUMMYFUNCTION("""COMPUTED_VALUE"""),"911 Housing Solutions (management company)")</f>
        <v>911 Housing Solutions (management company)</v>
      </c>
      <c r="M106" s="5"/>
      <c r="N106" s="5" t="str">
        <f ca="1">IFERROR(__xludf.DUMMYFUNCTION("""COMPUTED_VALUE"""),"https://drive.google.com/open?id=1R3lI2OrPQKbs_KVvbk_k0_ehP0GHgDfj, https://drive.google.com/open?id=1HRb1frQTOD8fEugXUzTXcpUntmE-b6JI")</f>
        <v>https://drive.google.com/open?id=1R3lI2OrPQKbs_KVvbk_k0_ehP0GHgDfj, https://drive.google.com/open?id=1HRb1frQTOD8fEugXUzTXcpUntmE-b6JI</v>
      </c>
      <c r="O106" s="5" t="str">
        <f ca="1">IFERROR(__xludf.DUMMYFUNCTION("""COMPUTED_VALUE"""),"NA")</f>
        <v>NA</v>
      </c>
      <c r="P106" s="5"/>
      <c r="Q106" s="5"/>
      <c r="R106" s="5">
        <f ca="1">IFERROR(__xludf.DUMMYFUNCTION("""COMPUTED_VALUE"""),8887079111)</f>
        <v>8887079111</v>
      </c>
      <c r="S106" s="5"/>
      <c r="T106" s="5"/>
    </row>
    <row r="107" spans="1:20" ht="12.75">
      <c r="A107" s="24">
        <f ca="1">IFERROR(__xludf.DUMMYFUNCTION("""COMPUTED_VALUE"""),45669.6169086689)</f>
        <v>45669.616908668897</v>
      </c>
      <c r="B107" s="5" t="str">
        <f ca="1">IFERROR(__xludf.DUMMYFUNCTION("""COMPUTED_VALUE"""),"11571 Nebraska Ave #2")</f>
        <v>11571 Nebraska Ave #2</v>
      </c>
      <c r="C107" s="5" t="str">
        <f ca="1">IFERROR(__xludf.DUMMYFUNCTION("""COMPUTED_VALUE"""),"Los Angeles")</f>
        <v>Los Angeles</v>
      </c>
      <c r="D107" s="5" t="str">
        <f ca="1">IFERROR(__xludf.DUMMYFUNCTION("""COMPUTED_VALUE"""),"CA")</f>
        <v>CA</v>
      </c>
      <c r="E107" s="5">
        <f ca="1">IFERROR(__xludf.DUMMYFUNCTION("""COMPUTED_VALUE"""),90025)</f>
        <v>90025</v>
      </c>
      <c r="F107" s="19">
        <f ca="1">IFERROR(__xludf.DUMMYFUNCTION("""COMPUTED_VALUE"""),2350)</f>
        <v>2350</v>
      </c>
      <c r="G107" s="19">
        <f ca="1">IFERROR(__xludf.DUMMYFUNCTION("""COMPUTED_VALUE"""),2850)</f>
        <v>2850</v>
      </c>
      <c r="H107" s="18">
        <f ca="1">IFERROR(__xludf.DUMMYFUNCTION("""COMPUTED_VALUE"""),45667)</f>
        <v>45667</v>
      </c>
      <c r="I107" s="5" t="str">
        <f ca="1">IFERROR(__xludf.DUMMYFUNCTION("""COMPUTED_VALUE"""),"Zillow")</f>
        <v>Zillow</v>
      </c>
      <c r="J107" s="25" t="str">
        <f ca="1">IFERROR(__xludf.DUMMYFUNCTION("""COMPUTED_VALUE"""),"https://www.zillow.com/homedetails/11571-Nebraska-Ave-2-Los-Angeles-CA-90025/442366314_zpid/")</f>
        <v>https://www.zillow.com/homedetails/11571-Nebraska-Ave-2-Los-Angeles-CA-90025/442366314_zpid/</v>
      </c>
      <c r="K107" s="5" t="str">
        <f ca="1">IFERROR(__xludf.DUMMYFUNCTION("""COMPUTED_VALUE"""),"partners properties")</f>
        <v>partners properties</v>
      </c>
      <c r="L107" s="5" t="str">
        <f ca="1">IFERROR(__xludf.DUMMYFUNCTION("""COMPUTED_VALUE"""),"NA")</f>
        <v>NA</v>
      </c>
      <c r="M107" s="5" t="str">
        <f ca="1">IFERROR(__xludf.DUMMYFUNCTION("""COMPUTED_VALUE"""),"This property was listed on 11/5/2024 at $2400 . It was decreased on 11/14 to $2,350 removed on 11/23 and then relisted on 1/10/2025 at $2,850 (21.3% increase). Listed as immediately available. Lease term is 1 year. ")</f>
        <v xml:space="preserve">This property was listed on 11/5/2024 at $2400 . It was decreased on 11/14 to $2,350 removed on 11/23 and then relisted on 1/10/2025 at $2,850 (21.3% increase). Listed as immediately available. Lease term is 1 year. </v>
      </c>
      <c r="N107" s="26" t="str">
        <f ca="1">IFERROR(__xludf.DUMMYFUNCTION("""COMPUTED_VALUE"""),"https://drive.google.com/open?id=11cAHRfoxpgfHkcPpYA0d5if66ceWIRnH")</f>
        <v>https://drive.google.com/open?id=11cAHRfoxpgfHkcPpYA0d5if66ceWIRnH</v>
      </c>
      <c r="O107" s="5" t="str">
        <f ca="1">IFERROR(__xludf.DUMMYFUNCTION("""COMPUTED_VALUE"""),"NA")</f>
        <v>NA</v>
      </c>
      <c r="P107" s="5" t="str">
        <f ca="1">IFERROR(__xludf.DUMMYFUNCTION("""COMPUTED_VALUE"""),"(310) 702-0491")</f>
        <v>(310) 702-0491</v>
      </c>
      <c r="Q107" s="5"/>
      <c r="R107" s="5" t="str">
        <f ca="1">IFERROR(__xludf.DUMMYFUNCTION("""COMPUTED_VALUE"""),"NA")</f>
        <v>NA</v>
      </c>
      <c r="S107" s="5"/>
      <c r="T107" s="5"/>
    </row>
    <row r="108" spans="1:20" ht="12.75">
      <c r="A108" s="24">
        <f ca="1">IFERROR(__xludf.DUMMYFUNCTION("""COMPUTED_VALUE"""),45669.6175687268)</f>
        <v>45669.617568726797</v>
      </c>
      <c r="B108" s="5" t="str">
        <f ca="1">IFERROR(__xludf.DUMMYFUNCTION("""COMPUTED_VALUE"""),"13018 Chandler Blvd")</f>
        <v>13018 Chandler Blvd</v>
      </c>
      <c r="C108" s="5" t="str">
        <f ca="1">IFERROR(__xludf.DUMMYFUNCTION("""COMPUTED_VALUE"""),"Van Nuys")</f>
        <v>Van Nuys</v>
      </c>
      <c r="D108" s="5" t="str">
        <f ca="1">IFERROR(__xludf.DUMMYFUNCTION("""COMPUTED_VALUE"""),"CA")</f>
        <v>CA</v>
      </c>
      <c r="E108" s="5">
        <f ca="1">IFERROR(__xludf.DUMMYFUNCTION("""COMPUTED_VALUE"""),91401)</f>
        <v>91401</v>
      </c>
      <c r="F108" s="19">
        <f ca="1">IFERROR(__xludf.DUMMYFUNCTION("""COMPUTED_VALUE"""),40000)</f>
        <v>40000</v>
      </c>
      <c r="G108" s="19">
        <f ca="1">IFERROR(__xludf.DUMMYFUNCTION("""COMPUTED_VALUE"""),45000)</f>
        <v>45000</v>
      </c>
      <c r="H108" s="18">
        <f ca="1">IFERROR(__xludf.DUMMYFUNCTION("""COMPUTED_VALUE"""),45667)</f>
        <v>45667</v>
      </c>
      <c r="I108" s="5" t="str">
        <f ca="1">IFERROR(__xludf.DUMMYFUNCTION("""COMPUTED_VALUE"""),"Zillow")</f>
        <v>Zillow</v>
      </c>
      <c r="J108" s="25" t="str">
        <f ca="1">IFERROR(__xludf.DUMMYFUNCTION("""COMPUTED_VALUE"""),"https://www.zillow.com/homedetails/13018-Chandler-Blvd-Van-Nuys-CA-91401/440548973_zpid/")</f>
        <v>https://www.zillow.com/homedetails/13018-Chandler-Blvd-Van-Nuys-CA-91401/440548973_zpid/</v>
      </c>
      <c r="K108" s="5" t="str">
        <f ca="1">IFERROR(__xludf.DUMMYFUNCTION("""COMPUTED_VALUE"""),"Avi Shabtai - EssentiaLyfe")</f>
        <v>Avi Shabtai - EssentiaLyfe</v>
      </c>
      <c r="L108" s="5"/>
      <c r="M108" s="5" t="str">
        <f ca="1">IFERROR(__xludf.DUMMYFUNCTION("""COMPUTED_VALUE"""),"Originally listed on 9/19/24 and priced increased by 12.5% post fires on 1/10/25.")</f>
        <v>Originally listed on 9/19/24 and priced increased by 12.5% post fires on 1/10/25.</v>
      </c>
      <c r="N108" s="26" t="str">
        <f ca="1">IFERROR(__xludf.DUMMYFUNCTION("""COMPUTED_VALUE"""),"https://drive.google.com/open?id=18l8WtGIsbuabku1OoOzJ6n6kTylNtWKn")</f>
        <v>https://drive.google.com/open?id=18l8WtGIsbuabku1OoOzJ6n6kTylNtWKn</v>
      </c>
      <c r="O108" s="5" t="str">
        <f ca="1">IFERROR(__xludf.DUMMYFUNCTION("""COMPUTED_VALUE"""),"NA")</f>
        <v>NA</v>
      </c>
      <c r="P108" s="5" t="str">
        <f ca="1">IFERROR(__xludf.DUMMYFUNCTION("""COMPUTED_VALUE"""),"(818) 300-9909")</f>
        <v>(818) 300-9909</v>
      </c>
      <c r="Q108" s="5"/>
      <c r="R108" s="5"/>
      <c r="S108" s="5"/>
      <c r="T108" s="5"/>
    </row>
    <row r="109" spans="1:20" ht="12.75">
      <c r="A109" s="24">
        <f ca="1">IFERROR(__xludf.DUMMYFUNCTION("""COMPUTED_VALUE"""),45669.6208589583)</f>
        <v>45669.620858958297</v>
      </c>
      <c r="B109" s="5" t="str">
        <f ca="1">IFERROR(__xludf.DUMMYFUNCTION("""COMPUTED_VALUE"""),"3400 Greenfield Ave APT 1")</f>
        <v>3400 Greenfield Ave APT 1</v>
      </c>
      <c r="C109" s="5" t="str">
        <f ca="1">IFERROR(__xludf.DUMMYFUNCTION("""COMPUTED_VALUE"""),"Los Angeles")</f>
        <v>Los Angeles</v>
      </c>
      <c r="D109" s="5" t="str">
        <f ca="1">IFERROR(__xludf.DUMMYFUNCTION("""COMPUTED_VALUE"""),"CA")</f>
        <v>CA</v>
      </c>
      <c r="E109" s="5">
        <f ca="1">IFERROR(__xludf.DUMMYFUNCTION("""COMPUTED_VALUE"""),90034)</f>
        <v>90034</v>
      </c>
      <c r="F109" s="19">
        <f ca="1">IFERROR(__xludf.DUMMYFUNCTION("""COMPUTED_VALUE"""),4300)</f>
        <v>4300</v>
      </c>
      <c r="G109" s="19">
        <f ca="1">IFERROR(__xludf.DUMMYFUNCTION("""COMPUTED_VALUE"""),44000)</f>
        <v>44000</v>
      </c>
      <c r="H109" s="18">
        <f ca="1">IFERROR(__xludf.DUMMYFUNCTION("""COMPUTED_VALUE"""),45669)</f>
        <v>45669</v>
      </c>
      <c r="I109" s="5" t="str">
        <f ca="1">IFERROR(__xludf.DUMMYFUNCTION("""COMPUTED_VALUE"""),"Zillow")</f>
        <v>Zillow</v>
      </c>
      <c r="J109" s="25" t="str">
        <f ca="1">IFERROR(__xludf.DUMMYFUNCTION("""COMPUTED_VALUE"""),"https://www.zillow.com/homedetails/3400-Greenfield-Ave-APT-1-Los-Angeles-CA-90034/2061747538_zpid/")</f>
        <v>https://www.zillow.com/homedetails/3400-Greenfield-Ave-APT-1-Los-Angeles-CA-90034/2061747538_zpid/</v>
      </c>
      <c r="K109" s="5"/>
      <c r="L109" s="5" t="str">
        <f ca="1">IFERROR(__xludf.DUMMYFUNCTION("""COMPUTED_VALUE"""),"Hope Pollack - Geller Property Management")</f>
        <v>Hope Pollack - Geller Property Management</v>
      </c>
      <c r="M109" s="5" t="str">
        <f ca="1">IFERROR(__xludf.DUMMYFUNCTION("""COMPUTED_VALUE"""),"Originally listed on 12/31/24 for $4,300 and priced increased to $44k after the fires - a 923.3% increase")</f>
        <v>Originally listed on 12/31/24 for $4,300 and priced increased to $44k after the fires - a 923.3% increase</v>
      </c>
      <c r="N109" s="26" t="str">
        <f ca="1">IFERROR(__xludf.DUMMYFUNCTION("""COMPUTED_VALUE"""),"https://drive.google.com/open?id=1RISaoYGwBSnljgYnj6eGQ8rUx_PgaUpV")</f>
        <v>https://drive.google.com/open?id=1RISaoYGwBSnljgYnj6eGQ8rUx_PgaUpV</v>
      </c>
      <c r="O109" s="5" t="str">
        <f ca="1">IFERROR(__xludf.DUMMYFUNCTION("""COMPUTED_VALUE"""),"NA")</f>
        <v>NA</v>
      </c>
      <c r="P109" s="5"/>
      <c r="Q109" s="5"/>
      <c r="R109" s="5" t="str">
        <f ca="1">IFERROR(__xludf.DUMMYFUNCTION("""COMPUTED_VALUE"""),"(310) 595-5246")</f>
        <v>(310) 595-5246</v>
      </c>
      <c r="S109" s="5"/>
      <c r="T109" s="5"/>
    </row>
    <row r="110" spans="1:20" ht="12.75">
      <c r="A110" s="24">
        <f ca="1">IFERROR(__xludf.DUMMYFUNCTION("""COMPUTED_VALUE"""),45669.6209130439)</f>
        <v>45669.620913043902</v>
      </c>
      <c r="B110" s="5" t="str">
        <f ca="1">IFERROR(__xludf.DUMMYFUNCTION("""COMPUTED_VALUE"""),"3715 Kelton Ave APT 3")</f>
        <v>3715 Kelton Ave APT 3</v>
      </c>
      <c r="C110" s="5" t="str">
        <f ca="1">IFERROR(__xludf.DUMMYFUNCTION("""COMPUTED_VALUE"""),"Los Angeles")</f>
        <v>Los Angeles</v>
      </c>
      <c r="D110" s="5" t="str">
        <f ca="1">IFERROR(__xludf.DUMMYFUNCTION("""COMPUTED_VALUE"""),"CA")</f>
        <v>CA</v>
      </c>
      <c r="E110" s="5">
        <f ca="1">IFERROR(__xludf.DUMMYFUNCTION("""COMPUTED_VALUE"""),90024)</f>
        <v>90024</v>
      </c>
      <c r="F110" s="19">
        <f ca="1">IFERROR(__xludf.DUMMYFUNCTION("""COMPUTED_VALUE"""),3695)</f>
        <v>3695</v>
      </c>
      <c r="G110" s="19">
        <f ca="1">IFERROR(__xludf.DUMMYFUNCTION("""COMPUTED_VALUE"""),4500)</f>
        <v>4500</v>
      </c>
      <c r="H110" s="18">
        <f ca="1">IFERROR(__xludf.DUMMYFUNCTION("""COMPUTED_VALUE"""),45668)</f>
        <v>45668</v>
      </c>
      <c r="I110" s="5" t="str">
        <f ca="1">IFERROR(__xludf.DUMMYFUNCTION("""COMPUTED_VALUE"""),"Zillow")</f>
        <v>Zillow</v>
      </c>
      <c r="J110" s="25" t="str">
        <f ca="1">IFERROR(__xludf.DUMMYFUNCTION("""COMPUTED_VALUE"""),"https://www.zillow.com/homedetails/3715-Kelton-Ave-APT-3-Los-Angeles-CA-90034/2080996983_zpid/")</f>
        <v>https://www.zillow.com/homedetails/3715-Kelton-Ave-APT-3-Los-Angeles-CA-90034/2080996983_zpid/</v>
      </c>
      <c r="K110" s="5" t="str">
        <f ca="1">IFERROR(__xludf.DUMMYFUNCTION("""COMPUTED_VALUE"""),"Metropolitan Property Services, LLC")</f>
        <v>Metropolitan Property Services, LLC</v>
      </c>
      <c r="L110" s="5" t="str">
        <f ca="1">IFERROR(__xludf.DUMMYFUNCTION("""COMPUTED_VALUE"""),"NA")</f>
        <v>NA</v>
      </c>
      <c r="M110" s="5" t="str">
        <f ca="1">IFERROR(__xludf.DUMMYFUNCTION("""COMPUTED_VALUE"""),"This property was originially listed on 11/28/24 at $3,850. It had two price reductions after being on the market fo rover a month, the last decrease being on 12/13/24 until the price was increase to $4500 (+21.8%) on 1/11/25. ")</f>
        <v xml:space="preserve">This property was originially listed on 11/28/24 at $3,850. It had two price reductions after being on the market fo rover a month, the last decrease being on 12/13/24 until the price was increase to $4500 (+21.8%) on 1/11/25. </v>
      </c>
      <c r="N110" s="26" t="str">
        <f ca="1">IFERROR(__xludf.DUMMYFUNCTION("""COMPUTED_VALUE"""),"https://drive.google.com/open?id=1NHzdUcPgDGr7orm55mn2MmBNLqvSIJ_Z")</f>
        <v>https://drive.google.com/open?id=1NHzdUcPgDGr7orm55mn2MmBNLqvSIJ_Z</v>
      </c>
      <c r="O110" s="5" t="str">
        <f ca="1">IFERROR(__xludf.DUMMYFUNCTION("""COMPUTED_VALUE"""),"NA")</f>
        <v>NA</v>
      </c>
      <c r="P110" s="5" t="str">
        <f ca="1">IFERROR(__xludf.DUMMYFUNCTION("""COMPUTED_VALUE"""),"(310) 758-8711")</f>
        <v>(310) 758-8711</v>
      </c>
      <c r="Q110" s="5"/>
      <c r="R110" s="5" t="str">
        <f ca="1">IFERROR(__xludf.DUMMYFUNCTION("""COMPUTED_VALUE"""),"NA")</f>
        <v>NA</v>
      </c>
      <c r="S110" s="5"/>
      <c r="T110" s="5"/>
    </row>
    <row r="111" spans="1:20" ht="12.75">
      <c r="A111" s="24">
        <f ca="1">IFERROR(__xludf.DUMMYFUNCTION("""COMPUTED_VALUE"""),45669.6209325231)</f>
        <v>45669.620932523103</v>
      </c>
      <c r="B111" s="5" t="str">
        <f ca="1">IFERROR(__xludf.DUMMYFUNCTION("""COMPUTED_VALUE"""),"912 N. Vendome St")</f>
        <v>912 N. Vendome St</v>
      </c>
      <c r="C111" s="5" t="str">
        <f ca="1">IFERROR(__xludf.DUMMYFUNCTION("""COMPUTED_VALUE"""),"Los Angeles")</f>
        <v>Los Angeles</v>
      </c>
      <c r="D111" s="5" t="str">
        <f ca="1">IFERROR(__xludf.DUMMYFUNCTION("""COMPUTED_VALUE"""),"CA")</f>
        <v>CA</v>
      </c>
      <c r="E111" s="5">
        <f ca="1">IFERROR(__xludf.DUMMYFUNCTION("""COMPUTED_VALUE"""),90026)</f>
        <v>90026</v>
      </c>
      <c r="F111" s="19">
        <f ca="1">IFERROR(__xludf.DUMMYFUNCTION("""COMPUTED_VALUE"""),2500)</f>
        <v>2500</v>
      </c>
      <c r="G111" s="19">
        <f ca="1">IFERROR(__xludf.DUMMYFUNCTION("""COMPUTED_VALUE"""),4500)</f>
        <v>4500</v>
      </c>
      <c r="H111" s="18">
        <f ca="1">IFERROR(__xludf.DUMMYFUNCTION("""COMPUTED_VALUE"""),45668)</f>
        <v>45668</v>
      </c>
      <c r="I111" s="5" t="str">
        <f ca="1">IFERROR(__xludf.DUMMYFUNCTION("""COMPUTED_VALUE"""),"Zillow")</f>
        <v>Zillow</v>
      </c>
      <c r="J111" s="25" t="str">
        <f ca="1">IFERROR(__xludf.DUMMYFUNCTION("""COMPUTED_VALUE"""),"https://www.zillow.com/homedetails/912-N-Vendome-St-Los-Angeles-CA-90026/2083961992_zpid/")</f>
        <v>https://www.zillow.com/homedetails/912-N-Vendome-St-Los-Angeles-CA-90026/2083961992_zpid/</v>
      </c>
      <c r="K111" s="5" t="str">
        <f ca="1">IFERROR(__xludf.DUMMYFUNCTION("""COMPUTED_VALUE"""),"Eitan Dagan")</f>
        <v>Eitan Dagan</v>
      </c>
      <c r="L111" s="5"/>
      <c r="M111" s="5"/>
      <c r="N111" s="5" t="str">
        <f ca="1">IFERROR(__xludf.DUMMYFUNCTION("""COMPUTED_VALUE"""),"https://drive.google.com/open?id=1H9PuR_4NJCveT1QfPl--2wktJ3v3Ufft, https://drive.google.com/open?id=1LeUOEmsb1o-m4G98CBn5NbBOJUmSekd2")</f>
        <v>https://drive.google.com/open?id=1H9PuR_4NJCveT1QfPl--2wktJ3v3Ufft, https://drive.google.com/open?id=1LeUOEmsb1o-m4G98CBn5NbBOJUmSekd2</v>
      </c>
      <c r="O111" s="5" t="str">
        <f ca="1">IFERROR(__xludf.DUMMYFUNCTION("""COMPUTED_VALUE"""),"NA")</f>
        <v>NA</v>
      </c>
      <c r="P111" s="5" t="str">
        <f ca="1">IFERROR(__xludf.DUMMYFUNCTION("""COMPUTED_VALUE"""),"(310) 633-0438")</f>
        <v>(310) 633-0438</v>
      </c>
      <c r="Q111" s="5"/>
      <c r="R111" s="5"/>
      <c r="S111" s="5"/>
      <c r="T111" s="5"/>
    </row>
    <row r="112" spans="1:20" ht="12.75">
      <c r="A112" s="24">
        <f ca="1">IFERROR(__xludf.DUMMYFUNCTION("""COMPUTED_VALUE"""),45669.6245142129)</f>
        <v>45669.624514212897</v>
      </c>
      <c r="B112" s="5" t="str">
        <f ca="1">IFERROR(__xludf.DUMMYFUNCTION("""COMPUTED_VALUE"""),"15059 Oro Grande")</f>
        <v>15059 Oro Grande</v>
      </c>
      <c r="C112" s="5" t="str">
        <f ca="1">IFERROR(__xludf.DUMMYFUNCTION("""COMPUTED_VALUE"""),"Sylmar")</f>
        <v>Sylmar</v>
      </c>
      <c r="D112" s="5" t="str">
        <f ca="1">IFERROR(__xludf.DUMMYFUNCTION("""COMPUTED_VALUE"""),"CA")</f>
        <v>CA</v>
      </c>
      <c r="E112" s="5">
        <f ca="1">IFERROR(__xludf.DUMMYFUNCTION("""COMPUTED_VALUE"""),91342)</f>
        <v>91342</v>
      </c>
      <c r="F112" s="19">
        <f ca="1">IFERROR(__xludf.DUMMYFUNCTION("""COMPUTED_VALUE"""),4750)</f>
        <v>4750</v>
      </c>
      <c r="G112" s="19">
        <f ca="1">IFERROR(__xludf.DUMMYFUNCTION("""COMPUTED_VALUE"""),9200)</f>
        <v>9200</v>
      </c>
      <c r="H112" s="18">
        <f ca="1">IFERROR(__xludf.DUMMYFUNCTION("""COMPUTED_VALUE"""),45667)</f>
        <v>45667</v>
      </c>
      <c r="I112" s="5" t="str">
        <f ca="1">IFERROR(__xludf.DUMMYFUNCTION("""COMPUTED_VALUE"""),"Zillow")</f>
        <v>Zillow</v>
      </c>
      <c r="J112" s="25" t="str">
        <f ca="1">IFERROR(__xludf.DUMMYFUNCTION("""COMPUTED_VALUE"""),"https://www.zillow.com/homedetails/15059-Oro-Grande-St-Sylmar-CA-91342/20106652_zpid/")</f>
        <v>https://www.zillow.com/homedetails/15059-Oro-Grande-St-Sylmar-CA-91342/20106652_zpid/</v>
      </c>
      <c r="K112" s="5" t="str">
        <f ca="1">IFERROR(__xludf.DUMMYFUNCTION("""COMPUTED_VALUE"""),"Allen Mansour")</f>
        <v>Allen Mansour</v>
      </c>
      <c r="L112" s="5"/>
      <c r="M112" s="5"/>
      <c r="N112" s="5" t="str">
        <f ca="1">IFERROR(__xludf.DUMMYFUNCTION("""COMPUTED_VALUE"""),"https://drive.google.com/open?id=1Zu_687UsyOtrTewYpaILn6dIuE5cw68u, https://drive.google.com/open?id=1VR0xCm8PeGLfWGwVPGStoz9XHZTpZE_u, https://drive.google.com/open?id=18Nvt9V0rQ7a9kKI_Yl4ESE6j71TooFJ2")</f>
        <v>https://drive.google.com/open?id=1Zu_687UsyOtrTewYpaILn6dIuE5cw68u, https://drive.google.com/open?id=1VR0xCm8PeGLfWGwVPGStoz9XHZTpZE_u, https://drive.google.com/open?id=18Nvt9V0rQ7a9kKI_Yl4ESE6j71TooFJ2</v>
      </c>
      <c r="O112" s="5">
        <f ca="1">IFERROR(__xludf.DUMMYFUNCTION("""COMPUTED_VALUE"""),2604032012)</f>
        <v>2604032012</v>
      </c>
      <c r="P112" s="5" t="str">
        <f ca="1">IFERROR(__xludf.DUMMYFUNCTION("""COMPUTED_VALUE"""),"(818)324-6266")</f>
        <v>(818)324-6266</v>
      </c>
      <c r="Q112" s="5"/>
      <c r="R112" s="5"/>
      <c r="S112" s="5"/>
      <c r="T112" s="5"/>
    </row>
    <row r="113" spans="1:20" ht="12.75">
      <c r="A113" s="24">
        <f ca="1">IFERROR(__xludf.DUMMYFUNCTION("""COMPUTED_VALUE"""),45669.6251402893)</f>
        <v>45669.625140289303</v>
      </c>
      <c r="B113" s="5" t="str">
        <f ca="1">IFERROR(__xludf.DUMMYFUNCTION("""COMPUTED_VALUE"""),"1901 N Catalina St")</f>
        <v>1901 N Catalina St</v>
      </c>
      <c r="C113" s="5" t="str">
        <f ca="1">IFERROR(__xludf.DUMMYFUNCTION("""COMPUTED_VALUE"""),"Los Angeles")</f>
        <v>Los Angeles</v>
      </c>
      <c r="D113" s="5" t="str">
        <f ca="1">IFERROR(__xludf.DUMMYFUNCTION("""COMPUTED_VALUE"""),"CA")</f>
        <v>CA</v>
      </c>
      <c r="E113" s="5">
        <f ca="1">IFERROR(__xludf.DUMMYFUNCTION("""COMPUTED_VALUE"""),90027)</f>
        <v>90027</v>
      </c>
      <c r="F113" s="19">
        <f ca="1">IFERROR(__xludf.DUMMYFUNCTION("""COMPUTED_VALUE"""),2340)</f>
        <v>2340</v>
      </c>
      <c r="G113" s="19">
        <f ca="1">IFERROR(__xludf.DUMMYFUNCTION("""COMPUTED_VALUE"""),19500)</f>
        <v>19500</v>
      </c>
      <c r="H113" s="18">
        <f ca="1">IFERROR(__xludf.DUMMYFUNCTION("""COMPUTED_VALUE"""),45667)</f>
        <v>45667</v>
      </c>
      <c r="I113" s="5" t="str">
        <f ca="1">IFERROR(__xludf.DUMMYFUNCTION("""COMPUTED_VALUE"""),"Zillow")</f>
        <v>Zillow</v>
      </c>
      <c r="J113" s="25" t="str">
        <f ca="1">IFERROR(__xludf.DUMMYFUNCTION("""COMPUTED_VALUE"""),"https://www.zillow.com/homedetails/1901-N-Catalina-St-Los-Angeles-CA-90027/20809909_zpid/")</f>
        <v>https://www.zillow.com/homedetails/1901-N-Catalina-St-Los-Angeles-CA-90027/20809909_zpid/</v>
      </c>
      <c r="K113" s="5" t="str">
        <f ca="1">IFERROR(__xludf.DUMMYFUNCTION("""COMPUTED_VALUE"""),"Yiuchung Wong")</f>
        <v>Yiuchung Wong</v>
      </c>
      <c r="L113" s="5"/>
      <c r="M113" s="5" t="str">
        <f ca="1">IFERROR(__xludf.DUMMYFUNCTION("""COMPUTED_VALUE"""),"Last listing was for $2,340 on 12/1/2020.  But was previously listed at $9,000 on 11/14/2020.  Noting because $9,000 probably more accurate reflection of pre-emergency FMR.  ")</f>
        <v xml:space="preserve">Last listing was for $2,340 on 12/1/2020.  But was previously listed at $9,000 on 11/14/2020.  Noting because $9,000 probably more accurate reflection of pre-emergency FMR.  </v>
      </c>
      <c r="N113" s="5" t="str">
        <f ca="1">IFERROR(__xludf.DUMMYFUNCTION("""COMPUTED_VALUE"""),"https://drive.google.com/open?id=1WPpPIsmB6pld2AZZS5VQBnen4ZyAUNy1, https://drive.google.com/open?id=1iNeKYJZDiYndLsGki-FaIB3uXzVhjBP4")</f>
        <v>https://drive.google.com/open?id=1WPpPIsmB6pld2AZZS5VQBnen4ZyAUNy1, https://drive.google.com/open?id=1iNeKYJZDiYndLsGki-FaIB3uXzVhjBP4</v>
      </c>
      <c r="O113" s="5">
        <f ca="1">IFERROR(__xludf.DUMMYFUNCTION("""COMPUTED_VALUE"""),5589018015)</f>
        <v>5589018015</v>
      </c>
      <c r="P113" s="5" t="str">
        <f ca="1">IFERROR(__xludf.DUMMYFUNCTION("""COMPUTED_VALUE"""),"(858) 220-6155")</f>
        <v>(858) 220-6155</v>
      </c>
      <c r="Q113" s="5"/>
      <c r="R113" s="5"/>
      <c r="S113" s="5"/>
      <c r="T113" s="5"/>
    </row>
    <row r="114" spans="1:20" ht="12.75">
      <c r="A114" s="24">
        <f ca="1">IFERROR(__xludf.DUMMYFUNCTION("""COMPUTED_VALUE"""),45669.6256642361)</f>
        <v>45669.625664236097</v>
      </c>
      <c r="B114" s="5" t="str">
        <f ca="1">IFERROR(__xludf.DUMMYFUNCTION("""COMPUTED_VALUE"""),"9105 Cordell Dr")</f>
        <v>9105 Cordell Dr</v>
      </c>
      <c r="C114" s="5" t="str">
        <f ca="1">IFERROR(__xludf.DUMMYFUNCTION("""COMPUTED_VALUE"""),"Los Angeles")</f>
        <v>Los Angeles</v>
      </c>
      <c r="D114" s="5" t="str">
        <f ca="1">IFERROR(__xludf.DUMMYFUNCTION("""COMPUTED_VALUE"""),"CA")</f>
        <v>CA</v>
      </c>
      <c r="E114" s="5">
        <f ca="1">IFERROR(__xludf.DUMMYFUNCTION("""COMPUTED_VALUE"""),90069)</f>
        <v>90069</v>
      </c>
      <c r="F114" s="19">
        <f ca="1">IFERROR(__xludf.DUMMYFUNCTION("""COMPUTED_VALUE"""),35000)</f>
        <v>35000</v>
      </c>
      <c r="G114" s="19">
        <f ca="1">IFERROR(__xludf.DUMMYFUNCTION("""COMPUTED_VALUE"""),39950)</f>
        <v>39950</v>
      </c>
      <c r="H114" s="18">
        <f ca="1">IFERROR(__xludf.DUMMYFUNCTION("""COMPUTED_VALUE"""),45666)</f>
        <v>45666</v>
      </c>
      <c r="I114" s="5" t="str">
        <f ca="1">IFERROR(__xludf.DUMMYFUNCTION("""COMPUTED_VALUE"""),"Zillow")</f>
        <v>Zillow</v>
      </c>
      <c r="J114" s="25" t="str">
        <f ca="1">IFERROR(__xludf.DUMMYFUNCTION("""COMPUTED_VALUE"""),"https://www.zillow.com/homedetails/9105-Cordell-Dr-Los-Angeles-CA-90069/20799267_zpid/")</f>
        <v>https://www.zillow.com/homedetails/9105-Cordell-Dr-Los-Angeles-CA-90069/20799267_zpid/</v>
      </c>
      <c r="K114" s="5" t="str">
        <f ca="1">IFERROR(__xludf.DUMMYFUNCTION("""COMPUTED_VALUE"""),"Stay Awhile Villas")</f>
        <v>Stay Awhile Villas</v>
      </c>
      <c r="L114" s="5"/>
      <c r="M114" s="5" t="str">
        <f ca="1">IFERROR(__xludf.DUMMYFUNCTION("""COMPUTED_VALUE"""),"On the market since 1/14/24 at a reduced price of $35k, price increase by 14.1% to $39,950 after the fires on 1/9/25.")</f>
        <v>On the market since 1/14/24 at a reduced price of $35k, price increase by 14.1% to $39,950 after the fires on 1/9/25.</v>
      </c>
      <c r="N114" s="26" t="str">
        <f ca="1">IFERROR(__xludf.DUMMYFUNCTION("""COMPUTED_VALUE"""),"https://drive.google.com/open?id=1bZ-470yBHTZ72KOic54bEz_XSQvlGOLK")</f>
        <v>https://drive.google.com/open?id=1bZ-470yBHTZ72KOic54bEz_XSQvlGOLK</v>
      </c>
      <c r="O114" s="5">
        <f ca="1">IFERROR(__xludf.DUMMYFUNCTION("""COMPUTED_VALUE"""),5560016014)</f>
        <v>5560016014</v>
      </c>
      <c r="P114" s="5" t="str">
        <f ca="1">IFERROR(__xludf.DUMMYFUNCTION("""COMPUTED_VALUE"""),"(310) 310-2711")</f>
        <v>(310) 310-2711</v>
      </c>
      <c r="Q114" s="5"/>
      <c r="R114" s="5"/>
      <c r="S114" s="5"/>
      <c r="T114" s="5"/>
    </row>
    <row r="115" spans="1:20" ht="12.75">
      <c r="A115" s="24">
        <f ca="1">IFERROR(__xludf.DUMMYFUNCTION("""COMPUTED_VALUE"""),45669.6275506365)</f>
        <v>45669.627550636498</v>
      </c>
      <c r="B115" s="5" t="str">
        <f ca="1">IFERROR(__xludf.DUMMYFUNCTION("""COMPUTED_VALUE"""),"2847 Deep Canyon Dr")</f>
        <v>2847 Deep Canyon Dr</v>
      </c>
      <c r="C115" s="5" t="str">
        <f ca="1">IFERROR(__xludf.DUMMYFUNCTION("""COMPUTED_VALUE"""),"Beverly Hills")</f>
        <v>Beverly Hills</v>
      </c>
      <c r="D115" s="5" t="str">
        <f ca="1">IFERROR(__xludf.DUMMYFUNCTION("""COMPUTED_VALUE"""),"CA")</f>
        <v>CA</v>
      </c>
      <c r="E115" s="5">
        <f ca="1">IFERROR(__xludf.DUMMYFUNCTION("""COMPUTED_VALUE"""),90210)</f>
        <v>90210</v>
      </c>
      <c r="F115" s="19">
        <f ca="1">IFERROR(__xludf.DUMMYFUNCTION("""COMPUTED_VALUE"""),29500)</f>
        <v>29500</v>
      </c>
      <c r="G115" s="19">
        <f ca="1">IFERROR(__xludf.DUMMYFUNCTION("""COMPUTED_VALUE"""),39500)</f>
        <v>39500</v>
      </c>
      <c r="H115" s="18">
        <f ca="1">IFERROR(__xludf.DUMMYFUNCTION("""COMPUTED_VALUE"""),45668)</f>
        <v>45668</v>
      </c>
      <c r="I115" s="5" t="str">
        <f ca="1">IFERROR(__xludf.DUMMYFUNCTION("""COMPUTED_VALUE"""),"Zillow")</f>
        <v>Zillow</v>
      </c>
      <c r="J115" s="25" t="str">
        <f ca="1">IFERROR(__xludf.DUMMYFUNCTION("""COMPUTED_VALUE"""),"https://www.zillow.com/homedetails/2847-Deep-Canyon-Dr-Beverly-Hills-CA-90210/20531974_zpid/")</f>
        <v>https://www.zillow.com/homedetails/2847-Deep-Canyon-Dr-Beverly-Hills-CA-90210/20531974_zpid/</v>
      </c>
      <c r="K115" s="5" t="str">
        <f ca="1">IFERROR(__xludf.DUMMYFUNCTION("""COMPUTED_VALUE"""),"Ben He - MGR REAL ESTATE")</f>
        <v>Ben He - MGR REAL ESTATE</v>
      </c>
      <c r="L115" s="5"/>
      <c r="M115" s="5" t="str">
        <f ca="1">IFERROR(__xludf.DUMMYFUNCTION("""COMPUTED_VALUE"""),"Listed at a price of $29,500 since 11/21/24, price increased by 33.9% after the fires on 1/11/25 to $39,500.")</f>
        <v>Listed at a price of $29,500 since 11/21/24, price increased by 33.9% after the fires on 1/11/25 to $39,500.</v>
      </c>
      <c r="N115" s="26" t="str">
        <f ca="1">IFERROR(__xludf.DUMMYFUNCTION("""COMPUTED_VALUE"""),"https://drive.google.com/open?id=14yN-0unH9X9XjCAltPjtLGDz9sWKFgbP")</f>
        <v>https://drive.google.com/open?id=14yN-0unH9X9XjCAltPjtLGDz9sWKFgbP</v>
      </c>
      <c r="O115" s="5">
        <f ca="1">IFERROR(__xludf.DUMMYFUNCTION("""COMPUTED_VALUE"""),4382002013)</f>
        <v>4382002013</v>
      </c>
      <c r="P115" s="5" t="str">
        <f ca="1">IFERROR(__xludf.DUMMYFUNCTION("""COMPUTED_VALUE"""),"(626) 777-9999")</f>
        <v>(626) 777-9999</v>
      </c>
      <c r="Q115" s="5"/>
      <c r="R115" s="5"/>
      <c r="S115" s="5"/>
      <c r="T115" s="5"/>
    </row>
    <row r="116" spans="1:20" ht="12.75">
      <c r="A116" s="24">
        <f ca="1">IFERROR(__xludf.DUMMYFUNCTION("""COMPUTED_VALUE"""),45669.6278177083)</f>
        <v>45669.6278177083</v>
      </c>
      <c r="B116" s="5" t="str">
        <f ca="1">IFERROR(__xludf.DUMMYFUNCTION("""COMPUTED_VALUE"""),"3663 Edenhurst")</f>
        <v>3663 Edenhurst</v>
      </c>
      <c r="C116" s="5" t="str">
        <f ca="1">IFERROR(__xludf.DUMMYFUNCTION("""COMPUTED_VALUE"""),"Los Angeles")</f>
        <v>Los Angeles</v>
      </c>
      <c r="D116" s="5" t="str">
        <f ca="1">IFERROR(__xludf.DUMMYFUNCTION("""COMPUTED_VALUE"""),"CA")</f>
        <v>CA</v>
      </c>
      <c r="E116" s="5">
        <f ca="1">IFERROR(__xludf.DUMMYFUNCTION("""COMPUTED_VALUE"""),90039)</f>
        <v>90039</v>
      </c>
      <c r="F116" s="19">
        <f ca="1">IFERROR(__xludf.DUMMYFUNCTION("""COMPUTED_VALUE"""),8000)</f>
        <v>8000</v>
      </c>
      <c r="G116" s="19">
        <f ca="1">IFERROR(__xludf.DUMMYFUNCTION("""COMPUTED_VALUE"""),9000)</f>
        <v>9000</v>
      </c>
      <c r="H116" s="18">
        <f ca="1">IFERROR(__xludf.DUMMYFUNCTION("""COMPUTED_VALUE"""),45666)</f>
        <v>45666</v>
      </c>
      <c r="I116" s="5" t="str">
        <f ca="1">IFERROR(__xludf.DUMMYFUNCTION("""COMPUTED_VALUE"""),"Zillow")</f>
        <v>Zillow</v>
      </c>
      <c r="J116" s="25" t="str">
        <f ca="1">IFERROR(__xludf.DUMMYFUNCTION("""COMPUTED_VALUE"""),"https://www.zillow.com/homedetails/3663-Edenhurst-Ave-Los-Angeles-CA-90039/20749912_zpid/")</f>
        <v>https://www.zillow.com/homedetails/3663-Edenhurst-Ave-Los-Angeles-CA-90039/20749912_zpid/</v>
      </c>
      <c r="K116" s="5" t="str">
        <f ca="1">IFERROR(__xludf.DUMMYFUNCTION("""COMPUTED_VALUE"""),"Suzie")</f>
        <v>Suzie</v>
      </c>
      <c r="L116" s="5"/>
      <c r="M116" s="5"/>
      <c r="N116" s="5" t="str">
        <f ca="1">IFERROR(__xludf.DUMMYFUNCTION("""COMPUTED_VALUE"""),"https://drive.google.com/open?id=10eJ1Mu48lZv-dQKCVwsi_FKZbTPHqSTO, https://drive.google.com/open?id=10ZdiqA8KjvlWXYAKO8xfn7sIjJxn-TvZ")</f>
        <v>https://drive.google.com/open?id=10eJ1Mu48lZv-dQKCVwsi_FKZbTPHqSTO, https://drive.google.com/open?id=10ZdiqA8KjvlWXYAKO8xfn7sIjJxn-TvZ</v>
      </c>
      <c r="O116" s="5">
        <f ca="1">IFERROR(__xludf.DUMMYFUNCTION("""COMPUTED_VALUE"""),5435014021)</f>
        <v>5435014021</v>
      </c>
      <c r="P116" s="5" t="str">
        <f ca="1">IFERROR(__xludf.DUMMYFUNCTION("""COMPUTED_VALUE"""),"(310) 909-3276")</f>
        <v>(310) 909-3276</v>
      </c>
      <c r="Q116" s="5"/>
      <c r="R116" s="5"/>
      <c r="S116" s="5"/>
      <c r="T116" s="5"/>
    </row>
    <row r="117" spans="1:20" ht="12.75">
      <c r="A117" s="24">
        <f ca="1">IFERROR(__xludf.DUMMYFUNCTION("""COMPUTED_VALUE"""),45669.6286318287)</f>
        <v>45669.628631828702</v>
      </c>
      <c r="B117" s="5" t="str">
        <f ca="1">IFERROR(__xludf.DUMMYFUNCTION("""COMPUTED_VALUE"""),"22738 Mobile St")</f>
        <v>22738 Mobile St</v>
      </c>
      <c r="C117" s="5" t="str">
        <f ca="1">IFERROR(__xludf.DUMMYFUNCTION("""COMPUTED_VALUE"""),"West Hills")</f>
        <v>West Hills</v>
      </c>
      <c r="D117" s="5" t="str">
        <f ca="1">IFERROR(__xludf.DUMMYFUNCTION("""COMPUTED_VALUE"""),"CA")</f>
        <v>CA</v>
      </c>
      <c r="E117" s="5">
        <f ca="1">IFERROR(__xludf.DUMMYFUNCTION("""COMPUTED_VALUE"""),91307)</f>
        <v>91307</v>
      </c>
      <c r="F117" s="19">
        <f ca="1">IFERROR(__xludf.DUMMYFUNCTION("""COMPUTED_VALUE"""),8000)</f>
        <v>8000</v>
      </c>
      <c r="G117" s="19">
        <f ca="1">IFERROR(__xludf.DUMMYFUNCTION("""COMPUTED_VALUE"""),14000)</f>
        <v>14000</v>
      </c>
      <c r="H117" s="18">
        <f ca="1">IFERROR(__xludf.DUMMYFUNCTION("""COMPUTED_VALUE"""),45667)</f>
        <v>45667</v>
      </c>
      <c r="I117" s="5" t="str">
        <f ca="1">IFERROR(__xludf.DUMMYFUNCTION("""COMPUTED_VALUE"""),"Zillow")</f>
        <v>Zillow</v>
      </c>
      <c r="J117" s="25" t="str">
        <f ca="1">IFERROR(__xludf.DUMMYFUNCTION("""COMPUTED_VALUE"""),"https://www.zillow.com/homedetails/22738-Mobile-St-West-Hills-CA-91307/19877075_zpid/?utm_campaign=iosappmessage&amp;utm_medium=referral&amp;utm_source=txtshare")</f>
        <v>https://www.zillow.com/homedetails/22738-Mobile-St-West-Hills-CA-91307/19877075_zpid/?utm_campaign=iosappmessage&amp;utm_medium=referral&amp;utm_source=txtshare</v>
      </c>
      <c r="K117" s="5" t="str">
        <f ca="1">IFERROR(__xludf.DUMMYFUNCTION("""COMPUTED_VALUE"""),"911 Housing Solutions (management company)")</f>
        <v>911 Housing Solutions (management company)</v>
      </c>
      <c r="L117" s="5"/>
      <c r="M117" s="5"/>
      <c r="N117" s="5" t="str">
        <f ca="1">IFERROR(__xludf.DUMMYFUNCTION("""COMPUTED_VALUE"""),"https://drive.google.com/open?id=1AHll0_B516xbpBe_ratlmXub0sirLQwE, https://drive.google.com/open?id=1emwD-zS4-qwLUIEGt4kDCgagkF_yjnGc")</f>
        <v>https://drive.google.com/open?id=1AHll0_B516xbpBe_ratlmXub0sirLQwE, https://drive.google.com/open?id=1emwD-zS4-qwLUIEGt4kDCgagkF_yjnGc</v>
      </c>
      <c r="O117" s="5" t="str">
        <f ca="1">IFERROR(__xludf.DUMMYFUNCTION("""COMPUTED_VALUE"""),"NA")</f>
        <v>NA</v>
      </c>
      <c r="P117" s="5">
        <f ca="1">IFERROR(__xludf.DUMMYFUNCTION("""COMPUTED_VALUE"""),8887079111)</f>
        <v>8887079111</v>
      </c>
      <c r="Q117" s="5"/>
      <c r="R117" s="5"/>
      <c r="S117" s="5"/>
      <c r="T117" s="5"/>
    </row>
    <row r="118" spans="1:20" ht="12.75">
      <c r="A118" s="24">
        <f ca="1">IFERROR(__xludf.DUMMYFUNCTION("""COMPUTED_VALUE"""),45669.6297274652)</f>
        <v>45669.629727465202</v>
      </c>
      <c r="B118" s="5" t="str">
        <f ca="1">IFERROR(__xludf.DUMMYFUNCTION("""COMPUTED_VALUE"""),"543 Rialto Ave")</f>
        <v>543 Rialto Ave</v>
      </c>
      <c r="C118" s="5" t="str">
        <f ca="1">IFERROR(__xludf.DUMMYFUNCTION("""COMPUTED_VALUE"""),"Los Angeles")</f>
        <v>Los Angeles</v>
      </c>
      <c r="D118" s="5" t="str">
        <f ca="1">IFERROR(__xludf.DUMMYFUNCTION("""COMPUTED_VALUE"""),"CA")</f>
        <v>CA</v>
      </c>
      <c r="E118" s="5">
        <f ca="1">IFERROR(__xludf.DUMMYFUNCTION("""COMPUTED_VALUE"""),90026)</f>
        <v>90026</v>
      </c>
      <c r="F118" s="19">
        <f ca="1">IFERROR(__xludf.DUMMYFUNCTION("""COMPUTED_VALUE"""),22500)</f>
        <v>22500</v>
      </c>
      <c r="G118" s="19">
        <f ca="1">IFERROR(__xludf.DUMMYFUNCTION("""COMPUTED_VALUE"""),27500)</f>
        <v>27500</v>
      </c>
      <c r="H118" s="18">
        <f ca="1">IFERROR(__xludf.DUMMYFUNCTION("""COMPUTED_VALUE"""),45668)</f>
        <v>45668</v>
      </c>
      <c r="I118" s="5" t="str">
        <f ca="1">IFERROR(__xludf.DUMMYFUNCTION("""COMPUTED_VALUE"""),"Redfin")</f>
        <v>Redfin</v>
      </c>
      <c r="J118" s="25" t="str">
        <f ca="1">IFERROR(__xludf.DUMMYFUNCTION("""COMPUTED_VALUE"""),"https://www.redfin.com/CA/Venice/543-Rialto-Ave-90291/home/23075948")</f>
        <v>https://www.redfin.com/CA/Venice/543-Rialto-Ave-90291/home/23075948</v>
      </c>
      <c r="K118" s="5" t="str">
        <f ca="1">IFERROR(__xludf.DUMMYFUNCTION("""COMPUTED_VALUE"""),"Tara Rodgers")</f>
        <v>Tara Rodgers</v>
      </c>
      <c r="L118" s="5" t="str">
        <f ca="1">IFERROR(__xludf.DUMMYFUNCTION("""COMPUTED_VALUE"""),"NA")</f>
        <v>NA</v>
      </c>
      <c r="M118" s="5" t="str">
        <f ca="1">IFERROR(__xludf.DUMMYFUNCTION("""COMPUTED_VALUE"""),"Zillow parcel number: 4238006015. Zillow listing taken down with final rental price not listed. Redfin has final rental information listed. It has been listed for $22,500/mo since June 2024. Rent increase occurred on 1/11/25 when relisted at $27,500/mo wh"&amp;"ich is a 22.22% increase. ")</f>
        <v xml:space="preserve">Zillow parcel number: 4238006015. Zillow listing taken down with final rental price not listed. Redfin has final rental information listed. It has been listed for $22,500/mo since June 2024. Rent increase occurred on 1/11/25 when relisted at $27,500/mo which is a 22.22% increase. </v>
      </c>
      <c r="N118" s="26" t="str">
        <f ca="1">IFERROR(__xludf.DUMMYFUNCTION("""COMPUTED_VALUE"""),"https://drive.google.com/open?id=1Szy-ApdPKNC1NOZSjAfb6-wj3YiRuWue")</f>
        <v>https://drive.google.com/open?id=1Szy-ApdPKNC1NOZSjAfb6-wj3YiRuWue</v>
      </c>
      <c r="O118" s="5" t="str">
        <f ca="1">IFERROR(__xludf.DUMMYFUNCTION("""COMPUTED_VALUE"""),"NA")</f>
        <v>NA</v>
      </c>
      <c r="P118" s="5">
        <f ca="1">IFERROR(__xludf.DUMMYFUNCTION("""COMPUTED_VALUE"""),3104159743)</f>
        <v>3104159743</v>
      </c>
      <c r="Q118" s="5" t="str">
        <f ca="1">IFERROR(__xludf.DUMMYFUNCTION("""COMPUTED_VALUE"""),"tara.rodgers@compass.com")</f>
        <v>tara.rodgers@compass.com</v>
      </c>
      <c r="R118" s="5" t="str">
        <f ca="1">IFERROR(__xludf.DUMMYFUNCTION("""COMPUTED_VALUE"""),"NA")</f>
        <v>NA</v>
      </c>
      <c r="S118" s="5"/>
      <c r="T118" s="5"/>
    </row>
    <row r="119" spans="1:20" ht="12.75">
      <c r="A119" s="24">
        <f ca="1">IFERROR(__xludf.DUMMYFUNCTION("""COMPUTED_VALUE"""),45669.6300211921)</f>
        <v>45669.630021192097</v>
      </c>
      <c r="B119" s="5" t="str">
        <f ca="1">IFERROR(__xludf.DUMMYFUNCTION("""COMPUTED_VALUE"""),"3663 Edenhurst")</f>
        <v>3663 Edenhurst</v>
      </c>
      <c r="C119" s="5" t="str">
        <f ca="1">IFERROR(__xludf.DUMMYFUNCTION("""COMPUTED_VALUE"""),"Los Angeles")</f>
        <v>Los Angeles</v>
      </c>
      <c r="D119" s="5" t="str">
        <f ca="1">IFERROR(__xludf.DUMMYFUNCTION("""COMPUTED_VALUE"""),"CA")</f>
        <v>CA</v>
      </c>
      <c r="E119" s="5">
        <f ca="1">IFERROR(__xludf.DUMMYFUNCTION("""COMPUTED_VALUE"""),90039)</f>
        <v>90039</v>
      </c>
      <c r="F119" s="19">
        <f ca="1">IFERROR(__xludf.DUMMYFUNCTION("""COMPUTED_VALUE"""),3750)</f>
        <v>3750</v>
      </c>
      <c r="G119" s="19">
        <f ca="1">IFERROR(__xludf.DUMMYFUNCTION("""COMPUTED_VALUE"""),6500)</f>
        <v>6500</v>
      </c>
      <c r="H119" s="18">
        <f ca="1">IFERROR(__xludf.DUMMYFUNCTION("""COMPUTED_VALUE"""),45666)</f>
        <v>45666</v>
      </c>
      <c r="I119" s="5" t="str">
        <f ca="1">IFERROR(__xludf.DUMMYFUNCTION("""COMPUTED_VALUE"""),"Zillow")</f>
        <v>Zillow</v>
      </c>
      <c r="J119" s="25" t="str">
        <f ca="1">IFERROR(__xludf.DUMMYFUNCTION("""COMPUTED_VALUE"""),"https://www.zillow.com/homedetails/3365-Tyburn-St-Los-Angeles-CA-90039/20750852_zpid/")</f>
        <v>https://www.zillow.com/homedetails/3365-Tyburn-St-Los-Angeles-CA-90039/20750852_zpid/</v>
      </c>
      <c r="K119" s="5" t="str">
        <f ca="1">IFERROR(__xludf.DUMMYFUNCTION("""COMPUTED_VALUE"""),"Bruno Rossi")</f>
        <v>Bruno Rossi</v>
      </c>
      <c r="L119" s="5"/>
      <c r="M119" s="5"/>
      <c r="N119" s="5" t="str">
        <f ca="1">IFERROR(__xludf.DUMMYFUNCTION("""COMPUTED_VALUE"""),"https://drive.google.com/open?id=1Jg32pAMgh4QfifTTk4JtOYf9monjH_Us, https://drive.google.com/open?id=1FGaODOPNSIUyRlvDeMHE8uMcMeeDVhav")</f>
        <v>https://drive.google.com/open?id=1Jg32pAMgh4QfifTTk4JtOYf9monjH_Us, https://drive.google.com/open?id=1FGaODOPNSIUyRlvDeMHE8uMcMeeDVhav</v>
      </c>
      <c r="O119" s="5">
        <f ca="1">IFERROR(__xludf.DUMMYFUNCTION("""COMPUTED_VALUE"""),5435014021)</f>
        <v>5435014021</v>
      </c>
      <c r="P119" s="5" t="str">
        <f ca="1">IFERROR(__xludf.DUMMYFUNCTION("""COMPUTED_VALUE"""),"(323) 868-5329")</f>
        <v>(323) 868-5329</v>
      </c>
      <c r="Q119" s="5"/>
      <c r="R119" s="5"/>
      <c r="S119" s="5"/>
      <c r="T119" s="5"/>
    </row>
    <row r="120" spans="1:20" ht="12.75">
      <c r="A120" s="24">
        <f ca="1">IFERROR(__xludf.DUMMYFUNCTION("""COMPUTED_VALUE"""),45669.6323038541)</f>
        <v>45669.632303854101</v>
      </c>
      <c r="B120" s="5" t="str">
        <f ca="1">IFERROR(__xludf.DUMMYFUNCTION("""COMPUTED_VALUE"""),"716 N Kenter Ave")</f>
        <v>716 N Kenter Ave</v>
      </c>
      <c r="C120" s="5" t="str">
        <f ca="1">IFERROR(__xludf.DUMMYFUNCTION("""COMPUTED_VALUE"""),"Los Angeles")</f>
        <v>Los Angeles</v>
      </c>
      <c r="D120" s="5" t="str">
        <f ca="1">IFERROR(__xludf.DUMMYFUNCTION("""COMPUTED_VALUE"""),"CA")</f>
        <v>CA</v>
      </c>
      <c r="E120" s="5">
        <f ca="1">IFERROR(__xludf.DUMMYFUNCTION("""COMPUTED_VALUE"""),90049)</f>
        <v>90049</v>
      </c>
      <c r="F120" s="19">
        <f ca="1">IFERROR(__xludf.DUMMYFUNCTION("""COMPUTED_VALUE"""),17995)</f>
        <v>17995</v>
      </c>
      <c r="G120" s="19">
        <f ca="1">IFERROR(__xludf.DUMMYFUNCTION("""COMPUTED_VALUE"""),35995)</f>
        <v>35995</v>
      </c>
      <c r="H120" s="18">
        <f ca="1">IFERROR(__xludf.DUMMYFUNCTION("""COMPUTED_VALUE"""),45667)</f>
        <v>45667</v>
      </c>
      <c r="I120" s="5" t="str">
        <f ca="1">IFERROR(__xludf.DUMMYFUNCTION("""COMPUTED_VALUE"""),"Zillow")</f>
        <v>Zillow</v>
      </c>
      <c r="J120" s="25" t="str">
        <f ca="1">IFERROR(__xludf.DUMMYFUNCTION("""COMPUTED_VALUE"""),"https://www.zillow.com/homedetails/716-N-Kenter-Ave-Los-Angeles-CA-90049/20560387_zpid/")</f>
        <v>https://www.zillow.com/homedetails/716-N-Kenter-Ave-Los-Angeles-CA-90049/20560387_zpid/</v>
      </c>
      <c r="K120" s="5" t="str">
        <f ca="1">IFERROR(__xludf.DUMMYFUNCTION("""COMPUTED_VALUE"""),"Jordana Leigh - The Agency")</f>
        <v>Jordana Leigh - The Agency</v>
      </c>
      <c r="L120" s="5"/>
      <c r="M120" s="5" t="str">
        <f ca="1">IFERROR(__xludf.DUMMYFUNCTION("""COMPUTED_VALUE"""),"On the market since 8/6/24 and price was decreased twice since then, price increased by 100% on 1/10/25 after the fires to $35,595.")</f>
        <v>On the market since 8/6/24 and price was decreased twice since then, price increased by 100% on 1/10/25 after the fires to $35,595.</v>
      </c>
      <c r="N120" s="26" t="str">
        <f ca="1">IFERROR(__xludf.DUMMYFUNCTION("""COMPUTED_VALUE"""),"https://drive.google.com/open?id=1Q9ycrMCVyVemQcJOvJ0VqcMW9YT0vFf6")</f>
        <v>https://drive.google.com/open?id=1Q9ycrMCVyVemQcJOvJ0VqcMW9YT0vFf6</v>
      </c>
      <c r="O120" s="5">
        <f ca="1">IFERROR(__xludf.DUMMYFUNCTION("""COMPUTED_VALUE"""),4494020003)</f>
        <v>4494020003</v>
      </c>
      <c r="P120" s="5" t="str">
        <f ca="1">IFERROR(__xludf.DUMMYFUNCTION("""COMPUTED_VALUE"""),"(424) 239-8725")</f>
        <v>(424) 239-8725</v>
      </c>
      <c r="Q120" s="5"/>
      <c r="R120" s="5"/>
      <c r="S120" s="5"/>
      <c r="T120" s="5"/>
    </row>
    <row r="121" spans="1:20" ht="12.75">
      <c r="A121" s="24">
        <f ca="1">IFERROR(__xludf.DUMMYFUNCTION("""COMPUTED_VALUE"""),45669.6343324189)</f>
        <v>45669.6343324189</v>
      </c>
      <c r="B121" s="5" t="str">
        <f ca="1">IFERROR(__xludf.DUMMYFUNCTION("""COMPUTED_VALUE"""),"11826 Dorothy St Apt 202")</f>
        <v>11826 Dorothy St Apt 202</v>
      </c>
      <c r="C121" s="5" t="str">
        <f ca="1">IFERROR(__xludf.DUMMYFUNCTION("""COMPUTED_VALUE"""),"Los Angeles")</f>
        <v>Los Angeles</v>
      </c>
      <c r="D121" s="5" t="str">
        <f ca="1">IFERROR(__xludf.DUMMYFUNCTION("""COMPUTED_VALUE"""),"CA")</f>
        <v>CA</v>
      </c>
      <c r="E121" s="5">
        <f ca="1">IFERROR(__xludf.DUMMYFUNCTION("""COMPUTED_VALUE"""),90049)</f>
        <v>90049</v>
      </c>
      <c r="F121" s="19">
        <f ca="1">IFERROR(__xludf.DUMMYFUNCTION("""COMPUTED_VALUE"""),5095)</f>
        <v>5095</v>
      </c>
      <c r="G121" s="19">
        <f ca="1">IFERROR(__xludf.DUMMYFUNCTION("""COMPUTED_VALUE"""),6300)</f>
        <v>6300</v>
      </c>
      <c r="H121" s="18">
        <f ca="1">IFERROR(__xludf.DUMMYFUNCTION("""COMPUTED_VALUE"""),45665)</f>
        <v>45665</v>
      </c>
      <c r="I121" s="5" t="str">
        <f ca="1">IFERROR(__xludf.DUMMYFUNCTION("""COMPUTED_VALUE"""),"Zillow")</f>
        <v>Zillow</v>
      </c>
      <c r="J121" s="25" t="str">
        <f ca="1">IFERROR(__xludf.DUMMYFUNCTION("""COMPUTED_VALUE"""),"https://www.zillow.com/homedetails/11826-Dorothy-St-APT-202-Los-Angeles-CA-90049/63090973_zpid/")</f>
        <v>https://www.zillow.com/homedetails/11826-Dorothy-St-APT-202-Los-Angeles-CA-90049/63090973_zpid/</v>
      </c>
      <c r="K121" s="5" t="str">
        <f ca="1">IFERROR(__xludf.DUMMYFUNCTION("""COMPUTED_VALUE"""),"Lily Vosough - Coldwell Banker")</f>
        <v>Lily Vosough - Coldwell Banker</v>
      </c>
      <c r="L121" s="5" t="str">
        <f ca="1">IFERROR(__xludf.DUMMYFUNCTION("""COMPUTED_VALUE"""),"NA")</f>
        <v>NA</v>
      </c>
      <c r="M121" s="5" t="str">
        <f ca="1">IFERROR(__xludf.DUMMYFUNCTION("""COMPUTED_VALUE"""),"Rent increased 23.7% since last being listing in 2020. Listing says it has been recently ""fully renovated""")</f>
        <v>Rent increased 23.7% since last being listing in 2020. Listing says it has been recently "fully renovated"</v>
      </c>
      <c r="N121" s="26" t="str">
        <f ca="1">IFERROR(__xludf.DUMMYFUNCTION("""COMPUTED_VALUE"""),"https://drive.google.com/open?id=1kgpnFYZgOrMkdb1olE1zxVjCvuTjlBOO")</f>
        <v>https://drive.google.com/open?id=1kgpnFYZgOrMkdb1olE1zxVjCvuTjlBOO</v>
      </c>
      <c r="O121" s="5">
        <f ca="1">IFERROR(__xludf.DUMMYFUNCTION("""COMPUTED_VALUE"""),4265017048)</f>
        <v>4265017048</v>
      </c>
      <c r="P121" s="5" t="str">
        <f ca="1">IFERROR(__xludf.DUMMYFUNCTION("""COMPUTED_VALUE"""),"(213) 668-7904")</f>
        <v>(213) 668-7904</v>
      </c>
      <c r="Q121" s="5"/>
      <c r="R121" s="5" t="str">
        <f ca="1">IFERROR(__xludf.DUMMYFUNCTION("""COMPUTED_VALUE"""),"NA")</f>
        <v>NA</v>
      </c>
      <c r="S121" s="5"/>
      <c r="T121" s="5"/>
    </row>
    <row r="122" spans="1:20" ht="12.75">
      <c r="A122" s="24">
        <f ca="1">IFERROR(__xludf.DUMMYFUNCTION("""COMPUTED_VALUE"""),45669.6347728009)</f>
        <v>45669.634772800899</v>
      </c>
      <c r="B122" s="5" t="str">
        <f ca="1">IFERROR(__xludf.DUMMYFUNCTION("""COMPUTED_VALUE"""),"3672 Jasmine Ave UNIT 102")</f>
        <v>3672 Jasmine Ave UNIT 102</v>
      </c>
      <c r="C122" s="5" t="str">
        <f ca="1">IFERROR(__xludf.DUMMYFUNCTION("""COMPUTED_VALUE"""),"Los Angeles")</f>
        <v>Los Angeles</v>
      </c>
      <c r="D122" s="5" t="str">
        <f ca="1">IFERROR(__xludf.DUMMYFUNCTION("""COMPUTED_VALUE"""),"CA")</f>
        <v>CA</v>
      </c>
      <c r="E122" s="5">
        <f ca="1">IFERROR(__xludf.DUMMYFUNCTION("""COMPUTED_VALUE"""),90034)</f>
        <v>90034</v>
      </c>
      <c r="F122" s="19">
        <f ca="1">IFERROR(__xludf.DUMMYFUNCTION("""COMPUTED_VALUE"""),4990)</f>
        <v>4990</v>
      </c>
      <c r="G122" s="19">
        <f ca="1">IFERROR(__xludf.DUMMYFUNCTION("""COMPUTED_VALUE"""),5995)</f>
        <v>5995</v>
      </c>
      <c r="H122" s="18">
        <f ca="1">IFERROR(__xludf.DUMMYFUNCTION("""COMPUTED_VALUE"""),45667)</f>
        <v>45667</v>
      </c>
      <c r="I122" s="5" t="str">
        <f ca="1">IFERROR(__xludf.DUMMYFUNCTION("""COMPUTED_VALUE"""),"Zillow")</f>
        <v>Zillow</v>
      </c>
      <c r="J122" s="25" t="str">
        <f ca="1">IFERROR(__xludf.DUMMYFUNCTION("""COMPUTED_VALUE"""),"https://www.zillow.com/homedetails/3672-Jasmine-Ave-UNIT-102-Los-Angeles-CA-90034/2061496314_zpid/")</f>
        <v>https://www.zillow.com/homedetails/3672-Jasmine-Ave-UNIT-102-Los-Angeles-CA-90034/2061496314_zpid/</v>
      </c>
      <c r="K122" s="5" t="str">
        <f ca="1">IFERROR(__xludf.DUMMYFUNCTION("""COMPUTED_VALUE"""),"Benhur Youkhehpaz")</f>
        <v>Benhur Youkhehpaz</v>
      </c>
      <c r="L122" s="5"/>
      <c r="M122" s="5"/>
      <c r="N122" s="5" t="str">
        <f ca="1">IFERROR(__xludf.DUMMYFUNCTION("""COMPUTED_VALUE"""),"https://drive.google.com/open?id=1yEgXQGFcL2zYado1F7tEP5OxOo2w049F, https://drive.google.com/open?id=1-ctsGCVx23PMozvR4eaAjyYoga3o-8K3")</f>
        <v>https://drive.google.com/open?id=1yEgXQGFcL2zYado1F7tEP5OxOo2w049F, https://drive.google.com/open?id=1-ctsGCVx23PMozvR4eaAjyYoga3o-8K3</v>
      </c>
      <c r="O122" s="5" t="str">
        <f ca="1">IFERROR(__xludf.DUMMYFUNCTION("""COMPUTED_VALUE"""),"NA")</f>
        <v>NA</v>
      </c>
      <c r="P122" s="5" t="str">
        <f ca="1">IFERROR(__xludf.DUMMYFUNCTION("""COMPUTED_VALUE"""),"(424) 352-1555")</f>
        <v>(424) 352-1555</v>
      </c>
      <c r="Q122" s="5"/>
      <c r="R122" s="5"/>
      <c r="S122" s="5"/>
      <c r="T122" s="5"/>
    </row>
    <row r="123" spans="1:20" ht="12.75">
      <c r="A123" s="24">
        <f ca="1">IFERROR(__xludf.DUMMYFUNCTION("""COMPUTED_VALUE"""),45669.6366876504)</f>
        <v>45669.636687650403</v>
      </c>
      <c r="B123" s="5" t="str">
        <f ca="1">IFERROR(__xludf.DUMMYFUNCTION("""COMPUTED_VALUE"""),"1849 N Coldwater Canyon Dr")</f>
        <v>1849 N Coldwater Canyon Dr</v>
      </c>
      <c r="C123" s="5" t="str">
        <f ca="1">IFERROR(__xludf.DUMMYFUNCTION("""COMPUTED_VALUE"""),"Beverly Hills")</f>
        <v>Beverly Hills</v>
      </c>
      <c r="D123" s="5" t="str">
        <f ca="1">IFERROR(__xludf.DUMMYFUNCTION("""COMPUTED_VALUE"""),"CA")</f>
        <v>CA</v>
      </c>
      <c r="E123" s="5">
        <f ca="1">IFERROR(__xludf.DUMMYFUNCTION("""COMPUTED_VALUE"""),90210)</f>
        <v>90210</v>
      </c>
      <c r="F123" s="19">
        <f ca="1">IFERROR(__xludf.DUMMYFUNCTION("""COMPUTED_VALUE"""),24000)</f>
        <v>24000</v>
      </c>
      <c r="G123" s="19">
        <f ca="1">IFERROR(__xludf.DUMMYFUNCTION("""COMPUTED_VALUE"""),35000)</f>
        <v>35000</v>
      </c>
      <c r="H123" s="18">
        <f ca="1">IFERROR(__xludf.DUMMYFUNCTION("""COMPUTED_VALUE"""),45666)</f>
        <v>45666</v>
      </c>
      <c r="I123" s="5" t="str">
        <f ca="1">IFERROR(__xludf.DUMMYFUNCTION("""COMPUTED_VALUE"""),"Zillow")</f>
        <v>Zillow</v>
      </c>
      <c r="J123" s="25" t="str">
        <f ca="1">IFERROR(__xludf.DUMMYFUNCTION("""COMPUTED_VALUE"""),"https://www.zillow.com/homedetails/1849-N-Coldwater-Canyon-Dr-Beverly-Hills-CA-90210/125270046_zpid/")</f>
        <v>https://www.zillow.com/homedetails/1849-N-Coldwater-Canyon-Dr-Beverly-Hills-CA-90210/125270046_zpid/</v>
      </c>
      <c r="K123" s="5" t="str">
        <f ca="1">IFERROR(__xludf.DUMMYFUNCTION("""COMPUTED_VALUE"""),"Kai Cohen - Cohen LA")</f>
        <v>Kai Cohen - Cohen LA</v>
      </c>
      <c r="L123" s="5"/>
      <c r="M123" s="5" t="str">
        <f ca="1">IFERROR(__xludf.DUMMYFUNCTION("""COMPUTED_VALUE"""),"Price reduced to $24k on 12/16/24, price was then increased by 45.8% after the fires on 1/9/25 to $35k.")</f>
        <v>Price reduced to $24k on 12/16/24, price was then increased by 45.8% after the fires on 1/9/25 to $35k.</v>
      </c>
      <c r="N123" s="26" t="str">
        <f ca="1">IFERROR(__xludf.DUMMYFUNCTION("""COMPUTED_VALUE"""),"https://drive.google.com/open?id=1MkAvT_zQaASLkizdwS2vgranx-tbHu-l")</f>
        <v>https://drive.google.com/open?id=1MkAvT_zQaASLkizdwS2vgranx-tbHu-l</v>
      </c>
      <c r="O123" s="5">
        <f ca="1">IFERROR(__xludf.DUMMYFUNCTION("""COMPUTED_VALUE"""),4352001053)</f>
        <v>4352001053</v>
      </c>
      <c r="P123" s="5" t="str">
        <f ca="1">IFERROR(__xludf.DUMMYFUNCTION("""COMPUTED_VALUE"""),"(818) 274-1710")</f>
        <v>(818) 274-1710</v>
      </c>
      <c r="Q123" s="5"/>
      <c r="R123" s="5"/>
      <c r="S123" s="5"/>
      <c r="T123" s="5"/>
    </row>
    <row r="124" spans="1:20" ht="12.75">
      <c r="A124" s="24">
        <f ca="1">IFERROR(__xludf.DUMMYFUNCTION("""COMPUTED_VALUE"""),45669.6378503819)</f>
        <v>45669.6378503819</v>
      </c>
      <c r="B124" s="5" t="str">
        <f ca="1">IFERROR(__xludf.DUMMYFUNCTION("""COMPUTED_VALUE"""),"6230 Lindenhurst Ave #6230")</f>
        <v>6230 Lindenhurst Ave #6230</v>
      </c>
      <c r="C124" s="5" t="str">
        <f ca="1">IFERROR(__xludf.DUMMYFUNCTION("""COMPUTED_VALUE"""),"Los Angeles")</f>
        <v>Los Angeles</v>
      </c>
      <c r="D124" s="5" t="str">
        <f ca="1">IFERROR(__xludf.DUMMYFUNCTION("""COMPUTED_VALUE"""),"CA")</f>
        <v>CA</v>
      </c>
      <c r="E124" s="5">
        <f ca="1">IFERROR(__xludf.DUMMYFUNCTION("""COMPUTED_VALUE"""),90048)</f>
        <v>90048</v>
      </c>
      <c r="F124" s="19">
        <f ca="1">IFERROR(__xludf.DUMMYFUNCTION("""COMPUTED_VALUE"""),4995)</f>
        <v>4995</v>
      </c>
      <c r="G124" s="19">
        <f ca="1">IFERROR(__xludf.DUMMYFUNCTION("""COMPUTED_VALUE"""),5500)</f>
        <v>5500</v>
      </c>
      <c r="H124" s="18">
        <f ca="1">IFERROR(__xludf.DUMMYFUNCTION("""COMPUTED_VALUE"""),45669)</f>
        <v>45669</v>
      </c>
      <c r="I124" s="5" t="str">
        <f ca="1">IFERROR(__xludf.DUMMYFUNCTION("""COMPUTED_VALUE"""),"Zillow")</f>
        <v>Zillow</v>
      </c>
      <c r="J124" s="25" t="str">
        <f ca="1">IFERROR(__xludf.DUMMYFUNCTION("""COMPUTED_VALUE"""),"https://www.zillow.com/homedetails/6230-Lindenhurst-Ave-6230-Los-Angeles-CA-90048/2053399272_zpid/")</f>
        <v>https://www.zillow.com/homedetails/6230-Lindenhurst-Ave-6230-Los-Angeles-CA-90048/2053399272_zpid/</v>
      </c>
      <c r="K124" s="5" t="str">
        <f ca="1">IFERROR(__xludf.DUMMYFUNCTION("""COMPUTED_VALUE"""),"Rosalie")</f>
        <v>Rosalie</v>
      </c>
      <c r="L124" s="5"/>
      <c r="M124" s="5" t="str">
        <f ca="1">IFERROR(__xludf.DUMMYFUNCTION("""COMPUTED_VALUE"""),"Listed $4,995 on 1/5/25, price increase to $5,500 on 1/11/25")</f>
        <v>Listed $4,995 on 1/5/25, price increase to $5,500 on 1/11/25</v>
      </c>
      <c r="N124" s="5" t="str">
        <f ca="1">IFERROR(__xludf.DUMMYFUNCTION("""COMPUTED_VALUE"""),"https://drive.google.com/open?id=1pa5_-mPHfImHg_Xj8i5xp0kL-V_Bchst, https://drive.google.com/open?id=1RaWfBYXgxt6W6vbJ3hBdN0QIV1rrWexT")</f>
        <v>https://drive.google.com/open?id=1pa5_-mPHfImHg_Xj8i5xp0kL-V_Bchst, https://drive.google.com/open?id=1RaWfBYXgxt6W6vbJ3hBdN0QIV1rrWexT</v>
      </c>
      <c r="O124" s="5" t="str">
        <f ca="1">IFERROR(__xludf.DUMMYFUNCTION("""COMPUTED_VALUE"""),"NA")</f>
        <v>NA</v>
      </c>
      <c r="P124" s="5" t="str">
        <f ca="1">IFERROR(__xludf.DUMMYFUNCTION("""COMPUTED_VALUE"""),"(310) 261-8878")</f>
        <v>(310) 261-8878</v>
      </c>
      <c r="Q124" s="5"/>
      <c r="R124" s="5"/>
      <c r="S124" s="5"/>
      <c r="T124" s="5"/>
    </row>
    <row r="125" spans="1:20" ht="12.75">
      <c r="A125" s="24">
        <f ca="1">IFERROR(__xludf.DUMMYFUNCTION("""COMPUTED_VALUE"""),45669.6379983912)</f>
        <v>45669.637998391197</v>
      </c>
      <c r="B125" s="5" t="str">
        <f ca="1">IFERROR(__xludf.DUMMYFUNCTION("""COMPUTED_VALUE"""),"110 N Barrington Ave")</f>
        <v>110 N Barrington Ave</v>
      </c>
      <c r="C125" s="5" t="str">
        <f ca="1">IFERROR(__xludf.DUMMYFUNCTION("""COMPUTED_VALUE"""),"Los Angeles")</f>
        <v>Los Angeles</v>
      </c>
      <c r="D125" s="5" t="str">
        <f ca="1">IFERROR(__xludf.DUMMYFUNCTION("""COMPUTED_VALUE"""),"CA")</f>
        <v>CA</v>
      </c>
      <c r="E125" s="5">
        <f ca="1">IFERROR(__xludf.DUMMYFUNCTION("""COMPUTED_VALUE"""),90049)</f>
        <v>90049</v>
      </c>
      <c r="F125" s="19">
        <f ca="1">IFERROR(__xludf.DUMMYFUNCTION("""COMPUTED_VALUE"""),12000)</f>
        <v>12000</v>
      </c>
      <c r="G125" s="19">
        <f ca="1">IFERROR(__xludf.DUMMYFUNCTION("""COMPUTED_VALUE"""),15000)</f>
        <v>15000</v>
      </c>
      <c r="H125" s="18">
        <f ca="1">IFERROR(__xludf.DUMMYFUNCTION("""COMPUTED_VALUE"""),45667)</f>
        <v>45667</v>
      </c>
      <c r="I125" s="5" t="str">
        <f ca="1">IFERROR(__xludf.DUMMYFUNCTION("""COMPUTED_VALUE"""),"Zillow")</f>
        <v>Zillow</v>
      </c>
      <c r="J125" s="25" t="str">
        <f ca="1">IFERROR(__xludf.DUMMYFUNCTION("""COMPUTED_VALUE"""),"https://www.zillow.com/homedetails/110-N-Barrington-Ave-Los-Angeles-CA-90049/20547175_zpid/")</f>
        <v>https://www.zillow.com/homedetails/110-N-Barrington-Ave-Los-Angeles-CA-90049/20547175_zpid/</v>
      </c>
      <c r="K125" s="5" t="str">
        <f ca="1">IFERROR(__xludf.DUMMYFUNCTION("""COMPUTED_VALUE"""),"NA")</f>
        <v>NA</v>
      </c>
      <c r="L125" s="5" t="str">
        <f ca="1">IFERROR(__xludf.DUMMYFUNCTION("""COMPUTED_VALUE"""),"Edward Kay")</f>
        <v>Edward Kay</v>
      </c>
      <c r="M125" s="5" t="str">
        <f ca="1">IFERROR(__xludf.DUMMYFUNCTION("""COMPUTED_VALUE"""),"Listing was originally listed on  1/6/24 at $10,000 before being raise by 20% to $12,000/mo on 1/17/24.  ")</f>
        <v xml:space="preserve">Listing was originally listed on  1/6/24 at $10,000 before being raise by 20% to $12,000/mo on 1/17/24.  </v>
      </c>
      <c r="N125" s="26" t="str">
        <f ca="1">IFERROR(__xludf.DUMMYFUNCTION("""COMPUTED_VALUE"""),"https://drive.google.com/open?id=1PjPQuQ4SxY6Gy9B5K_xiqa11pCy1-2va")</f>
        <v>https://drive.google.com/open?id=1PjPQuQ4SxY6Gy9B5K_xiqa11pCy1-2va</v>
      </c>
      <c r="O125" s="5">
        <f ca="1">IFERROR(__xludf.DUMMYFUNCTION("""COMPUTED_VALUE"""),4429024001)</f>
        <v>4429024001</v>
      </c>
      <c r="P125" s="5"/>
      <c r="Q125" s="5"/>
      <c r="R125" s="5" t="str">
        <f ca="1">IFERROR(__xludf.DUMMYFUNCTION("""COMPUTED_VALUE"""),"(818) 401-8719")</f>
        <v>(818) 401-8719</v>
      </c>
      <c r="S125" s="5"/>
      <c r="T125" s="5"/>
    </row>
    <row r="126" spans="1:20" ht="12.75">
      <c r="A126" s="24">
        <f ca="1">IFERROR(__xludf.DUMMYFUNCTION("""COMPUTED_VALUE"""),45669.6392979282)</f>
        <v>45669.639297928203</v>
      </c>
      <c r="B126" s="5" t="str">
        <f ca="1">IFERROR(__xludf.DUMMYFUNCTION("""COMPUTED_VALUE"""),"543 Perugia Way")</f>
        <v>543 Perugia Way</v>
      </c>
      <c r="C126" s="5" t="str">
        <f ca="1">IFERROR(__xludf.DUMMYFUNCTION("""COMPUTED_VALUE"""),"Los Angeles")</f>
        <v>Los Angeles</v>
      </c>
      <c r="D126" s="5" t="str">
        <f ca="1">IFERROR(__xludf.DUMMYFUNCTION("""COMPUTED_VALUE"""),"CA")</f>
        <v>CA</v>
      </c>
      <c r="E126" s="5">
        <f ca="1">IFERROR(__xludf.DUMMYFUNCTION("""COMPUTED_VALUE"""),90077)</f>
        <v>90077</v>
      </c>
      <c r="F126" s="19">
        <f ca="1">IFERROR(__xludf.DUMMYFUNCTION("""COMPUTED_VALUE"""),29500)</f>
        <v>29500</v>
      </c>
      <c r="G126" s="19">
        <f ca="1">IFERROR(__xludf.DUMMYFUNCTION("""COMPUTED_VALUE"""),35000)</f>
        <v>35000</v>
      </c>
      <c r="H126" s="18">
        <f ca="1">IFERROR(__xludf.DUMMYFUNCTION("""COMPUTED_VALUE"""),45667)</f>
        <v>45667</v>
      </c>
      <c r="I126" s="5" t="str">
        <f ca="1">IFERROR(__xludf.DUMMYFUNCTION("""COMPUTED_VALUE"""),"Zillow")</f>
        <v>Zillow</v>
      </c>
      <c r="J126" s="25" t="str">
        <f ca="1">IFERROR(__xludf.DUMMYFUNCTION("""COMPUTED_VALUE"""),"https://www.zillow.com/homedetails/543-Perugia-Way-Los-Angeles-CA-90077/20526792_zpid/")</f>
        <v>https://www.zillow.com/homedetails/543-Perugia-Way-Los-Angeles-CA-90077/20526792_zpid/</v>
      </c>
      <c r="K126" s="5" t="str">
        <f ca="1">IFERROR(__xludf.DUMMYFUNCTION("""COMPUTED_VALUE"""),"Marilyn Younessi - Keller Williams Realty Sherman Oaks/ Encino")</f>
        <v>Marilyn Younessi - Keller Williams Realty Sherman Oaks/ Encino</v>
      </c>
      <c r="L126" s="5"/>
      <c r="M126" s="5" t="str">
        <f ca="1">IFERROR(__xludf.DUMMYFUNCTION("""COMPUTED_VALUE"""),"Price was listed at $29,500 on 12/17/24, price was increased by 32% and removed on 1/8/25, relisted on 1/10/25 at $35k which is still an 18% increase from listing before fires.")</f>
        <v>Price was listed at $29,500 on 12/17/24, price was increased by 32% and removed on 1/8/25, relisted on 1/10/25 at $35k which is still an 18% increase from listing before fires.</v>
      </c>
      <c r="N126" s="26" t="str">
        <f ca="1">IFERROR(__xludf.DUMMYFUNCTION("""COMPUTED_VALUE"""),"https://drive.google.com/open?id=1nPArvHoEpy9CRXY8uairvDo-GHl_Yvtf")</f>
        <v>https://drive.google.com/open?id=1nPArvHoEpy9CRXY8uairvDo-GHl_Yvtf</v>
      </c>
      <c r="O126" s="5">
        <f ca="1">IFERROR(__xludf.DUMMYFUNCTION("""COMPUTED_VALUE"""),4362010008)</f>
        <v>4362010008</v>
      </c>
      <c r="P126" s="5" t="str">
        <f ca="1">IFERROR(__xludf.DUMMYFUNCTION("""COMPUTED_VALUE"""),"(310) 861-6387")</f>
        <v>(310) 861-6387</v>
      </c>
      <c r="Q126" s="5"/>
      <c r="R126" s="5"/>
      <c r="S126" s="5"/>
      <c r="T126" s="5"/>
    </row>
    <row r="127" spans="1:20" ht="12.75">
      <c r="A127" s="24">
        <f ca="1">IFERROR(__xludf.DUMMYFUNCTION("""COMPUTED_VALUE"""),45669.6407738425)</f>
        <v>45669.640773842497</v>
      </c>
      <c r="B127" s="5" t="str">
        <f ca="1">IFERROR(__xludf.DUMMYFUNCTION("""COMPUTED_VALUE"""),"1308 N Orange Grove Ave")</f>
        <v>1308 N Orange Grove Ave</v>
      </c>
      <c r="C127" s="5" t="str">
        <f ca="1">IFERROR(__xludf.DUMMYFUNCTION("""COMPUTED_VALUE"""),"Los Angeles")</f>
        <v>Los Angeles</v>
      </c>
      <c r="D127" s="5" t="str">
        <f ca="1">IFERROR(__xludf.DUMMYFUNCTION("""COMPUTED_VALUE"""),"CA")</f>
        <v>CA</v>
      </c>
      <c r="E127" s="5">
        <f ca="1">IFERROR(__xludf.DUMMYFUNCTION("""COMPUTED_VALUE"""),90046)</f>
        <v>90046</v>
      </c>
      <c r="F127" s="19">
        <f ca="1">IFERROR(__xludf.DUMMYFUNCTION("""COMPUTED_VALUE"""),11500)</f>
        <v>11500</v>
      </c>
      <c r="G127" s="19">
        <f ca="1">IFERROR(__xludf.DUMMYFUNCTION("""COMPUTED_VALUE"""),17000)</f>
        <v>17000</v>
      </c>
      <c r="H127" s="18">
        <f ca="1">IFERROR(__xludf.DUMMYFUNCTION("""COMPUTED_VALUE"""),45668)</f>
        <v>45668</v>
      </c>
      <c r="I127" s="5" t="str">
        <f ca="1">IFERROR(__xludf.DUMMYFUNCTION("""COMPUTED_VALUE"""),"Zillow")</f>
        <v>Zillow</v>
      </c>
      <c r="J127" s="25" t="str">
        <f ca="1">IFERROR(__xludf.DUMMYFUNCTION("""COMPUTED_VALUE"""),"https://www.zillow.com/homedetails/1308-N-Orange-Grove-Ave-Los-Angeles-CA-90046/20795564_zpid/")</f>
        <v>https://www.zillow.com/homedetails/1308-N-Orange-Grove-Ave-Los-Angeles-CA-90046/20795564_zpid/</v>
      </c>
      <c r="K127" s="5" t="str">
        <f ca="1">IFERROR(__xludf.DUMMYFUNCTION("""COMPUTED_VALUE"""),"Gonzalo Sanchez The Beverly Hills Estates")</f>
        <v>Gonzalo Sanchez The Beverly Hills Estates</v>
      </c>
      <c r="L127" s="5"/>
      <c r="M127" s="5"/>
      <c r="N127" s="5" t="str">
        <f ca="1">IFERROR(__xludf.DUMMYFUNCTION("""COMPUTED_VALUE"""),"https://drive.google.com/open?id=1SiCBRmy38qBXi9OR3CzAgV-rvUoyRtf6, https://drive.google.com/open?id=12BpkltNlVsJ8WY2CqI0OeMJPRj9ILTat")</f>
        <v>https://drive.google.com/open?id=1SiCBRmy38qBXi9OR3CzAgV-rvUoyRtf6, https://drive.google.com/open?id=12BpkltNlVsJ8WY2CqI0OeMJPRj9ILTat</v>
      </c>
      <c r="O127" s="5">
        <f ca="1">IFERROR(__xludf.DUMMYFUNCTION("""COMPUTED_VALUE"""),5551028021)</f>
        <v>5551028021</v>
      </c>
      <c r="P127" s="5">
        <f ca="1">IFERROR(__xludf.DUMMYFUNCTION("""COMPUTED_VALUE"""),3124200021)</f>
        <v>3124200021</v>
      </c>
      <c r="Q127" s="5"/>
      <c r="R127" s="5"/>
      <c r="S127" s="5"/>
      <c r="T127" s="5"/>
    </row>
    <row r="128" spans="1:20" ht="12.75">
      <c r="A128" s="24">
        <f ca="1">IFERROR(__xludf.DUMMYFUNCTION("""COMPUTED_VALUE"""),45669.6420335995)</f>
        <v>45669.642033599499</v>
      </c>
      <c r="B128" s="5" t="str">
        <f ca="1">IFERROR(__xludf.DUMMYFUNCTION("""COMPUTED_VALUE"""),"1055 S Hayworth Ave")</f>
        <v>1055 S Hayworth Ave</v>
      </c>
      <c r="C128" s="5" t="str">
        <f ca="1">IFERROR(__xludf.DUMMYFUNCTION("""COMPUTED_VALUE"""),"Los Angeles")</f>
        <v>Los Angeles</v>
      </c>
      <c r="D128" s="5" t="str">
        <f ca="1">IFERROR(__xludf.DUMMYFUNCTION("""COMPUTED_VALUE"""),"CA")</f>
        <v>CA</v>
      </c>
      <c r="E128" s="5">
        <f ca="1">IFERROR(__xludf.DUMMYFUNCTION("""COMPUTED_VALUE"""),90035)</f>
        <v>90035</v>
      </c>
      <c r="F128" s="19">
        <f ca="1">IFERROR(__xludf.DUMMYFUNCTION("""COMPUTED_VALUE"""),4900)</f>
        <v>4900</v>
      </c>
      <c r="G128" s="19">
        <f ca="1">IFERROR(__xludf.DUMMYFUNCTION("""COMPUTED_VALUE"""),5500)</f>
        <v>5500</v>
      </c>
      <c r="H128" s="18">
        <f ca="1">IFERROR(__xludf.DUMMYFUNCTION("""COMPUTED_VALUE"""),45667)</f>
        <v>45667</v>
      </c>
      <c r="I128" s="5" t="str">
        <f ca="1">IFERROR(__xludf.DUMMYFUNCTION("""COMPUTED_VALUE"""),"Zillow")</f>
        <v>Zillow</v>
      </c>
      <c r="J128" s="25" t="str">
        <f ca="1">IFERROR(__xludf.DUMMYFUNCTION("""COMPUTED_VALUE"""),"https://www.zillow.com/homedetails/1055-S-Hayworth-Ave-Los-Angeles-CA-90035/2055493930_zpid/")</f>
        <v>https://www.zillow.com/homedetails/1055-S-Hayworth-Ave-Los-Angeles-CA-90035/2055493930_zpid/</v>
      </c>
      <c r="K128" s="5" t="str">
        <f ca="1">IFERROR(__xludf.DUMMYFUNCTION("""COMPUTED_VALUE"""),"Margo McCullough")</f>
        <v>Margo McCullough</v>
      </c>
      <c r="L128" s="5"/>
      <c r="M128" s="5"/>
      <c r="N128" s="5" t="str">
        <f ca="1">IFERROR(__xludf.DUMMYFUNCTION("""COMPUTED_VALUE"""),"https://drive.google.com/open?id=1aqSwogy1h4L8ni3EjPCJp9bLZwlfHFD0, https://drive.google.com/open?id=10O7XH8rPf2nf4kGl61Yf1P_k7y-4iAYB")</f>
        <v>https://drive.google.com/open?id=1aqSwogy1h4L8ni3EjPCJp9bLZwlfHFD0, https://drive.google.com/open?id=10O7XH8rPf2nf4kGl61Yf1P_k7y-4iAYB</v>
      </c>
      <c r="O128" s="5" t="str">
        <f ca="1">IFERROR(__xludf.DUMMYFUNCTION("""COMPUTED_VALUE"""),"NA")</f>
        <v>NA</v>
      </c>
      <c r="P128" s="5" t="str">
        <f ca="1">IFERROR(__xludf.DUMMYFUNCTION("""COMPUTED_VALUE"""),"(323) 529-0512")</f>
        <v>(323) 529-0512</v>
      </c>
      <c r="Q128" s="5"/>
      <c r="R128" s="5"/>
      <c r="S128" s="5"/>
      <c r="T128" s="5"/>
    </row>
    <row r="129" spans="1:20" ht="12.75">
      <c r="A129" s="24">
        <f ca="1">IFERROR(__xludf.DUMMYFUNCTION("""COMPUTED_VALUE"""),45669.6424812615)</f>
        <v>45669.642481261501</v>
      </c>
      <c r="B129" s="5" t="str">
        <f ca="1">IFERROR(__xludf.DUMMYFUNCTION("""COMPUTED_VALUE"""),"907 Pine Grove Ave")</f>
        <v>907 Pine Grove Ave</v>
      </c>
      <c r="C129" s="5" t="str">
        <f ca="1">IFERROR(__xludf.DUMMYFUNCTION("""COMPUTED_VALUE"""),"Los Angeles")</f>
        <v>Los Angeles</v>
      </c>
      <c r="D129" s="5" t="str">
        <f ca="1">IFERROR(__xludf.DUMMYFUNCTION("""COMPUTED_VALUE"""),"CA")</f>
        <v>CA</v>
      </c>
      <c r="E129" s="5">
        <f ca="1">IFERROR(__xludf.DUMMYFUNCTION("""COMPUTED_VALUE"""),90042)</f>
        <v>90042</v>
      </c>
      <c r="F129" s="19">
        <f ca="1">IFERROR(__xludf.DUMMYFUNCTION("""COMPUTED_VALUE"""),5250)</f>
        <v>5250</v>
      </c>
      <c r="G129" s="19">
        <f ca="1">IFERROR(__xludf.DUMMYFUNCTION("""COMPUTED_VALUE"""),5800)</f>
        <v>5800</v>
      </c>
      <c r="H129" s="18">
        <f ca="1">IFERROR(__xludf.DUMMYFUNCTION("""COMPUTED_VALUE"""),45669)</f>
        <v>45669</v>
      </c>
      <c r="I129" s="5" t="str">
        <f ca="1">IFERROR(__xludf.DUMMYFUNCTION("""COMPUTED_VALUE"""),"Zillow")</f>
        <v>Zillow</v>
      </c>
      <c r="J129" s="25" t="str">
        <f ca="1">IFERROR(__xludf.DUMMYFUNCTION("""COMPUTED_VALUE"""),"https://www.zillow.com/homedetails/907-Pine-Grove-Ave-Los-Angeles-CA-90042/20769156_zpid/?utm_campaign=iosappmessage&amp;utm_medium=referral&amp;utm_source=txtshare")</f>
        <v>https://www.zillow.com/homedetails/907-Pine-Grove-Ave-Los-Angeles-CA-90042/20769156_zpid/?utm_campaign=iosappmessage&amp;utm_medium=referral&amp;utm_source=txtshare</v>
      </c>
      <c r="K129" s="5" t="str">
        <f ca="1">IFERROR(__xludf.DUMMYFUNCTION("""COMPUTED_VALUE"""),"Jonathan Sklar")</f>
        <v>Jonathan Sklar</v>
      </c>
      <c r="L129" s="5"/>
      <c r="M129" s="5"/>
      <c r="N129" s="26" t="str">
        <f ca="1">IFERROR(__xludf.DUMMYFUNCTION("""COMPUTED_VALUE"""),"https://drive.google.com/open?id=1gTRYquC7x7zZDhjG1Z1xwX67x46KeuJF")</f>
        <v>https://drive.google.com/open?id=1gTRYquC7x7zZDhjG1Z1xwX67x46KeuJF</v>
      </c>
      <c r="O129" s="5">
        <f ca="1">IFERROR(__xludf.DUMMYFUNCTION("""COMPUTED_VALUE"""),5481005027)</f>
        <v>5481005027</v>
      </c>
      <c r="P129" s="5"/>
      <c r="Q129" s="5" t="str">
        <f ca="1">IFERROR(__xludf.DUMMYFUNCTION("""COMPUTED_VALUE"""),"zoeweber95@gmail.com")</f>
        <v>zoeweber95@gmail.com</v>
      </c>
      <c r="R129" s="5"/>
      <c r="S129" s="5"/>
      <c r="T129" s="5"/>
    </row>
    <row r="130" spans="1:20" ht="12.75">
      <c r="A130" s="24">
        <f ca="1">IFERROR(__xludf.DUMMYFUNCTION("""COMPUTED_VALUE"""),45669.6426632523)</f>
        <v>45669.6426632523</v>
      </c>
      <c r="B130" s="5" t="str">
        <f ca="1">IFERROR(__xludf.DUMMYFUNCTION("""COMPUTED_VALUE"""),"1658 Lindacrest Dr")</f>
        <v>1658 Lindacrest Dr</v>
      </c>
      <c r="C130" s="5" t="str">
        <f ca="1">IFERROR(__xludf.DUMMYFUNCTION("""COMPUTED_VALUE"""),"Beverly Hills")</f>
        <v>Beverly Hills</v>
      </c>
      <c r="D130" s="5" t="str">
        <f ca="1">IFERROR(__xludf.DUMMYFUNCTION("""COMPUTED_VALUE"""),"CA")</f>
        <v>CA</v>
      </c>
      <c r="E130" s="5">
        <f ca="1">IFERROR(__xludf.DUMMYFUNCTION("""COMPUTED_VALUE"""),90210)</f>
        <v>90210</v>
      </c>
      <c r="F130" s="19">
        <f ca="1">IFERROR(__xludf.DUMMYFUNCTION("""COMPUTED_VALUE"""),30000)</f>
        <v>30000</v>
      </c>
      <c r="G130" s="19">
        <f ca="1">IFERROR(__xludf.DUMMYFUNCTION("""COMPUTED_VALUE"""),34950)</f>
        <v>34950</v>
      </c>
      <c r="H130" s="18">
        <f ca="1">IFERROR(__xludf.DUMMYFUNCTION("""COMPUTED_VALUE"""),45666)</f>
        <v>45666</v>
      </c>
      <c r="I130" s="5" t="str">
        <f ca="1">IFERROR(__xludf.DUMMYFUNCTION("""COMPUTED_VALUE"""),"Zillow")</f>
        <v>Zillow</v>
      </c>
      <c r="J130" s="25" t="str">
        <f ca="1">IFERROR(__xludf.DUMMYFUNCTION("""COMPUTED_VALUE"""),"https://www.zillow.com/homedetails/1658-Lindacrest-Dr-Beverly-Hills-CA-90210/95556943_zpid/")</f>
        <v>https://www.zillow.com/homedetails/1658-Lindacrest-Dr-Beverly-Hills-CA-90210/95556943_zpid/</v>
      </c>
      <c r="K130" s="5" t="str">
        <f ca="1">IFERROR(__xludf.DUMMYFUNCTION("""COMPUTED_VALUE"""),"Stay Awhile Villas")</f>
        <v>Stay Awhile Villas</v>
      </c>
      <c r="L130" s="5"/>
      <c r="M130" s="5" t="str">
        <f ca="1">IFERROR(__xludf.DUMMYFUNCTION("""COMPUTED_VALUE"""),"Listed for rent at $30k on 12/9/24, price increased by 16.5% after the fires to $34,950 on 1/9/25.")</f>
        <v>Listed for rent at $30k on 12/9/24, price increased by 16.5% after the fires to $34,950 on 1/9/25.</v>
      </c>
      <c r="N130" s="26" t="str">
        <f ca="1">IFERROR(__xludf.DUMMYFUNCTION("""COMPUTED_VALUE"""),"https://drive.google.com/open?id=1mcnGkktBbTOcOJJhgQVUf14I_ezBxFaV")</f>
        <v>https://drive.google.com/open?id=1mcnGkktBbTOcOJJhgQVUf14I_ezBxFaV</v>
      </c>
      <c r="O130" s="5">
        <f ca="1">IFERROR(__xludf.DUMMYFUNCTION("""COMPUTED_VALUE"""),4352006010)</f>
        <v>4352006010</v>
      </c>
      <c r="P130" s="5" t="str">
        <f ca="1">IFERROR(__xludf.DUMMYFUNCTION("""COMPUTED_VALUE"""),"(310) 310-2711")</f>
        <v>(310) 310-2711</v>
      </c>
      <c r="Q130" s="5"/>
      <c r="R130" s="5"/>
      <c r="S130" s="5"/>
      <c r="T130" s="5"/>
    </row>
    <row r="131" spans="1:20" ht="12.75">
      <c r="A131" s="24">
        <f ca="1">IFERROR(__xludf.DUMMYFUNCTION("""COMPUTED_VALUE"""),45669.6453602199)</f>
        <v>45669.645360219904</v>
      </c>
      <c r="B131" s="5" t="str">
        <f ca="1">IFERROR(__xludf.DUMMYFUNCTION("""COMPUTED_VALUE"""),"12829 Jolette ave")</f>
        <v>12829 Jolette ave</v>
      </c>
      <c r="C131" s="5" t="str">
        <f ca="1">IFERROR(__xludf.DUMMYFUNCTION("""COMPUTED_VALUE"""),"Granada hills")</f>
        <v>Granada hills</v>
      </c>
      <c r="D131" s="5" t="str">
        <f ca="1">IFERROR(__xludf.DUMMYFUNCTION("""COMPUTED_VALUE"""),"CA")</f>
        <v>CA</v>
      </c>
      <c r="E131" s="5">
        <f ca="1">IFERROR(__xludf.DUMMYFUNCTION("""COMPUTED_VALUE"""),91344)</f>
        <v>91344</v>
      </c>
      <c r="F131" s="19">
        <f ca="1">IFERROR(__xludf.DUMMYFUNCTION("""COMPUTED_VALUE"""),10000)</f>
        <v>10000</v>
      </c>
      <c r="G131" s="19">
        <f ca="1">IFERROR(__xludf.DUMMYFUNCTION("""COMPUTED_VALUE"""),12500)</f>
        <v>12500</v>
      </c>
      <c r="H131" s="18">
        <f ca="1">IFERROR(__xludf.DUMMYFUNCTION("""COMPUTED_VALUE"""),45666)</f>
        <v>45666</v>
      </c>
      <c r="I131" s="5" t="str">
        <f ca="1">IFERROR(__xludf.DUMMYFUNCTION("""COMPUTED_VALUE"""),"Zillow")</f>
        <v>Zillow</v>
      </c>
      <c r="J131" s="25" t="str">
        <f ca="1">IFERROR(__xludf.DUMMYFUNCTION("""COMPUTED_VALUE"""),"https://www.zillow.com/homedetails/12829-Jolette-Ave-Granada-Hills-CA-91344/20108763_zpid/")</f>
        <v>https://www.zillow.com/homedetails/12829-Jolette-Ave-Granada-Hills-CA-91344/20108763_zpid/</v>
      </c>
      <c r="K131" s="5"/>
      <c r="L131" s="5" t="str">
        <f ca="1">IFERROR(__xludf.DUMMYFUNCTION("""COMPUTED_VALUE"""),"Marios Karagiannis")</f>
        <v>Marios Karagiannis</v>
      </c>
      <c r="M131" s="5" t="str">
        <f ca="1">IFERROR(__xludf.DUMMYFUNCTION("""COMPUTED_VALUE"""),"25% increase ")</f>
        <v xml:space="preserve">25% increase </v>
      </c>
      <c r="N131" s="26" t="str">
        <f ca="1">IFERROR(__xludf.DUMMYFUNCTION("""COMPUTED_VALUE"""),"https://drive.google.com/open?id=12wPpjmxrVNyhOTnGcW0VC74BN_ivdmkq")</f>
        <v>https://drive.google.com/open?id=12wPpjmxrVNyhOTnGcW0VC74BN_ivdmkq</v>
      </c>
      <c r="O131" s="5">
        <f ca="1">IFERROR(__xludf.DUMMYFUNCTION("""COMPUTED_VALUE"""),2608001002)</f>
        <v>2608001002</v>
      </c>
      <c r="P131" s="5"/>
      <c r="Q131" s="5"/>
      <c r="R131" s="5" t="str">
        <f ca="1">IFERROR(__xludf.DUMMYFUNCTION("""COMPUTED_VALUE"""),"424-417-2142")</f>
        <v>424-417-2142</v>
      </c>
      <c r="S131" s="5"/>
      <c r="T131" s="5"/>
    </row>
    <row r="132" spans="1:20" ht="12.75">
      <c r="A132" s="24">
        <f ca="1">IFERROR(__xludf.DUMMYFUNCTION("""COMPUTED_VALUE"""),45669.6460581134)</f>
        <v>45669.646058113402</v>
      </c>
      <c r="B132" s="5" t="str">
        <f ca="1">IFERROR(__xludf.DUMMYFUNCTION("""COMPUTED_VALUE"""),"5900 Hellman Ave ")</f>
        <v xml:space="preserve">5900 Hellman Ave </v>
      </c>
      <c r="C132" s="5" t="str">
        <f ca="1">IFERROR(__xludf.DUMMYFUNCTION("""COMPUTED_VALUE"""),"Los Angeles")</f>
        <v>Los Angeles</v>
      </c>
      <c r="D132" s="5" t="str">
        <f ca="1">IFERROR(__xludf.DUMMYFUNCTION("""COMPUTED_VALUE"""),"CA")</f>
        <v>CA</v>
      </c>
      <c r="E132" s="5">
        <f ca="1">IFERROR(__xludf.DUMMYFUNCTION("""COMPUTED_VALUE"""),90042)</f>
        <v>90042</v>
      </c>
      <c r="F132" s="19">
        <f ca="1">IFERROR(__xludf.DUMMYFUNCTION("""COMPUTED_VALUE"""),4950)</f>
        <v>4950</v>
      </c>
      <c r="G132" s="19">
        <f ca="1">IFERROR(__xludf.DUMMYFUNCTION("""COMPUTED_VALUE"""),6950)</f>
        <v>6950</v>
      </c>
      <c r="H132" s="18">
        <f ca="1">IFERROR(__xludf.DUMMYFUNCTION("""COMPUTED_VALUE"""),45668)</f>
        <v>45668</v>
      </c>
      <c r="I132" s="5" t="str">
        <f ca="1">IFERROR(__xludf.DUMMYFUNCTION("""COMPUTED_VALUE"""),"Zillow")</f>
        <v>Zillow</v>
      </c>
      <c r="J132" s="25" t="str">
        <f ca="1">IFERROR(__xludf.DUMMYFUNCTION("""COMPUTED_VALUE"""),"https://www.zillow.com/homedetails/5900-Hellman-Ave-Los-Angeles-CA-90042/20692747_zpid/?utm_campaign=iosappmessage&amp;utm_medium=referral&amp;utm_source=txtshare")</f>
        <v>https://www.zillow.com/homedetails/5900-Hellman-Ave-Los-Angeles-CA-90042/20692747_zpid/?utm_campaign=iosappmessage&amp;utm_medium=referral&amp;utm_source=txtshare</v>
      </c>
      <c r="K132" s="5"/>
      <c r="L132" s="5" t="str">
        <f ca="1">IFERROR(__xludf.DUMMYFUNCTION("""COMPUTED_VALUE"""),"Dean Zamani")</f>
        <v>Dean Zamani</v>
      </c>
      <c r="M132" s="5"/>
      <c r="N132" s="26" t="str">
        <f ca="1">IFERROR(__xludf.DUMMYFUNCTION("""COMPUTED_VALUE"""),"https://drive.google.com/open?id=1Rv3Rhe94Must2eyv_4fipJVu_pCnwIZ5")</f>
        <v>https://drive.google.com/open?id=1Rv3Rhe94Must2eyv_4fipJVu_pCnwIZ5</v>
      </c>
      <c r="O132" s="5">
        <f ca="1">IFERROR(__xludf.DUMMYFUNCTION("""COMPUTED_VALUE"""),5312015007)</f>
        <v>5312015007</v>
      </c>
      <c r="P132" s="5"/>
      <c r="Q132" s="5"/>
      <c r="R132" s="5" t="str">
        <f ca="1">IFERROR(__xludf.DUMMYFUNCTION("""COMPUTED_VALUE"""),"818 418-8219")</f>
        <v>818 418-8219</v>
      </c>
      <c r="S132" s="5"/>
      <c r="T132" s="5"/>
    </row>
    <row r="133" spans="1:20" ht="12.75">
      <c r="A133" s="24">
        <f ca="1">IFERROR(__xludf.DUMMYFUNCTION("""COMPUTED_VALUE"""),45669.6462795486)</f>
        <v>45669.6462795486</v>
      </c>
      <c r="B133" s="5" t="str">
        <f ca="1">IFERROR(__xludf.DUMMYFUNCTION("""COMPUTED_VALUE"""),"15373 Valley Vista Blvd")</f>
        <v>15373 Valley Vista Blvd</v>
      </c>
      <c r="C133" s="5" t="str">
        <f ca="1">IFERROR(__xludf.DUMMYFUNCTION("""COMPUTED_VALUE"""),"Sherman Oaks")</f>
        <v>Sherman Oaks</v>
      </c>
      <c r="D133" s="5" t="str">
        <f ca="1">IFERROR(__xludf.DUMMYFUNCTION("""COMPUTED_VALUE"""),"CA")</f>
        <v>CA</v>
      </c>
      <c r="E133" s="5">
        <f ca="1">IFERROR(__xludf.DUMMYFUNCTION("""COMPUTED_VALUE"""),91403)</f>
        <v>91403</v>
      </c>
      <c r="F133" s="19">
        <f ca="1">IFERROR(__xludf.DUMMYFUNCTION("""COMPUTED_VALUE"""),18000)</f>
        <v>18000</v>
      </c>
      <c r="G133" s="19">
        <f ca="1">IFERROR(__xludf.DUMMYFUNCTION("""COMPUTED_VALUE"""),34000)</f>
        <v>34000</v>
      </c>
      <c r="H133" s="18">
        <f ca="1">IFERROR(__xludf.DUMMYFUNCTION("""COMPUTED_VALUE"""),45668)</f>
        <v>45668</v>
      </c>
      <c r="I133" s="5" t="str">
        <f ca="1">IFERROR(__xludf.DUMMYFUNCTION("""COMPUTED_VALUE"""),"Zillow")</f>
        <v>Zillow</v>
      </c>
      <c r="J133" s="25" t="str">
        <f ca="1">IFERROR(__xludf.DUMMYFUNCTION("""COMPUTED_VALUE"""),"https://www.zillow.com/homedetails/15373-Valley-Vista-Blvd-Sherman-Oaks-CA-91403/19991451_zpid/")</f>
        <v>https://www.zillow.com/homedetails/15373-Valley-Vista-Blvd-Sherman-Oaks-CA-91403/19991451_zpid/</v>
      </c>
      <c r="K133" s="5"/>
      <c r="L133" s="5" t="str">
        <f ca="1">IFERROR(__xludf.DUMMYFUNCTION("""COMPUTED_VALUE"""),"Mike Siva")</f>
        <v>Mike Siva</v>
      </c>
      <c r="M133" s="5" t="str">
        <f ca="1">IFERROR(__xludf.DUMMYFUNCTION("""COMPUTED_VALUE"""),"Originally listed for rent at $18k, removed from market on 7/20/23. Relisted after the fires on 1/8/25 for $24K a 33.3% increase, and then a second price increase a couple days later on 1/11/25 to $34k an overall 88.8% increase since it's original listing"&amp;" just a year and a half ago.")</f>
        <v>Originally listed for rent at $18k, removed from market on 7/20/23. Relisted after the fires on 1/8/25 for $24K a 33.3% increase, and then a second price increase a couple days later on 1/11/25 to $34k an overall 88.8% increase since it's original listing just a year and a half ago.</v>
      </c>
      <c r="N133" s="26" t="str">
        <f ca="1">IFERROR(__xludf.DUMMYFUNCTION("""COMPUTED_VALUE"""),"https://drive.google.com/open?id=1utj10Kj4F1iFPGaGA8_tvbUctcVtUaMK")</f>
        <v>https://drive.google.com/open?id=1utj10Kj4F1iFPGaGA8_tvbUctcVtUaMK</v>
      </c>
      <c r="O133" s="5">
        <f ca="1">IFERROR(__xludf.DUMMYFUNCTION("""COMPUTED_VALUE"""),2283021001)</f>
        <v>2283021001</v>
      </c>
      <c r="P133" s="5"/>
      <c r="Q133" s="5"/>
      <c r="R133" s="5" t="str">
        <f ca="1">IFERROR(__xludf.DUMMYFUNCTION("""COMPUTED_VALUE"""),"(818) 620-7233")</f>
        <v>(818) 620-7233</v>
      </c>
      <c r="S133" s="5"/>
      <c r="T133" s="5"/>
    </row>
    <row r="134" spans="1:20" ht="12.75">
      <c r="A134" s="24">
        <f ca="1">IFERROR(__xludf.DUMMYFUNCTION("""COMPUTED_VALUE"""),45669.6467948379)</f>
        <v>45669.6467948379</v>
      </c>
      <c r="B134" s="5" t="str">
        <f ca="1">IFERROR(__xludf.DUMMYFUNCTION("""COMPUTED_VALUE"""),"13001-13019 Montana Ave #1301")</f>
        <v>13001-13019 Montana Ave #1301</v>
      </c>
      <c r="C134" s="5" t="str">
        <f ca="1">IFERROR(__xludf.DUMMYFUNCTION("""COMPUTED_VALUE"""),"Los Angeles")</f>
        <v>Los Angeles</v>
      </c>
      <c r="D134" s="5" t="str">
        <f ca="1">IFERROR(__xludf.DUMMYFUNCTION("""COMPUTED_VALUE"""),"CA")</f>
        <v>CA</v>
      </c>
      <c r="E134" s="5">
        <f ca="1">IFERROR(__xludf.DUMMYFUNCTION("""COMPUTED_VALUE"""),90049)</f>
        <v>90049</v>
      </c>
      <c r="F134" s="19">
        <f ca="1">IFERROR(__xludf.DUMMYFUNCTION("""COMPUTED_VALUE"""),3595)</f>
        <v>3595</v>
      </c>
      <c r="G134" s="19">
        <f ca="1">IFERROR(__xludf.DUMMYFUNCTION("""COMPUTED_VALUE"""),5495)</f>
        <v>5495</v>
      </c>
      <c r="H134" s="18">
        <f ca="1">IFERROR(__xludf.DUMMYFUNCTION("""COMPUTED_VALUE"""),45666)</f>
        <v>45666</v>
      </c>
      <c r="I134" s="5" t="str">
        <f ca="1">IFERROR(__xludf.DUMMYFUNCTION("""COMPUTED_VALUE"""),"Zillow")</f>
        <v>Zillow</v>
      </c>
      <c r="J134" s="25" t="str">
        <f ca="1">IFERROR(__xludf.DUMMYFUNCTION("""COMPUTED_VALUE"""),"https://www.zillow.com/homedetails/13001-13019-Montana-Ave-13011-Los-Angeles-CA-90049/443790422_zpid/")</f>
        <v>https://www.zillow.com/homedetails/13001-13019-Montana-Ave-13011-Los-Angeles-CA-90049/443790422_zpid/</v>
      </c>
      <c r="K134" s="5" t="str">
        <f ca="1">IFERROR(__xludf.DUMMYFUNCTION("""COMPUTED_VALUE"""),"Kape Property Management Inc.")</f>
        <v>Kape Property Management Inc.</v>
      </c>
      <c r="L134" s="5"/>
      <c r="M134" s="5" t="str">
        <f ca="1">IFERROR(__xludf.DUMMYFUNCTION("""COMPUTED_VALUE"""),"Listed on 1/7 for $3595.  Increased to $4495 on 1/8.  Increased again to $5495 on 1/9/2025 ")</f>
        <v xml:space="preserve">Listed on 1/7 for $3595.  Increased to $4495 on 1/8.  Increased again to $5495 on 1/9/2025 </v>
      </c>
      <c r="N134" s="5" t="str">
        <f ca="1">IFERROR(__xludf.DUMMYFUNCTION("""COMPUTED_VALUE"""),"https://drive.google.com/open?id=1UFB3rRaDgcc5ZgXXG3Wm4jW1weSt7VTO, https://drive.google.com/open?id=1S11yrxHZAs75euE0-_c-0MghcQathHsp")</f>
        <v>https://drive.google.com/open?id=1UFB3rRaDgcc5ZgXXG3Wm4jW1weSt7VTO, https://drive.google.com/open?id=1S11yrxHZAs75euE0-_c-0MghcQathHsp</v>
      </c>
      <c r="O134" s="5" t="str">
        <f ca="1">IFERROR(__xludf.DUMMYFUNCTION("""COMPUTED_VALUE"""),"NA")</f>
        <v>NA</v>
      </c>
      <c r="P134" s="5" t="str">
        <f ca="1">IFERROR(__xludf.DUMMYFUNCTION("""COMPUTED_VALUE"""),"(213) 714-7664")</f>
        <v>(213) 714-7664</v>
      </c>
      <c r="Q134" s="5"/>
      <c r="R134" s="5"/>
      <c r="S134" s="5"/>
      <c r="T134" s="5"/>
    </row>
    <row r="135" spans="1:20" ht="12.75">
      <c r="A135" s="24">
        <f ca="1">IFERROR(__xludf.DUMMYFUNCTION("""COMPUTED_VALUE"""),45669.6492445717)</f>
        <v>45669.649244571701</v>
      </c>
      <c r="B135" s="5" t="str">
        <f ca="1">IFERROR(__xludf.DUMMYFUNCTION("""COMPUTED_VALUE"""),"17821 San Jose st ")</f>
        <v xml:space="preserve">17821 San Jose st </v>
      </c>
      <c r="C135" s="5" t="str">
        <f ca="1">IFERROR(__xludf.DUMMYFUNCTION("""COMPUTED_VALUE"""),"Granada hills")</f>
        <v>Granada hills</v>
      </c>
      <c r="D135" s="5" t="str">
        <f ca="1">IFERROR(__xludf.DUMMYFUNCTION("""COMPUTED_VALUE"""),"CA")</f>
        <v>CA</v>
      </c>
      <c r="E135" s="5">
        <f ca="1">IFERROR(__xludf.DUMMYFUNCTION("""COMPUTED_VALUE"""),91344)</f>
        <v>91344</v>
      </c>
      <c r="F135" s="19">
        <f ca="1">IFERROR(__xludf.DUMMYFUNCTION("""COMPUTED_VALUE"""),4250)</f>
        <v>4250</v>
      </c>
      <c r="G135" s="19">
        <f ca="1">IFERROR(__xludf.DUMMYFUNCTION("""COMPUTED_VALUE"""),6000)</f>
        <v>6000</v>
      </c>
      <c r="H135" s="18">
        <f ca="1">IFERROR(__xludf.DUMMYFUNCTION("""COMPUTED_VALUE"""),45668)</f>
        <v>45668</v>
      </c>
      <c r="I135" s="5" t="str">
        <f ca="1">IFERROR(__xludf.DUMMYFUNCTION("""COMPUTED_VALUE"""),"Zillow")</f>
        <v>Zillow</v>
      </c>
      <c r="J135" s="25" t="str">
        <f ca="1">IFERROR(__xludf.DUMMYFUNCTION("""COMPUTED_VALUE"""),"https://www.zillow.com/homedetails/17821-San-Jose-St-Granada-Hills-CA-91344/20168586_zpid/")</f>
        <v>https://www.zillow.com/homedetails/17821-San-Jose-St-Granada-Hills-CA-91344/20168586_zpid/</v>
      </c>
      <c r="K135" s="5"/>
      <c r="L135" s="5" t="str">
        <f ca="1">IFERROR(__xludf.DUMMYFUNCTION("""COMPUTED_VALUE"""),"Sam Pogosov")</f>
        <v>Sam Pogosov</v>
      </c>
      <c r="M135" s="5" t="str">
        <f ca="1">IFERROR(__xludf.DUMMYFUNCTION("""COMPUTED_VALUE"""),"41% increase in rent ")</f>
        <v xml:space="preserve">41% increase in rent </v>
      </c>
      <c r="N135" s="26" t="str">
        <f ca="1">IFERROR(__xludf.DUMMYFUNCTION("""COMPUTED_VALUE"""),"https://drive.google.com/open?id=1uqt7MscCxpqVSfbamcjP127Jt5AqNNHG")</f>
        <v>https://drive.google.com/open?id=1uqt7MscCxpqVSfbamcjP127Jt5AqNNHG</v>
      </c>
      <c r="O135" s="5">
        <f ca="1">IFERROR(__xludf.DUMMYFUNCTION("""COMPUTED_VALUE"""),2733003054)</f>
        <v>2733003054</v>
      </c>
      <c r="P135" s="5"/>
      <c r="Q135" s="5"/>
      <c r="R135" s="5">
        <f ca="1">IFERROR(__xludf.DUMMYFUNCTION("""COMPUTED_VALUE"""),2135893119)</f>
        <v>2135893119</v>
      </c>
      <c r="S135" s="5"/>
      <c r="T135" s="5"/>
    </row>
    <row r="136" spans="1:20" ht="12.75">
      <c r="A136" s="24">
        <f ca="1">IFERROR(__xludf.DUMMYFUNCTION("""COMPUTED_VALUE"""),45669.6497399537)</f>
        <v>45669.649739953697</v>
      </c>
      <c r="B136" s="5" t="str">
        <f ca="1">IFERROR(__xludf.DUMMYFUNCTION("""COMPUTED_VALUE"""),"2203 N Bowmont Dr")</f>
        <v>2203 N Bowmont Dr</v>
      </c>
      <c r="C136" s="5" t="str">
        <f ca="1">IFERROR(__xludf.DUMMYFUNCTION("""COMPUTED_VALUE"""),"Beverly Hills")</f>
        <v>Beverly Hills</v>
      </c>
      <c r="D136" s="5" t="str">
        <f ca="1">IFERROR(__xludf.DUMMYFUNCTION("""COMPUTED_VALUE"""),"CA")</f>
        <v>CA</v>
      </c>
      <c r="E136" s="5">
        <f ca="1">IFERROR(__xludf.DUMMYFUNCTION("""COMPUTED_VALUE"""),90210)</f>
        <v>90210</v>
      </c>
      <c r="F136" s="19">
        <f ca="1">IFERROR(__xludf.DUMMYFUNCTION("""COMPUTED_VALUE"""),11800)</f>
        <v>11800</v>
      </c>
      <c r="G136" s="19">
        <f ca="1">IFERROR(__xludf.DUMMYFUNCTION("""COMPUTED_VALUE"""),33950)</f>
        <v>33950</v>
      </c>
      <c r="H136" s="18">
        <f ca="1">IFERROR(__xludf.DUMMYFUNCTION("""COMPUTED_VALUE"""),45666)</f>
        <v>45666</v>
      </c>
      <c r="I136" s="5" t="str">
        <f ca="1">IFERROR(__xludf.DUMMYFUNCTION("""COMPUTED_VALUE"""),"Zillow")</f>
        <v>Zillow</v>
      </c>
      <c r="J136" s="25" t="str">
        <f ca="1">IFERROR(__xludf.DUMMYFUNCTION("""COMPUTED_VALUE"""),"https://www.zillow.com/homedetails/2203-N-Bowmont-Dr-Beverly-Hills-CA-90210/20534087_zpid/")</f>
        <v>https://www.zillow.com/homedetails/2203-N-Bowmont-Dr-Beverly-Hills-CA-90210/20534087_zpid/</v>
      </c>
      <c r="K136" s="5" t="str">
        <f ca="1">IFERROR(__xludf.DUMMYFUNCTION("""COMPUTED_VALUE"""),"Stay Awhile Villas")</f>
        <v>Stay Awhile Villas</v>
      </c>
      <c r="L136" s="5"/>
      <c r="M136" s="5" t="str">
        <f ca="1">IFERROR(__xludf.DUMMYFUNCTION("""COMPUTED_VALUE"""),"Last rent listing on 11/19/24 was for $11,800 before the home was sold. It was relisted for rent after the fires on 1/7/25 for $32k/month which is a 171.2% increase from the original rent rate, it was increased a second time on 1/9/25 so it's now at $33,9"&amp;"50 total.")</f>
        <v>Last rent listing on 11/19/24 was for $11,800 before the home was sold. It was relisted for rent after the fires on 1/7/25 for $32k/month which is a 171.2% increase from the original rent rate, it was increased a second time on 1/9/25 so it's now at $33,950 total.</v>
      </c>
      <c r="N136" s="26" t="str">
        <f ca="1">IFERROR(__xludf.DUMMYFUNCTION("""COMPUTED_VALUE"""),"https://drive.google.com/open?id=1MF6FDE8kEkFLdtGrQG8TrqIpxLmlJyCZ")</f>
        <v>https://drive.google.com/open?id=1MF6FDE8kEkFLdtGrQG8TrqIpxLmlJyCZ</v>
      </c>
      <c r="O136" s="5" t="str">
        <f ca="1">IFERROR(__xludf.DUMMYFUNCTION("""COMPUTED_VALUE"""),"2203 N Bowmont Dr")</f>
        <v>2203 N Bowmont Dr</v>
      </c>
      <c r="P136" s="5"/>
      <c r="Q136" s="5"/>
      <c r="R136" s="5"/>
      <c r="S136" s="5"/>
      <c r="T136" s="5"/>
    </row>
    <row r="137" spans="1:20" ht="12.75">
      <c r="A137" s="24">
        <f ca="1">IFERROR(__xludf.DUMMYFUNCTION("""COMPUTED_VALUE"""),45669.6514610763)</f>
        <v>45669.651461076297</v>
      </c>
      <c r="B137" s="5" t="str">
        <f ca="1">IFERROR(__xludf.DUMMYFUNCTION("""COMPUTED_VALUE"""),"710 Westbourne Dr")</f>
        <v>710 Westbourne Dr</v>
      </c>
      <c r="C137" s="5" t="str">
        <f ca="1">IFERROR(__xludf.DUMMYFUNCTION("""COMPUTED_VALUE"""),"West Hollywood")</f>
        <v>West Hollywood</v>
      </c>
      <c r="D137" s="5" t="str">
        <f ca="1">IFERROR(__xludf.DUMMYFUNCTION("""COMPUTED_VALUE"""),"CA")</f>
        <v>CA</v>
      </c>
      <c r="E137" s="5">
        <f ca="1">IFERROR(__xludf.DUMMYFUNCTION("""COMPUTED_VALUE"""),90069)</f>
        <v>90069</v>
      </c>
      <c r="F137" s="19">
        <f ca="1">IFERROR(__xludf.DUMMYFUNCTION("""COMPUTED_VALUE"""),9500)</f>
        <v>9500</v>
      </c>
      <c r="G137" s="19">
        <f ca="1">IFERROR(__xludf.DUMMYFUNCTION("""COMPUTED_VALUE"""),11995)</f>
        <v>11995</v>
      </c>
      <c r="H137" s="18">
        <f ca="1">IFERROR(__xludf.DUMMYFUNCTION("""COMPUTED_VALUE"""),45668)</f>
        <v>45668</v>
      </c>
      <c r="I137" s="5" t="str">
        <f ca="1">IFERROR(__xludf.DUMMYFUNCTION("""COMPUTED_VALUE"""),"Zillow")</f>
        <v>Zillow</v>
      </c>
      <c r="J137" s="25" t="str">
        <f ca="1">IFERROR(__xludf.DUMMYFUNCTION("""COMPUTED_VALUE"""),"https://www.zillow.com/homedetails/710-Westbourne-Dr-West-Hollywood-CA-90069/2098186436_zpid/")</f>
        <v>https://www.zillow.com/homedetails/710-Westbourne-Dr-West-Hollywood-CA-90069/2098186436_zpid/</v>
      </c>
      <c r="K137" s="5" t="str">
        <f ca="1">IFERROR(__xludf.DUMMYFUNCTION("""COMPUTED_VALUE"""),"Sabrina Herman, Gussman Czako Estates")</f>
        <v>Sabrina Herman, Gussman Czako Estates</v>
      </c>
      <c r="L137" s="5"/>
      <c r="M137" s="5"/>
      <c r="N137" s="5" t="str">
        <f ca="1">IFERROR(__xludf.DUMMYFUNCTION("""COMPUTED_VALUE"""),"https://drive.google.com/open?id=1g__KzCAg3_7phcOewDyljnM2tzYC488l, https://drive.google.com/open?id=1tI9TFQPbkXakgaFdQE6MIeJdLVv1b48_")</f>
        <v>https://drive.google.com/open?id=1g__KzCAg3_7phcOewDyljnM2tzYC488l, https://drive.google.com/open?id=1tI9TFQPbkXakgaFdQE6MIeJdLVv1b48_</v>
      </c>
      <c r="O137" s="5" t="str">
        <f ca="1">IFERROR(__xludf.DUMMYFUNCTION("""COMPUTED_VALUE"""),"NA")</f>
        <v>NA</v>
      </c>
      <c r="P137" s="5" t="str">
        <f ca="1">IFERROR(__xludf.DUMMYFUNCTION("""COMPUTED_VALUE"""),"(805) 455-9494")</f>
        <v>(805) 455-9494</v>
      </c>
      <c r="Q137" s="5"/>
      <c r="R137" s="5"/>
      <c r="S137" s="5"/>
      <c r="T137" s="5"/>
    </row>
    <row r="138" spans="1:20" ht="12.75">
      <c r="A138" s="24">
        <f ca="1">IFERROR(__xludf.DUMMYFUNCTION("""COMPUTED_VALUE"""),45669.6530459722)</f>
        <v>45669.653045972198</v>
      </c>
      <c r="B138" s="5" t="str">
        <f ca="1">IFERROR(__xludf.DUMMYFUNCTION("""COMPUTED_VALUE"""),"8185 Mannix Dr")</f>
        <v>8185 Mannix Dr</v>
      </c>
      <c r="C138" s="5" t="str">
        <f ca="1">IFERROR(__xludf.DUMMYFUNCTION("""COMPUTED_VALUE"""),"Los Angeles")</f>
        <v>Los Angeles</v>
      </c>
      <c r="D138" s="5" t="str">
        <f ca="1">IFERROR(__xludf.DUMMYFUNCTION("""COMPUTED_VALUE"""),"CA")</f>
        <v>CA</v>
      </c>
      <c r="E138" s="5">
        <f ca="1">IFERROR(__xludf.DUMMYFUNCTION("""COMPUTED_VALUE"""),90046)</f>
        <v>90046</v>
      </c>
      <c r="F138" s="19">
        <f ca="1">IFERROR(__xludf.DUMMYFUNCTION("""COMPUTED_VALUE"""),9500)</f>
        <v>9500</v>
      </c>
      <c r="G138" s="19">
        <f ca="1">IFERROR(__xludf.DUMMYFUNCTION("""COMPUTED_VALUE"""),10500)</f>
        <v>10500</v>
      </c>
      <c r="H138" s="18">
        <f ca="1">IFERROR(__xludf.DUMMYFUNCTION("""COMPUTED_VALUE"""),45666)</f>
        <v>45666</v>
      </c>
      <c r="I138" s="5" t="str">
        <f ca="1">IFERROR(__xludf.DUMMYFUNCTION("""COMPUTED_VALUE"""),"Zillow")</f>
        <v>Zillow</v>
      </c>
      <c r="J138" s="25" t="str">
        <f ca="1">IFERROR(__xludf.DUMMYFUNCTION("""COMPUTED_VALUE"""),"https://www.zillow.com/homedetails/8185-Mannix-Dr-Los-Angeles-CA-90046/82881919_zpid/")</f>
        <v>https://www.zillow.com/homedetails/8185-Mannix-Dr-Los-Angeles-CA-90046/82881919_zpid/</v>
      </c>
      <c r="K138" s="5"/>
      <c r="L138" s="5"/>
      <c r="M138" s="5" t="str">
        <f ca="1">IFERROR(__xludf.DUMMYFUNCTION("""COMPUTED_VALUE"""),"This one is weird because it was listed at 10,500 in December, then down to $9,500 on 1/8 and back up to 10,500 on 1/9")</f>
        <v>This one is weird because it was listed at 10,500 in December, then down to $9,500 on 1/8 and back up to 10,500 on 1/9</v>
      </c>
      <c r="N138" s="5" t="str">
        <f ca="1">IFERROR(__xludf.DUMMYFUNCTION("""COMPUTED_VALUE"""),"https://drive.google.com/open?id=1rdOoAnlRFuSbVzgkHT4DDqHpANi46bk6, https://drive.google.com/open?id=184dcDiCn4BUEP7GL2zvPqHNWhABEyY63")</f>
        <v>https://drive.google.com/open?id=1rdOoAnlRFuSbVzgkHT4DDqHpANi46bk6, https://drive.google.com/open?id=184dcDiCn4BUEP7GL2zvPqHNWhABEyY63</v>
      </c>
      <c r="O138" s="5">
        <f ca="1">IFERROR(__xludf.DUMMYFUNCTION("""COMPUTED_VALUE"""),5556004007)</f>
        <v>5556004007</v>
      </c>
      <c r="P138" s="5"/>
      <c r="Q138" s="5"/>
      <c r="R138" s="5"/>
      <c r="S138" s="5"/>
      <c r="T138" s="5"/>
    </row>
    <row r="139" spans="1:20" ht="12.75">
      <c r="A139" s="24">
        <f ca="1">IFERROR(__xludf.DUMMYFUNCTION("""COMPUTED_VALUE"""),45669.6558587962)</f>
        <v>45669.655858796199</v>
      </c>
      <c r="B139" s="5" t="str">
        <f ca="1">IFERROR(__xludf.DUMMYFUNCTION("""COMPUTED_VALUE"""),"3323 N Knoll Dr")</f>
        <v>3323 N Knoll Dr</v>
      </c>
      <c r="C139" s="5" t="str">
        <f ca="1">IFERROR(__xludf.DUMMYFUNCTION("""COMPUTED_VALUE"""),"Los Angeles")</f>
        <v>Los Angeles</v>
      </c>
      <c r="D139" s="5" t="str">
        <f ca="1">IFERROR(__xludf.DUMMYFUNCTION("""COMPUTED_VALUE"""),"CA")</f>
        <v>CA</v>
      </c>
      <c r="E139" s="5">
        <f ca="1">IFERROR(__xludf.DUMMYFUNCTION("""COMPUTED_VALUE"""),90068)</f>
        <v>90068</v>
      </c>
      <c r="F139" s="19">
        <f ca="1">IFERROR(__xludf.DUMMYFUNCTION("""COMPUTED_VALUE"""),6495)</f>
        <v>6495</v>
      </c>
      <c r="G139" s="19">
        <f ca="1">IFERROR(__xludf.DUMMYFUNCTION("""COMPUTED_VALUE"""),12000)</f>
        <v>12000</v>
      </c>
      <c r="H139" s="18">
        <f ca="1">IFERROR(__xludf.DUMMYFUNCTION("""COMPUTED_VALUE"""),45666)</f>
        <v>45666</v>
      </c>
      <c r="I139" s="5" t="str">
        <f ca="1">IFERROR(__xludf.DUMMYFUNCTION("""COMPUTED_VALUE"""),"Zillow")</f>
        <v>Zillow</v>
      </c>
      <c r="J139" s="25" t="str">
        <f ca="1">IFERROR(__xludf.DUMMYFUNCTION("""COMPUTED_VALUE"""),"https://www.zillow.com/homedetails/3323-N-Knoll-Dr-Los-Angeles-CA-90068/20805677_zpid/")</f>
        <v>https://www.zillow.com/homedetails/3323-N-Knoll-Dr-Los-Angeles-CA-90068/20805677_zpid/</v>
      </c>
      <c r="K139" s="5" t="str">
        <f ca="1">IFERROR(__xludf.DUMMYFUNCTION("""COMPUTED_VALUE"""),"Peter Kinnaird Compass")</f>
        <v>Peter Kinnaird Compass</v>
      </c>
      <c r="L139" s="5"/>
      <c r="M139" s="5"/>
      <c r="N139" s="5" t="str">
        <f ca="1">IFERROR(__xludf.DUMMYFUNCTION("""COMPUTED_VALUE"""),"https://drive.google.com/open?id=1caHdQ7sfw3-45CwKf0dco9rg7bB9RW0_, https://drive.google.com/open?id=1AbUxwSU0iXjNuBs480TixVnNAc3OfOJC")</f>
        <v>https://drive.google.com/open?id=1caHdQ7sfw3-45CwKf0dco9rg7bB9RW0_, https://drive.google.com/open?id=1AbUxwSU0iXjNuBs480TixVnNAc3OfOJC</v>
      </c>
      <c r="O139" s="5">
        <f ca="1">IFERROR(__xludf.DUMMYFUNCTION("""COMPUTED_VALUE"""),5579038006)</f>
        <v>5579038006</v>
      </c>
      <c r="P139" s="5" t="str">
        <f ca="1">IFERROR(__xludf.DUMMYFUNCTION("""COMPUTED_VALUE"""),"(323) 309-1582")</f>
        <v>(323) 309-1582</v>
      </c>
      <c r="Q139" s="5"/>
      <c r="R139" s="5"/>
      <c r="S139" s="5"/>
      <c r="T139" s="5"/>
    </row>
    <row r="140" spans="1:20" ht="12.75">
      <c r="A140" s="24">
        <f ca="1">IFERROR(__xludf.DUMMYFUNCTION("""COMPUTED_VALUE"""),45669.6574677199)</f>
        <v>45669.657467719902</v>
      </c>
      <c r="B140" s="5" t="str">
        <f ca="1">IFERROR(__xludf.DUMMYFUNCTION("""COMPUTED_VALUE"""),"7484 Mulholland Dr")</f>
        <v>7484 Mulholland Dr</v>
      </c>
      <c r="C140" s="5" t="str">
        <f ca="1">IFERROR(__xludf.DUMMYFUNCTION("""COMPUTED_VALUE"""),"Los Angeles")</f>
        <v>Los Angeles</v>
      </c>
      <c r="D140" s="5" t="str">
        <f ca="1">IFERROR(__xludf.DUMMYFUNCTION("""COMPUTED_VALUE"""),"CA")</f>
        <v>CA</v>
      </c>
      <c r="E140" s="5">
        <f ca="1">IFERROR(__xludf.DUMMYFUNCTION("""COMPUTED_VALUE"""),90046)</f>
        <v>90046</v>
      </c>
      <c r="F140" s="19">
        <f ca="1">IFERROR(__xludf.DUMMYFUNCTION("""COMPUTED_VALUE"""),12500)</f>
        <v>12500</v>
      </c>
      <c r="G140" s="19">
        <f ca="1">IFERROR(__xludf.DUMMYFUNCTION("""COMPUTED_VALUE"""),14000)</f>
        <v>14000</v>
      </c>
      <c r="H140" s="18">
        <f ca="1">IFERROR(__xludf.DUMMYFUNCTION("""COMPUTED_VALUE"""),45669)</f>
        <v>45669</v>
      </c>
      <c r="I140" s="5" t="str">
        <f ca="1">IFERROR(__xludf.DUMMYFUNCTION("""COMPUTED_VALUE"""),"Zillow")</f>
        <v>Zillow</v>
      </c>
      <c r="J140" s="25" t="str">
        <f ca="1">IFERROR(__xludf.DUMMYFUNCTION("""COMPUTED_VALUE"""),"https://www.zillow.com/homedetails/7484-Mulholland-Dr-Los-Angeles-CA-90046/20802582_zpid/")</f>
        <v>https://www.zillow.com/homedetails/7484-Mulholland-Dr-Los-Angeles-CA-90046/20802582_zpid/</v>
      </c>
      <c r="K140" s="5" t="str">
        <f ca="1">IFERROR(__xludf.DUMMYFUNCTION("""COMPUTED_VALUE"""),"Robin Greer, Core Real Estate Group")</f>
        <v>Robin Greer, Core Real Estate Group</v>
      </c>
      <c r="L140" s="5"/>
      <c r="M140" s="5"/>
      <c r="N140" s="5" t="str">
        <f ca="1">IFERROR(__xludf.DUMMYFUNCTION("""COMPUTED_VALUE"""),"https://drive.google.com/open?id=1PiT3b2JpctOb5H1IN_tsi8LmtzlbZjqS, https://drive.google.com/open?id=1ozuxSBk43Cz4v3Mx3rkmPlDH5q013sZl")</f>
        <v>https://drive.google.com/open?id=1PiT3b2JpctOb5H1IN_tsi8LmtzlbZjqS, https://drive.google.com/open?id=1ozuxSBk43Cz4v3Mx3rkmPlDH5q013sZl</v>
      </c>
      <c r="O140" s="5">
        <f ca="1">IFERROR(__xludf.DUMMYFUNCTION("""COMPUTED_VALUE"""),5570007004)</f>
        <v>5570007004</v>
      </c>
      <c r="P140" s="5" t="str">
        <f ca="1">IFERROR(__xludf.DUMMYFUNCTION("""COMPUTED_VALUE"""),"(310) 717-1805")</f>
        <v>(310) 717-1805</v>
      </c>
      <c r="Q140" s="5"/>
      <c r="R140" s="5"/>
      <c r="S140" s="5"/>
      <c r="T140" s="5"/>
    </row>
    <row r="141" spans="1:20" ht="12.75">
      <c r="A141" s="24">
        <f ca="1">IFERROR(__xludf.DUMMYFUNCTION("""COMPUTED_VALUE"""),45669.6580611689)</f>
        <v>45669.658061168899</v>
      </c>
      <c r="B141" s="5" t="str">
        <f ca="1">IFERROR(__xludf.DUMMYFUNCTION("""COMPUTED_VALUE"""),"4707 Libbit Ave")</f>
        <v>4707 Libbit Ave</v>
      </c>
      <c r="C141" s="5" t="str">
        <f ca="1">IFERROR(__xludf.DUMMYFUNCTION("""COMPUTED_VALUE"""),"Encino")</f>
        <v>Encino</v>
      </c>
      <c r="D141" s="5" t="str">
        <f ca="1">IFERROR(__xludf.DUMMYFUNCTION("""COMPUTED_VALUE"""),"CA")</f>
        <v>CA</v>
      </c>
      <c r="E141" s="5">
        <f ca="1">IFERROR(__xludf.DUMMYFUNCTION("""COMPUTED_VALUE"""),91436)</f>
        <v>91436</v>
      </c>
      <c r="F141" s="19">
        <f ca="1">IFERROR(__xludf.DUMMYFUNCTION("""COMPUTED_VALUE"""),20000)</f>
        <v>20000</v>
      </c>
      <c r="G141" s="19">
        <f ca="1">IFERROR(__xludf.DUMMYFUNCTION("""COMPUTED_VALUE"""),32000)</f>
        <v>32000</v>
      </c>
      <c r="H141" s="18">
        <f ca="1">IFERROR(__xludf.DUMMYFUNCTION("""COMPUTED_VALUE"""),45669)</f>
        <v>45669</v>
      </c>
      <c r="I141" s="5" t="str">
        <f ca="1">IFERROR(__xludf.DUMMYFUNCTION("""COMPUTED_VALUE"""),"Zillow")</f>
        <v>Zillow</v>
      </c>
      <c r="J141" s="25" t="str">
        <f ca="1">IFERROR(__xludf.DUMMYFUNCTION("""COMPUTED_VALUE"""),"https://www.zillow.com/homedetails/4707-Libbit-Ave-Encino-CA-91436/19991540_zpid/")</f>
        <v>https://www.zillow.com/homedetails/4707-Libbit-Ave-Encino-CA-91436/19991540_zpid/</v>
      </c>
      <c r="K141" s="5"/>
      <c r="L141" s="5" t="str">
        <f ca="1">IFERROR(__xludf.DUMMYFUNCTION("""COMPUTED_VALUE"""),"Allen DAHAN")</f>
        <v>Allen DAHAN</v>
      </c>
      <c r="M141" s="5" t="str">
        <f ca="1">IFERROR(__xludf.DUMMYFUNCTION("""COMPUTED_VALUE"""),"Previous rent listing was for $20k, removed on 4/18/24. Relisted for rent at a 60% increase on 1/12/25 after the fires for $32k.")</f>
        <v>Previous rent listing was for $20k, removed on 4/18/24. Relisted for rent at a 60% increase on 1/12/25 after the fires for $32k.</v>
      </c>
      <c r="N141" s="26" t="str">
        <f ca="1">IFERROR(__xludf.DUMMYFUNCTION("""COMPUTED_VALUE"""),"https://drive.google.com/open?id=1-rNasGbTjI-w93MTPDozdiHKGN4qFyFr")</f>
        <v>https://drive.google.com/open?id=1-rNasGbTjI-w93MTPDozdiHKGN4qFyFr</v>
      </c>
      <c r="O141" s="5">
        <f ca="1">IFERROR(__xludf.DUMMYFUNCTION("""COMPUTED_VALUE"""),2284001021)</f>
        <v>2284001021</v>
      </c>
      <c r="P141" s="5"/>
      <c r="Q141" s="5"/>
      <c r="R141" s="5" t="str">
        <f ca="1">IFERROR(__xludf.DUMMYFUNCTION("""COMPUTED_VALUE"""),"(323) 747-7705")</f>
        <v>(323) 747-7705</v>
      </c>
      <c r="S141" s="5"/>
      <c r="T141" s="5"/>
    </row>
    <row r="142" spans="1:20" ht="12.75">
      <c r="A142" s="24">
        <f ca="1">IFERROR(__xludf.DUMMYFUNCTION("""COMPUTED_VALUE"""),45669.6584317013)</f>
        <v>45669.658431701297</v>
      </c>
      <c r="B142" s="5" t="str">
        <f ca="1">IFERROR(__xludf.DUMMYFUNCTION("""COMPUTED_VALUE"""),"2430 7th St ")</f>
        <v xml:space="preserve">2430 7th St </v>
      </c>
      <c r="C142" s="5" t="str">
        <f ca="1">IFERROR(__xludf.DUMMYFUNCTION("""COMPUTED_VALUE"""),"Santa Monica")</f>
        <v>Santa Monica</v>
      </c>
      <c r="D142" s="5" t="str">
        <f ca="1">IFERROR(__xludf.DUMMYFUNCTION("""COMPUTED_VALUE"""),"CA")</f>
        <v>CA</v>
      </c>
      <c r="E142" s="5">
        <f ca="1">IFERROR(__xludf.DUMMYFUNCTION("""COMPUTED_VALUE"""),90405)</f>
        <v>90405</v>
      </c>
      <c r="F142" s="19">
        <f ca="1">IFERROR(__xludf.DUMMYFUNCTION("""COMPUTED_VALUE"""),10500)</f>
        <v>10500</v>
      </c>
      <c r="G142" s="19">
        <f ca="1">IFERROR(__xludf.DUMMYFUNCTION("""COMPUTED_VALUE"""),12000)</f>
        <v>12000</v>
      </c>
      <c r="H142" s="18">
        <f ca="1">IFERROR(__xludf.DUMMYFUNCTION("""COMPUTED_VALUE"""),45667)</f>
        <v>45667</v>
      </c>
      <c r="I142" s="5" t="str">
        <f ca="1">IFERROR(__xludf.DUMMYFUNCTION("""COMPUTED_VALUE"""),"Zillow")</f>
        <v>Zillow</v>
      </c>
      <c r="J142" s="25" t="str">
        <f ca="1">IFERROR(__xludf.DUMMYFUNCTION("""COMPUTED_VALUE"""),"https://www.zillow.com/homedetails/2430-7th-St-Santa-Monica-CA-90405/20482351_zpid/?utm_campaign=iosappmessage&amp;utm_medium=referral&amp;utm_source=txtshare")</f>
        <v>https://www.zillow.com/homedetails/2430-7th-St-Santa-Monica-CA-90405/20482351_zpid/?utm_campaign=iosappmessage&amp;utm_medium=referral&amp;utm_source=txtshare</v>
      </c>
      <c r="K142" s="5"/>
      <c r="L142" s="5" t="str">
        <f ca="1">IFERROR(__xludf.DUMMYFUNCTION("""COMPUTED_VALUE"""),"Batoul")</f>
        <v>Batoul</v>
      </c>
      <c r="M142" s="5"/>
      <c r="N142" s="26" t="str">
        <f ca="1">IFERROR(__xludf.DUMMYFUNCTION("""COMPUTED_VALUE"""),"https://drive.google.com/open?id=1x5F7xUgAKOP6_GGvf5Dk47j2c4CrnlZU")</f>
        <v>https://drive.google.com/open?id=1x5F7xUgAKOP6_GGvf5Dk47j2c4CrnlZU</v>
      </c>
      <c r="O142" s="5">
        <f ca="1">IFERROR(__xludf.DUMMYFUNCTION("""COMPUTED_VALUE"""),4287004015)</f>
        <v>4287004015</v>
      </c>
      <c r="P142" s="5"/>
      <c r="Q142" s="5"/>
      <c r="R142" s="5" t="str">
        <f ca="1">IFERROR(__xludf.DUMMYFUNCTION("""COMPUTED_VALUE"""),"(213) 674-3438")</f>
        <v>(213) 674-3438</v>
      </c>
      <c r="S142" s="5"/>
      <c r="T142" s="5"/>
    </row>
    <row r="143" spans="1:20" ht="12.75">
      <c r="A143" s="24">
        <f ca="1">IFERROR(__xludf.DUMMYFUNCTION("""COMPUTED_VALUE"""),45669.658554155)</f>
        <v>45669.658554155001</v>
      </c>
      <c r="B143" s="5" t="str">
        <f ca="1">IFERROR(__xludf.DUMMYFUNCTION("""COMPUTED_VALUE"""),"2119 S West View St")</f>
        <v>2119 S West View St</v>
      </c>
      <c r="C143" s="5" t="str">
        <f ca="1">IFERROR(__xludf.DUMMYFUNCTION("""COMPUTED_VALUE"""),"Los Angeles")</f>
        <v>Los Angeles</v>
      </c>
      <c r="D143" s="5" t="str">
        <f ca="1">IFERROR(__xludf.DUMMYFUNCTION("""COMPUTED_VALUE"""),"CA")</f>
        <v>CA</v>
      </c>
      <c r="E143" s="5">
        <f ca="1">IFERROR(__xludf.DUMMYFUNCTION("""COMPUTED_VALUE"""),90016)</f>
        <v>90016</v>
      </c>
      <c r="F143" s="19">
        <f ca="1">IFERROR(__xludf.DUMMYFUNCTION("""COMPUTED_VALUE"""),7500)</f>
        <v>7500</v>
      </c>
      <c r="G143" s="19">
        <f ca="1">IFERROR(__xludf.DUMMYFUNCTION("""COMPUTED_VALUE"""),15000)</f>
        <v>15000</v>
      </c>
      <c r="H143" s="18">
        <f ca="1">IFERROR(__xludf.DUMMYFUNCTION("""COMPUTED_VALUE"""),45994)</f>
        <v>45994</v>
      </c>
      <c r="I143" s="5" t="str">
        <f ca="1">IFERROR(__xludf.DUMMYFUNCTION("""COMPUTED_VALUE"""),"Zillow")</f>
        <v>Zillow</v>
      </c>
      <c r="J143" s="25" t="str">
        <f ca="1">IFERROR(__xludf.DUMMYFUNCTION("""COMPUTED_VALUE"""),"https://www.zillow.com/homedetails/2119-S-West-View-St-Los-Angeles-CA-90016/20596651_zpid/")</f>
        <v>https://www.zillow.com/homedetails/2119-S-West-View-St-Los-Angeles-CA-90016/20596651_zpid/</v>
      </c>
      <c r="K143" s="5" t="str">
        <f ca="1">IFERROR(__xludf.DUMMYFUNCTION("""COMPUTED_VALUE"""),"Kevin Danialifar")</f>
        <v>Kevin Danialifar</v>
      </c>
      <c r="L143" s="5"/>
      <c r="M143" s="5" t="str">
        <f ca="1">IFERROR(__xludf.DUMMYFUNCTION("""COMPUTED_VALUE"""),"Listed at $7,500 on 12/3/24.  Increased to $15,000 on 1/8.  Then decreased to $12,000 on 1/11.")</f>
        <v>Listed at $7,500 on 12/3/24.  Increased to $15,000 on 1/8.  Then decreased to $12,000 on 1/11.</v>
      </c>
      <c r="N143" s="5" t="str">
        <f ca="1">IFERROR(__xludf.DUMMYFUNCTION("""COMPUTED_VALUE"""),"https://drive.google.com/open?id=1LXAbeR2NF7wZlrqvQQhd7JcTcOl5VdYu, https://drive.google.com/open?id=1wyOp-6T3T0BlKoMJgtW6Es4o_95WYMFg")</f>
        <v>https://drive.google.com/open?id=1LXAbeR2NF7wZlrqvQQhd7JcTcOl5VdYu, https://drive.google.com/open?id=1wyOp-6T3T0BlKoMJgtW6Es4o_95WYMFg</v>
      </c>
      <c r="O143" s="5">
        <f ca="1">IFERROR(__xludf.DUMMYFUNCTION("""COMPUTED_VALUE"""),5062021005)</f>
        <v>5062021005</v>
      </c>
      <c r="P143" s="5" t="str">
        <f ca="1">IFERROR(__xludf.DUMMYFUNCTION("""COMPUTED_VALUE"""),"(310) 598-0011")</f>
        <v>(310) 598-0011</v>
      </c>
      <c r="Q143" s="5"/>
      <c r="R143" s="5"/>
      <c r="S143" s="5"/>
      <c r="T143" s="5"/>
    </row>
    <row r="144" spans="1:20" ht="12.75">
      <c r="A144" s="24">
        <f ca="1">IFERROR(__xludf.DUMMYFUNCTION("""COMPUTED_VALUE"""),45669.6604332407)</f>
        <v>45669.660433240701</v>
      </c>
      <c r="B144" s="5" t="str">
        <f ca="1">IFERROR(__xludf.DUMMYFUNCTION("""COMPUTED_VALUE"""),"9621 Royalton Dr")</f>
        <v>9621 Royalton Dr</v>
      </c>
      <c r="C144" s="5" t="str">
        <f ca="1">IFERROR(__xludf.DUMMYFUNCTION("""COMPUTED_VALUE"""),"Beverly Hills")</f>
        <v>Beverly Hills</v>
      </c>
      <c r="D144" s="5" t="str">
        <f ca="1">IFERROR(__xludf.DUMMYFUNCTION("""COMPUTED_VALUE"""),"CA")</f>
        <v>CA</v>
      </c>
      <c r="E144" s="5">
        <f ca="1">IFERROR(__xludf.DUMMYFUNCTION("""COMPUTED_VALUE"""),90210)</f>
        <v>90210</v>
      </c>
      <c r="F144" s="19">
        <f ca="1">IFERROR(__xludf.DUMMYFUNCTION("""COMPUTED_VALUE"""),21000)</f>
        <v>21000</v>
      </c>
      <c r="G144" s="19">
        <f ca="1">IFERROR(__xludf.DUMMYFUNCTION("""COMPUTED_VALUE"""),30000)</f>
        <v>30000</v>
      </c>
      <c r="H144" s="18">
        <f ca="1">IFERROR(__xludf.DUMMYFUNCTION("""COMPUTED_VALUE"""),45666)</f>
        <v>45666</v>
      </c>
      <c r="I144" s="5" t="str">
        <f ca="1">IFERROR(__xludf.DUMMYFUNCTION("""COMPUTED_VALUE"""),"Zillow")</f>
        <v>Zillow</v>
      </c>
      <c r="J144" s="25" t="str">
        <f ca="1">IFERROR(__xludf.DUMMYFUNCTION("""COMPUTED_VALUE"""),"https://www.zillow.com/homedetails/9621-Royalton-Dr-Beverly-Hills-CA-90210/20533828_zpid/")</f>
        <v>https://www.zillow.com/homedetails/9621-Royalton-Dr-Beverly-Hills-CA-90210/20533828_zpid/</v>
      </c>
      <c r="K144" s="5" t="str">
        <f ca="1">IFERROR(__xludf.DUMMYFUNCTION("""COMPUTED_VALUE"""),"Avi Einav - Beverly and Company")</f>
        <v>Avi Einav - Beverly and Company</v>
      </c>
      <c r="L144" s="5"/>
      <c r="M144" s="5" t="str">
        <f ca="1">IFERROR(__xludf.DUMMYFUNCTION("""COMPUTED_VALUE"""),"Listed for rent at a reduced rate of $21k as of 10/21/24 after sitting on the market. Price increased b y 42.9% to #30k after the fires on 1/9/25.")</f>
        <v>Listed for rent at a reduced rate of $21k as of 10/21/24 after sitting on the market. Price increased b y 42.9% to #30k after the fires on 1/9/25.</v>
      </c>
      <c r="N144" s="26" t="str">
        <f ca="1">IFERROR(__xludf.DUMMYFUNCTION("""COMPUTED_VALUE"""),"https://drive.google.com/open?id=1J-PBKqq30VAZsOE1R0HYvvQ0zzc0lJVF")</f>
        <v>https://drive.google.com/open?id=1J-PBKqq30VAZsOE1R0HYvvQ0zzc0lJVF</v>
      </c>
      <c r="O144" s="5">
        <f ca="1">IFERROR(__xludf.DUMMYFUNCTION("""COMPUTED_VALUE"""),4387023015)</f>
        <v>4387023015</v>
      </c>
      <c r="P144" s="5" t="str">
        <f ca="1">IFERROR(__xludf.DUMMYFUNCTION("""COMPUTED_VALUE"""),"(323) 284-5557")</f>
        <v>(323) 284-5557</v>
      </c>
      <c r="Q144" s="5"/>
      <c r="R144" s="5"/>
      <c r="S144" s="5"/>
      <c r="T144" s="5"/>
    </row>
    <row r="145" spans="1:20" ht="12.75">
      <c r="A145" s="24">
        <f ca="1">IFERROR(__xludf.DUMMYFUNCTION("""COMPUTED_VALUE"""),45669.6611643865)</f>
        <v>45669.661164386504</v>
      </c>
      <c r="B145" s="5" t="str">
        <f ca="1">IFERROR(__xludf.DUMMYFUNCTION("""COMPUTED_VALUE"""),"5948 Abernathy Dr")</f>
        <v>5948 Abernathy Dr</v>
      </c>
      <c r="C145" s="5" t="str">
        <f ca="1">IFERROR(__xludf.DUMMYFUNCTION("""COMPUTED_VALUE"""),"Los Angeles")</f>
        <v>Los Angeles</v>
      </c>
      <c r="D145" s="5" t="str">
        <f ca="1">IFERROR(__xludf.DUMMYFUNCTION("""COMPUTED_VALUE"""),"CA")</f>
        <v>CA</v>
      </c>
      <c r="E145" s="5">
        <f ca="1">IFERROR(__xludf.DUMMYFUNCTION("""COMPUTED_VALUE"""),90045)</f>
        <v>90045</v>
      </c>
      <c r="F145" s="19">
        <f ca="1">IFERROR(__xludf.DUMMYFUNCTION("""COMPUTED_VALUE"""),9999)</f>
        <v>9999</v>
      </c>
      <c r="G145" s="19">
        <f ca="1">IFERROR(__xludf.DUMMYFUNCTION("""COMPUTED_VALUE"""),11999)</f>
        <v>11999</v>
      </c>
      <c r="H145" s="18">
        <f ca="1">IFERROR(__xludf.DUMMYFUNCTION("""COMPUTED_VALUE"""),45669)</f>
        <v>45669</v>
      </c>
      <c r="I145" s="5" t="str">
        <f ca="1">IFERROR(__xludf.DUMMYFUNCTION("""COMPUTED_VALUE"""),"Zillow")</f>
        <v>Zillow</v>
      </c>
      <c r="J145" s="25" t="str">
        <f ca="1">IFERROR(__xludf.DUMMYFUNCTION("""COMPUTED_VALUE"""),"https://www.zillow.com/homedetails/5948-Abernathy-Dr-Los-Angeles-CA-90045/20378962_zpid/")</f>
        <v>https://www.zillow.com/homedetails/5948-Abernathy-Dr-Los-Angeles-CA-90045/20378962_zpid/</v>
      </c>
      <c r="K145" s="5"/>
      <c r="L145" s="5" t="str">
        <f ca="1">IFERROR(__xludf.DUMMYFUNCTION("""COMPUTED_VALUE"""),"Carly Drake")</f>
        <v>Carly Drake</v>
      </c>
      <c r="M145" s="5"/>
      <c r="N145" s="26" t="str">
        <f ca="1">IFERROR(__xludf.DUMMYFUNCTION("""COMPUTED_VALUE"""),"https://drive.google.com/open?id=1BAJxou-I0vqezS1E3AQwDhD9IO1Fn5Z0")</f>
        <v>https://drive.google.com/open?id=1BAJxou-I0vqezS1E3AQwDhD9IO1Fn5Z0</v>
      </c>
      <c r="O145" s="5">
        <f ca="1">IFERROR(__xludf.DUMMYFUNCTION("""COMPUTED_VALUE"""),4105005011)</f>
        <v>4105005011</v>
      </c>
      <c r="P145" s="5"/>
      <c r="Q145" s="5"/>
      <c r="R145" s="5" t="str">
        <f ca="1">IFERROR(__xludf.DUMMYFUNCTION("""COMPUTED_VALUE"""),"(414) 339-8982")</f>
        <v>(414) 339-8982</v>
      </c>
      <c r="S145" s="5"/>
      <c r="T145" s="5"/>
    </row>
    <row r="146" spans="1:20" ht="12.75">
      <c r="A146" s="24">
        <f ca="1">IFERROR(__xludf.DUMMYFUNCTION("""COMPUTED_VALUE"""),45669.6614435185)</f>
        <v>45669.661443518497</v>
      </c>
      <c r="B146" s="5" t="str">
        <f ca="1">IFERROR(__xludf.DUMMYFUNCTION("""COMPUTED_VALUE"""),"649 N Edinburgh Ave")</f>
        <v>649 N Edinburgh Ave</v>
      </c>
      <c r="C146" s="5" t="str">
        <f ca="1">IFERROR(__xludf.DUMMYFUNCTION("""COMPUTED_VALUE"""),"Los Angeles")</f>
        <v>Los Angeles</v>
      </c>
      <c r="D146" s="5" t="str">
        <f ca="1">IFERROR(__xludf.DUMMYFUNCTION("""COMPUTED_VALUE"""),"CA")</f>
        <v>CA</v>
      </c>
      <c r="E146" s="5">
        <f ca="1">IFERROR(__xludf.DUMMYFUNCTION("""COMPUTED_VALUE"""),90048)</f>
        <v>90048</v>
      </c>
      <c r="F146" s="19">
        <f ca="1">IFERROR(__xludf.DUMMYFUNCTION("""COMPUTED_VALUE"""),24000)</f>
        <v>24000</v>
      </c>
      <c r="G146" s="19">
        <f ca="1">IFERROR(__xludf.DUMMYFUNCTION("""COMPUTED_VALUE"""),35000)</f>
        <v>35000</v>
      </c>
      <c r="H146" s="18">
        <f ca="1">IFERROR(__xludf.DUMMYFUNCTION("""COMPUTED_VALUE"""),45669)</f>
        <v>45669</v>
      </c>
      <c r="I146" s="5" t="str">
        <f ca="1">IFERROR(__xludf.DUMMYFUNCTION("""COMPUTED_VALUE"""),"Zillow")</f>
        <v>Zillow</v>
      </c>
      <c r="J146" s="25" t="str">
        <f ca="1">IFERROR(__xludf.DUMMYFUNCTION("""COMPUTED_VALUE"""),"https://www.zillow.com/homedetails/649-N-Edinburgh-Ave-Los-Angeles-CA-90048/20786041_zpid/")</f>
        <v>https://www.zillow.com/homedetails/649-N-Edinburgh-Ave-Los-Angeles-CA-90048/20786041_zpid/</v>
      </c>
      <c r="K146" s="5" t="str">
        <f ca="1">IFERROR(__xludf.DUMMYFUNCTION("""COMPUTED_VALUE"""),"LA Luxuries")</f>
        <v>LA Luxuries</v>
      </c>
      <c r="L146" s="5"/>
      <c r="M146" s="5" t="str">
        <f ca="1">IFERROR(__xludf.DUMMYFUNCTION("""COMPUTED_VALUE"""),"Last listing was 2/27/2024 for 24,000, updated today 1/12/25 for 35,000")</f>
        <v>Last listing was 2/27/2024 for 24,000, updated today 1/12/25 for 35,000</v>
      </c>
      <c r="N146" s="5" t="str">
        <f ca="1">IFERROR(__xludf.DUMMYFUNCTION("""COMPUTED_VALUE"""),"https://drive.google.com/open?id=1I8NK__--QgZfBNlkJ9wEprKEavLSEZY1, https://drive.google.com/open?id=1XmcuvgA8uG6pZty3AnegiuAVAWDBnwE7")</f>
        <v>https://drive.google.com/open?id=1I8NK__--QgZfBNlkJ9wEprKEavLSEZY1, https://drive.google.com/open?id=1XmcuvgA8uG6pZty3AnegiuAVAWDBnwE7</v>
      </c>
      <c r="O146" s="5">
        <f ca="1">IFERROR(__xludf.DUMMYFUNCTION("""COMPUTED_VALUE"""),5527015009)</f>
        <v>5527015009</v>
      </c>
      <c r="P146" s="5" t="str">
        <f ca="1">IFERROR(__xludf.DUMMYFUNCTION("""COMPUTED_VALUE"""),"(213) 275-2092")</f>
        <v>(213) 275-2092</v>
      </c>
      <c r="Q146" s="5"/>
      <c r="R146" s="5"/>
      <c r="S146" s="5"/>
      <c r="T146" s="5"/>
    </row>
    <row r="147" spans="1:20" ht="12.75">
      <c r="A147" s="24">
        <f ca="1">IFERROR(__xludf.DUMMYFUNCTION("""COMPUTED_VALUE"""),45669.6615054513)</f>
        <v>45669.661505451302</v>
      </c>
      <c r="B147" s="5" t="str">
        <f ca="1">IFERROR(__xludf.DUMMYFUNCTION("""COMPUTED_VALUE"""),"8429 Wiley Post Ave")</f>
        <v>8429 Wiley Post Ave</v>
      </c>
      <c r="C147" s="5" t="str">
        <f ca="1">IFERROR(__xludf.DUMMYFUNCTION("""COMPUTED_VALUE"""),"Los Angeles")</f>
        <v>Los Angeles</v>
      </c>
      <c r="D147" s="5" t="str">
        <f ca="1">IFERROR(__xludf.DUMMYFUNCTION("""COMPUTED_VALUE"""),"CA")</f>
        <v>CA</v>
      </c>
      <c r="E147" s="5">
        <f ca="1">IFERROR(__xludf.DUMMYFUNCTION("""COMPUTED_VALUE"""),90045)</f>
        <v>90045</v>
      </c>
      <c r="F147" s="19">
        <f ca="1">IFERROR(__xludf.DUMMYFUNCTION("""COMPUTED_VALUE"""),5400)</f>
        <v>5400</v>
      </c>
      <c r="G147" s="19">
        <f ca="1">IFERROR(__xludf.DUMMYFUNCTION("""COMPUTED_VALUE"""),7000)</f>
        <v>7000</v>
      </c>
      <c r="H147" s="18">
        <f ca="1">IFERROR(__xludf.DUMMYFUNCTION("""COMPUTED_VALUE"""),45666)</f>
        <v>45666</v>
      </c>
      <c r="I147" s="5" t="str">
        <f ca="1">IFERROR(__xludf.DUMMYFUNCTION("""COMPUTED_VALUE"""),"Zillow")</f>
        <v>Zillow</v>
      </c>
      <c r="J147" s="25" t="str">
        <f ca="1">IFERROR(__xludf.DUMMYFUNCTION("""COMPUTED_VALUE"""),"https://www.zillow.com/homedetails/8429-Wiley-Post-Ave-Los-Angeles-CA-90045/20380558_zpid/?utm_campaign=iosappmessage&amp;utm_medium=referral&amp;utm_source=txtshare")</f>
        <v>https://www.zillow.com/homedetails/8429-Wiley-Post-Ave-Los-Angeles-CA-90045/20380558_zpid/?utm_campaign=iosappmessage&amp;utm_medium=referral&amp;utm_source=txtshare</v>
      </c>
      <c r="K147" s="5"/>
      <c r="L147" s="5" t="str">
        <f ca="1">IFERROR(__xludf.DUMMYFUNCTION("""COMPUTED_VALUE"""),"batoul")</f>
        <v>batoul</v>
      </c>
      <c r="M147" s="5"/>
      <c r="N147" s="26" t="str">
        <f ca="1">IFERROR(__xludf.DUMMYFUNCTION("""COMPUTED_VALUE"""),"https://drive.google.com/open?id=1aGY98jQbt2iSCHhzQDlio7tvHTzVs_jB")</f>
        <v>https://drive.google.com/open?id=1aGY98jQbt2iSCHhzQDlio7tvHTzVs_jB</v>
      </c>
      <c r="O147" s="5">
        <f ca="1">IFERROR(__xludf.DUMMYFUNCTION("""COMPUTED_VALUE"""),4107020007)</f>
        <v>4107020007</v>
      </c>
      <c r="P147" s="5"/>
      <c r="Q147" s="5"/>
      <c r="R147" s="5" t="str">
        <f ca="1">IFERROR(__xludf.DUMMYFUNCTION("""COMPUTED_VALUE"""),"(213) 674-3438")</f>
        <v>(213) 674-3438</v>
      </c>
      <c r="S147" s="5"/>
      <c r="T147" s="5"/>
    </row>
    <row r="148" spans="1:20" ht="12.75">
      <c r="A148" s="24">
        <f ca="1">IFERROR(__xludf.DUMMYFUNCTION("""COMPUTED_VALUE"""),45669.6621089236)</f>
        <v>45669.6621089236</v>
      </c>
      <c r="B148" s="5" t="str">
        <f ca="1">IFERROR(__xludf.DUMMYFUNCTION("""COMPUTED_VALUE"""),"610 N Stanley Ave")</f>
        <v>610 N Stanley Ave</v>
      </c>
      <c r="C148" s="5" t="str">
        <f ca="1">IFERROR(__xludf.DUMMYFUNCTION("""COMPUTED_VALUE"""),"Los Angeles")</f>
        <v>Los Angeles</v>
      </c>
      <c r="D148" s="5" t="str">
        <f ca="1">IFERROR(__xludf.DUMMYFUNCTION("""COMPUTED_VALUE"""),"CA")</f>
        <v>CA</v>
      </c>
      <c r="E148" s="5">
        <f ca="1">IFERROR(__xludf.DUMMYFUNCTION("""COMPUTED_VALUE"""),90036)</f>
        <v>90036</v>
      </c>
      <c r="F148" s="19">
        <f ca="1">IFERROR(__xludf.DUMMYFUNCTION("""COMPUTED_VALUE"""),20000)</f>
        <v>20000</v>
      </c>
      <c r="G148" s="19">
        <f ca="1">IFERROR(__xludf.DUMMYFUNCTION("""COMPUTED_VALUE"""),30000)</f>
        <v>30000</v>
      </c>
      <c r="H148" s="18">
        <f ca="1">IFERROR(__xludf.DUMMYFUNCTION("""COMPUTED_VALUE"""),45666)</f>
        <v>45666</v>
      </c>
      <c r="I148" s="5" t="str">
        <f ca="1">IFERROR(__xludf.DUMMYFUNCTION("""COMPUTED_VALUE"""),"Zillow")</f>
        <v>Zillow</v>
      </c>
      <c r="J148" s="25" t="str">
        <f ca="1">IFERROR(__xludf.DUMMYFUNCTION("""COMPUTED_VALUE"""),"https://www.zillow.com/homedetails/610-N-Stanley-Ave-Los-Angeles-CA-90036/20785234_zpid/")</f>
        <v>https://www.zillow.com/homedetails/610-N-Stanley-Ave-Los-Angeles-CA-90036/20785234_zpid/</v>
      </c>
      <c r="K148" s="5" t="str">
        <f ca="1">IFERROR(__xludf.DUMMYFUNCTION("""COMPUTED_VALUE"""),"Kai Cohen - Cohen LA")</f>
        <v>Kai Cohen - Cohen LA</v>
      </c>
      <c r="L148" s="5"/>
      <c r="M148" s="5" t="str">
        <f ca="1">IFERROR(__xludf.DUMMYFUNCTION("""COMPUTED_VALUE"""),"Listed for rent at $20k on 11/11/24 and price increased after fires on 1/9/25 to $30k - a 50% increase.")</f>
        <v>Listed for rent at $20k on 11/11/24 and price increased after fires on 1/9/25 to $30k - a 50% increase.</v>
      </c>
      <c r="N148" s="26" t="str">
        <f ca="1">IFERROR(__xludf.DUMMYFUNCTION("""COMPUTED_VALUE"""),"https://drive.google.com/open?id=1L8SAiBnhn-CN7UModhGaXSSvOvYQexJM")</f>
        <v>https://drive.google.com/open?id=1L8SAiBnhn-CN7UModhGaXSSvOvYQexJM</v>
      </c>
      <c r="O148" s="5">
        <f ca="1">IFERROR(__xludf.DUMMYFUNCTION("""COMPUTED_VALUE"""),5526015017)</f>
        <v>5526015017</v>
      </c>
      <c r="P148" s="5" t="str">
        <f ca="1">IFERROR(__xludf.DUMMYFUNCTION("""COMPUTED_VALUE"""),"(818) 274-1710")</f>
        <v>(818) 274-1710</v>
      </c>
      <c r="Q148" s="5"/>
      <c r="R148" s="5"/>
      <c r="S148" s="5"/>
      <c r="T148" s="5"/>
    </row>
    <row r="149" spans="1:20" ht="12.75">
      <c r="A149" s="24">
        <f ca="1">IFERROR(__xludf.DUMMYFUNCTION("""COMPUTED_VALUE"""),45669.6621369675)</f>
        <v>45669.662136967498</v>
      </c>
      <c r="B149" s="5" t="str">
        <f ca="1">IFERROR(__xludf.DUMMYFUNCTION("""COMPUTED_VALUE"""),"11842 Culver Blvd")</f>
        <v>11842 Culver Blvd</v>
      </c>
      <c r="C149" s="5" t="str">
        <f ca="1">IFERROR(__xludf.DUMMYFUNCTION("""COMPUTED_VALUE"""),"Los Angeles")</f>
        <v>Los Angeles</v>
      </c>
      <c r="D149" s="5" t="str">
        <f ca="1">IFERROR(__xludf.DUMMYFUNCTION("""COMPUTED_VALUE"""),"CA")</f>
        <v>CA</v>
      </c>
      <c r="E149" s="5">
        <f ca="1">IFERROR(__xludf.DUMMYFUNCTION("""COMPUTED_VALUE"""),90067)</f>
        <v>90067</v>
      </c>
      <c r="F149" s="19">
        <f ca="1">IFERROR(__xludf.DUMMYFUNCTION("""COMPUTED_VALUE"""),2945)</f>
        <v>2945</v>
      </c>
      <c r="G149" s="19">
        <f ca="1">IFERROR(__xludf.DUMMYFUNCTION("""COMPUTED_VALUE"""),3680)</f>
        <v>3680</v>
      </c>
      <c r="H149" s="18">
        <f ca="1">IFERROR(__xludf.DUMMYFUNCTION("""COMPUTED_VALUE"""),45669)</f>
        <v>45669</v>
      </c>
      <c r="I149" s="5" t="str">
        <f ca="1">IFERROR(__xludf.DUMMYFUNCTION("""COMPUTED_VALUE"""),"Zillow")</f>
        <v>Zillow</v>
      </c>
      <c r="J149" s="25" t="str">
        <f ca="1">IFERROR(__xludf.DUMMYFUNCTION("""COMPUTED_VALUE"""),"https://www.zillow.com/homedetails/11842-Culver-Blvd-Los-Angeles-CA-90066/2123490972_zpid/?utm_source=txtshare")</f>
        <v>https://www.zillow.com/homedetails/11842-Culver-Blvd-Los-Angeles-CA-90066/2123490972_zpid/?utm_source=txtshare</v>
      </c>
      <c r="K149" s="5" t="str">
        <f ca="1">IFERROR(__xludf.DUMMYFUNCTION("""COMPUTED_VALUE"""),"Zuly")</f>
        <v>Zuly</v>
      </c>
      <c r="L149" s="5"/>
      <c r="M149" s="5"/>
      <c r="N149" s="5" t="str">
        <f ca="1">IFERROR(__xludf.DUMMYFUNCTION("""COMPUTED_VALUE"""),"https://drive.google.com/open?id=1uDToPTs5SANI7Q-6c1JULA7ypAhDp5Vg, https://drive.google.com/open?id=1iH_MUW5CA9xkTUozhk9uKlEulkjGA_k9")</f>
        <v>https://drive.google.com/open?id=1uDToPTs5SANI7Q-6c1JULA7ypAhDp5Vg, https://drive.google.com/open?id=1iH_MUW5CA9xkTUozhk9uKlEulkjGA_k9</v>
      </c>
      <c r="O149" s="5" t="str">
        <f ca="1">IFERROR(__xludf.DUMMYFUNCTION("""COMPUTED_VALUE"""),"NA")</f>
        <v>NA</v>
      </c>
      <c r="P149" s="5" t="str">
        <f ca="1">IFERROR(__xludf.DUMMYFUNCTION("""COMPUTED_VALUE"""),"(424) 234-8005")</f>
        <v>(424) 234-8005</v>
      </c>
      <c r="Q149" s="5"/>
      <c r="R149" s="5"/>
      <c r="S149" s="5"/>
      <c r="T149" s="5"/>
    </row>
    <row r="150" spans="1:20" ht="12.75">
      <c r="A150" s="24">
        <f ca="1">IFERROR(__xludf.DUMMYFUNCTION("""COMPUTED_VALUE"""),45669.6637590277)</f>
        <v>45669.663759027702</v>
      </c>
      <c r="B150" s="5" t="str">
        <f ca="1">IFERROR(__xludf.DUMMYFUNCTION("""COMPUTED_VALUE"""),"5442 W 76th St")</f>
        <v>5442 W 76th St</v>
      </c>
      <c r="C150" s="5" t="str">
        <f ca="1">IFERROR(__xludf.DUMMYFUNCTION("""COMPUTED_VALUE"""),"Los Angeles")</f>
        <v>Los Angeles</v>
      </c>
      <c r="D150" s="5" t="str">
        <f ca="1">IFERROR(__xludf.DUMMYFUNCTION("""COMPUTED_VALUE"""),"CA")</f>
        <v>CA</v>
      </c>
      <c r="E150" s="5">
        <f ca="1">IFERROR(__xludf.DUMMYFUNCTION("""COMPUTED_VALUE"""),90045)</f>
        <v>90045</v>
      </c>
      <c r="F150" s="19">
        <f ca="1">IFERROR(__xludf.DUMMYFUNCTION("""COMPUTED_VALUE"""),8000)</f>
        <v>8000</v>
      </c>
      <c r="G150" s="19">
        <f ca="1">IFERROR(__xludf.DUMMYFUNCTION("""COMPUTED_VALUE"""),10000)</f>
        <v>10000</v>
      </c>
      <c r="H150" s="18">
        <f ca="1">IFERROR(__xludf.DUMMYFUNCTION("""COMPUTED_VALUE"""),45666)</f>
        <v>45666</v>
      </c>
      <c r="I150" s="5" t="str">
        <f ca="1">IFERROR(__xludf.DUMMYFUNCTION("""COMPUTED_VALUE"""),"Zillow")</f>
        <v>Zillow</v>
      </c>
      <c r="J150" s="25" t="str">
        <f ca="1">IFERROR(__xludf.DUMMYFUNCTION("""COMPUTED_VALUE"""),"https://www.zillow.com/homedetails/5442-W-76th-St-Los-Angeles-CA-90045/20391003_zpid/?utm_campaign=iosappmessage&amp;utm_medium=referral&amp;utm_source=txtshare")</f>
        <v>https://www.zillow.com/homedetails/5442-W-76th-St-Los-Angeles-CA-90045/20391003_zpid/?utm_campaign=iosappmessage&amp;utm_medium=referral&amp;utm_source=txtshare</v>
      </c>
      <c r="K150" s="5"/>
      <c r="L150" s="5" t="str">
        <f ca="1">IFERROR(__xludf.DUMMYFUNCTION("""COMPUTED_VALUE"""),"batoul amir-ahmad’s")</f>
        <v>batoul amir-ahmad’s</v>
      </c>
      <c r="M150" s="5" t="str">
        <f ca="1">IFERROR(__xludf.DUMMYFUNCTION("""COMPUTED_VALUE"""),"owns 3 properties, price gouged on all 3")</f>
        <v>owns 3 properties, price gouged on all 3</v>
      </c>
      <c r="N150" s="26" t="str">
        <f ca="1">IFERROR(__xludf.DUMMYFUNCTION("""COMPUTED_VALUE"""),"https://drive.google.com/open?id=1iy3vQ_D_UmLpHzaIeslr0NdrwlFvxl3v")</f>
        <v>https://drive.google.com/open?id=1iy3vQ_D_UmLpHzaIeslr0NdrwlFvxl3v</v>
      </c>
      <c r="O150" s="5">
        <f ca="1">IFERROR(__xludf.DUMMYFUNCTION("""COMPUTED_VALUE"""),4127011022)</f>
        <v>4127011022</v>
      </c>
      <c r="P150" s="5"/>
      <c r="Q150" s="5"/>
      <c r="R150" s="5" t="str">
        <f ca="1">IFERROR(__xludf.DUMMYFUNCTION("""COMPUTED_VALUE"""),"310) 695-6275")</f>
        <v>310) 695-6275</v>
      </c>
      <c r="S150" s="5"/>
      <c r="T150" s="5"/>
    </row>
    <row r="151" spans="1:20" ht="12.75">
      <c r="A151" s="24">
        <f ca="1">IFERROR(__xludf.DUMMYFUNCTION("""COMPUTED_VALUE"""),45669.6640997453)</f>
        <v>45669.6640997453</v>
      </c>
      <c r="B151" s="5" t="str">
        <f ca="1">IFERROR(__xludf.DUMMYFUNCTION("""COMPUTED_VALUE"""),"446 S Almont Dr")</f>
        <v>446 S Almont Dr</v>
      </c>
      <c r="C151" s="5" t="str">
        <f ca="1">IFERROR(__xludf.DUMMYFUNCTION("""COMPUTED_VALUE"""),"Beverly Hills")</f>
        <v>Beverly Hills</v>
      </c>
      <c r="D151" s="5" t="str">
        <f ca="1">IFERROR(__xludf.DUMMYFUNCTION("""COMPUTED_VALUE"""),"CA")</f>
        <v>CA</v>
      </c>
      <c r="E151" s="5">
        <f ca="1">IFERROR(__xludf.DUMMYFUNCTION("""COMPUTED_VALUE"""),90211)</f>
        <v>90211</v>
      </c>
      <c r="F151" s="19">
        <f ca="1">IFERROR(__xludf.DUMMYFUNCTION("""COMPUTED_VALUE"""),10500)</f>
        <v>10500</v>
      </c>
      <c r="G151" s="19">
        <f ca="1">IFERROR(__xludf.DUMMYFUNCTION("""COMPUTED_VALUE"""),13000)</f>
        <v>13000</v>
      </c>
      <c r="H151" s="18">
        <f ca="1">IFERROR(__xludf.DUMMYFUNCTION("""COMPUTED_VALUE"""),45666)</f>
        <v>45666</v>
      </c>
      <c r="I151" s="5" t="str">
        <f ca="1">IFERROR(__xludf.DUMMYFUNCTION("""COMPUTED_VALUE"""),"Zillow")</f>
        <v>Zillow</v>
      </c>
      <c r="J151" s="25" t="str">
        <f ca="1">IFERROR(__xludf.DUMMYFUNCTION("""COMPUTED_VALUE"""),"https://www.zillow.com/homedetails/446-S-Almont-Dr-Beverly-Hills-CA-90211/20513005_zpid/")</f>
        <v>https://www.zillow.com/homedetails/446-S-Almont-Dr-Beverly-Hills-CA-90211/20513005_zpid/</v>
      </c>
      <c r="K151" s="5" t="str">
        <f ca="1">IFERROR(__xludf.DUMMYFUNCTION("""COMPUTED_VALUE"""),"Deborah gabbai, Uzan realty")</f>
        <v>Deborah gabbai, Uzan realty</v>
      </c>
      <c r="L151" s="5"/>
      <c r="M151" s="5"/>
      <c r="N151" s="26" t="str">
        <f ca="1">IFERROR(__xludf.DUMMYFUNCTION("""COMPUTED_VALUE"""),"https://drive.google.com/open?id=1WwE00MiyjxRRmfvXtzlihPpwolGb1Suq")</f>
        <v>https://drive.google.com/open?id=1WwE00MiyjxRRmfvXtzlihPpwolGb1Suq</v>
      </c>
      <c r="O151" s="5">
        <f ca="1">IFERROR(__xludf.DUMMYFUNCTION("""COMPUTED_VALUE"""),4332009026)</f>
        <v>4332009026</v>
      </c>
      <c r="P151" s="5" t="str">
        <f ca="1">IFERROR(__xludf.DUMMYFUNCTION("""COMPUTED_VALUE"""),"(213) 668-7520")</f>
        <v>(213) 668-7520</v>
      </c>
      <c r="Q151" s="5"/>
      <c r="R151" s="5"/>
      <c r="S151" s="5"/>
      <c r="T151" s="5"/>
    </row>
    <row r="152" spans="1:20" ht="12.75">
      <c r="A152" s="24">
        <f ca="1">IFERROR(__xludf.DUMMYFUNCTION("""COMPUTED_VALUE"""),45669.6649264814)</f>
        <v>45669.664926481397</v>
      </c>
      <c r="B152" s="5" t="str">
        <f ca="1">IFERROR(__xludf.DUMMYFUNCTION("""COMPUTED_VALUE"""),"4243 Mary Ellen Ave")</f>
        <v>4243 Mary Ellen Ave</v>
      </c>
      <c r="C152" s="5" t="str">
        <f ca="1">IFERROR(__xludf.DUMMYFUNCTION("""COMPUTED_VALUE"""),"Studio City ")</f>
        <v xml:space="preserve">Studio City </v>
      </c>
      <c r="D152" s="5" t="str">
        <f ca="1">IFERROR(__xludf.DUMMYFUNCTION("""COMPUTED_VALUE"""),"CA")</f>
        <v>CA</v>
      </c>
      <c r="E152" s="5">
        <f ca="1">IFERROR(__xludf.DUMMYFUNCTION("""COMPUTED_VALUE"""),91604)</f>
        <v>91604</v>
      </c>
      <c r="F152" s="19">
        <f ca="1">IFERROR(__xludf.DUMMYFUNCTION("""COMPUTED_VALUE"""),3733)</f>
        <v>3733</v>
      </c>
      <c r="G152" s="19">
        <f ca="1">IFERROR(__xludf.DUMMYFUNCTION("""COMPUTED_VALUE"""),3995)</f>
        <v>3995</v>
      </c>
      <c r="H152" s="18">
        <f ca="1">IFERROR(__xludf.DUMMYFUNCTION("""COMPUTED_VALUE"""),45667)</f>
        <v>45667</v>
      </c>
      <c r="I152" s="5" t="str">
        <f ca="1">IFERROR(__xludf.DUMMYFUNCTION("""COMPUTED_VALUE"""),"Zillow")</f>
        <v>Zillow</v>
      </c>
      <c r="J152" s="25" t="str">
        <f ca="1">IFERROR(__xludf.DUMMYFUNCTION("""COMPUTED_VALUE"""),"https://www.zillow.com/homedetails/4243-Mary-Ellen-Ave-497B9FBCD-Studio-City-CA-91604/353484968_zpid/?utm_campaign=iosappmessage&amp;utm_medium=referral&amp;utm_source=txtshare")</f>
        <v>https://www.zillow.com/homedetails/4243-Mary-Ellen-Ave-497B9FBCD-Studio-City-CA-91604/353484968_zpid/?utm_campaign=iosappmessage&amp;utm_medium=referral&amp;utm_source=txtshare</v>
      </c>
      <c r="K152" s="5" t="str">
        <f ca="1">IFERROR(__xludf.DUMMYFUNCTION("""COMPUTED_VALUE"""),"Brenda")</f>
        <v>Brenda</v>
      </c>
      <c r="L152" s="5"/>
      <c r="M152" s="5"/>
      <c r="N152" s="5" t="str">
        <f ca="1">IFERROR(__xludf.DUMMYFUNCTION("""COMPUTED_VALUE"""),"https://drive.google.com/open?id=1x7_xOpaLzAiwH1Dk84XrhMgrH5iDOlJx, https://drive.google.com/open?id=1s27p-kMR3GtvQWW7kObNYzK3j9DD_VDB")</f>
        <v>https://drive.google.com/open?id=1x7_xOpaLzAiwH1Dk84XrhMgrH5iDOlJx, https://drive.google.com/open?id=1s27p-kMR3GtvQWW7kObNYzK3j9DD_VDB</v>
      </c>
      <c r="O152" s="5" t="str">
        <f ca="1">IFERROR(__xludf.DUMMYFUNCTION("""COMPUTED_VALUE"""),"NA")</f>
        <v>NA</v>
      </c>
      <c r="P152" s="5" t="str">
        <f ca="1">IFERROR(__xludf.DUMMYFUNCTION("""COMPUTED_VALUE"""),"(818) 824-5029")</f>
        <v>(818) 824-5029</v>
      </c>
      <c r="Q152" s="5"/>
      <c r="R152" s="5"/>
      <c r="S152" s="5"/>
      <c r="T152" s="5"/>
    </row>
    <row r="153" spans="1:20" ht="12.75">
      <c r="A153" s="24">
        <f ca="1">IFERROR(__xludf.DUMMYFUNCTION("""COMPUTED_VALUE"""),45669.6652801041)</f>
        <v>45669.665280104098</v>
      </c>
      <c r="B153" s="5" t="str">
        <f ca="1">IFERROR(__xludf.DUMMYFUNCTION("""COMPUTED_VALUE"""),"13252 Magnolia Blvd ")</f>
        <v xml:space="preserve">13252 Magnolia Blvd </v>
      </c>
      <c r="C153" s="5" t="str">
        <f ca="1">IFERROR(__xludf.DUMMYFUNCTION("""COMPUTED_VALUE"""),"Sherman Oaks ")</f>
        <v xml:space="preserve">Sherman Oaks </v>
      </c>
      <c r="D153" s="5" t="str">
        <f ca="1">IFERROR(__xludf.DUMMYFUNCTION("""COMPUTED_VALUE"""),"CA")</f>
        <v>CA</v>
      </c>
      <c r="E153" s="5">
        <f ca="1">IFERROR(__xludf.DUMMYFUNCTION("""COMPUTED_VALUE"""),91423)</f>
        <v>91423</v>
      </c>
      <c r="F153" s="19">
        <f ca="1">IFERROR(__xludf.DUMMYFUNCTION("""COMPUTED_VALUE"""),15000)</f>
        <v>15000</v>
      </c>
      <c r="G153" s="19">
        <f ca="1">IFERROR(__xludf.DUMMYFUNCTION("""COMPUTED_VALUE"""),19000)</f>
        <v>19000</v>
      </c>
      <c r="H153" s="18">
        <f ca="1">IFERROR(__xludf.DUMMYFUNCTION("""COMPUTED_VALUE"""),45667)</f>
        <v>45667</v>
      </c>
      <c r="I153" s="5" t="str">
        <f ca="1">IFERROR(__xludf.DUMMYFUNCTION("""COMPUTED_VALUE"""),"Zillow")</f>
        <v>Zillow</v>
      </c>
      <c r="J153" s="25" t="str">
        <f ca="1">IFERROR(__xludf.DUMMYFUNCTION("""COMPUTED_VALUE"""),"https://www.zillow.com/homedetails/13252-Magnolia-Blvd-Sherman-Oaks-CA-91423/20021216_zpid/")</f>
        <v>https://www.zillow.com/homedetails/13252-Magnolia-Blvd-Sherman-Oaks-CA-91423/20021216_zpid/</v>
      </c>
      <c r="K153" s="5" t="str">
        <f ca="1">IFERROR(__xludf.DUMMYFUNCTION("""COMPUTED_VALUE"""),"Shelly Mashiach ")</f>
        <v xml:space="preserve">Shelly Mashiach </v>
      </c>
      <c r="L153" s="5"/>
      <c r="M153" s="5"/>
      <c r="N153" s="5" t="str">
        <f ca="1">IFERROR(__xludf.DUMMYFUNCTION("""COMPUTED_VALUE"""),"https://drive.google.com/open?id=1pta5JIAS9StFpAqk3qlgO8nmKqJrDBAM, https://drive.google.com/open?id=1U6G2Tzgk8cZkNSkNEbsS1OqtnMWwK-Gh, https://drive.google.com/open?id=1K7016EzHhbcVEARfBcDeB6nQe5Vlwqpi")</f>
        <v>https://drive.google.com/open?id=1pta5JIAS9StFpAqk3qlgO8nmKqJrDBAM, https://drive.google.com/open?id=1U6G2Tzgk8cZkNSkNEbsS1OqtnMWwK-Gh, https://drive.google.com/open?id=1K7016EzHhbcVEARfBcDeB6nQe5Vlwqpi</v>
      </c>
      <c r="O153" s="5">
        <f ca="1">IFERROR(__xludf.DUMMYFUNCTION("""COMPUTED_VALUE"""),2358002020)</f>
        <v>2358002020</v>
      </c>
      <c r="P153" s="5" t="str">
        <f ca="1">IFERROR(__xludf.DUMMYFUNCTION("""COMPUTED_VALUE"""),"(818) 486-8984")</f>
        <v>(818) 486-8984</v>
      </c>
      <c r="Q153" s="5" t="str">
        <f ca="1">IFERROR(__xludf.DUMMYFUNCTION("""COMPUTED_VALUE"""),"shelly@mygoodbroker.com")</f>
        <v>shelly@mygoodbroker.com</v>
      </c>
      <c r="R153" s="5"/>
      <c r="S153" s="5"/>
      <c r="T153" s="5"/>
    </row>
    <row r="154" spans="1:20" ht="12.75">
      <c r="A154" s="24">
        <f ca="1">IFERROR(__xludf.DUMMYFUNCTION("""COMPUTED_VALUE"""),45669.6655099768)</f>
        <v>45669.665509976803</v>
      </c>
      <c r="B154" s="5" t="str">
        <f ca="1">IFERROR(__xludf.DUMMYFUNCTION("""COMPUTED_VALUE"""),"1937 Prosser Ave, ")</f>
        <v xml:space="preserve">1937 Prosser Ave, </v>
      </c>
      <c r="C154" s="5" t="str">
        <f ca="1">IFERROR(__xludf.DUMMYFUNCTION("""COMPUTED_VALUE"""),"Los Angeles")</f>
        <v>Los Angeles</v>
      </c>
      <c r="D154" s="5" t="str">
        <f ca="1">IFERROR(__xludf.DUMMYFUNCTION("""COMPUTED_VALUE"""),"CA")</f>
        <v>CA</v>
      </c>
      <c r="E154" s="5">
        <f ca="1">IFERROR(__xludf.DUMMYFUNCTION("""COMPUTED_VALUE"""),90025)</f>
        <v>90025</v>
      </c>
      <c r="F154" s="19">
        <f ca="1">IFERROR(__xludf.DUMMYFUNCTION("""COMPUTED_VALUE"""),6300)</f>
        <v>6300</v>
      </c>
      <c r="G154" s="19">
        <f ca="1">IFERROR(__xludf.DUMMYFUNCTION("""COMPUTED_VALUE"""),14000)</f>
        <v>14000</v>
      </c>
      <c r="H154" s="18">
        <f ca="1">IFERROR(__xludf.DUMMYFUNCTION("""COMPUTED_VALUE"""),45666)</f>
        <v>45666</v>
      </c>
      <c r="I154" s="5" t="str">
        <f ca="1">IFERROR(__xludf.DUMMYFUNCTION("""COMPUTED_VALUE"""),"Zillow")</f>
        <v>Zillow</v>
      </c>
      <c r="J154" s="25" t="str">
        <f ca="1">IFERROR(__xludf.DUMMYFUNCTION("""COMPUTED_VALUE"""),"https://www.zillow.com/homedetails/1937-Prosser-Ave-Los-Angeles-CA-90025/20501203_zpid/")</f>
        <v>https://www.zillow.com/homedetails/1937-Prosser-Ave-Los-Angeles-CA-90025/20501203_zpid/</v>
      </c>
      <c r="K154" s="5" t="str">
        <f ca="1">IFERROR(__xludf.DUMMYFUNCTION("""COMPUTED_VALUE"""),"Ava")</f>
        <v>Ava</v>
      </c>
      <c r="L154" s="5"/>
      <c r="M154" s="5" t="str">
        <f ca="1">IFERROR(__xludf.DUMMYFUNCTION("""COMPUTED_VALUE"""),"Last listed 5/2/23 for 6300, updated 1/9/26 for 14,000 for a +122.2% increase.")</f>
        <v>Last listed 5/2/23 for 6300, updated 1/9/26 for 14,000 for a +122.2% increase.</v>
      </c>
      <c r="N154" s="5" t="str">
        <f ca="1">IFERROR(__xludf.DUMMYFUNCTION("""COMPUTED_VALUE"""),"https://drive.google.com/open?id=1FJqixztlFsRiG1dFbT5iENFtCcXov9X6, https://drive.google.com/open?id=1q62NS9XusyjusLoVvwW5L9oUTavUbQ5T")</f>
        <v>https://drive.google.com/open?id=1FJqixztlFsRiG1dFbT5iENFtCcXov9X6, https://drive.google.com/open?id=1q62NS9XusyjusLoVvwW5L9oUTavUbQ5T</v>
      </c>
      <c r="O154" s="5">
        <f ca="1">IFERROR(__xludf.DUMMYFUNCTION("""COMPUTED_VALUE"""),4321005044)</f>
        <v>4321005044</v>
      </c>
      <c r="P154" s="5" t="str">
        <f ca="1">IFERROR(__xludf.DUMMYFUNCTION("""COMPUTED_VALUE"""),"(520) 990-3122")</f>
        <v>(520) 990-3122</v>
      </c>
      <c r="Q154" s="5"/>
      <c r="R154" s="5"/>
      <c r="S154" s="5"/>
      <c r="T154" s="5"/>
    </row>
    <row r="155" spans="1:20" ht="12.75">
      <c r="A155" s="24">
        <f ca="1">IFERROR(__xludf.DUMMYFUNCTION("""COMPUTED_VALUE"""),45669.665805405)</f>
        <v>45669.665805404999</v>
      </c>
      <c r="B155" s="5" t="str">
        <f ca="1">IFERROR(__xludf.DUMMYFUNCTION("""COMPUTED_VALUE"""),"157 S Anita Ave")</f>
        <v>157 S Anita Ave</v>
      </c>
      <c r="C155" s="5" t="str">
        <f ca="1">IFERROR(__xludf.DUMMYFUNCTION("""COMPUTED_VALUE"""),"Los Angeles")</f>
        <v>Los Angeles</v>
      </c>
      <c r="D155" s="5" t="str">
        <f ca="1">IFERROR(__xludf.DUMMYFUNCTION("""COMPUTED_VALUE"""),"CA")</f>
        <v>CA</v>
      </c>
      <c r="E155" s="5">
        <f ca="1">IFERROR(__xludf.DUMMYFUNCTION("""COMPUTED_VALUE"""),90049)</f>
        <v>90049</v>
      </c>
      <c r="F155" s="19">
        <f ca="1">IFERROR(__xludf.DUMMYFUNCTION("""COMPUTED_VALUE"""),15600)</f>
        <v>15600</v>
      </c>
      <c r="G155" s="19">
        <f ca="1">IFERROR(__xludf.DUMMYFUNCTION("""COMPUTED_VALUE"""),17200)</f>
        <v>17200</v>
      </c>
      <c r="H155" s="18">
        <f ca="1">IFERROR(__xludf.DUMMYFUNCTION("""COMPUTED_VALUE"""),45665)</f>
        <v>45665</v>
      </c>
      <c r="I155" s="5" t="str">
        <f ca="1">IFERROR(__xludf.DUMMYFUNCTION("""COMPUTED_VALUE"""),"Zillow")</f>
        <v>Zillow</v>
      </c>
      <c r="J155" s="25" t="str">
        <f ca="1">IFERROR(__xludf.DUMMYFUNCTION("""COMPUTED_VALUE"""),"https://www.zillow.com/homedetails/157-S-Anita-Ave-Los-Angeles-CA-90049/20537967_zpid/")</f>
        <v>https://www.zillow.com/homedetails/157-S-Anita-Ave-Los-Angeles-CA-90049/20537967_zpid/</v>
      </c>
      <c r="K155" s="5"/>
      <c r="L155" s="5"/>
      <c r="M155" s="5"/>
      <c r="N155" s="26" t="str">
        <f ca="1">IFERROR(__xludf.DUMMYFUNCTION("""COMPUTED_VALUE"""),"https://drive.google.com/open?id=19BT85d6UwVi4gdzVdHL2EPPh1ua-ZVR6")</f>
        <v>https://drive.google.com/open?id=19BT85d6UwVi4gdzVdHL2EPPh1ua-ZVR6</v>
      </c>
      <c r="O155" s="5" t="str">
        <f ca="1">IFERROR(__xludf.DUMMYFUNCTION("""COMPUTED_VALUE"""),"4405-029-013")</f>
        <v>4405-029-013</v>
      </c>
      <c r="P155" s="5"/>
      <c r="Q155" s="5"/>
      <c r="R155" s="5"/>
      <c r="S155" s="5"/>
      <c r="T155" s="5"/>
    </row>
    <row r="156" spans="1:20" ht="12.75">
      <c r="A156" s="24">
        <f ca="1">IFERROR(__xludf.DUMMYFUNCTION("""COMPUTED_VALUE"""),45669.6660490162)</f>
        <v>45669.666049016203</v>
      </c>
      <c r="B156" s="5" t="str">
        <f ca="1">IFERROR(__xludf.DUMMYFUNCTION("""COMPUTED_VALUE"""),"138 N Hamel Dr")</f>
        <v>138 N Hamel Dr</v>
      </c>
      <c r="C156" s="5" t="str">
        <f ca="1">IFERROR(__xludf.DUMMYFUNCTION("""COMPUTED_VALUE"""),"Beverly Hills")</f>
        <v>Beverly Hills</v>
      </c>
      <c r="D156" s="5" t="str">
        <f ca="1">IFERROR(__xludf.DUMMYFUNCTION("""COMPUTED_VALUE"""),"CA")</f>
        <v>CA</v>
      </c>
      <c r="E156" s="5">
        <f ca="1">IFERROR(__xludf.DUMMYFUNCTION("""COMPUTED_VALUE"""),90211)</f>
        <v>90211</v>
      </c>
      <c r="F156" s="19">
        <f ca="1">IFERROR(__xludf.DUMMYFUNCTION("""COMPUTED_VALUE"""),9500)</f>
        <v>9500</v>
      </c>
      <c r="G156" s="19">
        <f ca="1">IFERROR(__xludf.DUMMYFUNCTION("""COMPUTED_VALUE"""),15500)</f>
        <v>15500</v>
      </c>
      <c r="H156" s="18">
        <f ca="1">IFERROR(__xludf.DUMMYFUNCTION("""COMPUTED_VALUE"""),45669)</f>
        <v>45669</v>
      </c>
      <c r="I156" s="5" t="str">
        <f ca="1">IFERROR(__xludf.DUMMYFUNCTION("""COMPUTED_VALUE"""),"Zillow")</f>
        <v>Zillow</v>
      </c>
      <c r="J156" s="25" t="str">
        <f ca="1">IFERROR(__xludf.DUMMYFUNCTION("""COMPUTED_VALUE"""),"https://www.zillow.com/homedetails/138-N-Hamel-Dr-Beverly-Hills-CA-90211/20514615_zpid/")</f>
        <v>https://www.zillow.com/homedetails/138-N-Hamel-Dr-Beverly-Hills-CA-90211/20514615_zpid/</v>
      </c>
      <c r="K156" s="5"/>
      <c r="L156" s="5" t="str">
        <f ca="1">IFERROR(__xludf.DUMMYFUNCTION("""COMPUTED_VALUE"""),"Beki Jun")</f>
        <v>Beki Jun</v>
      </c>
      <c r="M156" s="5"/>
      <c r="N156" s="26" t="str">
        <f ca="1">IFERROR(__xludf.DUMMYFUNCTION("""COMPUTED_VALUE"""),"https://drive.google.com/open?id=17n9BhuDDd9AGDbjYzMlnJfMZOES_GgM_")</f>
        <v>https://drive.google.com/open?id=17n9BhuDDd9AGDbjYzMlnJfMZOES_GgM_</v>
      </c>
      <c r="O156" s="5">
        <f ca="1">IFERROR(__xludf.DUMMYFUNCTION("""COMPUTED_VALUE"""),4334012048)</f>
        <v>4334012048</v>
      </c>
      <c r="P156" s="5"/>
      <c r="Q156" s="5"/>
      <c r="R156" s="5" t="str">
        <f ca="1">IFERROR(__xludf.DUMMYFUNCTION("""COMPUTED_VALUE"""),"(213) 761-2766")</f>
        <v>(213) 761-2766</v>
      </c>
      <c r="S156" s="5"/>
      <c r="T156" s="5"/>
    </row>
    <row r="157" spans="1:20" ht="12.75">
      <c r="A157" s="24">
        <f ca="1">IFERROR(__xludf.DUMMYFUNCTION("""COMPUTED_VALUE"""),45669.668404074)</f>
        <v>45669.668404074</v>
      </c>
      <c r="B157" s="5" t="str">
        <f ca="1">IFERROR(__xludf.DUMMYFUNCTION("""COMPUTED_VALUE"""),"317 Westbourne Dr")</f>
        <v>317 Westbourne Dr</v>
      </c>
      <c r="C157" s="5" t="str">
        <f ca="1">IFERROR(__xludf.DUMMYFUNCTION("""COMPUTED_VALUE"""),"West Hollywood")</f>
        <v>West Hollywood</v>
      </c>
      <c r="D157" s="5" t="str">
        <f ca="1">IFERROR(__xludf.DUMMYFUNCTION("""COMPUTED_VALUE"""),"CA")</f>
        <v>CA</v>
      </c>
      <c r="E157" s="5">
        <f ca="1">IFERROR(__xludf.DUMMYFUNCTION("""COMPUTED_VALUE"""),90048)</f>
        <v>90048</v>
      </c>
      <c r="F157" s="19">
        <f ca="1">IFERROR(__xludf.DUMMYFUNCTION("""COMPUTED_VALUE"""),27000)</f>
        <v>27000</v>
      </c>
      <c r="G157" s="19">
        <f ca="1">IFERROR(__xludf.DUMMYFUNCTION("""COMPUTED_VALUE"""),30000)</f>
        <v>30000</v>
      </c>
      <c r="H157" s="18">
        <f ca="1">IFERROR(__xludf.DUMMYFUNCTION("""COMPUTED_VALUE"""),45665)</f>
        <v>45665</v>
      </c>
      <c r="I157" s="5" t="str">
        <f ca="1">IFERROR(__xludf.DUMMYFUNCTION("""COMPUTED_VALUE"""),"Zillow")</f>
        <v>Zillow</v>
      </c>
      <c r="J157" s="25" t="str">
        <f ca="1">IFERROR(__xludf.DUMMYFUNCTION("""COMPUTED_VALUE"""),"https://www.zillow.com/homedetails/317-Westbourne-Dr-West-Hollywood-CA-90048/20517150_zpid/")</f>
        <v>https://www.zillow.com/homedetails/317-Westbourne-Dr-West-Hollywood-CA-90048/20517150_zpid/</v>
      </c>
      <c r="K157" s="5"/>
      <c r="L157" s="5" t="str">
        <f ca="1">IFERROR(__xludf.DUMMYFUNCTION("""COMPUTED_VALUE"""),"Vered Bar")</f>
        <v>Vered Bar</v>
      </c>
      <c r="M157" s="5"/>
      <c r="N157" s="26" t="str">
        <f ca="1">IFERROR(__xludf.DUMMYFUNCTION("""COMPUTED_VALUE"""),"https://drive.google.com/open?id=19nzhkkUaiBGrXT8i5FxFEZt3g9CjPXbL")</f>
        <v>https://drive.google.com/open?id=19nzhkkUaiBGrXT8i5FxFEZt3g9CjPXbL</v>
      </c>
      <c r="O157" s="5">
        <f ca="1">IFERROR(__xludf.DUMMYFUNCTION("""COMPUTED_VALUE"""),4337015047)</f>
        <v>4337015047</v>
      </c>
      <c r="P157" s="5"/>
      <c r="Q157" s="5"/>
      <c r="R157" s="5" t="str">
        <f ca="1">IFERROR(__xludf.DUMMYFUNCTION("""COMPUTED_VALUE"""),"(786) 543-6499")</f>
        <v>(786) 543-6499</v>
      </c>
      <c r="S157" s="5"/>
      <c r="T157" s="5"/>
    </row>
    <row r="158" spans="1:20" ht="12.75">
      <c r="A158" s="24">
        <f ca="1">IFERROR(__xludf.DUMMYFUNCTION("""COMPUTED_VALUE"""),45669.6685085879)</f>
        <v>45669.6685085879</v>
      </c>
      <c r="B158" s="5" t="str">
        <f ca="1">IFERROR(__xludf.DUMMYFUNCTION("""COMPUTED_VALUE"""),"2307 Federal Ave")</f>
        <v>2307 Federal Ave</v>
      </c>
      <c r="C158" s="5" t="str">
        <f ca="1">IFERROR(__xludf.DUMMYFUNCTION("""COMPUTED_VALUE"""),"Los Angeles")</f>
        <v>Los Angeles</v>
      </c>
      <c r="D158" s="5" t="str">
        <f ca="1">IFERROR(__xludf.DUMMYFUNCTION("""COMPUTED_VALUE"""),"CA")</f>
        <v>CA</v>
      </c>
      <c r="E158" s="5">
        <f ca="1">IFERROR(__xludf.DUMMYFUNCTION("""COMPUTED_VALUE"""),90064)</f>
        <v>90064</v>
      </c>
      <c r="F158" s="19">
        <f ca="1">IFERROR(__xludf.DUMMYFUNCTION("""COMPUTED_VALUE"""),21500)</f>
        <v>21500</v>
      </c>
      <c r="G158" s="19">
        <f ca="1">IFERROR(__xludf.DUMMYFUNCTION("""COMPUTED_VALUE"""),30000)</f>
        <v>30000</v>
      </c>
      <c r="H158" s="18">
        <f ca="1">IFERROR(__xludf.DUMMYFUNCTION("""COMPUTED_VALUE"""),45666)</f>
        <v>45666</v>
      </c>
      <c r="I158" s="5" t="str">
        <f ca="1">IFERROR(__xludf.DUMMYFUNCTION("""COMPUTED_VALUE"""),"Zillow")</f>
        <v>Zillow</v>
      </c>
      <c r="J158" s="25" t="str">
        <f ca="1">IFERROR(__xludf.DUMMYFUNCTION("""COMPUTED_VALUE"""),"https://www.zillow.com/homedetails/2307-Federal-Ave-Los-Angeles-CA-90064/2052980412_zpid/")</f>
        <v>https://www.zillow.com/homedetails/2307-Federal-Ave-Los-Angeles-CA-90064/2052980412_zpid/</v>
      </c>
      <c r="K158" s="5" t="str">
        <f ca="1">IFERROR(__xludf.DUMMYFUNCTION("""COMPUTED_VALUE"""),"Richard Sherbrooke")</f>
        <v>Richard Sherbrooke</v>
      </c>
      <c r="L158" s="5"/>
      <c r="M158" s="5" t="str">
        <f ca="1">IFERROR(__xludf.DUMMYFUNCTION("""COMPUTED_VALUE"""),"+39.5% since 10/29/24")</f>
        <v>+39.5% since 10/29/24</v>
      </c>
      <c r="N158" s="5" t="str">
        <f ca="1">IFERROR(__xludf.DUMMYFUNCTION("""COMPUTED_VALUE"""),"https://drive.google.com/open?id=1vi5GECNsAJpLueOp1dBQHEayJEmCpyB5, https://drive.google.com/open?id=1II2k_XNBgUwuSjpHlZDq7eB2nLIdHUCR")</f>
        <v>https://drive.google.com/open?id=1vi5GECNsAJpLueOp1dBQHEayJEmCpyB5, https://drive.google.com/open?id=1II2k_XNBgUwuSjpHlZDq7eB2nLIdHUCR</v>
      </c>
      <c r="O158" s="5" t="str">
        <f ca="1">IFERROR(__xludf.DUMMYFUNCTION("""COMPUTED_VALUE"""),"na")</f>
        <v>na</v>
      </c>
      <c r="P158" s="5" t="str">
        <f ca="1">IFERROR(__xludf.DUMMYFUNCTION("""COMPUTED_VALUE"""),"(213) 319-4576")</f>
        <v>(213) 319-4576</v>
      </c>
      <c r="Q158" s="5"/>
      <c r="R158" s="5"/>
      <c r="S158" s="5"/>
      <c r="T158" s="5"/>
    </row>
    <row r="159" spans="1:20" ht="12.75">
      <c r="A159" s="24">
        <f ca="1">IFERROR(__xludf.DUMMYFUNCTION("""COMPUTED_VALUE"""),45669.6691447453)</f>
        <v>45669.669144745298</v>
      </c>
      <c r="B159" s="5" t="str">
        <f ca="1">IFERROR(__xludf.DUMMYFUNCTION("""COMPUTED_VALUE"""),"114 Pacific Ave")</f>
        <v>114 Pacific Ave</v>
      </c>
      <c r="C159" s="5" t="str">
        <f ca="1">IFERROR(__xludf.DUMMYFUNCTION("""COMPUTED_VALUE"""),"Venice")</f>
        <v>Venice</v>
      </c>
      <c r="D159" s="5" t="str">
        <f ca="1">IFERROR(__xludf.DUMMYFUNCTION("""COMPUTED_VALUE"""),"CA")</f>
        <v>CA</v>
      </c>
      <c r="E159" s="5">
        <f ca="1">IFERROR(__xludf.DUMMYFUNCTION("""COMPUTED_VALUE"""),90291)</f>
        <v>90291</v>
      </c>
      <c r="F159" s="19">
        <f ca="1">IFERROR(__xludf.DUMMYFUNCTION("""COMPUTED_VALUE"""),8995)</f>
        <v>8995</v>
      </c>
      <c r="G159" s="19">
        <f ca="1">IFERROR(__xludf.DUMMYFUNCTION("""COMPUTED_VALUE"""),11500)</f>
        <v>11500</v>
      </c>
      <c r="H159" s="18">
        <f ca="1">IFERROR(__xludf.DUMMYFUNCTION("""COMPUTED_VALUE"""),45669)</f>
        <v>45669</v>
      </c>
      <c r="I159" s="5" t="str">
        <f ca="1">IFERROR(__xludf.DUMMYFUNCTION("""COMPUTED_VALUE"""),"Zillow")</f>
        <v>Zillow</v>
      </c>
      <c r="J159" s="25" t="str">
        <f ca="1">IFERROR(__xludf.DUMMYFUNCTION("""COMPUTED_VALUE"""),"https://www.zillow.com/homedetails/114-Pacific-Ave-Venice-CA-90291/20482017_zpid/?utm_campaign=iosappmessage&amp;utm_medium=referral&amp;utm_source=txtshare")</f>
        <v>https://www.zillow.com/homedetails/114-Pacific-Ave-Venice-CA-90291/20482017_zpid/?utm_campaign=iosappmessage&amp;utm_medium=referral&amp;utm_source=txtshare</v>
      </c>
      <c r="K159" s="5" t="str">
        <f ca="1">IFERROR(__xludf.DUMMYFUNCTION("""COMPUTED_VALUE"""),"Lee Tonks")</f>
        <v>Lee Tonks</v>
      </c>
      <c r="L159" s="5"/>
      <c r="M159" s="5"/>
      <c r="N159" s="26" t="str">
        <f ca="1">IFERROR(__xludf.DUMMYFUNCTION("""COMPUTED_VALUE"""),"https://drive.google.com/open?id=1Zev9PIso1a8dzC7pNzOUawwCr8wW--kN")</f>
        <v>https://drive.google.com/open?id=1Zev9PIso1a8dzC7pNzOUawwCr8wW--kN</v>
      </c>
      <c r="O159" s="5">
        <f ca="1">IFERROR(__xludf.DUMMYFUNCTION("""COMPUTED_VALUE"""),4286017023)</f>
        <v>4286017023</v>
      </c>
      <c r="P159" s="5">
        <f ca="1">IFERROR(__xludf.DUMMYFUNCTION("""COMPUTED_VALUE"""),3109803979)</f>
        <v>3109803979</v>
      </c>
      <c r="Q159" s="5"/>
      <c r="R159" s="5"/>
      <c r="S159" s="5"/>
      <c r="T159" s="5"/>
    </row>
    <row r="160" spans="1:20" ht="12.75">
      <c r="A160" s="24">
        <f ca="1">IFERROR(__xludf.DUMMYFUNCTION("""COMPUTED_VALUE"""),45669.6718460995)</f>
        <v>45669.671846099503</v>
      </c>
      <c r="B160" s="5" t="str">
        <f ca="1">IFERROR(__xludf.DUMMYFUNCTION("""COMPUTED_VALUE"""),"8966 Shoreham Dr")</f>
        <v>8966 Shoreham Dr</v>
      </c>
      <c r="C160" s="5" t="str">
        <f ca="1">IFERROR(__xludf.DUMMYFUNCTION("""COMPUTED_VALUE"""),"Los Angeles")</f>
        <v>Los Angeles</v>
      </c>
      <c r="D160" s="5" t="str">
        <f ca="1">IFERROR(__xludf.DUMMYFUNCTION("""COMPUTED_VALUE"""),"CA")</f>
        <v>CA</v>
      </c>
      <c r="E160" s="5">
        <f ca="1">IFERROR(__xludf.DUMMYFUNCTION("""COMPUTED_VALUE"""),90069)</f>
        <v>90069</v>
      </c>
      <c r="F160" s="19">
        <f ca="1">IFERROR(__xludf.DUMMYFUNCTION("""COMPUTED_VALUE"""),8500)</f>
        <v>8500</v>
      </c>
      <c r="G160" s="19">
        <f ca="1">IFERROR(__xludf.DUMMYFUNCTION("""COMPUTED_VALUE"""),11500)</f>
        <v>11500</v>
      </c>
      <c r="H160" s="18">
        <f ca="1">IFERROR(__xludf.DUMMYFUNCTION("""COMPUTED_VALUE"""),45666)</f>
        <v>45666</v>
      </c>
      <c r="I160" s="5" t="str">
        <f ca="1">IFERROR(__xludf.DUMMYFUNCTION("""COMPUTED_VALUE"""),"Zillow")</f>
        <v>Zillow</v>
      </c>
      <c r="J160" s="25" t="str">
        <f ca="1">IFERROR(__xludf.DUMMYFUNCTION("""COMPUTED_VALUE"""),"https://www.zillow.com/homedetails/8966-Shoreham-Dr-Los-Angeles-CA-90069/20799415_zpid/")</f>
        <v>https://www.zillow.com/homedetails/8966-Shoreham-Dr-Los-Angeles-CA-90069/20799415_zpid/</v>
      </c>
      <c r="K160" s="5" t="str">
        <f ca="1">IFERROR(__xludf.DUMMYFUNCTION("""COMPUTED_VALUE"""),"Mark Bua, KELLER WILLLIAMS STUDIO CITY")</f>
        <v>Mark Bua, KELLER WILLLIAMS STUDIO CITY</v>
      </c>
      <c r="L160" s="5"/>
      <c r="M160" s="5"/>
      <c r="N160" s="26" t="str">
        <f ca="1">IFERROR(__xludf.DUMMYFUNCTION("""COMPUTED_VALUE"""),"https://drive.google.com/open?id=1b6gTo11I1fjGfyj_rS57K4LhUfnXZtYh")</f>
        <v>https://drive.google.com/open?id=1b6gTo11I1fjGfyj_rS57K4LhUfnXZtYh</v>
      </c>
      <c r="O160" s="5">
        <f ca="1">IFERROR(__xludf.DUMMYFUNCTION("""COMPUTED_VALUE"""),5560025007)</f>
        <v>5560025007</v>
      </c>
      <c r="P160" s="5" t="str">
        <f ca="1">IFERROR(__xludf.DUMMYFUNCTION("""COMPUTED_VALUE"""),"(818) 380-5206")</f>
        <v>(818) 380-5206</v>
      </c>
      <c r="Q160" s="5"/>
      <c r="R160" s="5"/>
      <c r="S160" s="5"/>
      <c r="T160" s="5"/>
    </row>
    <row r="161" spans="1:20" ht="12.75">
      <c r="A161" s="24">
        <f ca="1">IFERROR(__xludf.DUMMYFUNCTION("""COMPUTED_VALUE"""),45669.6736235763)</f>
        <v>45669.673623576302</v>
      </c>
      <c r="B161" s="5" t="str">
        <f ca="1">IFERROR(__xludf.DUMMYFUNCTION("""COMPUTED_VALUE"""),"811 23rd St")</f>
        <v>811 23rd St</v>
      </c>
      <c r="C161" s="5" t="str">
        <f ca="1">IFERROR(__xludf.DUMMYFUNCTION("""COMPUTED_VALUE"""),"Santa Monica")</f>
        <v>Santa Monica</v>
      </c>
      <c r="D161" s="5" t="str">
        <f ca="1">IFERROR(__xludf.DUMMYFUNCTION("""COMPUTED_VALUE"""),"CA")</f>
        <v>CA</v>
      </c>
      <c r="E161" s="5">
        <f ca="1">IFERROR(__xludf.DUMMYFUNCTION("""COMPUTED_VALUE"""),90403)</f>
        <v>90403</v>
      </c>
      <c r="F161" s="19">
        <f ca="1">IFERROR(__xludf.DUMMYFUNCTION("""COMPUTED_VALUE"""),8750)</f>
        <v>8750</v>
      </c>
      <c r="G161" s="19">
        <f ca="1">IFERROR(__xludf.DUMMYFUNCTION("""COMPUTED_VALUE"""),12500)</f>
        <v>12500</v>
      </c>
      <c r="H161" s="18">
        <f ca="1">IFERROR(__xludf.DUMMYFUNCTION("""COMPUTED_VALUE"""),45665)</f>
        <v>45665</v>
      </c>
      <c r="I161" s="5" t="str">
        <f ca="1">IFERROR(__xludf.DUMMYFUNCTION("""COMPUTED_VALUE"""),"Zillow")</f>
        <v>Zillow</v>
      </c>
      <c r="J161" s="25" t="str">
        <f ca="1">IFERROR(__xludf.DUMMYFUNCTION("""COMPUTED_VALUE"""),"https://www.zillow.com/homedetails/811-23rd-St-Santa-Monica-CA-90403/20474791_zpid/?utm_campaign=iosappmessage&amp;utm_medium=referral&amp;utm_source=txtshare")</f>
        <v>https://www.zillow.com/homedetails/811-23rd-St-Santa-Monica-CA-90403/20474791_zpid/?utm_campaign=iosappmessage&amp;utm_medium=referral&amp;utm_source=txtshare</v>
      </c>
      <c r="K161" s="5"/>
      <c r="L161" s="5" t="str">
        <f ca="1">IFERROR(__xludf.DUMMYFUNCTION("""COMPUTED_VALUE"""),"Azad Virani")</f>
        <v>Azad Virani</v>
      </c>
      <c r="M161" s="5"/>
      <c r="N161" s="26" t="str">
        <f ca="1">IFERROR(__xludf.DUMMYFUNCTION("""COMPUTED_VALUE"""),"https://drive.google.com/open?id=1vT4ETMcdP3zM7xr4-3EVAS7BALMSPBSj")</f>
        <v>https://drive.google.com/open?id=1vT4ETMcdP3zM7xr4-3EVAS7BALMSPBSj</v>
      </c>
      <c r="O161" s="5">
        <f ca="1">IFERROR(__xludf.DUMMYFUNCTION("""COMPUTED_VALUE"""),4277002012)</f>
        <v>4277002012</v>
      </c>
      <c r="P161" s="5"/>
      <c r="Q161" s="5"/>
      <c r="R161" s="5"/>
      <c r="S161" s="5"/>
      <c r="T161" s="5"/>
    </row>
    <row r="162" spans="1:20" ht="12.75">
      <c r="A162" s="24">
        <f ca="1">IFERROR(__xludf.DUMMYFUNCTION("""COMPUTED_VALUE"""),45669.6750098842)</f>
        <v>45669.675009884202</v>
      </c>
      <c r="B162" s="5" t="str">
        <f ca="1">IFERROR(__xludf.DUMMYFUNCTION("""COMPUTED_VALUE"""),"1741 Stearns Drive")</f>
        <v>1741 Stearns Drive</v>
      </c>
      <c r="C162" s="5" t="str">
        <f ca="1">IFERROR(__xludf.DUMMYFUNCTION("""COMPUTED_VALUE"""),"Los Angeles")</f>
        <v>Los Angeles</v>
      </c>
      <c r="D162" s="5" t="str">
        <f ca="1">IFERROR(__xludf.DUMMYFUNCTION("""COMPUTED_VALUE"""),"CA")</f>
        <v>CA</v>
      </c>
      <c r="E162" s="5">
        <f ca="1">IFERROR(__xludf.DUMMYFUNCTION("""COMPUTED_VALUE"""),90035)</f>
        <v>90035</v>
      </c>
      <c r="F162" s="19">
        <f ca="1">IFERROR(__xludf.DUMMYFUNCTION("""COMPUTED_VALUE"""),14995)</f>
        <v>14995</v>
      </c>
      <c r="G162" s="19">
        <f ca="1">IFERROR(__xludf.DUMMYFUNCTION("""COMPUTED_VALUE"""),14995)</f>
        <v>14995</v>
      </c>
      <c r="H162" s="18">
        <f ca="1">IFERROR(__xludf.DUMMYFUNCTION("""COMPUTED_VALUE"""),45669)</f>
        <v>45669</v>
      </c>
      <c r="I162" s="5" t="str">
        <f ca="1">IFERROR(__xludf.DUMMYFUNCTION("""COMPUTED_VALUE"""),"Zillow")</f>
        <v>Zillow</v>
      </c>
      <c r="J162" s="25" t="str">
        <f ca="1">IFERROR(__xludf.DUMMYFUNCTION("""COMPUTED_VALUE"""),"https://www.zillow.com/homedetails/1741-Stearns-Dr-Los-Angeles-CA-90035/20598494_zpid/")</f>
        <v>https://www.zillow.com/homedetails/1741-Stearns-Dr-Los-Angeles-CA-90035/20598494_zpid/</v>
      </c>
      <c r="K162" s="5"/>
      <c r="L162" s="5"/>
      <c r="M162" s="5" t="str">
        <f ca="1">IFERROR(__xludf.DUMMYFUNCTION("""COMPUTED_VALUE"""),"This one is weird - Listed at $14995 on 12/13/14, jumped up to $19,000 on 1/10, then back down to $14,995 on 1/12.")</f>
        <v>This one is weird - Listed at $14995 on 12/13/14, jumped up to $19,000 on 1/10, then back down to $14,995 on 1/12.</v>
      </c>
      <c r="N162" s="5" t="str">
        <f ca="1">IFERROR(__xludf.DUMMYFUNCTION("""COMPUTED_VALUE"""),"https://drive.google.com/open?id=1DR5n-JJZcYCKVR9WfOH69dJ7ZoH5unlk, https://drive.google.com/open?id=1NfGxuBqFnPSDXjzHi8IKWu5fpKiMCVjK")</f>
        <v>https://drive.google.com/open?id=1DR5n-JJZcYCKVR9WfOH69dJ7ZoH5unlk, https://drive.google.com/open?id=1NfGxuBqFnPSDXjzHi8IKWu5fpKiMCVjK</v>
      </c>
      <c r="O162" s="5">
        <f ca="1">IFERROR(__xludf.DUMMYFUNCTION("""COMPUTED_VALUE"""),5066008031)</f>
        <v>5066008031</v>
      </c>
      <c r="P162" s="5"/>
      <c r="Q162" s="5"/>
      <c r="R162" s="5"/>
      <c r="S162" s="5"/>
      <c r="T162" s="5"/>
    </row>
    <row r="163" spans="1:20" ht="12.75">
      <c r="A163" s="24">
        <f ca="1">IFERROR(__xludf.DUMMYFUNCTION("""COMPUTED_VALUE"""),45669.6760333796)</f>
        <v>45669.676033379597</v>
      </c>
      <c r="B163" s="5" t="str">
        <f ca="1">IFERROR(__xludf.DUMMYFUNCTION("""COMPUTED_VALUE"""),"8680 Franklin Ave")</f>
        <v>8680 Franklin Ave</v>
      </c>
      <c r="C163" s="5" t="str">
        <f ca="1">IFERROR(__xludf.DUMMYFUNCTION("""COMPUTED_VALUE"""),"Los Angeles")</f>
        <v>Los Angeles</v>
      </c>
      <c r="D163" s="5" t="str">
        <f ca="1">IFERROR(__xludf.DUMMYFUNCTION("""COMPUTED_VALUE"""),"CA")</f>
        <v>CA</v>
      </c>
      <c r="E163" s="5">
        <f ca="1">IFERROR(__xludf.DUMMYFUNCTION("""COMPUTED_VALUE"""),90069)</f>
        <v>90069</v>
      </c>
      <c r="F163" s="19">
        <f ca="1">IFERROR(__xludf.DUMMYFUNCTION("""COMPUTED_VALUE"""),20000)</f>
        <v>20000</v>
      </c>
      <c r="G163" s="19">
        <f ca="1">IFERROR(__xludf.DUMMYFUNCTION("""COMPUTED_VALUE"""),26000)</f>
        <v>26000</v>
      </c>
      <c r="H163" s="18">
        <f ca="1">IFERROR(__xludf.DUMMYFUNCTION("""COMPUTED_VALUE"""),45665)</f>
        <v>45665</v>
      </c>
      <c r="I163" s="5" t="str">
        <f ca="1">IFERROR(__xludf.DUMMYFUNCTION("""COMPUTED_VALUE"""),"Zillow")</f>
        <v>Zillow</v>
      </c>
      <c r="J163" s="25" t="str">
        <f ca="1">IFERROR(__xludf.DUMMYFUNCTION("""COMPUTED_VALUE"""),"https://www.zillow.com/homedetails/8680-Franklin-Ave-Los-Angeles-CA-90069/20798318_zpid/")</f>
        <v>https://www.zillow.com/homedetails/8680-Franklin-Ave-Los-Angeles-CA-90069/20798318_zpid/</v>
      </c>
      <c r="K163" s="5" t="str">
        <f ca="1">IFERROR(__xludf.DUMMYFUNCTION("""COMPUTED_VALUE"""),"Rhiannon Genov, LA Estate Brokerage")</f>
        <v>Rhiannon Genov, LA Estate Brokerage</v>
      </c>
      <c r="L163" s="5"/>
      <c r="M163" s="5"/>
      <c r="N163" s="26" t="str">
        <f ca="1">IFERROR(__xludf.DUMMYFUNCTION("""COMPUTED_VALUE"""),"https://drive.google.com/open?id=1A-soIUjd5PAmtxUsxqHcRj8j0ub7wEGb")</f>
        <v>https://drive.google.com/open?id=1A-soIUjd5PAmtxUsxqHcRj8j0ub7wEGb</v>
      </c>
      <c r="O163" s="5">
        <f ca="1">IFERROR(__xludf.DUMMYFUNCTION("""COMPUTED_VALUE"""),5558019012)</f>
        <v>5558019012</v>
      </c>
      <c r="P163" s="5" t="str">
        <f ca="1">IFERROR(__xludf.DUMMYFUNCTION("""COMPUTED_VALUE"""),"(408) 829-3693")</f>
        <v>(408) 829-3693</v>
      </c>
      <c r="Q163" s="5"/>
      <c r="R163" s="5"/>
      <c r="S163" s="5"/>
      <c r="T163" s="5"/>
    </row>
    <row r="164" spans="1:20" ht="12.75">
      <c r="A164" s="24">
        <f ca="1">IFERROR(__xludf.DUMMYFUNCTION("""COMPUTED_VALUE"""),45669.6779283101)</f>
        <v>45669.677928310099</v>
      </c>
      <c r="B164" s="5" t="str">
        <f ca="1">IFERROR(__xludf.DUMMYFUNCTION("""COMPUTED_VALUE"""),"1106 Oakwood Ave")</f>
        <v>1106 Oakwood Ave</v>
      </c>
      <c r="C164" s="5" t="str">
        <f ca="1">IFERROR(__xludf.DUMMYFUNCTION("""COMPUTED_VALUE"""),"Venice")</f>
        <v>Venice</v>
      </c>
      <c r="D164" s="5" t="str">
        <f ca="1">IFERROR(__xludf.DUMMYFUNCTION("""COMPUTED_VALUE"""),"CA")</f>
        <v>CA</v>
      </c>
      <c r="E164" s="5">
        <f ca="1">IFERROR(__xludf.DUMMYFUNCTION("""COMPUTED_VALUE"""),90291)</f>
        <v>90291</v>
      </c>
      <c r="F164" s="19">
        <f ca="1">IFERROR(__xludf.DUMMYFUNCTION("""COMPUTED_VALUE"""),8459)</f>
        <v>8459</v>
      </c>
      <c r="G164" s="19">
        <f ca="1">IFERROR(__xludf.DUMMYFUNCTION("""COMPUTED_VALUE"""),11000)</f>
        <v>11000</v>
      </c>
      <c r="H164" s="18">
        <f ca="1">IFERROR(__xludf.DUMMYFUNCTION("""COMPUTED_VALUE"""),45669)</f>
        <v>45669</v>
      </c>
      <c r="I164" s="5" t="str">
        <f ca="1">IFERROR(__xludf.DUMMYFUNCTION("""COMPUTED_VALUE"""),"Zillow")</f>
        <v>Zillow</v>
      </c>
      <c r="J164" s="25" t="str">
        <f ca="1">IFERROR(__xludf.DUMMYFUNCTION("""COMPUTED_VALUE"""),"https://www.zillow.com/homedetails/1106-Oakwood-Ave-Venice-CA-90291/20450981_zpid/?utm_campaign=iosappmessage&amp;utm_medium=referral&amp;utm_source=txtshare")</f>
        <v>https://www.zillow.com/homedetails/1106-Oakwood-Ave-Venice-CA-90291/20450981_zpid/?utm_campaign=iosappmessage&amp;utm_medium=referral&amp;utm_source=txtshare</v>
      </c>
      <c r="K164" s="5"/>
      <c r="L164" s="5" t="str">
        <f ca="1">IFERROR(__xludf.DUMMYFUNCTION("""COMPUTED_VALUE"""),"Megan Raney Aarons")</f>
        <v>Megan Raney Aarons</v>
      </c>
      <c r="M164" s="5"/>
      <c r="N164" s="26" t="str">
        <f ca="1">IFERROR(__xludf.DUMMYFUNCTION("""COMPUTED_VALUE"""),"https://drive.google.com/open?id=1UJACklG5nc83YYFqXuqqrCbbt1GVb80Y")</f>
        <v>https://drive.google.com/open?id=1UJACklG5nc83YYFqXuqqrCbbt1GVb80Y</v>
      </c>
      <c r="O164" s="5">
        <f ca="1">IFERROR(__xludf.DUMMYFUNCTION("""COMPUTED_VALUE"""),4239017002)</f>
        <v>4239017002</v>
      </c>
      <c r="P164" s="5"/>
      <c r="Q164" s="5"/>
      <c r="R164" s="5" t="str">
        <f ca="1">IFERROR(__xludf.DUMMYFUNCTION("""COMPUTED_VALUE"""),"310) 266-1611")</f>
        <v>310) 266-1611</v>
      </c>
      <c r="S164" s="5"/>
      <c r="T164" s="5"/>
    </row>
    <row r="165" spans="1:20" ht="12.75">
      <c r="A165" s="24">
        <f ca="1">IFERROR(__xludf.DUMMYFUNCTION("""COMPUTED_VALUE"""),45669.6779536342)</f>
        <v>45669.6779536342</v>
      </c>
      <c r="B165" s="5" t="str">
        <f ca="1">IFERROR(__xludf.DUMMYFUNCTION("""COMPUTED_VALUE"""),"13018 Chandler Blvd")</f>
        <v>13018 Chandler Blvd</v>
      </c>
      <c r="C165" s="5" t="str">
        <f ca="1">IFERROR(__xludf.DUMMYFUNCTION("""COMPUTED_VALUE"""),"Los Angeles ")</f>
        <v xml:space="preserve">Los Angeles </v>
      </c>
      <c r="D165" s="5" t="str">
        <f ca="1">IFERROR(__xludf.DUMMYFUNCTION("""COMPUTED_VALUE"""),"CA")</f>
        <v>CA</v>
      </c>
      <c r="E165" s="5">
        <f ca="1">IFERROR(__xludf.DUMMYFUNCTION("""COMPUTED_VALUE"""),91401)</f>
        <v>91401</v>
      </c>
      <c r="F165" s="19">
        <f ca="1">IFERROR(__xludf.DUMMYFUNCTION("""COMPUTED_VALUE"""),40000)</f>
        <v>40000</v>
      </c>
      <c r="G165" s="19">
        <f ca="1">IFERROR(__xludf.DUMMYFUNCTION("""COMPUTED_VALUE"""),45000)</f>
        <v>45000</v>
      </c>
      <c r="H165" s="18">
        <f ca="1">IFERROR(__xludf.DUMMYFUNCTION("""COMPUTED_VALUE"""),45931)</f>
        <v>45931</v>
      </c>
      <c r="I165" s="5" t="str">
        <f ca="1">IFERROR(__xludf.DUMMYFUNCTION("""COMPUTED_VALUE"""),"Zillow")</f>
        <v>Zillow</v>
      </c>
      <c r="J165" s="25" t="str">
        <f ca="1">IFERROR(__xludf.DUMMYFUNCTION("""COMPUTED_VALUE"""),"https://www.zillow.com/homedetails/13018-Chandler-Blvd-Van-Nuys-CA-91401/440548973_zpid/")</f>
        <v>https://www.zillow.com/homedetails/13018-Chandler-Blvd-Van-Nuys-CA-91401/440548973_zpid/</v>
      </c>
      <c r="K165" s="5" t="str">
        <f ca="1">IFERROR(__xludf.DUMMYFUNCTION("""COMPUTED_VALUE"""),"Avi Shabtai")</f>
        <v>Avi Shabtai</v>
      </c>
      <c r="L165" s="5"/>
      <c r="M165" s="5"/>
      <c r="N165" s="5" t="str">
        <f ca="1">IFERROR(__xludf.DUMMYFUNCTION("""COMPUTED_VALUE"""),"https://drive.google.com/open?id=1M9FMrA82UqEbAKIPSvj1I-A4CIkfPQH2, https://drive.google.com/open?id=11YM4GPdSNEKTKyuRqOiDsTq1HYXpmv2D, https://drive.google.com/open?id=1BmyV7O43tpmG2fnzrO12kXmZXi5x6JM4")</f>
        <v>https://drive.google.com/open?id=1M9FMrA82UqEbAKIPSvj1I-A4CIkfPQH2, https://drive.google.com/open?id=11YM4GPdSNEKTKyuRqOiDsTq1HYXpmv2D, https://drive.google.com/open?id=1BmyV7O43tpmG2fnzrO12kXmZXi5x6JM4</v>
      </c>
      <c r="O165" s="5" t="str">
        <f ca="1">IFERROR(__xludf.DUMMYFUNCTION("""COMPUTED_VALUE"""),"NA")</f>
        <v>NA</v>
      </c>
      <c r="P165" s="5" t="str">
        <f ca="1">IFERROR(__xludf.DUMMYFUNCTION("""COMPUTED_VALUE"""),"(818) 300 9909")</f>
        <v>(818) 300 9909</v>
      </c>
      <c r="Q165" s="5"/>
      <c r="R165" s="5"/>
      <c r="S165" s="5"/>
      <c r="T165" s="5"/>
    </row>
    <row r="166" spans="1:20" ht="12.75">
      <c r="A166" s="24">
        <f ca="1">IFERROR(__xludf.DUMMYFUNCTION("""COMPUTED_VALUE"""),45669.6792206481)</f>
        <v>45669.679220648097</v>
      </c>
      <c r="B166" s="5" t="str">
        <f ca="1">IFERROR(__xludf.DUMMYFUNCTION("""COMPUTED_VALUE"""),"1533 Marlay Dr")</f>
        <v>1533 Marlay Dr</v>
      </c>
      <c r="C166" s="5" t="str">
        <f ca="1">IFERROR(__xludf.DUMMYFUNCTION("""COMPUTED_VALUE"""),"West Hollywood")</f>
        <v>West Hollywood</v>
      </c>
      <c r="D166" s="5" t="str">
        <f ca="1">IFERROR(__xludf.DUMMYFUNCTION("""COMPUTED_VALUE"""),"CA")</f>
        <v>CA</v>
      </c>
      <c r="E166" s="5">
        <f ca="1">IFERROR(__xludf.DUMMYFUNCTION("""COMPUTED_VALUE"""),90069)</f>
        <v>90069</v>
      </c>
      <c r="F166" s="19">
        <f ca="1">IFERROR(__xludf.DUMMYFUNCTION("""COMPUTED_VALUE"""),26000)</f>
        <v>26000</v>
      </c>
      <c r="G166" s="19">
        <f ca="1">IFERROR(__xludf.DUMMYFUNCTION("""COMPUTED_VALUE"""),30000)</f>
        <v>30000</v>
      </c>
      <c r="H166" s="18">
        <f ca="1">IFERROR(__xludf.DUMMYFUNCTION("""COMPUTED_VALUE"""),45666)</f>
        <v>45666</v>
      </c>
      <c r="I166" s="5" t="str">
        <f ca="1">IFERROR(__xludf.DUMMYFUNCTION("""COMPUTED_VALUE"""),"Zillow")</f>
        <v>Zillow</v>
      </c>
      <c r="J166" s="25" t="str">
        <f ca="1">IFERROR(__xludf.DUMMYFUNCTION("""COMPUTED_VALUE"""),"https://www.zillow.com/homedetails/1533-Marlay-Dr-West-Hollywood-CA-90069/20798034_zpid/")</f>
        <v>https://www.zillow.com/homedetails/1533-Marlay-Dr-West-Hollywood-CA-90069/20798034_zpid/</v>
      </c>
      <c r="K166" s="5" t="str">
        <f ca="1">IFERROR(__xludf.DUMMYFUNCTION("""COMPUTED_VALUE"""),"Tracy Tutor, Compass")</f>
        <v>Tracy Tutor, Compass</v>
      </c>
      <c r="L166" s="5"/>
      <c r="M166" s="5"/>
      <c r="N166" s="26" t="str">
        <f ca="1">IFERROR(__xludf.DUMMYFUNCTION("""COMPUTED_VALUE"""),"https://drive.google.com/open?id=1XP6fivbXUPcz0msibc26R74FE1q5PfEQ")</f>
        <v>https://drive.google.com/open?id=1XP6fivbXUPcz0msibc26R74FE1q5PfEQ</v>
      </c>
      <c r="O166" s="5">
        <f ca="1">IFERROR(__xludf.DUMMYFUNCTION("""COMPUTED_VALUE"""),5556031008)</f>
        <v>5556031008</v>
      </c>
      <c r="P166" s="5" t="str">
        <f ca="1">IFERROR(__xludf.DUMMYFUNCTION("""COMPUTED_VALUE"""),"(310) 464-2321")</f>
        <v>(310) 464-2321</v>
      </c>
      <c r="Q166" s="5"/>
      <c r="R166" s="5"/>
      <c r="S166" s="5"/>
      <c r="T166" s="5"/>
    </row>
    <row r="167" spans="1:20" ht="12.75">
      <c r="A167" s="24">
        <f ca="1">IFERROR(__xludf.DUMMYFUNCTION("""COMPUTED_VALUE"""),45669.6820276967)</f>
        <v>45669.682027696697</v>
      </c>
      <c r="B167" s="5" t="str">
        <f ca="1">IFERROR(__xludf.DUMMYFUNCTION("""COMPUTED_VALUE"""),"748 S Cloverdale Ave")</f>
        <v>748 S Cloverdale Ave</v>
      </c>
      <c r="C167" s="5" t="str">
        <f ca="1">IFERROR(__xludf.DUMMYFUNCTION("""COMPUTED_VALUE"""),"Los Angeles")</f>
        <v>Los Angeles</v>
      </c>
      <c r="D167" s="5" t="str">
        <f ca="1">IFERROR(__xludf.DUMMYFUNCTION("""COMPUTED_VALUE"""),"CA")</f>
        <v>CA</v>
      </c>
      <c r="E167" s="5">
        <f ca="1">IFERROR(__xludf.DUMMYFUNCTION("""COMPUTED_VALUE"""),90036)</f>
        <v>90036</v>
      </c>
      <c r="F167" s="19">
        <f ca="1">IFERROR(__xludf.DUMMYFUNCTION("""COMPUTED_VALUE"""),19500)</f>
        <v>19500</v>
      </c>
      <c r="G167" s="19">
        <f ca="1">IFERROR(__xludf.DUMMYFUNCTION("""COMPUTED_VALUE"""),26000)</f>
        <v>26000</v>
      </c>
      <c r="H167" s="18">
        <f ca="1">IFERROR(__xludf.DUMMYFUNCTION("""COMPUTED_VALUE"""),45669)</f>
        <v>45669</v>
      </c>
      <c r="I167" s="5" t="str">
        <f ca="1">IFERROR(__xludf.DUMMYFUNCTION("""COMPUTED_VALUE"""),"Zillow")</f>
        <v>Zillow</v>
      </c>
      <c r="J167" s="25" t="str">
        <f ca="1">IFERROR(__xludf.DUMMYFUNCTION("""COMPUTED_VALUE"""),"https://www.zillow.com/homedetails/748-S-Cloverdale-Ave-Los-Angeles-CA-90036/20610066_zpid/")</f>
        <v>https://www.zillow.com/homedetails/748-S-Cloverdale-Ave-Los-Angeles-CA-90036/20610066_zpid/</v>
      </c>
      <c r="K167" s="5" t="str">
        <f ca="1">IFERROR(__xludf.DUMMYFUNCTION("""COMPUTED_VALUE"""),"Daniel Dangoor")</f>
        <v>Daniel Dangoor</v>
      </c>
      <c r="L167" s="5"/>
      <c r="M167" s="5" t="str">
        <f ca="1">IFERROR(__xludf.DUMMYFUNCTION("""COMPUTED_VALUE"""),"33.3% increase since last listing 3/9/24")</f>
        <v>33.3% increase since last listing 3/9/24</v>
      </c>
      <c r="N167" s="5" t="str">
        <f ca="1">IFERROR(__xludf.DUMMYFUNCTION("""COMPUTED_VALUE"""),"https://drive.google.com/open?id=1GifDbM7Ruy5Dy7TJd1nCVeWc2ymM3okG, https://drive.google.com/open?id=1Nnmox1_mUzJ78wOKWFGeE69_ZmQH8w4S")</f>
        <v>https://drive.google.com/open?id=1GifDbM7Ruy5Dy7TJd1nCVeWc2ymM3okG, https://drive.google.com/open?id=1Nnmox1_mUzJ78wOKWFGeE69_ZmQH8w4S</v>
      </c>
      <c r="O167" s="5">
        <f ca="1">IFERROR(__xludf.DUMMYFUNCTION("""COMPUTED_VALUE"""),5089002014)</f>
        <v>5089002014</v>
      </c>
      <c r="P167" s="5" t="str">
        <f ca="1">IFERROR(__xludf.DUMMYFUNCTION("""COMPUTED_VALUE"""),"(424) 444-0084")</f>
        <v>(424) 444-0084</v>
      </c>
      <c r="Q167" s="5"/>
      <c r="R167" s="5"/>
      <c r="S167" s="5"/>
      <c r="T167" s="5"/>
    </row>
    <row r="168" spans="1:20" ht="12.75">
      <c r="A168" s="24">
        <f ca="1">IFERROR(__xludf.DUMMYFUNCTION("""COMPUTED_VALUE"""),45669.6824602314)</f>
        <v>45669.682460231401</v>
      </c>
      <c r="B168" s="5" t="str">
        <f ca="1">IFERROR(__xludf.DUMMYFUNCTION("""COMPUTED_VALUE"""),"637 Oxford Ave")</f>
        <v>637 Oxford Ave</v>
      </c>
      <c r="C168" s="5" t="str">
        <f ca="1">IFERROR(__xludf.DUMMYFUNCTION("""COMPUTED_VALUE"""),"Venice")</f>
        <v>Venice</v>
      </c>
      <c r="D168" s="5" t="str">
        <f ca="1">IFERROR(__xludf.DUMMYFUNCTION("""COMPUTED_VALUE"""),"CA")</f>
        <v>CA</v>
      </c>
      <c r="E168" s="5">
        <f ca="1">IFERROR(__xludf.DUMMYFUNCTION("""COMPUTED_VALUE"""),90291)</f>
        <v>90291</v>
      </c>
      <c r="F168" s="19">
        <f ca="1">IFERROR(__xludf.DUMMYFUNCTION("""COMPUTED_VALUE"""),7250)</f>
        <v>7250</v>
      </c>
      <c r="G168" s="19">
        <f ca="1">IFERROR(__xludf.DUMMYFUNCTION("""COMPUTED_VALUE"""),7995)</f>
        <v>7995</v>
      </c>
      <c r="H168" s="18">
        <f ca="1">IFERROR(__xludf.DUMMYFUNCTION("""COMPUTED_VALUE"""),-684818)</f>
        <v>-684818</v>
      </c>
      <c r="I168" s="5" t="str">
        <f ca="1">IFERROR(__xludf.DUMMYFUNCTION("""COMPUTED_VALUE"""),"Zillow")</f>
        <v>Zillow</v>
      </c>
      <c r="J168" s="25" t="str">
        <f ca="1">IFERROR(__xludf.DUMMYFUNCTION("""COMPUTED_VALUE"""),"https://www.zillow.com/homedetails/637-Oxford-Ave-Venice-CA-90291/20445192_zpid/")</f>
        <v>https://www.zillow.com/homedetails/637-Oxford-Ave-Venice-CA-90291/20445192_zpid/</v>
      </c>
      <c r="K168" s="5"/>
      <c r="L168" s="5"/>
      <c r="M168" s="5"/>
      <c r="N168" s="5" t="str">
        <f ca="1">IFERROR(__xludf.DUMMYFUNCTION("""COMPUTED_VALUE"""),"https://drive.google.com/open?id=1SvFuB6NoY9HqCxe9AxAHnZgTT455nnJi, https://drive.google.com/open?id=1zQfjVPZ2uxX94EB2ml3RaIVy4Og4ISb0")</f>
        <v>https://drive.google.com/open?id=1SvFuB6NoY9HqCxe9AxAHnZgTT455nnJi, https://drive.google.com/open?id=1zQfjVPZ2uxX94EB2ml3RaIVy4Og4ISb0</v>
      </c>
      <c r="O168" s="5">
        <f ca="1">IFERROR(__xludf.DUMMYFUNCTION("""COMPUTED_VALUE"""),4229011016)</f>
        <v>4229011016</v>
      </c>
      <c r="P168" s="5"/>
      <c r="Q168" s="5"/>
      <c r="R168" s="5"/>
      <c r="S168" s="5"/>
      <c r="T168" s="5"/>
    </row>
    <row r="169" spans="1:20" ht="12.75">
      <c r="A169" s="24">
        <f ca="1">IFERROR(__xludf.DUMMYFUNCTION("""COMPUTED_VALUE"""),45669.682932662)</f>
        <v>45669.682932661999</v>
      </c>
      <c r="B169" s="5" t="str">
        <f ca="1">IFERROR(__xludf.DUMMYFUNCTION("""COMPUTED_VALUE"""),"1612 Courtney Ave")</f>
        <v>1612 Courtney Ave</v>
      </c>
      <c r="C169" s="5" t="str">
        <f ca="1">IFERROR(__xludf.DUMMYFUNCTION("""COMPUTED_VALUE"""),"Los Angeles")</f>
        <v>Los Angeles</v>
      </c>
      <c r="D169" s="5" t="str">
        <f ca="1">IFERROR(__xludf.DUMMYFUNCTION("""COMPUTED_VALUE"""),"CA")</f>
        <v>CA</v>
      </c>
      <c r="E169" s="5">
        <f ca="1">IFERROR(__xludf.DUMMYFUNCTION("""COMPUTED_VALUE"""),90046)</f>
        <v>90046</v>
      </c>
      <c r="F169" s="19">
        <f ca="1">IFERROR(__xludf.DUMMYFUNCTION("""COMPUTED_VALUE"""),8900)</f>
        <v>8900</v>
      </c>
      <c r="G169" s="19">
        <f ca="1">IFERROR(__xludf.DUMMYFUNCTION("""COMPUTED_VALUE"""),10500)</f>
        <v>10500</v>
      </c>
      <c r="H169" s="18">
        <f ca="1">IFERROR(__xludf.DUMMYFUNCTION("""COMPUTED_VALUE"""),45668)</f>
        <v>45668</v>
      </c>
      <c r="I169" s="5" t="str">
        <f ca="1">IFERROR(__xludf.DUMMYFUNCTION("""COMPUTED_VALUE"""),"Zillow")</f>
        <v>Zillow</v>
      </c>
      <c r="J169" s="25" t="str">
        <f ca="1">IFERROR(__xludf.DUMMYFUNCTION("""COMPUTED_VALUE"""),"https://www.zillow.com/homedetails/1612-Courtney-Ave-Los-Angeles-CA-90046/20794166_zpid/")</f>
        <v>https://www.zillow.com/homedetails/1612-Courtney-Ave-Los-Angeles-CA-90046/20794166_zpid/</v>
      </c>
      <c r="K169" s="5" t="str">
        <f ca="1">IFERROR(__xludf.DUMMYFUNCTION("""COMPUTED_VALUE"""),"Robert Erickson, Erickson Estates, Inc")</f>
        <v>Robert Erickson, Erickson Estates, Inc</v>
      </c>
      <c r="L169" s="5"/>
      <c r="M169" s="5"/>
      <c r="N169" s="26" t="str">
        <f ca="1">IFERROR(__xludf.DUMMYFUNCTION("""COMPUTED_VALUE"""),"https://drive.google.com/open?id=1DKzGSKa1tenN-YHceTeH8MAIko197Sm-")</f>
        <v>https://drive.google.com/open?id=1DKzGSKa1tenN-YHceTeH8MAIko197Sm-</v>
      </c>
      <c r="O169" s="5">
        <f ca="1">IFERROR(__xludf.DUMMYFUNCTION("""COMPUTED_VALUE"""),5550004003)</f>
        <v>5550004003</v>
      </c>
      <c r="P169" s="5" t="str">
        <f ca="1">IFERROR(__xludf.DUMMYFUNCTION("""COMPUTED_VALUE"""),"(310) 890-7895")</f>
        <v>(310) 890-7895</v>
      </c>
      <c r="Q169" s="5"/>
      <c r="R169" s="5"/>
      <c r="S169" s="5"/>
      <c r="T169" s="5"/>
    </row>
    <row r="170" spans="1:20" ht="12.75">
      <c r="A170" s="24">
        <f ca="1">IFERROR(__xludf.DUMMYFUNCTION("""COMPUTED_VALUE"""),45669.6837894791)</f>
        <v>45669.683789479102</v>
      </c>
      <c r="B170" s="5" t="str">
        <f ca="1">IFERROR(__xludf.DUMMYFUNCTION("""COMPUTED_VALUE"""),"2203 N Bowmont Dr")</f>
        <v>2203 N Bowmont Dr</v>
      </c>
      <c r="C170" s="5" t="str">
        <f ca="1">IFERROR(__xludf.DUMMYFUNCTION("""COMPUTED_VALUE"""),"Beverly Hills")</f>
        <v>Beverly Hills</v>
      </c>
      <c r="D170" s="5" t="str">
        <f ca="1">IFERROR(__xludf.DUMMYFUNCTION("""COMPUTED_VALUE"""),"CA")</f>
        <v>CA</v>
      </c>
      <c r="E170" s="5">
        <f ca="1">IFERROR(__xludf.DUMMYFUNCTION("""COMPUTED_VALUE"""),90210)</f>
        <v>90210</v>
      </c>
      <c r="F170" s="19">
        <f ca="1">IFERROR(__xludf.DUMMYFUNCTION("""COMPUTED_VALUE"""),11800)</f>
        <v>11800</v>
      </c>
      <c r="G170" s="19">
        <f ca="1">IFERROR(__xludf.DUMMYFUNCTION("""COMPUTED_VALUE"""),32000)</f>
        <v>32000</v>
      </c>
      <c r="H170" s="18">
        <f ca="1">IFERROR(__xludf.DUMMYFUNCTION("""COMPUTED_VALUE"""),45664)</f>
        <v>45664</v>
      </c>
      <c r="I170" s="5" t="str">
        <f ca="1">IFERROR(__xludf.DUMMYFUNCTION("""COMPUTED_VALUE"""),"Zillow")</f>
        <v>Zillow</v>
      </c>
      <c r="J170" s="25" t="str">
        <f ca="1">IFERROR(__xludf.DUMMYFUNCTION("""COMPUTED_VALUE"""),"https://www.zillow.com/homedetails/2203-N-Bowmont-Dr-Beverly-Hills-CA-90210/20534087_zpid/")</f>
        <v>https://www.zillow.com/homedetails/2203-N-Bowmont-Dr-Beverly-Hills-CA-90210/20534087_zpid/</v>
      </c>
      <c r="K170" s="5" t="str">
        <f ca="1">IFERROR(__xludf.DUMMYFUNCTION("""COMPUTED_VALUE"""),"Stay Awhile Villas")</f>
        <v>Stay Awhile Villas</v>
      </c>
      <c r="L170" s="5"/>
      <c r="M170" s="5" t="str">
        <f ca="1">IFERROR(__xludf.DUMMYFUNCTION("""COMPUTED_VALUE"""),"Increased an additional $1950 on 1/9/25, initial increase was 171.2%")</f>
        <v>Increased an additional $1950 on 1/9/25, initial increase was 171.2%</v>
      </c>
      <c r="N170" s="5" t="str">
        <f ca="1">IFERROR(__xludf.DUMMYFUNCTION("""COMPUTED_VALUE"""),"https://drive.google.com/open?id=1qLSJOltaK8X9imth_DqjIPxlolJluBy7, https://drive.google.com/open?id=1f2Sz0XZtA4eKIDT0adth30XKYzuVe7G2")</f>
        <v>https://drive.google.com/open?id=1qLSJOltaK8X9imth_DqjIPxlolJluBy7, https://drive.google.com/open?id=1f2Sz0XZtA4eKIDT0adth30XKYzuVe7G2</v>
      </c>
      <c r="O170" s="5">
        <f ca="1">IFERROR(__xludf.DUMMYFUNCTION("""COMPUTED_VALUE"""),4388010036)</f>
        <v>4388010036</v>
      </c>
      <c r="P170" s="5" t="str">
        <f ca="1">IFERROR(__xludf.DUMMYFUNCTION("""COMPUTED_VALUE"""),"(310) 310-2711")</f>
        <v>(310) 310-2711</v>
      </c>
      <c r="Q170" s="5"/>
      <c r="R170" s="5"/>
      <c r="S170" s="5"/>
      <c r="T170" s="5"/>
    </row>
    <row r="171" spans="1:20" ht="12.75">
      <c r="A171" s="24">
        <f ca="1">IFERROR(__xludf.DUMMYFUNCTION("""COMPUTED_VALUE"""),45669.6865190856)</f>
        <v>45669.686519085597</v>
      </c>
      <c r="B171" s="5" t="str">
        <f ca="1">IFERROR(__xludf.DUMMYFUNCTION("""COMPUTED_VALUE"""),"1941 Glencoe Way")</f>
        <v>1941 Glencoe Way</v>
      </c>
      <c r="C171" s="5" t="str">
        <f ca="1">IFERROR(__xludf.DUMMYFUNCTION("""COMPUTED_VALUE"""),"Los Angeles")</f>
        <v>Los Angeles</v>
      </c>
      <c r="D171" s="5" t="str">
        <f ca="1">IFERROR(__xludf.DUMMYFUNCTION("""COMPUTED_VALUE"""),"CA")</f>
        <v>CA</v>
      </c>
      <c r="E171" s="5">
        <f ca="1">IFERROR(__xludf.DUMMYFUNCTION("""COMPUTED_VALUE"""),90068)</f>
        <v>90068</v>
      </c>
      <c r="F171" s="19">
        <f ca="1">IFERROR(__xludf.DUMMYFUNCTION("""COMPUTED_VALUE"""),8500)</f>
        <v>8500</v>
      </c>
      <c r="G171" s="19">
        <f ca="1">IFERROR(__xludf.DUMMYFUNCTION("""COMPUTED_VALUE"""),12500)</f>
        <v>12500</v>
      </c>
      <c r="H171" s="18">
        <f ca="1">IFERROR(__xludf.DUMMYFUNCTION("""COMPUTED_VALUE"""),45668)</f>
        <v>45668</v>
      </c>
      <c r="I171" s="5" t="str">
        <f ca="1">IFERROR(__xludf.DUMMYFUNCTION("""COMPUTED_VALUE"""),"Zillow")</f>
        <v>Zillow</v>
      </c>
      <c r="J171" s="25" t="str">
        <f ca="1">IFERROR(__xludf.DUMMYFUNCTION("""COMPUTED_VALUE"""),"https://www.zillow.com/homedetails/1941-Glencoe-Way-Los-Angeles-CA-90068/20793801_zpid/")</f>
        <v>https://www.zillow.com/homedetails/1941-Glencoe-Way-Los-Angeles-CA-90068/20793801_zpid/</v>
      </c>
      <c r="K171" s="5" t="str">
        <f ca="1">IFERROR(__xludf.DUMMYFUNCTION("""COMPUTED_VALUE"""),"Shaked and Andrea Berenson")</f>
        <v>Shaked and Andrea Berenson</v>
      </c>
      <c r="L171" s="5"/>
      <c r="M171" s="5"/>
      <c r="N171" s="5" t="str">
        <f ca="1">IFERROR(__xludf.DUMMYFUNCTION("""COMPUTED_VALUE"""),"https://drive.google.com/open?id=1KIwqg617OILA2Z3n4UJmjm8UJ23dHQKb, https://drive.google.com/open?id=1kON3ImZlCafGvi92KAIobyLmxqiPhmTw")</f>
        <v>https://drive.google.com/open?id=1KIwqg617OILA2Z3n4UJmjm8UJ23dHQKb, https://drive.google.com/open?id=1kON3ImZlCafGvi92KAIobyLmxqiPhmTw</v>
      </c>
      <c r="O171" s="5">
        <f ca="1">IFERROR(__xludf.DUMMYFUNCTION("""COMPUTED_VALUE"""),5549022024)</f>
        <v>5549022024</v>
      </c>
      <c r="P171" s="5" t="str">
        <f ca="1">IFERROR(__xludf.DUMMYFUNCTION("""COMPUTED_VALUE"""),"(213) 645-2864")</f>
        <v>(213) 645-2864</v>
      </c>
      <c r="Q171" s="5"/>
      <c r="R171" s="5"/>
      <c r="S171" s="5"/>
      <c r="T171" s="5"/>
    </row>
    <row r="172" spans="1:20" ht="12.75">
      <c r="A172" s="24">
        <f ca="1">IFERROR(__xludf.DUMMYFUNCTION("""COMPUTED_VALUE"""),45669.6874016898)</f>
        <v>45669.6874016898</v>
      </c>
      <c r="B172" s="5" t="str">
        <f ca="1">IFERROR(__xludf.DUMMYFUNCTION("""COMPUTED_VALUE"""),"8147 Mulholland Ter")</f>
        <v>8147 Mulholland Ter</v>
      </c>
      <c r="C172" s="5" t="str">
        <f ca="1">IFERROR(__xludf.DUMMYFUNCTION("""COMPUTED_VALUE"""),"Los Angeles")</f>
        <v>Los Angeles</v>
      </c>
      <c r="D172" s="5" t="str">
        <f ca="1">IFERROR(__xludf.DUMMYFUNCTION("""COMPUTED_VALUE"""),"CA")</f>
        <v>CA</v>
      </c>
      <c r="E172" s="5">
        <f ca="1">IFERROR(__xludf.DUMMYFUNCTION("""COMPUTED_VALUE"""),90047)</f>
        <v>90047</v>
      </c>
      <c r="F172" s="19">
        <f ca="1">IFERROR(__xludf.DUMMYFUNCTION("""COMPUTED_VALUE"""),15900)</f>
        <v>15900</v>
      </c>
      <c r="G172" s="19">
        <f ca="1">IFERROR(__xludf.DUMMYFUNCTION("""COMPUTED_VALUE"""),20000)</f>
        <v>20000</v>
      </c>
      <c r="H172" s="18">
        <f ca="1">IFERROR(__xludf.DUMMYFUNCTION("""COMPUTED_VALUE"""),45669)</f>
        <v>45669</v>
      </c>
      <c r="I172" s="5" t="str">
        <f ca="1">IFERROR(__xludf.DUMMYFUNCTION("""COMPUTED_VALUE"""),"Zillow")</f>
        <v>Zillow</v>
      </c>
      <c r="J172" s="25" t="str">
        <f ca="1">IFERROR(__xludf.DUMMYFUNCTION("""COMPUTED_VALUE"""),"https://www.zillow.com/homedetails/8147-Mulholland-Ter-Los-Angeles-CA-90046/20031972_zpid/?utm_campaign=iosappmessage&amp;utm_medium=referral&amp;utm_source=txtshare")</f>
        <v>https://www.zillow.com/homedetails/8147-Mulholland-Ter-Los-Angeles-CA-90046/20031972_zpid/?utm_campaign=iosappmessage&amp;utm_medium=referral&amp;utm_source=txtshare</v>
      </c>
      <c r="K172" s="5"/>
      <c r="L172" s="5" t="str">
        <f ca="1">IFERROR(__xludf.DUMMYFUNCTION("""COMPUTED_VALUE"""),"Lyndall")</f>
        <v>Lyndall</v>
      </c>
      <c r="M172" s="5"/>
      <c r="N172" s="5" t="str">
        <f ca="1">IFERROR(__xludf.DUMMYFUNCTION("""COMPUTED_VALUE"""),"https://drive.google.com/open?id=1XxZrlW3J4rO4tz29su9cdzZ5FtpvJZQ7, https://drive.google.com/open?id=1KIVhHw4l8eNJ3lAb2YQ_O5TH6jlT6PPa")</f>
        <v>https://drive.google.com/open?id=1XxZrlW3J4rO4tz29su9cdzZ5FtpvJZQ7, https://drive.google.com/open?id=1KIVhHw4l8eNJ3lAb2YQ_O5TH6jlT6PPa</v>
      </c>
      <c r="O172" s="5">
        <f ca="1">IFERROR(__xludf.DUMMYFUNCTION("""COMPUTED_VALUE"""),2381029002)</f>
        <v>2381029002</v>
      </c>
      <c r="P172" s="5"/>
      <c r="Q172" s="5"/>
      <c r="R172" s="5">
        <f ca="1">IFERROR(__xludf.DUMMYFUNCTION("""COMPUTED_VALUE"""),4242331575)</f>
        <v>4242331575</v>
      </c>
      <c r="S172" s="5"/>
      <c r="T172" s="5"/>
    </row>
    <row r="173" spans="1:20" ht="12.75">
      <c r="A173" s="24">
        <f ca="1">IFERROR(__xludf.DUMMYFUNCTION("""COMPUTED_VALUE"""),45669.6902740509)</f>
        <v>45669.690274050903</v>
      </c>
      <c r="B173" s="5" t="str">
        <f ca="1">IFERROR(__xludf.DUMMYFUNCTION("""COMPUTED_VALUE"""),"4227 McLaughlin Ave FLOOR 3-ID136")</f>
        <v>4227 McLaughlin Ave FLOOR 3-ID136</v>
      </c>
      <c r="C173" s="5" t="str">
        <f ca="1">IFERROR(__xludf.DUMMYFUNCTION("""COMPUTED_VALUE"""),"Los Angeles")</f>
        <v>Los Angeles</v>
      </c>
      <c r="D173" s="5" t="str">
        <f ca="1">IFERROR(__xludf.DUMMYFUNCTION("""COMPUTED_VALUE"""),"CA")</f>
        <v>CA</v>
      </c>
      <c r="E173" s="5">
        <f ca="1">IFERROR(__xludf.DUMMYFUNCTION("""COMPUTED_VALUE"""),90066)</f>
        <v>90066</v>
      </c>
      <c r="F173" s="19">
        <f ca="1">IFERROR(__xludf.DUMMYFUNCTION("""COMPUTED_VALUE"""),3700)</f>
        <v>3700</v>
      </c>
      <c r="G173" s="19">
        <f ca="1">IFERROR(__xludf.DUMMYFUNCTION("""COMPUTED_VALUE"""),4080)</f>
        <v>4080</v>
      </c>
      <c r="H173" s="18">
        <f ca="1">IFERROR(__xludf.DUMMYFUNCTION("""COMPUTED_VALUE"""),-684818)</f>
        <v>-684818</v>
      </c>
      <c r="I173" s="5" t="str">
        <f ca="1">IFERROR(__xludf.DUMMYFUNCTION("""COMPUTED_VALUE"""),"Zillow")</f>
        <v>Zillow</v>
      </c>
      <c r="J173" s="25" t="str">
        <f ca="1">IFERROR(__xludf.DUMMYFUNCTION("""COMPUTED_VALUE"""),"https://www.zillow.com/homedetails/4227-McLaughlin-Ave-FLOOR-3-ID136-Los-Angeles-CA-90066/439767586_zpid/")</f>
        <v>https://www.zillow.com/homedetails/4227-McLaughlin-Ave-FLOOR-3-ID136-Los-Angeles-CA-90066/439767586_zpid/</v>
      </c>
      <c r="K173" s="5" t="str">
        <f ca="1">IFERROR(__xludf.DUMMYFUNCTION("""COMPUTED_VALUE"""),"Blueground US BLUEGROUND Management company")</f>
        <v>Blueground US BLUEGROUND Management company</v>
      </c>
      <c r="L173" s="5"/>
      <c r="M173" s="5"/>
      <c r="N173" s="5" t="str">
        <f ca="1">IFERROR(__xludf.DUMMYFUNCTION("""COMPUTED_VALUE"""),"https://drive.google.com/open?id=1FR-jnhP8KST_5Rbmke4HAc3iWZaZ4iv0, https://drive.google.com/open?id=1hGJEKULIVd-p8jWgF0LQfNM3Efh_u16j")</f>
        <v>https://drive.google.com/open?id=1FR-jnhP8KST_5Rbmke4HAc3iWZaZ4iv0, https://drive.google.com/open?id=1hGJEKULIVd-p8jWgF0LQfNM3Efh_u16j</v>
      </c>
      <c r="O173" s="5" t="str">
        <f ca="1">IFERROR(__xludf.DUMMYFUNCTION("""COMPUTED_VALUE"""),"NA")</f>
        <v>NA</v>
      </c>
      <c r="P173" s="5" t="str">
        <f ca="1">IFERROR(__xludf.DUMMYFUNCTION("""COMPUTED_VALUE"""),"(323) 672-4236")</f>
        <v>(323) 672-4236</v>
      </c>
      <c r="Q173" s="5"/>
      <c r="R173" s="5"/>
      <c r="S173" s="5"/>
      <c r="T173" s="5"/>
    </row>
    <row r="174" spans="1:20" ht="12.75">
      <c r="A174" s="24">
        <f ca="1">IFERROR(__xludf.DUMMYFUNCTION("""COMPUTED_VALUE"""),45669.6925654513)</f>
        <v>45669.692565451303</v>
      </c>
      <c r="B174" s="5" t="str">
        <f ca="1">IFERROR(__xludf.DUMMYFUNCTION("""COMPUTED_VALUE"""),"1719 Wellesley Ave")</f>
        <v>1719 Wellesley Ave</v>
      </c>
      <c r="C174" s="5" t="str">
        <f ca="1">IFERROR(__xludf.DUMMYFUNCTION("""COMPUTED_VALUE"""),"Los Angeles")</f>
        <v>Los Angeles</v>
      </c>
      <c r="D174" s="5" t="str">
        <f ca="1">IFERROR(__xludf.DUMMYFUNCTION("""COMPUTED_VALUE"""),"CA")</f>
        <v>CA</v>
      </c>
      <c r="E174" s="5">
        <f ca="1">IFERROR(__xludf.DUMMYFUNCTION("""COMPUTED_VALUE"""),90025)</f>
        <v>90025</v>
      </c>
      <c r="F174" s="19">
        <f ca="1">IFERROR(__xludf.DUMMYFUNCTION("""COMPUTED_VALUE"""),8495)</f>
        <v>8495</v>
      </c>
      <c r="G174" s="19">
        <f ca="1">IFERROR(__xludf.DUMMYFUNCTION("""COMPUTED_VALUE"""),14995)</f>
        <v>14995</v>
      </c>
      <c r="H174" s="18">
        <f ca="1">IFERROR(__xludf.DUMMYFUNCTION("""COMPUTED_VALUE"""),45666)</f>
        <v>45666</v>
      </c>
      <c r="I174" s="5" t="str">
        <f ca="1">IFERROR(__xludf.DUMMYFUNCTION("""COMPUTED_VALUE"""),"Zillow")</f>
        <v>Zillow</v>
      </c>
      <c r="J174" s="25" t="str">
        <f ca="1">IFERROR(__xludf.DUMMYFUNCTION("""COMPUTED_VALUE"""),"https://www.zillow.com/homedetails/1719-Wellesley-Ave-Los-Angeles-CA-90025/20464247_zpid/")</f>
        <v>https://www.zillow.com/homedetails/1719-Wellesley-Ave-Los-Angeles-CA-90025/20464247_zpid/</v>
      </c>
      <c r="K174" s="5"/>
      <c r="L174" s="5"/>
      <c r="M174" s="5"/>
      <c r="N174" s="26" t="str">
        <f ca="1">IFERROR(__xludf.DUMMYFUNCTION("""COMPUTED_VALUE"""),"https://drive.google.com/open?id=1L6lLR96t0dkfGjJdxQLqEjpD7FQ2BMSf")</f>
        <v>https://drive.google.com/open?id=1L6lLR96t0dkfGjJdxQLqEjpD7FQ2BMSf</v>
      </c>
      <c r="O174" s="5">
        <f ca="1">IFERROR(__xludf.DUMMYFUNCTION("""COMPUTED_VALUE"""),4259009026)</f>
        <v>4259009026</v>
      </c>
      <c r="P174" s="5"/>
      <c r="Q174" s="5"/>
      <c r="R174" s="5"/>
      <c r="S174" s="5"/>
      <c r="T174" s="5"/>
    </row>
    <row r="175" spans="1:20" ht="12.75">
      <c r="A175" s="24">
        <f ca="1">IFERROR(__xludf.DUMMYFUNCTION("""COMPUTED_VALUE"""),45669.6959655555)</f>
        <v>45669.695965555497</v>
      </c>
      <c r="B175" s="5" t="str">
        <f ca="1">IFERROR(__xludf.DUMMYFUNCTION("""COMPUTED_VALUE"""),"1846 N Alvarado St")</f>
        <v>1846 N Alvarado St</v>
      </c>
      <c r="C175" s="5" t="str">
        <f ca="1">IFERROR(__xludf.DUMMYFUNCTION("""COMPUTED_VALUE"""),"Los Angeles")</f>
        <v>Los Angeles</v>
      </c>
      <c r="D175" s="5" t="str">
        <f ca="1">IFERROR(__xludf.DUMMYFUNCTION("""COMPUTED_VALUE"""),"CA")</f>
        <v>CA</v>
      </c>
      <c r="E175" s="5">
        <f ca="1">IFERROR(__xludf.DUMMYFUNCTION("""COMPUTED_VALUE"""),90026)</f>
        <v>90026</v>
      </c>
      <c r="F175" s="19">
        <f ca="1">IFERROR(__xludf.DUMMYFUNCTION("""COMPUTED_VALUE"""),4495)</f>
        <v>4495</v>
      </c>
      <c r="G175" s="19">
        <f ca="1">IFERROR(__xludf.DUMMYFUNCTION("""COMPUTED_VALUE"""),4995)</f>
        <v>4995</v>
      </c>
      <c r="H175" s="18">
        <f ca="1">IFERROR(__xludf.DUMMYFUNCTION("""COMPUTED_VALUE"""),-684817)</f>
        <v>-684817</v>
      </c>
      <c r="I175" s="5" t="str">
        <f ca="1">IFERROR(__xludf.DUMMYFUNCTION("""COMPUTED_VALUE"""),"Zillow")</f>
        <v>Zillow</v>
      </c>
      <c r="J175" s="25" t="str">
        <f ca="1">IFERROR(__xludf.DUMMYFUNCTION("""COMPUTED_VALUE"""),"https://www.zillow.com/homedetails/1846-N-Alvarado-St-Los-Angeles-CA-90026/20742169_zpid/")</f>
        <v>https://www.zillow.com/homedetails/1846-N-Alvarado-St-Los-Angeles-CA-90026/20742169_zpid/</v>
      </c>
      <c r="K175" s="5"/>
      <c r="L175" s="5"/>
      <c r="M175" s="5"/>
      <c r="N175" s="5" t="str">
        <f ca="1">IFERROR(__xludf.DUMMYFUNCTION("""COMPUTED_VALUE"""),"https://drive.google.com/open?id=1i3JsYHLxDov9XlOidmTvYRrS80EfpmMd, https://drive.google.com/open?id=1qv4I9qsYnlJEIMcXkohjBydfeoKM89sw")</f>
        <v>https://drive.google.com/open?id=1i3JsYHLxDov9XlOidmTvYRrS80EfpmMd, https://drive.google.com/open?id=1qv4I9qsYnlJEIMcXkohjBydfeoKM89sw</v>
      </c>
      <c r="O175" s="5">
        <f ca="1">IFERROR(__xludf.DUMMYFUNCTION("""COMPUTED_VALUE"""),5420002024)</f>
        <v>5420002024</v>
      </c>
      <c r="P175" s="5"/>
      <c r="Q175" s="5"/>
      <c r="R175" s="5"/>
      <c r="S175" s="5"/>
      <c r="T175" s="5"/>
    </row>
    <row r="176" spans="1:20" ht="12.75">
      <c r="A176" s="24">
        <f ca="1">IFERROR(__xludf.DUMMYFUNCTION("""COMPUTED_VALUE"""),45669.6963660301)</f>
        <v>45669.696366030097</v>
      </c>
      <c r="B176" s="5" t="str">
        <f ca="1">IFERROR(__xludf.DUMMYFUNCTION("""COMPUTED_VALUE"""),"4630 Vantage Ave")</f>
        <v>4630 Vantage Ave</v>
      </c>
      <c r="C176" s="5" t="str">
        <f ca="1">IFERROR(__xludf.DUMMYFUNCTION("""COMPUTED_VALUE"""),"Valley Village")</f>
        <v>Valley Village</v>
      </c>
      <c r="D176" s="5" t="str">
        <f ca="1">IFERROR(__xludf.DUMMYFUNCTION("""COMPUTED_VALUE"""),"CA")</f>
        <v>CA</v>
      </c>
      <c r="E176" s="5">
        <f ca="1">IFERROR(__xludf.DUMMYFUNCTION("""COMPUTED_VALUE"""),91607)</f>
        <v>91607</v>
      </c>
      <c r="F176" s="19">
        <f ca="1">IFERROR(__xludf.DUMMYFUNCTION("""COMPUTED_VALUE"""),12950)</f>
        <v>12950</v>
      </c>
      <c r="G176" s="19">
        <f ca="1">IFERROR(__xludf.DUMMYFUNCTION("""COMPUTED_VALUE"""),15995)</f>
        <v>15995</v>
      </c>
      <c r="H176" s="18">
        <f ca="1">IFERROR(__xludf.DUMMYFUNCTION("""COMPUTED_VALUE"""),45667)</f>
        <v>45667</v>
      </c>
      <c r="I176" s="5" t="str">
        <f ca="1">IFERROR(__xludf.DUMMYFUNCTION("""COMPUTED_VALUE"""),"Zillow")</f>
        <v>Zillow</v>
      </c>
      <c r="J176" s="25" t="str">
        <f ca="1">IFERROR(__xludf.DUMMYFUNCTION("""COMPUTED_VALUE"""),"https://www.zillow.com/homedetails/4630-Vantage-Ave-Valley-Village-CA-91607/2073592574_zpid/")</f>
        <v>https://www.zillow.com/homedetails/4630-Vantage-Ave-Valley-Village-CA-91607/2073592574_zpid/</v>
      </c>
      <c r="K176" s="5" t="str">
        <f ca="1">IFERROR(__xludf.DUMMYFUNCTION("""COMPUTED_VALUE"""),"Haggit Man")</f>
        <v>Haggit Man</v>
      </c>
      <c r="L176" s="5"/>
      <c r="M176" s="5"/>
      <c r="N176" s="5" t="str">
        <f ca="1">IFERROR(__xludf.DUMMYFUNCTION("""COMPUTED_VALUE"""),"https://drive.google.com/open?id=1ENJOqJN5vU4XC--88NFeD1LRdM1L3BNA, https://drive.google.com/open?id=16dLTX9IyCrD2V6eyLczm0hHxs1tAHcrl")</f>
        <v>https://drive.google.com/open?id=1ENJOqJN5vU4XC--88NFeD1LRdM1L3BNA, https://drive.google.com/open?id=16dLTX9IyCrD2V6eyLczm0hHxs1tAHcrl</v>
      </c>
      <c r="O176" s="5" t="str">
        <f ca="1">IFERROR(__xludf.DUMMYFUNCTION("""COMPUTED_VALUE"""),"NA")</f>
        <v>NA</v>
      </c>
      <c r="P176" s="5" t="str">
        <f ca="1">IFERROR(__xludf.DUMMYFUNCTION("""COMPUTED_VALUE"""),"(213) 786-4819")</f>
        <v>(213) 786-4819</v>
      </c>
      <c r="Q176" s="5"/>
      <c r="R176" s="5"/>
      <c r="S176" s="5"/>
      <c r="T176" s="5"/>
    </row>
    <row r="177" spans="1:20" ht="12.75">
      <c r="A177" s="24">
        <f ca="1">IFERROR(__xludf.DUMMYFUNCTION("""COMPUTED_VALUE"""),45669.6970446759)</f>
        <v>45669.697044675901</v>
      </c>
      <c r="B177" s="5" t="str">
        <f ca="1">IFERROR(__xludf.DUMMYFUNCTION("""COMPUTED_VALUE"""),"9987 Reevesbury Dr")</f>
        <v>9987 Reevesbury Dr</v>
      </c>
      <c r="C177" s="5" t="str">
        <f ca="1">IFERROR(__xludf.DUMMYFUNCTION("""COMPUTED_VALUE"""),"Beverly Hills")</f>
        <v>Beverly Hills</v>
      </c>
      <c r="D177" s="5" t="str">
        <f ca="1">IFERROR(__xludf.DUMMYFUNCTION("""COMPUTED_VALUE"""),"CA")</f>
        <v>CA</v>
      </c>
      <c r="E177" s="5">
        <f ca="1">IFERROR(__xludf.DUMMYFUNCTION("""COMPUTED_VALUE"""),90210)</f>
        <v>90210</v>
      </c>
      <c r="F177" s="19">
        <f ca="1">IFERROR(__xludf.DUMMYFUNCTION("""COMPUTED_VALUE"""),18000)</f>
        <v>18000</v>
      </c>
      <c r="G177" s="19">
        <f ca="1">IFERROR(__xludf.DUMMYFUNCTION("""COMPUTED_VALUE"""),25000)</f>
        <v>25000</v>
      </c>
      <c r="H177" s="18">
        <f ca="1">IFERROR(__xludf.DUMMYFUNCTION("""COMPUTED_VALUE"""),45668)</f>
        <v>45668</v>
      </c>
      <c r="I177" s="5" t="str">
        <f ca="1">IFERROR(__xludf.DUMMYFUNCTION("""COMPUTED_VALUE"""),"Zillow")</f>
        <v>Zillow</v>
      </c>
      <c r="J177" s="25" t="str">
        <f ca="1">IFERROR(__xludf.DUMMYFUNCTION("""COMPUTED_VALUE"""),"https://zillow.com/homedetails/9987-Reevesbury-Dr-Beverly-Hills-CA-90210/20532823_zpid/")</f>
        <v>https://zillow.com/homedetails/9987-Reevesbury-Dr-Beverly-Hills-CA-90210/20532823_zpid/</v>
      </c>
      <c r="K177" s="5" t="str">
        <f ca="1">IFERROR(__xludf.DUMMYFUNCTION("""COMPUTED_VALUE"""),"Kaven Asvar venetian realty and finance")</f>
        <v>Kaven Asvar venetian realty and finance</v>
      </c>
      <c r="L177" s="5"/>
      <c r="M177" s="5"/>
      <c r="N177" s="26" t="str">
        <f ca="1">IFERROR(__xludf.DUMMYFUNCTION("""COMPUTED_VALUE"""),"https://drive.google.com/open?id=1vf8hpHBjuhq8v2Ecqd2dojvA1zHbRFnN")</f>
        <v>https://drive.google.com/open?id=1vf8hpHBjuhq8v2Ecqd2dojvA1zHbRFnN</v>
      </c>
      <c r="O177" s="5">
        <f ca="1">IFERROR(__xludf.DUMMYFUNCTION("""COMPUTED_VALUE"""),4383023013)</f>
        <v>4383023013</v>
      </c>
      <c r="P177" s="5" t="str">
        <f ca="1">IFERROR(__xludf.DUMMYFUNCTION("""COMPUTED_VALUE"""),"(310) 628-1546")</f>
        <v>(310) 628-1546</v>
      </c>
      <c r="Q177" s="5"/>
      <c r="R177" s="5"/>
      <c r="S177" s="5"/>
      <c r="T177" s="5"/>
    </row>
    <row r="178" spans="1:20" ht="12.75">
      <c r="A178" s="24">
        <f ca="1">IFERROR(__xludf.DUMMYFUNCTION("""COMPUTED_VALUE"""),45669.6971786689)</f>
        <v>45669.697178668903</v>
      </c>
      <c r="B178" s="5" t="str">
        <f ca="1">IFERROR(__xludf.DUMMYFUNCTION("""COMPUTED_VALUE"""),"8429 Wiley Post Ave")</f>
        <v>8429 Wiley Post Ave</v>
      </c>
      <c r="C178" s="5" t="str">
        <f ca="1">IFERROR(__xludf.DUMMYFUNCTION("""COMPUTED_VALUE"""),"Los Angeles")</f>
        <v>Los Angeles</v>
      </c>
      <c r="D178" s="5" t="str">
        <f ca="1">IFERROR(__xludf.DUMMYFUNCTION("""COMPUTED_VALUE"""),"CA")</f>
        <v>CA</v>
      </c>
      <c r="E178" s="5">
        <f ca="1">IFERROR(__xludf.DUMMYFUNCTION("""COMPUTED_VALUE"""),90045)</f>
        <v>90045</v>
      </c>
      <c r="F178" s="19">
        <f ca="1">IFERROR(__xludf.DUMMYFUNCTION("""COMPUTED_VALUE"""),5400)</f>
        <v>5400</v>
      </c>
      <c r="G178" s="19">
        <f ca="1">IFERROR(__xludf.DUMMYFUNCTION("""COMPUTED_VALUE"""),6000)</f>
        <v>6000</v>
      </c>
      <c r="H178" s="18">
        <f ca="1">IFERROR(__xludf.DUMMYFUNCTION("""COMPUTED_VALUE"""),-684818)</f>
        <v>-684818</v>
      </c>
      <c r="I178" s="5" t="str">
        <f ca="1">IFERROR(__xludf.DUMMYFUNCTION("""COMPUTED_VALUE"""),"Zillow")</f>
        <v>Zillow</v>
      </c>
      <c r="J178" s="25" t="str">
        <f ca="1">IFERROR(__xludf.DUMMYFUNCTION("""COMPUTED_VALUE"""),"https://www.zillow.com/homedetails/8429-Wiley-Post-Ave-Los-Angeles-CA-90045/20380558_zpid/")</f>
        <v>https://www.zillow.com/homedetails/8429-Wiley-Post-Ave-Los-Angeles-CA-90045/20380558_zpid/</v>
      </c>
      <c r="K178" s="5"/>
      <c r="L178" s="5"/>
      <c r="M178" s="5"/>
      <c r="N178" s="5" t="str">
        <f ca="1">IFERROR(__xludf.DUMMYFUNCTION("""COMPUTED_VALUE"""),"https://drive.google.com/open?id=1QQCrIanzYCaV2uc9oYmYzAlElI0YS8mP, https://drive.google.com/open?id=1qTLXMsPHwHHGF7rbCFv8_lZ6lugI1kPt")</f>
        <v>https://drive.google.com/open?id=1QQCrIanzYCaV2uc9oYmYzAlElI0YS8mP, https://drive.google.com/open?id=1qTLXMsPHwHHGF7rbCFv8_lZ6lugI1kPt</v>
      </c>
      <c r="O178" s="5">
        <f ca="1">IFERROR(__xludf.DUMMYFUNCTION("""COMPUTED_VALUE"""),4107020007)</f>
        <v>4107020007</v>
      </c>
      <c r="P178" s="5"/>
      <c r="Q178" s="5"/>
      <c r="R178" s="5"/>
      <c r="S178" s="5"/>
      <c r="T178" s="5"/>
    </row>
    <row r="179" spans="1:20" ht="12.75">
      <c r="A179" s="24">
        <f ca="1">IFERROR(__xludf.DUMMYFUNCTION("""COMPUTED_VALUE"""),45669.6982748495)</f>
        <v>45669.698274849499</v>
      </c>
      <c r="B179" s="5" t="str">
        <f ca="1">IFERROR(__xludf.DUMMYFUNCTION("""COMPUTED_VALUE"""),"3205 Waverly Dr")</f>
        <v>3205 Waverly Dr</v>
      </c>
      <c r="C179" s="5" t="str">
        <f ca="1">IFERROR(__xludf.DUMMYFUNCTION("""COMPUTED_VALUE"""),"Los Angeles")</f>
        <v>Los Angeles</v>
      </c>
      <c r="D179" s="5" t="str">
        <f ca="1">IFERROR(__xludf.DUMMYFUNCTION("""COMPUTED_VALUE"""),"CA")</f>
        <v>CA</v>
      </c>
      <c r="E179" s="5">
        <f ca="1">IFERROR(__xludf.DUMMYFUNCTION("""COMPUTED_VALUE"""),90027)</f>
        <v>90027</v>
      </c>
      <c r="F179" s="19">
        <f ca="1">IFERROR(__xludf.DUMMYFUNCTION("""COMPUTED_VALUE"""),19000)</f>
        <v>19000</v>
      </c>
      <c r="G179" s="19">
        <f ca="1">IFERROR(__xludf.DUMMYFUNCTION("""COMPUTED_VALUE"""),25000)</f>
        <v>25000</v>
      </c>
      <c r="H179" s="18">
        <f ca="1">IFERROR(__xludf.DUMMYFUNCTION("""COMPUTED_VALUE"""),45669)</f>
        <v>45669</v>
      </c>
      <c r="I179" s="5" t="str">
        <f ca="1">IFERROR(__xludf.DUMMYFUNCTION("""COMPUTED_VALUE"""),"Zillow")</f>
        <v>Zillow</v>
      </c>
      <c r="J179" s="25" t="str">
        <f ca="1">IFERROR(__xludf.DUMMYFUNCTION("""COMPUTED_VALUE"""),"https://www.zillow.com/homedetails/3205-Waverly-Dr-Los-Angeles-CA-90027/20749233_zpid/")</f>
        <v>https://www.zillow.com/homedetails/3205-Waverly-Dr-Los-Angeles-CA-90027/20749233_zpid/</v>
      </c>
      <c r="K179" s="5" t="str">
        <f ca="1">IFERROR(__xludf.DUMMYFUNCTION("""COMPUTED_VALUE"""),"Sharona Davidian, Legacy Villa Rentals")</f>
        <v>Sharona Davidian, Legacy Villa Rentals</v>
      </c>
      <c r="L179" s="5"/>
      <c r="M179" s="5"/>
      <c r="N179" s="26" t="str">
        <f ca="1">IFERROR(__xludf.DUMMYFUNCTION("""COMPUTED_VALUE"""),"https://drive.google.com/open?id=1W-ioNzPqFRqCqmztCBTDGiBYb4kwXgV2")</f>
        <v>https://drive.google.com/open?id=1W-ioNzPqFRqCqmztCBTDGiBYb4kwXgV2</v>
      </c>
      <c r="O179" s="5">
        <f ca="1">IFERROR(__xludf.DUMMYFUNCTION("""COMPUTED_VALUE"""),5434016015)</f>
        <v>5434016015</v>
      </c>
      <c r="P179" s="5" t="str">
        <f ca="1">IFERROR(__xludf.DUMMYFUNCTION("""COMPUTED_VALUE"""),"(310) 498-7574")</f>
        <v>(310) 498-7574</v>
      </c>
      <c r="Q179" s="5"/>
      <c r="R179" s="5"/>
      <c r="S179" s="5"/>
      <c r="T179" s="5"/>
    </row>
    <row r="180" spans="1:20" ht="12.75">
      <c r="A180" s="24">
        <f ca="1">IFERROR(__xludf.DUMMYFUNCTION("""COMPUTED_VALUE"""),45669.6987143402)</f>
        <v>45669.6987143402</v>
      </c>
      <c r="B180" s="5" t="str">
        <f ca="1">IFERROR(__xludf.DUMMYFUNCTION("""COMPUTED_VALUE"""),"Undisclosed address")</f>
        <v>Undisclosed address</v>
      </c>
      <c r="C180" s="5" t="str">
        <f ca="1">IFERROR(__xludf.DUMMYFUNCTION("""COMPUTED_VALUE"""),"Burbank")</f>
        <v>Burbank</v>
      </c>
      <c r="D180" s="5" t="str">
        <f ca="1">IFERROR(__xludf.DUMMYFUNCTION("""COMPUTED_VALUE"""),"CA")</f>
        <v>CA</v>
      </c>
      <c r="E180" s="5">
        <f ca="1">IFERROR(__xludf.DUMMYFUNCTION("""COMPUTED_VALUE"""),91504)</f>
        <v>91504</v>
      </c>
      <c r="F180" s="19">
        <f ca="1">IFERROR(__xludf.DUMMYFUNCTION("""COMPUTED_VALUE"""),17900)</f>
        <v>17900</v>
      </c>
      <c r="G180" s="19">
        <f ca="1">IFERROR(__xludf.DUMMYFUNCTION("""COMPUTED_VALUE"""),20950)</f>
        <v>20950</v>
      </c>
      <c r="H180" s="18">
        <f ca="1">IFERROR(__xludf.DUMMYFUNCTION("""COMPUTED_VALUE"""),45669)</f>
        <v>45669</v>
      </c>
      <c r="I180" s="5" t="str">
        <f ca="1">IFERROR(__xludf.DUMMYFUNCTION("""COMPUTED_VALUE"""),"Zillow")</f>
        <v>Zillow</v>
      </c>
      <c r="J180" s="25" t="str">
        <f ca="1">IFERROR(__xludf.DUMMYFUNCTION("""COMPUTED_VALUE"""),"https://www.zillow.com/homedetails/Burbank-CA-91504/20060493_zpid/?utm_campaign=androidappmessage&amp;utm_medium=referral&amp;utm_source=txtshare")</f>
        <v>https://www.zillow.com/homedetails/Burbank-CA-91504/20060493_zpid/?utm_campaign=androidappmessage&amp;utm_medium=referral&amp;utm_source=txtshare</v>
      </c>
      <c r="K180" s="5"/>
      <c r="L180" s="5" t="str">
        <f ca="1">IFERROR(__xludf.DUMMYFUNCTION("""COMPUTED_VALUE"""),"Nina Bui")</f>
        <v>Nina Bui</v>
      </c>
      <c r="M180" s="5"/>
      <c r="N180" s="5" t="str">
        <f ca="1">IFERROR(__xludf.DUMMYFUNCTION("""COMPUTED_VALUE"""),"https://drive.google.com/open?id=1UCuUxiuVkab58yEIr4FRbvB4VSNRQ8Rk, https://drive.google.com/open?id=1M1o-kPiLeo1O-8b81WnYuXbVpOnZ66wy")</f>
        <v>https://drive.google.com/open?id=1UCuUxiuVkab58yEIr4FRbvB4VSNRQ8Rk, https://drive.google.com/open?id=1M1o-kPiLeo1O-8b81WnYuXbVpOnZ66wy</v>
      </c>
      <c r="O180" s="5" t="str">
        <f ca="1">IFERROR(__xludf.DUMMYFUNCTION("""COMPUTED_VALUE"""),"NA")</f>
        <v>NA</v>
      </c>
      <c r="P180" s="5"/>
      <c r="Q180" s="5"/>
      <c r="R180" s="5" t="str">
        <f ca="1">IFERROR(__xludf.DUMMYFUNCTION("""COMPUTED_VALUE"""),"(818) 860-2561")</f>
        <v>(818) 860-2561</v>
      </c>
      <c r="S180" s="5"/>
      <c r="T180" s="5"/>
    </row>
    <row r="181" spans="1:20" ht="12.75">
      <c r="A181" s="24">
        <f ca="1">IFERROR(__xludf.DUMMYFUNCTION("""COMPUTED_VALUE"""),45669.7001111805)</f>
        <v>45669.7001111805</v>
      </c>
      <c r="B181" s="5" t="str">
        <f ca="1">IFERROR(__xludf.DUMMYFUNCTION("""COMPUTED_VALUE"""),"3600 Valley Meadow Rd")</f>
        <v>3600 Valley Meadow Rd</v>
      </c>
      <c r="C181" s="5" t="str">
        <f ca="1">IFERROR(__xludf.DUMMYFUNCTION("""COMPUTED_VALUE"""),"Sherman Oaks")</f>
        <v>Sherman Oaks</v>
      </c>
      <c r="D181" s="5" t="str">
        <f ca="1">IFERROR(__xludf.DUMMYFUNCTION("""COMPUTED_VALUE"""),"CA")</f>
        <v>CA</v>
      </c>
      <c r="E181" s="5">
        <f ca="1">IFERROR(__xludf.DUMMYFUNCTION("""COMPUTED_VALUE"""),91403)</f>
        <v>91403</v>
      </c>
      <c r="F181" s="19">
        <f ca="1">IFERROR(__xludf.DUMMYFUNCTION("""COMPUTED_VALUE"""),8500)</f>
        <v>8500</v>
      </c>
      <c r="G181" s="19">
        <f ca="1">IFERROR(__xludf.DUMMYFUNCTION("""COMPUTED_VALUE"""),9500)</f>
        <v>9500</v>
      </c>
      <c r="H181" s="18">
        <f ca="1">IFERROR(__xludf.DUMMYFUNCTION("""COMPUTED_VALUE"""),45665)</f>
        <v>45665</v>
      </c>
      <c r="I181" s="5" t="str">
        <f ca="1">IFERROR(__xludf.DUMMYFUNCTION("""COMPUTED_VALUE"""),"Zillow")</f>
        <v>Zillow</v>
      </c>
      <c r="J181" s="25" t="str">
        <f ca="1">IFERROR(__xludf.DUMMYFUNCTION("""COMPUTED_VALUE"""),"https://www.zillow.com/homedetails/3600-Valley-Meadow-Rd-Sherman-Oaks-CA-91403/19990550_zpid/")</f>
        <v>https://www.zillow.com/homedetails/3600-Valley-Meadow-Rd-Sherman-Oaks-CA-91403/19990550_zpid/</v>
      </c>
      <c r="K181" s="5" t="str">
        <f ca="1">IFERROR(__xludf.DUMMYFUNCTION("""COMPUTED_VALUE"""),"Lisa Morin")</f>
        <v>Lisa Morin</v>
      </c>
      <c r="L181" s="5"/>
      <c r="M181" s="5"/>
      <c r="N181" s="5" t="str">
        <f ca="1">IFERROR(__xludf.DUMMYFUNCTION("""COMPUTED_VALUE"""),"https://drive.google.com/open?id=1fffNCVUmW7zSAOiHiCIcQjTks9tFOgny, https://drive.google.com/open?id=1pjaA9a5q25nYPk1mbD4Cu9bwGNYIom2Q")</f>
        <v>https://drive.google.com/open?id=1fffNCVUmW7zSAOiHiCIcQjTks9tFOgny, https://drive.google.com/open?id=1pjaA9a5q25nYPk1mbD4Cu9bwGNYIom2Q</v>
      </c>
      <c r="O181" s="5">
        <f ca="1">IFERROR(__xludf.DUMMYFUNCTION("""COMPUTED_VALUE"""),2280012027)</f>
        <v>2280012027</v>
      </c>
      <c r="P181" s="5" t="str">
        <f ca="1">IFERROR(__xludf.DUMMYFUNCTION("""COMPUTED_VALUE"""),"(872) 266-2415")</f>
        <v>(872) 266-2415</v>
      </c>
      <c r="Q181" s="5"/>
      <c r="R181" s="5"/>
      <c r="S181" s="5"/>
      <c r="T181" s="5"/>
    </row>
    <row r="182" spans="1:20" ht="12.75">
      <c r="A182" s="24">
        <f ca="1">IFERROR(__xludf.DUMMYFUNCTION("""COMPUTED_VALUE"""),45669.7009709027)</f>
        <v>45669.700970902697</v>
      </c>
      <c r="B182" s="5" t="str">
        <f ca="1">IFERROR(__xludf.DUMMYFUNCTION("""COMPUTED_VALUE"""),"1172 Linda Flora Dr")</f>
        <v>1172 Linda Flora Dr</v>
      </c>
      <c r="C182" s="5" t="str">
        <f ca="1">IFERROR(__xludf.DUMMYFUNCTION("""COMPUTED_VALUE""")," Los Angeles")</f>
        <v xml:space="preserve"> Los Angeles</v>
      </c>
      <c r="D182" s="5" t="str">
        <f ca="1">IFERROR(__xludf.DUMMYFUNCTION("""COMPUTED_VALUE"""),"CA")</f>
        <v>CA</v>
      </c>
      <c r="E182" s="5">
        <f ca="1">IFERROR(__xludf.DUMMYFUNCTION("""COMPUTED_VALUE"""),90049)</f>
        <v>90049</v>
      </c>
      <c r="F182" s="19">
        <f ca="1">IFERROR(__xludf.DUMMYFUNCTION("""COMPUTED_VALUE"""),40000)</f>
        <v>40000</v>
      </c>
      <c r="G182" s="19">
        <f ca="1">IFERROR(__xludf.DUMMYFUNCTION("""COMPUTED_VALUE"""),45000)</f>
        <v>45000</v>
      </c>
      <c r="H182" s="18">
        <f ca="1">IFERROR(__xludf.DUMMYFUNCTION("""COMPUTED_VALUE"""),45668)</f>
        <v>45668</v>
      </c>
      <c r="I182" s="5" t="str">
        <f ca="1">IFERROR(__xludf.DUMMYFUNCTION("""COMPUTED_VALUE"""),"Zillow")</f>
        <v>Zillow</v>
      </c>
      <c r="J182" s="25" t="str">
        <f ca="1">IFERROR(__xludf.DUMMYFUNCTION("""COMPUTED_VALUE"""),"https://www.zillow.com/homedetails/1172-Linda-Flora-Dr-Los-Angeles-CA-90049/20528914_zpid/")</f>
        <v>https://www.zillow.com/homedetails/1172-Linda-Flora-Dr-Los-Angeles-CA-90049/20528914_zpid/</v>
      </c>
      <c r="K182" s="5" t="str">
        <f ca="1">IFERROR(__xludf.DUMMYFUNCTION("""COMPUTED_VALUE"""),"Kaven Asvar venetian realty and finance")</f>
        <v>Kaven Asvar venetian realty and finance</v>
      </c>
      <c r="L182" s="5"/>
      <c r="M182" s="5"/>
      <c r="N182" s="26" t="str">
        <f ca="1">IFERROR(__xludf.DUMMYFUNCTION("""COMPUTED_VALUE"""),"https://drive.google.com/open?id=1y0ZpIYBBjLSmm7OJESP7aZoQiIpj6_9Q")</f>
        <v>https://drive.google.com/open?id=1y0ZpIYBBjLSmm7OJESP7aZoQiIpj6_9Q</v>
      </c>
      <c r="O182" s="5">
        <f ca="1">IFERROR(__xludf.DUMMYFUNCTION("""COMPUTED_VALUE"""),4369001018)</f>
        <v>4369001018</v>
      </c>
      <c r="P182" s="5" t="str">
        <f ca="1">IFERROR(__xludf.DUMMYFUNCTION("""COMPUTED_VALUE"""),"(310) 628-1546")</f>
        <v>(310) 628-1546</v>
      </c>
      <c r="Q182" s="5"/>
      <c r="R182" s="5"/>
      <c r="S182" s="5"/>
      <c r="T182" s="5"/>
    </row>
    <row r="183" spans="1:20" ht="12.75">
      <c r="A183" s="24">
        <f ca="1">IFERROR(__xludf.DUMMYFUNCTION("""COMPUTED_VALUE"""),45669.7011342013)</f>
        <v>45669.701134201299</v>
      </c>
      <c r="B183" s="5" t="str">
        <f ca="1">IFERROR(__xludf.DUMMYFUNCTION("""COMPUTED_VALUE"""),"1966 Rangeview Dr")</f>
        <v>1966 Rangeview Dr</v>
      </c>
      <c r="C183" s="5" t="str">
        <f ca="1">IFERROR(__xludf.DUMMYFUNCTION("""COMPUTED_VALUE"""),"Glendale")</f>
        <v>Glendale</v>
      </c>
      <c r="D183" s="5" t="str">
        <f ca="1">IFERROR(__xludf.DUMMYFUNCTION("""COMPUTED_VALUE"""),"CA")</f>
        <v>CA</v>
      </c>
      <c r="E183" s="5">
        <f ca="1">IFERROR(__xludf.DUMMYFUNCTION("""COMPUTED_VALUE"""),91201)</f>
        <v>91201</v>
      </c>
      <c r="F183" s="19">
        <f ca="1">IFERROR(__xludf.DUMMYFUNCTION("""COMPUTED_VALUE"""),6300)</f>
        <v>6300</v>
      </c>
      <c r="G183" s="19">
        <f ca="1">IFERROR(__xludf.DUMMYFUNCTION("""COMPUTED_VALUE"""),11500)</f>
        <v>11500</v>
      </c>
      <c r="H183" s="18">
        <f ca="1">IFERROR(__xludf.DUMMYFUNCTION("""COMPUTED_VALUE"""),45661)</f>
        <v>45661</v>
      </c>
      <c r="I183" s="5" t="str">
        <f ca="1">IFERROR(__xludf.DUMMYFUNCTION("""COMPUTED_VALUE"""),"Zillow")</f>
        <v>Zillow</v>
      </c>
      <c r="J183" s="25" t="str">
        <f ca="1">IFERROR(__xludf.DUMMYFUNCTION("""COMPUTED_VALUE"""),"https://www.zillow.com/homedetails/1966-Rangeview-Dr-Glendale-CA-91201/20821772_zpid/")</f>
        <v>https://www.zillow.com/homedetails/1966-Rangeview-Dr-Glendale-CA-91201/20821772_zpid/</v>
      </c>
      <c r="K183" s="5" t="str">
        <f ca="1">IFERROR(__xludf.DUMMYFUNCTION("""COMPUTED_VALUE"""),"    Gevorg Sahakyan")</f>
        <v xml:space="preserve">    Gevorg Sahakyan</v>
      </c>
      <c r="L183" s="5"/>
      <c r="M183" s="5" t="str">
        <f ca="1">IFERROR(__xludf.DUMMYFUNCTION("""COMPUTED_VALUE"""),"Price raised before fires, but by over 80%")</f>
        <v>Price raised before fires, but by over 80%</v>
      </c>
      <c r="N183" s="26" t="str">
        <f ca="1">IFERROR(__xludf.DUMMYFUNCTION("""COMPUTED_VALUE"""),"https://drive.google.com/open?id=1W906Jv2fvSSPhw77-SnWW1Cg9fzdXPuA")</f>
        <v>https://drive.google.com/open?id=1W906Jv2fvSSPhw77-SnWW1Cg9fzdXPuA</v>
      </c>
      <c r="O183" s="5">
        <f ca="1">IFERROR(__xludf.DUMMYFUNCTION("""COMPUTED_VALUE"""),5620008002)</f>
        <v>5620008002</v>
      </c>
      <c r="P183" s="5" t="str">
        <f ca="1">IFERROR(__xludf.DUMMYFUNCTION("""COMPUTED_VALUE"""),"(818) 858-9272")</f>
        <v>(818) 858-9272</v>
      </c>
      <c r="Q183" s="5"/>
      <c r="R183" s="5"/>
      <c r="S183" s="5"/>
      <c r="T183" s="5"/>
    </row>
    <row r="184" spans="1:20" ht="12.75">
      <c r="A184" s="24">
        <f ca="1">IFERROR(__xludf.DUMMYFUNCTION("""COMPUTED_VALUE"""),45669.7028485879)</f>
        <v>45669.702848587898</v>
      </c>
      <c r="B184" s="5" t="str">
        <f ca="1">IFERROR(__xludf.DUMMYFUNCTION("""COMPUTED_VALUE"""),"1801 Roscomare Rd")</f>
        <v>1801 Roscomare Rd</v>
      </c>
      <c r="C184" s="5" t="str">
        <f ca="1">IFERROR(__xludf.DUMMYFUNCTION("""COMPUTED_VALUE"""),"Los Angeles")</f>
        <v>Los Angeles</v>
      </c>
      <c r="D184" s="5" t="str">
        <f ca="1">IFERROR(__xludf.DUMMYFUNCTION("""COMPUTED_VALUE"""),"CA")</f>
        <v>CA</v>
      </c>
      <c r="E184" s="5">
        <f ca="1">IFERROR(__xludf.DUMMYFUNCTION("""COMPUTED_VALUE"""),90077)</f>
        <v>90077</v>
      </c>
      <c r="F184" s="19">
        <f ca="1">IFERROR(__xludf.DUMMYFUNCTION("""COMPUTED_VALUE"""),14500)</f>
        <v>14500</v>
      </c>
      <c r="G184" s="19">
        <f ca="1">IFERROR(__xludf.DUMMYFUNCTION("""COMPUTED_VALUE"""),18900)</f>
        <v>18900</v>
      </c>
      <c r="H184" s="18">
        <f ca="1">IFERROR(__xludf.DUMMYFUNCTION("""COMPUTED_VALUE"""),45670)</f>
        <v>45670</v>
      </c>
      <c r="I184" s="5" t="str">
        <f ca="1">IFERROR(__xludf.DUMMYFUNCTION("""COMPUTED_VALUE"""),"Zillow")</f>
        <v>Zillow</v>
      </c>
      <c r="J184" s="25" t="str">
        <f ca="1">IFERROR(__xludf.DUMMYFUNCTION("""COMPUTED_VALUE"""),"https://www.zillow.com/homedetails/1801-Roscomare-Rd-Los-Angeles-CA-90077/20530151_zpid/")</f>
        <v>https://www.zillow.com/homedetails/1801-Roscomare-Rd-Los-Angeles-CA-90077/20530151_zpid/</v>
      </c>
      <c r="K184" s="5" t="str">
        <f ca="1">IFERROR(__xludf.DUMMYFUNCTION("""COMPUTED_VALUE"""),"Alex")</f>
        <v>Alex</v>
      </c>
      <c r="L184" s="5"/>
      <c r="M184" s="5" t="str">
        <f ca="1">IFERROR(__xludf.DUMMYFUNCTION("""COMPUTED_VALUE"""),"Briefly dropped to 13,500 on 1/7/25")</f>
        <v>Briefly dropped to 13,500 on 1/7/25</v>
      </c>
      <c r="N184" s="5" t="str">
        <f ca="1">IFERROR(__xludf.DUMMYFUNCTION("""COMPUTED_VALUE"""),"https://drive.google.com/open?id=1PktMQjfVeJVGk9umFpB8-JyLVBntwK31, https://drive.google.com/open?id=1bL2lfRESUbupwD3-Z9K8WuHWQI-jShwY")</f>
        <v>https://drive.google.com/open?id=1PktMQjfVeJVGk9umFpB8-JyLVBntwK31, https://drive.google.com/open?id=1bL2lfRESUbupwD3-Z9K8WuHWQI-jShwY</v>
      </c>
      <c r="O184" s="5">
        <f ca="1">IFERROR(__xludf.DUMMYFUNCTION("""COMPUTED_VALUE"""),4377015003)</f>
        <v>4377015003</v>
      </c>
      <c r="P184" s="5" t="str">
        <f ca="1">IFERROR(__xludf.DUMMYFUNCTION("""COMPUTED_VALUE"""),"(213) 816-4694")</f>
        <v>(213) 816-4694</v>
      </c>
      <c r="Q184" s="5"/>
      <c r="R184" s="5"/>
      <c r="S184" s="5"/>
      <c r="T184" s="5"/>
    </row>
    <row r="185" spans="1:20" ht="12.75">
      <c r="A185" s="24">
        <f ca="1">IFERROR(__xludf.DUMMYFUNCTION("""COMPUTED_VALUE"""),45669.7035451504)</f>
        <v>45669.703545150398</v>
      </c>
      <c r="B185" s="5" t="str">
        <f ca="1">IFERROR(__xludf.DUMMYFUNCTION("""COMPUTED_VALUE"""),"4641 crown ave")</f>
        <v>4641 crown ave</v>
      </c>
      <c r="C185" s="5" t="str">
        <f ca="1">IFERROR(__xludf.DUMMYFUNCTION("""COMPUTED_VALUE"""),"la canada flintridge")</f>
        <v>la canada flintridge</v>
      </c>
      <c r="D185" s="5" t="str">
        <f ca="1">IFERROR(__xludf.DUMMYFUNCTION("""COMPUTED_VALUE"""),"CA")</f>
        <v>CA</v>
      </c>
      <c r="E185" s="5">
        <f ca="1">IFERROR(__xludf.DUMMYFUNCTION("""COMPUTED_VALUE"""),91011)</f>
        <v>91011</v>
      </c>
      <c r="F185" s="19">
        <f ca="1">IFERROR(__xludf.DUMMYFUNCTION("""COMPUTED_VALUE"""),6200)</f>
        <v>6200</v>
      </c>
      <c r="G185" s="19">
        <f ca="1">IFERROR(__xludf.DUMMYFUNCTION("""COMPUTED_VALUE"""),7600)</f>
        <v>7600</v>
      </c>
      <c r="H185" s="18">
        <f ca="1">IFERROR(__xludf.DUMMYFUNCTION("""COMPUTED_VALUE"""),45669)</f>
        <v>45669</v>
      </c>
      <c r="I185" s="5" t="str">
        <f ca="1">IFERROR(__xludf.DUMMYFUNCTION("""COMPUTED_VALUE"""),"Zillow")</f>
        <v>Zillow</v>
      </c>
      <c r="J185" s="25" t="str">
        <f ca="1">IFERROR(__xludf.DUMMYFUNCTION("""COMPUTED_VALUE"""),"https://www.zillow.com/homedetails/4641-Crown-Ave-La-Canada-Flintridge-CA-91011/20906018_zpid/?utm_campaign=iosappmessage&amp;utm_medium=referral&amp;utm_source=txtshare")</f>
        <v>https://www.zillow.com/homedetails/4641-Crown-Ave-La-Canada-Flintridge-CA-91011/20906018_zpid/?utm_campaign=iosappmessage&amp;utm_medium=referral&amp;utm_source=txtshare</v>
      </c>
      <c r="K185" s="5" t="str">
        <f ca="1">IFERROR(__xludf.DUMMYFUNCTION("""COMPUTED_VALUE"""),"Ruby")</f>
        <v>Ruby</v>
      </c>
      <c r="L185" s="5"/>
      <c r="M185" s="5"/>
      <c r="N185" s="5" t="str">
        <f ca="1">IFERROR(__xludf.DUMMYFUNCTION("""COMPUTED_VALUE"""),"https://drive.google.com/open?id=1jAj3JFVgL-hTCv8gsqSVqiPpISB2eA4L, https://drive.google.com/open?id=1qHjmI5IawpA9AL5PPNV78etwWyrpxwRV")</f>
        <v>https://drive.google.com/open?id=1jAj3JFVgL-hTCv8gsqSVqiPpISB2eA4L, https://drive.google.com/open?id=1qHjmI5IawpA9AL5PPNV78etwWyrpxwRV</v>
      </c>
      <c r="O185" s="5">
        <f ca="1">IFERROR(__xludf.DUMMYFUNCTION("""COMPUTED_VALUE"""),5819008023)</f>
        <v>5819008023</v>
      </c>
      <c r="P185" s="5" t="str">
        <f ca="1">IFERROR(__xludf.DUMMYFUNCTION("""COMPUTED_VALUE"""),"(626) 610-4819")</f>
        <v>(626) 610-4819</v>
      </c>
      <c r="Q185" s="5"/>
      <c r="R185" s="5"/>
      <c r="S185" s="5"/>
      <c r="T185" s="5"/>
    </row>
    <row r="186" spans="1:20" ht="12.75">
      <c r="A186" s="24">
        <f ca="1">IFERROR(__xludf.DUMMYFUNCTION("""COMPUTED_VALUE"""),45669.7037865509)</f>
        <v>45669.703786550897</v>
      </c>
      <c r="B186" s="5" t="str">
        <f ca="1">IFERROR(__xludf.DUMMYFUNCTION("""COMPUTED_VALUE"""),"Undisclosed ")</f>
        <v xml:space="preserve">Undisclosed </v>
      </c>
      <c r="C186" s="5" t="str">
        <f ca="1">IFERROR(__xludf.DUMMYFUNCTION("""COMPUTED_VALUE"""),"Los Angeles")</f>
        <v>Los Angeles</v>
      </c>
      <c r="D186" s="5" t="str">
        <f ca="1">IFERROR(__xludf.DUMMYFUNCTION("""COMPUTED_VALUE"""),"CA")</f>
        <v>CA</v>
      </c>
      <c r="E186" s="5">
        <f ca="1">IFERROR(__xludf.DUMMYFUNCTION("""COMPUTED_VALUE"""),90291)</f>
        <v>90291</v>
      </c>
      <c r="F186" s="19">
        <f ca="1">IFERROR(__xludf.DUMMYFUNCTION("""COMPUTED_VALUE"""),6250)</f>
        <v>6250</v>
      </c>
      <c r="G186" s="19">
        <f ca="1">IFERROR(__xludf.DUMMYFUNCTION("""COMPUTED_VALUE"""),8000)</f>
        <v>8000</v>
      </c>
      <c r="H186" s="18">
        <f ca="1">IFERROR(__xludf.DUMMYFUNCTION("""COMPUTED_VALUE"""),45909)</f>
        <v>45909</v>
      </c>
      <c r="I186" s="5" t="str">
        <f ca="1">IFERROR(__xludf.DUMMYFUNCTION("""COMPUTED_VALUE"""),"Zillow")</f>
        <v>Zillow</v>
      </c>
      <c r="J186" s="25" t="str">
        <f ca="1">IFERROR(__xludf.DUMMYFUNCTION("""COMPUTED_VALUE"""),"https://www.zillow.com/homedetails/Los-Angeles-CA-90291/95551094_zpid/")</f>
        <v>https://www.zillow.com/homedetails/Los-Angeles-CA-90291/95551094_zpid/</v>
      </c>
      <c r="K186" s="5" t="str">
        <f ca="1">IFERROR(__xludf.DUMMYFUNCTION("""COMPUTED_VALUE"""),"Sherwin Aryeh")</f>
        <v>Sherwin Aryeh</v>
      </c>
      <c r="L186" s="5" t="str">
        <f ca="1">IFERROR(__xludf.DUMMYFUNCTION("""COMPUTED_VALUE"""),"NA")</f>
        <v>NA</v>
      </c>
      <c r="M186" s="5" t="str">
        <f ca="1">IFERROR(__xludf.DUMMYFUNCTION("""COMPUTED_VALUE"""),"Listed by management company. Rental price has been decreasing consistently since 5/2024 with the lastest decrease was on 11/15/24 where it was decreased from $6,667 to $6,250 (-6.3%). The listing was most recently listed on 1/6/2024 for $6250 and there w"&amp;"as a price change on 1/9/2025 to $8,000 (+28%).")</f>
        <v>Listed by management company. Rental price has been decreasing consistently since 5/2024 with the lastest decrease was on 11/15/24 where it was decreased from $6,667 to $6,250 (-6.3%). The listing was most recently listed on 1/6/2024 for $6250 and there was a price change on 1/9/2025 to $8,000 (+28%).</v>
      </c>
      <c r="N186" s="26" t="str">
        <f ca="1">IFERROR(__xludf.DUMMYFUNCTION("""COMPUTED_VALUE"""),"https://drive.google.com/open?id=1XG9iqbkqIViCq-rsdT7-IEHlyCmMj5En")</f>
        <v>https://drive.google.com/open?id=1XG9iqbkqIViCq-rsdT7-IEHlyCmMj5En</v>
      </c>
      <c r="O186" s="5" t="str">
        <f ca="1">IFERROR(__xludf.DUMMYFUNCTION("""COMPUTED_VALUE"""),"NA")</f>
        <v>NA</v>
      </c>
      <c r="P186" s="5" t="str">
        <f ca="1">IFERROR(__xludf.DUMMYFUNCTION("""COMPUTED_VALUE"""),"(424) 244-0805")</f>
        <v>(424) 244-0805</v>
      </c>
      <c r="Q186" s="5"/>
      <c r="R186" s="5" t="str">
        <f ca="1">IFERROR(__xludf.DUMMYFUNCTION("""COMPUTED_VALUE"""),"NA")</f>
        <v>NA</v>
      </c>
      <c r="S186" s="5"/>
      <c r="T186" s="5"/>
    </row>
    <row r="187" spans="1:20" ht="12.75">
      <c r="A187" s="24">
        <f ca="1">IFERROR(__xludf.DUMMYFUNCTION("""COMPUTED_VALUE"""),45669.704435243)</f>
        <v>45669.704435243002</v>
      </c>
      <c r="B187" s="5" t="str">
        <f ca="1">IFERROR(__xludf.DUMMYFUNCTION("""COMPUTED_VALUE"""),"9509 Cresta Dr")</f>
        <v>9509 Cresta Dr</v>
      </c>
      <c r="C187" s="5" t="str">
        <f ca="1">IFERROR(__xludf.DUMMYFUNCTION("""COMPUTED_VALUE"""),"Los Angeles")</f>
        <v>Los Angeles</v>
      </c>
      <c r="D187" s="5" t="str">
        <f ca="1">IFERROR(__xludf.DUMMYFUNCTION("""COMPUTED_VALUE"""),"CA")</f>
        <v>CA</v>
      </c>
      <c r="E187" s="5">
        <f ca="1">IFERROR(__xludf.DUMMYFUNCTION("""COMPUTED_VALUE"""),90035)</f>
        <v>90035</v>
      </c>
      <c r="F187" s="19">
        <f ca="1">IFERROR(__xludf.DUMMYFUNCTION("""COMPUTED_VALUE"""),13500)</f>
        <v>13500</v>
      </c>
      <c r="G187" s="19">
        <f ca="1">IFERROR(__xludf.DUMMYFUNCTION("""COMPUTED_VALUE"""),17000)</f>
        <v>17000</v>
      </c>
      <c r="H187" s="18">
        <f ca="1">IFERROR(__xludf.DUMMYFUNCTION("""COMPUTED_VALUE"""),45666)</f>
        <v>45666</v>
      </c>
      <c r="I187" s="5" t="str">
        <f ca="1">IFERROR(__xludf.DUMMYFUNCTION("""COMPUTED_VALUE"""),"Zillow")</f>
        <v>Zillow</v>
      </c>
      <c r="J187" s="25" t="str">
        <f ca="1">IFERROR(__xludf.DUMMYFUNCTION("""COMPUTED_VALUE"""),"https://www.zillow.com/homedetails/9509-Cresta-Dr-Los-Angeles-CA-90035/20493657_zpid/")</f>
        <v>https://www.zillow.com/homedetails/9509-Cresta-Dr-Los-Angeles-CA-90035/20493657_zpid/</v>
      </c>
      <c r="K187" s="5" t="str">
        <f ca="1">IFERROR(__xludf.DUMMYFUNCTION("""COMPUTED_VALUE"""),"Dezireh Haghayeghi")</f>
        <v>Dezireh Haghayeghi</v>
      </c>
      <c r="L187" s="5"/>
      <c r="M187" s="5"/>
      <c r="N187" s="26" t="str">
        <f ca="1">IFERROR(__xludf.DUMMYFUNCTION("""COMPUTED_VALUE"""),"https://drive.google.com/open?id=1YIXIrkHjZvuWe_ZTcjPCP7msmaNxwdW4")</f>
        <v>https://drive.google.com/open?id=1YIXIrkHjZvuWe_ZTcjPCP7msmaNxwdW4</v>
      </c>
      <c r="O187" s="5">
        <f ca="1">IFERROR(__xludf.DUMMYFUNCTION("""COMPUTED_VALUE"""),4306027020)</f>
        <v>4306027020</v>
      </c>
      <c r="P187" s="5" t="str">
        <f ca="1">IFERROR(__xludf.DUMMYFUNCTION("""COMPUTED_VALUE"""),"(310) 626-2096")</f>
        <v>(310) 626-2096</v>
      </c>
      <c r="Q187" s="5"/>
      <c r="R187" s="5"/>
      <c r="S187" s="5"/>
      <c r="T187" s="5"/>
    </row>
    <row r="188" spans="1:20" ht="12.75">
      <c r="A188" s="24">
        <f ca="1">IFERROR(__xludf.DUMMYFUNCTION("""COMPUTED_VALUE"""),45669.7074007176)</f>
        <v>45669.707400717598</v>
      </c>
      <c r="B188" s="5" t="str">
        <f ca="1">IFERROR(__xludf.DUMMYFUNCTION("""COMPUTED_VALUE"""),"3600 Valley Meadow Rd")</f>
        <v>3600 Valley Meadow Rd</v>
      </c>
      <c r="C188" s="5" t="str">
        <f ca="1">IFERROR(__xludf.DUMMYFUNCTION("""COMPUTED_VALUE"""),"Sherman Oaks")</f>
        <v>Sherman Oaks</v>
      </c>
      <c r="D188" s="5" t="str">
        <f ca="1">IFERROR(__xludf.DUMMYFUNCTION("""COMPUTED_VALUE"""),"CA")</f>
        <v>CA</v>
      </c>
      <c r="E188" s="5">
        <f ca="1">IFERROR(__xludf.DUMMYFUNCTION("""COMPUTED_VALUE"""),91403)</f>
        <v>91403</v>
      </c>
      <c r="F188" s="19">
        <f ca="1">IFERROR(__xludf.DUMMYFUNCTION("""COMPUTED_VALUE"""),8500)</f>
        <v>8500</v>
      </c>
      <c r="G188" s="19">
        <f ca="1">IFERROR(__xludf.DUMMYFUNCTION("""COMPUTED_VALUE"""),9500)</f>
        <v>9500</v>
      </c>
      <c r="H188" s="18">
        <f ca="1">IFERROR(__xludf.DUMMYFUNCTION("""COMPUTED_VALUE"""),45665)</f>
        <v>45665</v>
      </c>
      <c r="I188" s="5" t="str">
        <f ca="1">IFERROR(__xludf.DUMMYFUNCTION("""COMPUTED_VALUE"""),"Zillow")</f>
        <v>Zillow</v>
      </c>
      <c r="J188" s="25" t="str">
        <f ca="1">IFERROR(__xludf.DUMMYFUNCTION("""COMPUTED_VALUE"""),"https://www.zillow.com/homedetails/3600-Valley-Meadow-Rd-Sherman-Oaks-CA-91403/19990550_zpid/")</f>
        <v>https://www.zillow.com/homedetails/3600-Valley-Meadow-Rd-Sherman-Oaks-CA-91403/19990550_zpid/</v>
      </c>
      <c r="K188" s="5" t="str">
        <f ca="1">IFERROR(__xludf.DUMMYFUNCTION("""COMPUTED_VALUE"""),"Lisa Morin")</f>
        <v>Lisa Morin</v>
      </c>
      <c r="L188" s="5"/>
      <c r="M188" s="5"/>
      <c r="N188" s="26" t="str">
        <f ca="1">IFERROR(__xludf.DUMMYFUNCTION("""COMPUTED_VALUE"""),"https://drive.google.com/open?id=1FzlnbqdywRvwTC6FXgA3Yf3dhDBpxjgm")</f>
        <v>https://drive.google.com/open?id=1FzlnbqdywRvwTC6FXgA3Yf3dhDBpxjgm</v>
      </c>
      <c r="O188" s="5">
        <f ca="1">IFERROR(__xludf.DUMMYFUNCTION("""COMPUTED_VALUE"""),2280012027)</f>
        <v>2280012027</v>
      </c>
      <c r="P188" s="5" t="str">
        <f ca="1">IFERROR(__xludf.DUMMYFUNCTION("""COMPUTED_VALUE"""),"(872) 266-2415")</f>
        <v>(872) 266-2415</v>
      </c>
      <c r="Q188" s="5"/>
      <c r="R188" s="5"/>
      <c r="S188" s="5"/>
      <c r="T188" s="5"/>
    </row>
    <row r="189" spans="1:20" ht="12.75">
      <c r="A189" s="24">
        <f ca="1">IFERROR(__xludf.DUMMYFUNCTION("""COMPUTED_VALUE"""),45669.7078845254)</f>
        <v>45669.7078845254</v>
      </c>
      <c r="B189" s="5" t="str">
        <f ca="1">IFERROR(__xludf.DUMMYFUNCTION("""COMPUTED_VALUE"""),"927 N Fairview St")</f>
        <v>927 N Fairview St</v>
      </c>
      <c r="C189" s="5" t="str">
        <f ca="1">IFERROR(__xludf.DUMMYFUNCTION("""COMPUTED_VALUE"""),"Burbank")</f>
        <v>Burbank</v>
      </c>
      <c r="D189" s="5" t="str">
        <f ca="1">IFERROR(__xludf.DUMMYFUNCTION("""COMPUTED_VALUE"""),"CA")</f>
        <v>CA</v>
      </c>
      <c r="E189" s="5">
        <f ca="1">IFERROR(__xludf.DUMMYFUNCTION("""COMPUTED_VALUE"""),91505)</f>
        <v>91505</v>
      </c>
      <c r="F189" s="19">
        <f ca="1">IFERROR(__xludf.DUMMYFUNCTION("""COMPUTED_VALUE"""),14950)</f>
        <v>14950</v>
      </c>
      <c r="G189" s="19">
        <f ca="1">IFERROR(__xludf.DUMMYFUNCTION("""COMPUTED_VALUE"""),19750)</f>
        <v>19750</v>
      </c>
      <c r="H189" s="18">
        <f ca="1">IFERROR(__xludf.DUMMYFUNCTION("""COMPUTED_VALUE"""),45665)</f>
        <v>45665</v>
      </c>
      <c r="I189" s="5" t="str">
        <f ca="1">IFERROR(__xludf.DUMMYFUNCTION("""COMPUTED_VALUE"""),"Zillow")</f>
        <v>Zillow</v>
      </c>
      <c r="J189" s="25" t="str">
        <f ca="1">IFERROR(__xludf.DUMMYFUNCTION("""COMPUTED_VALUE"""),"https://www.zillow.com/homedetails/Burbank-CA-91505/20062811_zpid/")</f>
        <v>https://www.zillow.com/homedetails/Burbank-CA-91505/20062811_zpid/</v>
      </c>
      <c r="K189" s="5" t="str">
        <f ca="1">IFERROR(__xludf.DUMMYFUNCTION("""COMPUTED_VALUE"""),"NA")</f>
        <v>NA</v>
      </c>
      <c r="L189" s="5" t="str">
        <f ca="1">IFERROR(__xludf.DUMMYFUNCTION("""COMPUTED_VALUE"""),"NA")</f>
        <v>NA</v>
      </c>
      <c r="M189" s="5" t="str">
        <f ca="1">IFERROR(__xludf.DUMMYFUNCTION("""COMPUTED_VALUE"""),"This property was originally listed for $19,750/mo on 12/4/24. IT has had two decreases, landing at $14,950 on 12/30/2024 until it was increased to $19,750 (+32.1%) on 1/8/2025.")</f>
        <v>This property was originally listed for $19,750/mo on 12/4/24. IT has had two decreases, landing at $14,950 on 12/30/2024 until it was increased to $19,750 (+32.1%) on 1/8/2025.</v>
      </c>
      <c r="N189" s="26" t="str">
        <f ca="1">IFERROR(__xludf.DUMMYFUNCTION("""COMPUTED_VALUE"""),"https://drive.google.com/open?id=1-Eb5AEYrX4Hfke_KyB58ZP98YUwDTlwr")</f>
        <v>https://drive.google.com/open?id=1-Eb5AEYrX4Hfke_KyB58ZP98YUwDTlwr</v>
      </c>
      <c r="O189" s="5">
        <f ca="1">IFERROR(__xludf.DUMMYFUNCTION("""COMPUTED_VALUE"""),2477027012)</f>
        <v>2477027012</v>
      </c>
      <c r="P189" s="5"/>
      <c r="Q189" s="5"/>
      <c r="R189" s="5" t="str">
        <f ca="1">IFERROR(__xludf.DUMMYFUNCTION("""COMPUTED_VALUE"""),"NA")</f>
        <v>NA</v>
      </c>
      <c r="S189" s="5"/>
      <c r="T189" s="5"/>
    </row>
    <row r="190" spans="1:20" ht="12.75">
      <c r="A190" s="24">
        <f ca="1">IFERROR(__xludf.DUMMYFUNCTION("""COMPUTED_VALUE"""),45669.7104420023)</f>
        <v>45669.710442002302</v>
      </c>
      <c r="B190" s="5" t="str">
        <f ca="1">IFERROR(__xludf.DUMMYFUNCTION("""COMPUTED_VALUE"""),"20 28th Ave #Penthouse")</f>
        <v>20 28th Ave #Penthouse</v>
      </c>
      <c r="C190" s="5" t="str">
        <f ca="1">IFERROR(__xludf.DUMMYFUNCTION("""COMPUTED_VALUE"""),"Venice")</f>
        <v>Venice</v>
      </c>
      <c r="D190" s="5" t="str">
        <f ca="1">IFERROR(__xludf.DUMMYFUNCTION("""COMPUTED_VALUE"""),"CA")</f>
        <v>CA</v>
      </c>
      <c r="E190" s="5">
        <f ca="1">IFERROR(__xludf.DUMMYFUNCTION("""COMPUTED_VALUE"""),90291)</f>
        <v>90291</v>
      </c>
      <c r="F190" s="19">
        <f ca="1">IFERROR(__xludf.DUMMYFUNCTION("""COMPUTED_VALUE"""),9000)</f>
        <v>9000</v>
      </c>
      <c r="G190" s="19">
        <f ca="1">IFERROR(__xludf.DUMMYFUNCTION("""COMPUTED_VALUE"""),9895)</f>
        <v>9895</v>
      </c>
      <c r="H190" s="18">
        <f ca="1">IFERROR(__xludf.DUMMYFUNCTION("""COMPUTED_VALUE"""),45669)</f>
        <v>45669</v>
      </c>
      <c r="I190" s="5" t="str">
        <f ca="1">IFERROR(__xludf.DUMMYFUNCTION("""COMPUTED_VALUE"""),"Zillow")</f>
        <v>Zillow</v>
      </c>
      <c r="J190" s="25" t="str">
        <f ca="1">IFERROR(__xludf.DUMMYFUNCTION("""COMPUTED_VALUE"""),"https://www.zillow.com/homedetails/20-28th-Ave-PENTHOUSE-Venice-CA-90291/442583506_zpid/")</f>
        <v>https://www.zillow.com/homedetails/20-28th-Ave-PENTHOUSE-Venice-CA-90291/442583506_zpid/</v>
      </c>
      <c r="K190" s="5" t="str">
        <f ca="1">IFERROR(__xludf.DUMMYFUNCTION("""COMPUTED_VALUE"""),"Eli Mashiach - MGB Realty Group")</f>
        <v>Eli Mashiach - MGB Realty Group</v>
      </c>
      <c r="L190" s="5" t="str">
        <f ca="1">IFERROR(__xludf.DUMMYFUNCTION("""COMPUTED_VALUE"""),"NA")</f>
        <v>NA</v>
      </c>
      <c r="M190" s="5" t="str">
        <f ca="1">IFERROR(__xludf.DUMMYFUNCTION("""COMPUTED_VALUE"""),"This property was first listed at $9,500 on 11/13/24. It was decreased on 12/4/2024 to $9000 until 1/12/2025 when it was increased to $9,895 (+9.9%) on 1/12/2025.")</f>
        <v>This property was first listed at $9,500 on 11/13/24. It was decreased on 12/4/2024 to $9000 until 1/12/2025 when it was increased to $9,895 (+9.9%) on 1/12/2025.</v>
      </c>
      <c r="N190" s="26" t="str">
        <f ca="1">IFERROR(__xludf.DUMMYFUNCTION("""COMPUTED_VALUE"""),"https://drive.google.com/open?id=1YoVaUBPOqLwNTz4M-C_iei4pwUkgbAEp")</f>
        <v>https://drive.google.com/open?id=1YoVaUBPOqLwNTz4M-C_iei4pwUkgbAEp</v>
      </c>
      <c r="O190" s="5" t="str">
        <f ca="1">IFERROR(__xludf.DUMMYFUNCTION("""COMPUTED_VALUE"""),"NA")</f>
        <v>NA</v>
      </c>
      <c r="P190" s="5" t="str">
        <f ca="1">IFERROR(__xludf.DUMMYFUNCTION("""COMPUTED_VALUE"""),"(818) 850-2757")</f>
        <v>(818) 850-2757</v>
      </c>
      <c r="Q190" s="5"/>
      <c r="R190" s="5" t="str">
        <f ca="1">IFERROR(__xludf.DUMMYFUNCTION("""COMPUTED_VALUE"""),"NA")</f>
        <v>NA</v>
      </c>
      <c r="S190" s="5"/>
      <c r="T190" s="5"/>
    </row>
    <row r="191" spans="1:20" ht="12.75">
      <c r="A191" s="24">
        <f ca="1">IFERROR(__xludf.DUMMYFUNCTION("""COMPUTED_VALUE"""),45669.7124058217)</f>
        <v>45669.712405821701</v>
      </c>
      <c r="B191" s="5" t="str">
        <f ca="1">IFERROR(__xludf.DUMMYFUNCTION("""COMPUTED_VALUE"""),"2428 glyndon ave")</f>
        <v>2428 glyndon ave</v>
      </c>
      <c r="C191" s="5" t="str">
        <f ca="1">IFERROR(__xludf.DUMMYFUNCTION("""COMPUTED_VALUE"""),"Venice")</f>
        <v>Venice</v>
      </c>
      <c r="D191" s="5" t="str">
        <f ca="1">IFERROR(__xludf.DUMMYFUNCTION("""COMPUTED_VALUE"""),"CA")</f>
        <v>CA</v>
      </c>
      <c r="E191" s="5">
        <f ca="1">IFERROR(__xludf.DUMMYFUNCTION("""COMPUTED_VALUE"""),90291)</f>
        <v>90291</v>
      </c>
      <c r="F191" s="19">
        <f ca="1">IFERROR(__xludf.DUMMYFUNCTION("""COMPUTED_VALUE"""),11500)</f>
        <v>11500</v>
      </c>
      <c r="G191" s="19">
        <f ca="1">IFERROR(__xludf.DUMMYFUNCTION("""COMPUTED_VALUE"""),16000)</f>
        <v>16000</v>
      </c>
      <c r="H191" s="18">
        <f ca="1">IFERROR(__xludf.DUMMYFUNCTION("""COMPUTED_VALUE"""),45669)</f>
        <v>45669</v>
      </c>
      <c r="I191" s="5" t="str">
        <f ca="1">IFERROR(__xludf.DUMMYFUNCTION("""COMPUTED_VALUE"""),"Zillow")</f>
        <v>Zillow</v>
      </c>
      <c r="J191" s="25" t="str">
        <f ca="1">IFERROR(__xludf.DUMMYFUNCTION("""COMPUTED_VALUE"""),"https://www.zillow.com/homedetails/2428-Glyndon-Ave-Venice-CA-90291/20448951_zpid/?utm_campaign=iosappmessage&amp;utm_medium=referral&amp;utm_source=txtshare")</f>
        <v>https://www.zillow.com/homedetails/2428-Glyndon-Ave-Venice-CA-90291/20448951_zpid/?utm_campaign=iosappmessage&amp;utm_medium=referral&amp;utm_source=txtshare</v>
      </c>
      <c r="K191" s="5" t="str">
        <f ca="1">IFERROR(__xludf.DUMMYFUNCTION("""COMPUTED_VALUE"""),"Andrew quezada")</f>
        <v>Andrew quezada</v>
      </c>
      <c r="L191" s="5"/>
      <c r="M191" s="5"/>
      <c r="N191" s="5" t="str">
        <f ca="1">IFERROR(__xludf.DUMMYFUNCTION("""COMPUTED_VALUE"""),"https://drive.google.com/open?id=1UZixRhfyvVJ1TEMDreb0N0Tv3NPiCGZZ, https://drive.google.com/open?id=1mYncaGcof9Wriz02qzvJhkQPRs9KuPPD, https://drive.google.com/open?id=1cXthGHXLiXNRhiCxnKUuEt5z6NOX5-cQ")</f>
        <v>https://drive.google.com/open?id=1UZixRhfyvVJ1TEMDreb0N0Tv3NPiCGZZ, https://drive.google.com/open?id=1mYncaGcof9Wriz02qzvJhkQPRs9KuPPD, https://drive.google.com/open?id=1cXthGHXLiXNRhiCxnKUuEt5z6NOX5-cQ</v>
      </c>
      <c r="O191" s="5" t="str">
        <f ca="1">IFERROR(__xludf.DUMMYFUNCTION("""COMPUTED_VALUE"""),"Parcel number: 4236007006")</f>
        <v>Parcel number: 4236007006</v>
      </c>
      <c r="P191" s="5"/>
      <c r="Q191" s="5"/>
      <c r="R191" s="5"/>
      <c r="S191" s="5"/>
      <c r="T191" s="5"/>
    </row>
    <row r="192" spans="1:20" ht="12.75">
      <c r="A192" s="24">
        <f ca="1">IFERROR(__xludf.DUMMYFUNCTION("""COMPUTED_VALUE"""),45669.7125717013)</f>
        <v>45669.712571701297</v>
      </c>
      <c r="B192" s="5" t="str">
        <f ca="1">IFERROR(__xludf.DUMMYFUNCTION("""COMPUTED_VALUE"""),"14654 Addison St")</f>
        <v>14654 Addison St</v>
      </c>
      <c r="C192" s="5" t="str">
        <f ca="1">IFERROR(__xludf.DUMMYFUNCTION("""COMPUTED_VALUE"""),"Sherman Oaks")</f>
        <v>Sherman Oaks</v>
      </c>
      <c r="D192" s="5" t="str">
        <f ca="1">IFERROR(__xludf.DUMMYFUNCTION("""COMPUTED_VALUE"""),"CA")</f>
        <v>CA</v>
      </c>
      <c r="E192" s="5">
        <f ca="1">IFERROR(__xludf.DUMMYFUNCTION("""COMPUTED_VALUE"""),91403)</f>
        <v>91403</v>
      </c>
      <c r="F192" s="19">
        <f ca="1">IFERROR(__xludf.DUMMYFUNCTION("""COMPUTED_VALUE"""),9000)</f>
        <v>9000</v>
      </c>
      <c r="G192" s="19">
        <f ca="1">IFERROR(__xludf.DUMMYFUNCTION("""COMPUTED_VALUE"""),14000)</f>
        <v>14000</v>
      </c>
      <c r="H192" s="18">
        <f ca="1">IFERROR(__xludf.DUMMYFUNCTION("""COMPUTED_VALUE"""),45666)</f>
        <v>45666</v>
      </c>
      <c r="I192" s="5" t="str">
        <f ca="1">IFERROR(__xludf.DUMMYFUNCTION("""COMPUTED_VALUE"""),"Zillow")</f>
        <v>Zillow</v>
      </c>
      <c r="J192" s="25" t="str">
        <f ca="1">IFERROR(__xludf.DUMMYFUNCTION("""COMPUTED_VALUE"""),"https://www.zillow.com/homedetails/14654-Addison-St-Sherman-Oaks-CA-91403/19982382_zpid/")</f>
        <v>https://www.zillow.com/homedetails/14654-Addison-St-Sherman-Oaks-CA-91403/19982382_zpid/</v>
      </c>
      <c r="K192" s="5"/>
      <c r="L192" s="5" t="str">
        <f ca="1">IFERROR(__xludf.DUMMYFUNCTION("""COMPUTED_VALUE"""),"Rachel Kaufman")</f>
        <v>Rachel Kaufman</v>
      </c>
      <c r="M192" s="5"/>
      <c r="N192" s="26" t="str">
        <f ca="1">IFERROR(__xludf.DUMMYFUNCTION("""COMPUTED_VALUE"""),"https://drive.google.com/open?id=1QbSgXsZU8R9YAgQocAEC5RKn8pDNTLfk")</f>
        <v>https://drive.google.com/open?id=1QbSgXsZU8R9YAgQocAEC5RKn8pDNTLfk</v>
      </c>
      <c r="O192" s="5">
        <f ca="1">IFERROR(__xludf.DUMMYFUNCTION("""COMPUTED_VALUE"""),2263027029)</f>
        <v>2263027029</v>
      </c>
      <c r="P192" s="5"/>
      <c r="Q192" s="5"/>
      <c r="R192" s="5" t="str">
        <f ca="1">IFERROR(__xludf.DUMMYFUNCTION("""COMPUTED_VALUE"""),"(818) 825-2134")</f>
        <v>(818) 825-2134</v>
      </c>
      <c r="S192" s="5"/>
      <c r="T192" s="5"/>
    </row>
    <row r="193" spans="1:20" ht="12.75">
      <c r="A193" s="24">
        <f ca="1">IFERROR(__xludf.DUMMYFUNCTION("""COMPUTED_VALUE"""),45669.7126837037)</f>
        <v>45669.712683703699</v>
      </c>
      <c r="B193" s="5" t="str">
        <f ca="1">IFERROR(__xludf.DUMMYFUNCTION("""COMPUTED_VALUE"""),"3055 Landa St")</f>
        <v>3055 Landa St</v>
      </c>
      <c r="C193" s="5" t="str">
        <f ca="1">IFERROR(__xludf.DUMMYFUNCTION("""COMPUTED_VALUE"""),"Los Angeles")</f>
        <v>Los Angeles</v>
      </c>
      <c r="D193" s="5" t="str">
        <f ca="1">IFERROR(__xludf.DUMMYFUNCTION("""COMPUTED_VALUE"""),"CA")</f>
        <v>CA</v>
      </c>
      <c r="E193" s="5">
        <f ca="1">IFERROR(__xludf.DUMMYFUNCTION("""COMPUTED_VALUE"""),90026)</f>
        <v>90026</v>
      </c>
      <c r="F193" s="19">
        <f ca="1">IFERROR(__xludf.DUMMYFUNCTION("""COMPUTED_VALUE"""),9000)</f>
        <v>9000</v>
      </c>
      <c r="G193" s="19">
        <f ca="1">IFERROR(__xludf.DUMMYFUNCTION("""COMPUTED_VALUE"""),12000)</f>
        <v>12000</v>
      </c>
      <c r="H193" s="18">
        <f ca="1">IFERROR(__xludf.DUMMYFUNCTION("""COMPUTED_VALUE"""),45668)</f>
        <v>45668</v>
      </c>
      <c r="I193" s="5" t="str">
        <f ca="1">IFERROR(__xludf.DUMMYFUNCTION("""COMPUTED_VALUE"""),"Zillow")</f>
        <v>Zillow</v>
      </c>
      <c r="J193" s="25" t="str">
        <f ca="1">IFERROR(__xludf.DUMMYFUNCTION("""COMPUTED_VALUE"""),"https://www.zillow.com/homedetails/3055-Landa-St-Los-Angeles-CA-90039/20747666_zpid/")</f>
        <v>https://www.zillow.com/homedetails/3055-Landa-St-Los-Angeles-CA-90039/20747666_zpid/</v>
      </c>
      <c r="K193" s="5" t="str">
        <f ca="1">IFERROR(__xludf.DUMMYFUNCTION("""COMPUTED_VALUE"""),"Edward Kay")</f>
        <v>Edward Kay</v>
      </c>
      <c r="L193" s="5" t="str">
        <f ca="1">IFERROR(__xludf.DUMMYFUNCTION("""COMPUTED_VALUE"""),"NA")</f>
        <v>NA</v>
      </c>
      <c r="M193" s="5" t="str">
        <f ca="1">IFERROR(__xludf.DUMMYFUNCTION("""COMPUTED_VALUE"""),"This property has been on the market at $9,000 throughout 2024. It increased to $12,000 (+33.3%) on 1/11/2025. This property manager has multiple properties that have had illegal increases during this crisis. ")</f>
        <v xml:space="preserve">This property has been on the market at $9,000 throughout 2024. It increased to $12,000 (+33.3%) on 1/11/2025. This property manager has multiple properties that have had illegal increases during this crisis. </v>
      </c>
      <c r="N193" s="26" t="str">
        <f ca="1">IFERROR(__xludf.DUMMYFUNCTION("""COMPUTED_VALUE"""),"https://drive.google.com/open?id=189eGLA2TNGPXY6w1YWV-MHqt1VYkweTV")</f>
        <v>https://drive.google.com/open?id=189eGLA2TNGPXY6w1YWV-MHqt1VYkweTV</v>
      </c>
      <c r="O193" s="5">
        <f ca="1">IFERROR(__xludf.DUMMYFUNCTION("""COMPUTED_VALUE"""),5431021002)</f>
        <v>5431021002</v>
      </c>
      <c r="P193" s="5">
        <f ca="1">IFERROR(__xludf.DUMMYFUNCTION("""COMPUTED_VALUE"""),8184018719)</f>
        <v>8184018719</v>
      </c>
      <c r="Q193" s="5"/>
      <c r="R193" s="5" t="str">
        <f ca="1">IFERROR(__xludf.DUMMYFUNCTION("""COMPUTED_VALUE"""),"NA")</f>
        <v>NA</v>
      </c>
      <c r="S193" s="5"/>
      <c r="T193" s="5"/>
    </row>
    <row r="194" spans="1:20" ht="12.75">
      <c r="A194" s="24">
        <f ca="1">IFERROR(__xludf.DUMMYFUNCTION("""COMPUTED_VALUE"""),45669.7167404282)</f>
        <v>45669.716740428201</v>
      </c>
      <c r="B194" s="5" t="str">
        <f ca="1">IFERROR(__xludf.DUMMYFUNCTION("""COMPUTED_VALUE"""),"12318 W Sunset Blvd")</f>
        <v>12318 W Sunset Blvd</v>
      </c>
      <c r="C194" s="5" t="str">
        <f ca="1">IFERROR(__xludf.DUMMYFUNCTION("""COMPUTED_VALUE"""),"Los Angeles")</f>
        <v>Los Angeles</v>
      </c>
      <c r="D194" s="5" t="str">
        <f ca="1">IFERROR(__xludf.DUMMYFUNCTION("""COMPUTED_VALUE"""),"CA")</f>
        <v>CA</v>
      </c>
      <c r="E194" s="5">
        <f ca="1">IFERROR(__xludf.DUMMYFUNCTION("""COMPUTED_VALUE"""),90049)</f>
        <v>90049</v>
      </c>
      <c r="F194" s="19">
        <f ca="1">IFERROR(__xludf.DUMMYFUNCTION("""COMPUTED_VALUE"""),29500)</f>
        <v>29500</v>
      </c>
      <c r="G194" s="19">
        <f ca="1">IFERROR(__xludf.DUMMYFUNCTION("""COMPUTED_VALUE"""),30000)</f>
        <v>30000</v>
      </c>
      <c r="H194" s="18">
        <f ca="1">IFERROR(__xludf.DUMMYFUNCTION("""COMPUTED_VALUE"""),45669)</f>
        <v>45669</v>
      </c>
      <c r="I194" s="5" t="str">
        <f ca="1">IFERROR(__xludf.DUMMYFUNCTION("""COMPUTED_VALUE"""),"Redfin")</f>
        <v>Redfin</v>
      </c>
      <c r="J194" s="25" t="str">
        <f ca="1">IFERROR(__xludf.DUMMYFUNCTION("""COMPUTED_VALUE"""),"https://www.redfin.com/CA/Los-Angeles/12318-W-Sunset-Blvd-90049/home/6838818")</f>
        <v>https://www.redfin.com/CA/Los-Angeles/12318-W-Sunset-Blvd-90049/home/6838818</v>
      </c>
      <c r="K194" s="5" t="str">
        <f ca="1">IFERROR(__xludf.DUMMYFUNCTION("""COMPUTED_VALUE"""),"Mehrnoosh Moosh Bahri")</f>
        <v>Mehrnoosh Moosh Bahri</v>
      </c>
      <c r="L194" s="5" t="str">
        <f ca="1">IFERROR(__xludf.DUMMYFUNCTION("""COMPUTED_VALUE"""),"NA")</f>
        <v>NA</v>
      </c>
      <c r="M194" s="5" t="str">
        <f ca="1">IFERROR(__xludf.DUMMYFUNCTION("""COMPUTED_VALUE"""),"This property has been consistently decreasing in monthly price since 11/2024. As of 1/3/2025 the property was listed for $29,500/mo until being increased to as much as $35,000 on 1/11/2025 and then to $30,000 on 1/12/2025. ")</f>
        <v xml:space="preserve">This property has been consistently decreasing in monthly price since 11/2024. As of 1/3/2025 the property was listed for $29,500/mo until being increased to as much as $35,000 on 1/11/2025 and then to $30,000 on 1/12/2025. </v>
      </c>
      <c r="N194" s="26" t="str">
        <f ca="1">IFERROR(__xludf.DUMMYFUNCTION("""COMPUTED_VALUE"""),"https://drive.google.com/open?id=1_SAi9JLdagD4oQrTUMTUV5MK_wG2-7Ep")</f>
        <v>https://drive.google.com/open?id=1_SAi9JLdagD4oQrTUMTUV5MK_wG2-7Ep</v>
      </c>
      <c r="O194" s="5" t="str">
        <f ca="1">IFERROR(__xludf.DUMMYFUNCTION("""COMPUTED_VALUE"""),"MLS #24-457879")</f>
        <v>MLS #24-457879</v>
      </c>
      <c r="P194" s="5" t="str">
        <f ca="1">IFERROR(__xludf.DUMMYFUNCTION("""COMPUTED_VALUE"""),"310-433-1807 ")</f>
        <v xml:space="preserve">310-433-1807 </v>
      </c>
      <c r="Q194" s="5" t="str">
        <f ca="1">IFERROR(__xludf.DUMMYFUNCTION("""COMPUTED_VALUE"""),"Mooshmbahri@gmail.com")</f>
        <v>Mooshmbahri@gmail.com</v>
      </c>
      <c r="R194" s="5"/>
      <c r="S194" s="5"/>
      <c r="T194" s="5"/>
    </row>
    <row r="195" spans="1:20" ht="12.75">
      <c r="A195" s="24">
        <f ca="1">IFERROR(__xludf.DUMMYFUNCTION("""COMPUTED_VALUE"""),45669.7179749421)</f>
        <v>45669.717974942097</v>
      </c>
      <c r="B195" s="5" t="str">
        <f ca="1">IFERROR(__xludf.DUMMYFUNCTION("""COMPUTED_VALUE"""),"8725 W Lookout Mountain Ave")</f>
        <v>8725 W Lookout Mountain Ave</v>
      </c>
      <c r="C195" s="5" t="str">
        <f ca="1">IFERROR(__xludf.DUMMYFUNCTION("""COMPUTED_VALUE"""),"Los Angeles")</f>
        <v>Los Angeles</v>
      </c>
      <c r="D195" s="5" t="str">
        <f ca="1">IFERROR(__xludf.DUMMYFUNCTION("""COMPUTED_VALUE"""),"CA")</f>
        <v>CA</v>
      </c>
      <c r="E195" s="5">
        <f ca="1">IFERROR(__xludf.DUMMYFUNCTION("""COMPUTED_VALUE"""),90046)</f>
        <v>90046</v>
      </c>
      <c r="F195" s="19">
        <f ca="1">IFERROR(__xludf.DUMMYFUNCTION("""COMPUTED_VALUE"""),5999)</f>
        <v>5999</v>
      </c>
      <c r="G195" s="19">
        <f ca="1">IFERROR(__xludf.DUMMYFUNCTION("""COMPUTED_VALUE"""),6999)</f>
        <v>6999</v>
      </c>
      <c r="H195" s="18">
        <f ca="1">IFERROR(__xludf.DUMMYFUNCTION("""COMPUTED_VALUE"""),45668)</f>
        <v>45668</v>
      </c>
      <c r="I195" s="5" t="str">
        <f ca="1">IFERROR(__xludf.DUMMYFUNCTION("""COMPUTED_VALUE"""),"Zillow")</f>
        <v>Zillow</v>
      </c>
      <c r="J195" s="25" t="str">
        <f ca="1">IFERROR(__xludf.DUMMYFUNCTION("""COMPUTED_VALUE"""),"https://www.zillow.com/homedetails/8725-W-Lookout-Mountain-Ave-Los-Angeles-CA-90046/95669015_zpid/")</f>
        <v>https://www.zillow.com/homedetails/8725-W-Lookout-Mountain-Ave-Los-Angeles-CA-90046/95669015_zpid/</v>
      </c>
      <c r="K195" s="5" t="str">
        <f ca="1">IFERROR(__xludf.DUMMYFUNCTION("""COMPUTED_VALUE"""),"Concepcion manager of Mountain 25 company LLC")</f>
        <v>Concepcion manager of Mountain 25 company LLC</v>
      </c>
      <c r="L195" s="5"/>
      <c r="M195" s="5"/>
      <c r="N195" s="5" t="str">
        <f ca="1">IFERROR(__xludf.DUMMYFUNCTION("""COMPUTED_VALUE"""),"https://drive.google.com/open?id=1iMDjyxxjTeKAXD1y7cJqAs14543_3un6, https://drive.google.com/open?id=1hWqfPzZ1wccCfAJ4FhU1o4ie2yY0ZO7Z")</f>
        <v>https://drive.google.com/open?id=1iMDjyxxjTeKAXD1y7cJqAs14543_3un6, https://drive.google.com/open?id=1hWqfPzZ1wccCfAJ4FhU1o4ie2yY0ZO7Z</v>
      </c>
      <c r="O195" s="5">
        <f ca="1">IFERROR(__xludf.DUMMYFUNCTION("""COMPUTED_VALUE"""),5563016016)</f>
        <v>5563016016</v>
      </c>
      <c r="P195" s="5" t="str">
        <f ca="1">IFERROR(__xludf.DUMMYFUNCTION("""COMPUTED_VALUE"""),"(310) 430-1281")</f>
        <v>(310) 430-1281</v>
      </c>
      <c r="Q195" s="5"/>
      <c r="R195" s="5"/>
      <c r="S195" s="5"/>
      <c r="T195" s="5"/>
    </row>
    <row r="196" spans="1:20" ht="12.75">
      <c r="A196" s="24">
        <f ca="1">IFERROR(__xludf.DUMMYFUNCTION("""COMPUTED_VALUE"""),45669.7198983217)</f>
        <v>45669.719898321702</v>
      </c>
      <c r="B196" s="5" t="str">
        <f ca="1">IFERROR(__xludf.DUMMYFUNCTION("""COMPUTED_VALUE"""),"1106 Oakwood Ave, Venice, CA 90291")</f>
        <v>1106 Oakwood Ave, Venice, CA 90291</v>
      </c>
      <c r="C196" s="5" t="str">
        <f ca="1">IFERROR(__xludf.DUMMYFUNCTION("""COMPUTED_VALUE"""),"venice")</f>
        <v>venice</v>
      </c>
      <c r="D196" s="5" t="str">
        <f ca="1">IFERROR(__xludf.DUMMYFUNCTION("""COMPUTED_VALUE"""),"CA")</f>
        <v>CA</v>
      </c>
      <c r="E196" s="5">
        <f ca="1">IFERROR(__xludf.DUMMYFUNCTION("""COMPUTED_VALUE"""),90291)</f>
        <v>90291</v>
      </c>
      <c r="F196" s="19">
        <f ca="1">IFERROR(__xludf.DUMMYFUNCTION("""COMPUTED_VALUE"""),8459)</f>
        <v>8459</v>
      </c>
      <c r="G196" s="19">
        <f ca="1">IFERROR(__xludf.DUMMYFUNCTION("""COMPUTED_VALUE"""),11000)</f>
        <v>11000</v>
      </c>
      <c r="H196" s="18">
        <f ca="1">IFERROR(__xludf.DUMMYFUNCTION("""COMPUTED_VALUE"""),45669)</f>
        <v>45669</v>
      </c>
      <c r="I196" s="5" t="str">
        <f ca="1">IFERROR(__xludf.DUMMYFUNCTION("""COMPUTED_VALUE"""),"Zillow")</f>
        <v>Zillow</v>
      </c>
      <c r="J196" s="25" t="str">
        <f ca="1">IFERROR(__xludf.DUMMYFUNCTION("""COMPUTED_VALUE"""),"https://www.zillow.com/homedetails/1106-Oakwood-Ave-Venice-CA-90291/20450981_zpid/?utm_campaign=iosappmessage&amp;utm_medium=referral&amp;utm_source=txtshare")</f>
        <v>https://www.zillow.com/homedetails/1106-Oakwood-Ave-Venice-CA-90291/20450981_zpid/?utm_campaign=iosappmessage&amp;utm_medium=referral&amp;utm_source=txtshare</v>
      </c>
      <c r="K196" s="5"/>
      <c r="L196" s="5" t="str">
        <f ca="1">IFERROR(__xludf.DUMMYFUNCTION("""COMPUTED_VALUE"""),"Megan raney Aarons")</f>
        <v>Megan raney Aarons</v>
      </c>
      <c r="M196" s="5"/>
      <c r="N196" s="5" t="str">
        <f ca="1">IFERROR(__xludf.DUMMYFUNCTION("""COMPUTED_VALUE"""),"https://drive.google.com/open?id=1lYJrc9Orpar7xObAJXl7Y8LQ-i0jaauz, https://drive.google.com/open?id=1cn860A4160dBz4rbayrCKIrSmvnYt8P5, https://drive.google.com/open?id=1gz8JczfG2MFG7AWfEAbyowEEQ1K-8PPh")</f>
        <v>https://drive.google.com/open?id=1lYJrc9Orpar7xObAJXl7Y8LQ-i0jaauz, https://drive.google.com/open?id=1cn860A4160dBz4rbayrCKIrSmvnYt8P5, https://drive.google.com/open?id=1gz8JczfG2MFG7AWfEAbyowEEQ1K-8PPh</v>
      </c>
      <c r="O196" s="5" t="str">
        <f ca="1">IFERROR(__xludf.DUMMYFUNCTION("""COMPUTED_VALUE"""),"Parcel number: 4239017002")</f>
        <v>Parcel number: 4239017002</v>
      </c>
      <c r="P196" s="5"/>
      <c r="Q196" s="5"/>
      <c r="R196" s="5">
        <f ca="1">IFERROR(__xludf.DUMMYFUNCTION("""COMPUTED_VALUE"""),3102661611)</f>
        <v>3102661611</v>
      </c>
      <c r="S196" s="5"/>
      <c r="T196" s="5"/>
    </row>
    <row r="197" spans="1:20" ht="12.75">
      <c r="A197" s="24">
        <f ca="1">IFERROR(__xludf.DUMMYFUNCTION("""COMPUTED_VALUE"""),45669.7214599537)</f>
        <v>45669.721459953696</v>
      </c>
      <c r="B197" s="5" t="str">
        <f ca="1">IFERROR(__xludf.DUMMYFUNCTION("""COMPUTED_VALUE"""),"2950 Tyburn St")</f>
        <v>2950 Tyburn St</v>
      </c>
      <c r="C197" s="5" t="str">
        <f ca="1">IFERROR(__xludf.DUMMYFUNCTION("""COMPUTED_VALUE"""),"Los Angeles ")</f>
        <v xml:space="preserve">Los Angeles </v>
      </c>
      <c r="D197" s="5" t="str">
        <f ca="1">IFERROR(__xludf.DUMMYFUNCTION("""COMPUTED_VALUE"""),"CA")</f>
        <v>CA</v>
      </c>
      <c r="E197" s="5">
        <f ca="1">IFERROR(__xludf.DUMMYFUNCTION("""COMPUTED_VALUE"""),90039)</f>
        <v>90039</v>
      </c>
      <c r="F197" s="19">
        <f ca="1">IFERROR(__xludf.DUMMYFUNCTION("""COMPUTED_VALUE"""),3800)</f>
        <v>3800</v>
      </c>
      <c r="G197" s="19">
        <f ca="1">IFERROR(__xludf.DUMMYFUNCTION("""COMPUTED_VALUE"""),4500)</f>
        <v>4500</v>
      </c>
      <c r="H197" s="18">
        <f ca="1">IFERROR(__xludf.DUMMYFUNCTION("""COMPUTED_VALUE"""),45669)</f>
        <v>45669</v>
      </c>
      <c r="I197" s="5" t="str">
        <f ca="1">IFERROR(__xludf.DUMMYFUNCTION("""COMPUTED_VALUE"""),"Zillow")</f>
        <v>Zillow</v>
      </c>
      <c r="J197" s="25" t="str">
        <f ca="1">IFERROR(__xludf.DUMMYFUNCTION("""COMPUTED_VALUE"""),"https://www.zillow.com/homedetails/2950-Tyburn-St-Los-Angeles-CA-90039/20751814_zpid/?utm_campaign=iosappmessage&amp;utm_medium=referral&amp;utm_source=txtshare")</f>
        <v>https://www.zillow.com/homedetails/2950-Tyburn-St-Los-Angeles-CA-90039/20751814_zpid/?utm_campaign=iosappmessage&amp;utm_medium=referral&amp;utm_source=txtshare</v>
      </c>
      <c r="K197" s="5" t="str">
        <f ca="1">IFERROR(__xludf.DUMMYFUNCTION("""COMPUTED_VALUE"""),"Vartan Tamamian")</f>
        <v>Vartan Tamamian</v>
      </c>
      <c r="L197" s="5" t="str">
        <f ca="1">IFERROR(__xludf.DUMMYFUNCTION("""COMPUTED_VALUE"""),"Barton Tamamian")</f>
        <v>Barton Tamamian</v>
      </c>
      <c r="M197" s="5"/>
      <c r="N197" s="5" t="str">
        <f ca="1">IFERROR(__xludf.DUMMYFUNCTION("""COMPUTED_VALUE"""),"https://drive.google.com/open?id=1LkCGRZUSPcznFDdG8d8jmfO5gjg1xq1y, https://drive.google.com/open?id=1p4rHOSfokWyQNl8--b_RHzPGSReRtFYg, https://drive.google.com/open?id=16smliL29gtcDrW_reANVePri9pK7nVi2")</f>
        <v>https://drive.google.com/open?id=1LkCGRZUSPcznFDdG8d8jmfO5gjg1xq1y, https://drive.google.com/open?id=1p4rHOSfokWyQNl8--b_RHzPGSReRtFYg, https://drive.google.com/open?id=16smliL29gtcDrW_reANVePri9pK7nVi2</v>
      </c>
      <c r="O197" s="5">
        <f ca="1">IFERROR(__xludf.DUMMYFUNCTION("""COMPUTED_VALUE"""),5437023007)</f>
        <v>5437023007</v>
      </c>
      <c r="P197" s="5" t="str">
        <f ca="1">IFERROR(__xludf.DUMMYFUNCTION("""COMPUTED_VALUE"""),"(310) 810-8529")</f>
        <v>(310) 810-8529</v>
      </c>
      <c r="Q197" s="5" t="str">
        <f ca="1">IFERROR(__xludf.DUMMYFUNCTION("""COMPUTED_VALUE"""),"vartan.tamamian@gmail.com")</f>
        <v>vartan.tamamian@gmail.com</v>
      </c>
      <c r="R197" s="5"/>
      <c r="S197" s="5"/>
      <c r="T197" s="5"/>
    </row>
    <row r="198" spans="1:20" ht="12.75">
      <c r="A198" s="24">
        <f ca="1">IFERROR(__xludf.DUMMYFUNCTION("""COMPUTED_VALUE"""),45669.722996574)</f>
        <v>45669.722996573997</v>
      </c>
      <c r="B198" s="5" t="str">
        <f ca="1">IFERROR(__xludf.DUMMYFUNCTION("""COMPUTED_VALUE"""),"15701 Royal Ridge Rd")</f>
        <v>15701 Royal Ridge Rd</v>
      </c>
      <c r="C198" s="5" t="str">
        <f ca="1">IFERROR(__xludf.DUMMYFUNCTION("""COMPUTED_VALUE"""),"Sherman Oaks")</f>
        <v>Sherman Oaks</v>
      </c>
      <c r="D198" s="5" t="str">
        <f ca="1">IFERROR(__xludf.DUMMYFUNCTION("""COMPUTED_VALUE"""),"CA")</f>
        <v>CA</v>
      </c>
      <c r="E198" s="5">
        <f ca="1">IFERROR(__xludf.DUMMYFUNCTION("""COMPUTED_VALUE"""),91403)</f>
        <v>91403</v>
      </c>
      <c r="F198" s="19">
        <f ca="1">IFERROR(__xludf.DUMMYFUNCTION("""COMPUTED_VALUE"""),8995)</f>
        <v>8995</v>
      </c>
      <c r="G198" s="19">
        <f ca="1">IFERROR(__xludf.DUMMYFUNCTION("""COMPUTED_VALUE"""),9900)</f>
        <v>9900</v>
      </c>
      <c r="H198" s="18">
        <f ca="1">IFERROR(__xludf.DUMMYFUNCTION("""COMPUTED_VALUE"""),45664)</f>
        <v>45664</v>
      </c>
      <c r="I198" s="5" t="str">
        <f ca="1">IFERROR(__xludf.DUMMYFUNCTION("""COMPUTED_VALUE"""),"Zillow")</f>
        <v>Zillow</v>
      </c>
      <c r="J198" s="25" t="str">
        <f ca="1">IFERROR(__xludf.DUMMYFUNCTION("""COMPUTED_VALUE"""),"https://www.zillow.com/homedetails/15701-Royal-Ridge-Rd-Sherman-Oaks-CA-91403/19990414_zpid/")</f>
        <v>https://www.zillow.com/homedetails/15701-Royal-Ridge-Rd-Sherman-Oaks-CA-91403/19990414_zpid/</v>
      </c>
      <c r="K198" s="5" t="str">
        <f ca="1">IFERROR(__xludf.DUMMYFUNCTION("""COMPUTED_VALUE"""),"Rich Garzelli, Keller Williams")</f>
        <v>Rich Garzelli, Keller Williams</v>
      </c>
      <c r="L198" s="5"/>
      <c r="M198" s="5"/>
      <c r="N198" s="26" t="str">
        <f ca="1">IFERROR(__xludf.DUMMYFUNCTION("""COMPUTED_VALUE"""),"https://drive.google.com/open?id=1bUbifeDOjLEVXUbqLBca5g7EZ99G5BQX")</f>
        <v>https://drive.google.com/open?id=1bUbifeDOjLEVXUbqLBca5g7EZ99G5BQX</v>
      </c>
      <c r="O198" s="5">
        <f ca="1">IFERROR(__xludf.DUMMYFUNCTION("""COMPUTED_VALUE"""),2280006031)</f>
        <v>2280006031</v>
      </c>
      <c r="P198" s="5" t="str">
        <f ca="1">IFERROR(__xludf.DUMMYFUNCTION("""COMPUTED_VALUE"""),"(559) 215-8174")</f>
        <v>(559) 215-8174</v>
      </c>
      <c r="Q198" s="5"/>
      <c r="R198" s="5"/>
      <c r="S198" s="5"/>
      <c r="T198" s="5"/>
    </row>
    <row r="199" spans="1:20" ht="12.75">
      <c r="A199" s="24">
        <f ca="1">IFERROR(__xludf.DUMMYFUNCTION("""COMPUTED_VALUE"""),45669.7254248148)</f>
        <v>45669.725424814802</v>
      </c>
      <c r="B199" s="5" t="str">
        <f ca="1">IFERROR(__xludf.DUMMYFUNCTION("""COMPUTED_VALUE"""),"114 Pacific Ave")</f>
        <v>114 Pacific Ave</v>
      </c>
      <c r="C199" s="5" t="str">
        <f ca="1">IFERROR(__xludf.DUMMYFUNCTION("""COMPUTED_VALUE"""),"Venice")</f>
        <v>Venice</v>
      </c>
      <c r="D199" s="5" t="str">
        <f ca="1">IFERROR(__xludf.DUMMYFUNCTION("""COMPUTED_VALUE"""),"CA")</f>
        <v>CA</v>
      </c>
      <c r="E199" s="5">
        <f ca="1">IFERROR(__xludf.DUMMYFUNCTION("""COMPUTED_VALUE"""),90291)</f>
        <v>90291</v>
      </c>
      <c r="F199" s="19">
        <f ca="1">IFERROR(__xludf.DUMMYFUNCTION("""COMPUTED_VALUE"""),8995)</f>
        <v>8995</v>
      </c>
      <c r="G199" s="19">
        <f ca="1">IFERROR(__xludf.DUMMYFUNCTION("""COMPUTED_VALUE"""),11500)</f>
        <v>11500</v>
      </c>
      <c r="H199" s="18">
        <f ca="1">IFERROR(__xludf.DUMMYFUNCTION("""COMPUTED_VALUE"""),45669)</f>
        <v>45669</v>
      </c>
      <c r="I199" s="5" t="str">
        <f ca="1">IFERROR(__xludf.DUMMYFUNCTION("""COMPUTED_VALUE"""),"Zillow")</f>
        <v>Zillow</v>
      </c>
      <c r="J199" s="25" t="str">
        <f ca="1">IFERROR(__xludf.DUMMYFUNCTION("""COMPUTED_VALUE"""),"https://www.zillow.com/homedetails/114-Pacific-Ave-Venice-CA-90291/20482017_zpid/")</f>
        <v>https://www.zillow.com/homedetails/114-Pacific-Ave-Venice-CA-90291/20482017_zpid/</v>
      </c>
      <c r="K199" s="5" t="str">
        <f ca="1">IFERROR(__xludf.DUMMYFUNCTION("""COMPUTED_VALUE"""),"Lee Tonks")</f>
        <v>Lee Tonks</v>
      </c>
      <c r="L199" s="5"/>
      <c r="M199" s="5"/>
      <c r="N199" s="26" t="str">
        <f ca="1">IFERROR(__xludf.DUMMYFUNCTION("""COMPUTED_VALUE"""),"https://drive.google.com/open?id=1LhoDVGbw_O7q2wjd28AKFsUrgKKepUXK")</f>
        <v>https://drive.google.com/open?id=1LhoDVGbw_O7q2wjd28AKFsUrgKKepUXK</v>
      </c>
      <c r="O199" s="5">
        <f ca="1">IFERROR(__xludf.DUMMYFUNCTION("""COMPUTED_VALUE"""),4286017023)</f>
        <v>4286017023</v>
      </c>
      <c r="P199" s="5" t="str">
        <f ca="1">IFERROR(__xludf.DUMMYFUNCTION("""COMPUTED_VALUE"""),"(310) 980-3979")</f>
        <v>(310) 980-3979</v>
      </c>
      <c r="Q199" s="5"/>
      <c r="R199" s="5"/>
      <c r="S199" s="5"/>
      <c r="T199" s="5"/>
    </row>
    <row r="200" spans="1:20" ht="12.75">
      <c r="A200" s="24">
        <f ca="1">IFERROR(__xludf.DUMMYFUNCTION("""COMPUTED_VALUE"""),45669.726365706)</f>
        <v>45669.726365706003</v>
      </c>
      <c r="B200" s="5" t="str">
        <f ca="1">IFERROR(__xludf.DUMMYFUNCTION("""COMPUTED_VALUE"""),"1302 N Gardner St,")</f>
        <v>1302 N Gardner St,</v>
      </c>
      <c r="C200" s="5" t="str">
        <f ca="1">IFERROR(__xludf.DUMMYFUNCTION("""COMPUTED_VALUE"""),"Los Angeles")</f>
        <v>Los Angeles</v>
      </c>
      <c r="D200" s="5" t="str">
        <f ca="1">IFERROR(__xludf.DUMMYFUNCTION("""COMPUTED_VALUE"""),"CA")</f>
        <v>CA</v>
      </c>
      <c r="E200" s="5">
        <f ca="1">IFERROR(__xludf.DUMMYFUNCTION("""COMPUTED_VALUE"""),90046)</f>
        <v>90046</v>
      </c>
      <c r="F200" s="19">
        <f ca="1">IFERROR(__xludf.DUMMYFUNCTION("""COMPUTED_VALUE"""),3300)</f>
        <v>3300</v>
      </c>
      <c r="G200" s="19">
        <f ca="1">IFERROR(__xludf.DUMMYFUNCTION("""COMPUTED_VALUE"""),4500)</f>
        <v>4500</v>
      </c>
      <c r="H200" s="18">
        <f ca="1">IFERROR(__xludf.DUMMYFUNCTION("""COMPUTED_VALUE"""),-692121)</f>
        <v>-692121</v>
      </c>
      <c r="I200" s="5" t="str">
        <f ca="1">IFERROR(__xludf.DUMMYFUNCTION("""COMPUTED_VALUE"""),"Zillow")</f>
        <v>Zillow</v>
      </c>
      <c r="J200" s="25" t="str">
        <f ca="1">IFERROR(__xludf.DUMMYFUNCTION("""COMPUTED_VALUE"""),"https://www.zillow.com/homedetails/1302-N-Gardner-St-Los-Angeles-CA-90046/2060162532_zpid/")</f>
        <v>https://www.zillow.com/homedetails/1302-N-Gardner-St-Los-Angeles-CA-90046/2060162532_zpid/</v>
      </c>
      <c r="K200" s="5" t="str">
        <f ca="1">IFERROR(__xludf.DUMMYFUNCTION("""COMPUTED_VALUE"""),"Jon")</f>
        <v>Jon</v>
      </c>
      <c r="L200" s="5"/>
      <c r="M200" s="5"/>
      <c r="N200" s="5" t="str">
        <f ca="1">IFERROR(__xludf.DUMMYFUNCTION("""COMPUTED_VALUE"""),"https://drive.google.com/open?id=1kXsGgQNGkX1XLc-RCammjTIarXk4uxQb, https://drive.google.com/open?id=1S4ieX3xS8olbKu9DnbyT1Qcsw-eTpC3N")</f>
        <v>https://drive.google.com/open?id=1kXsGgQNGkX1XLc-RCammjTIarXk4uxQb, https://drive.google.com/open?id=1S4ieX3xS8olbKu9DnbyT1Qcsw-eTpC3N</v>
      </c>
      <c r="O200" s="5" t="str">
        <f ca="1">IFERROR(__xludf.DUMMYFUNCTION("""COMPUTED_VALUE"""),"na")</f>
        <v>na</v>
      </c>
      <c r="P200" s="5" t="str">
        <f ca="1">IFERROR(__xludf.DUMMYFUNCTION("""COMPUTED_VALUE"""),"(818) 269-0978")</f>
        <v>(818) 269-0978</v>
      </c>
      <c r="Q200" s="5"/>
      <c r="R200" s="5"/>
      <c r="S200" s="5"/>
      <c r="T200" s="5"/>
    </row>
    <row r="201" spans="1:20" ht="12.75">
      <c r="A201" s="24">
        <f ca="1">IFERROR(__xludf.DUMMYFUNCTION("""COMPUTED_VALUE"""),45669.7266221527)</f>
        <v>45669.726622152702</v>
      </c>
      <c r="B201" s="5" t="str">
        <f ca="1">IFERROR(__xludf.DUMMYFUNCTION("""COMPUTED_VALUE"""),"1427 Columbia Dr,")</f>
        <v>1427 Columbia Dr,</v>
      </c>
      <c r="C201" s="5" t="str">
        <f ca="1">IFERROR(__xludf.DUMMYFUNCTION("""COMPUTED_VALUE"""),"Glendale")</f>
        <v>Glendale</v>
      </c>
      <c r="D201" s="5" t="str">
        <f ca="1">IFERROR(__xludf.DUMMYFUNCTION("""COMPUTED_VALUE"""),"CA")</f>
        <v>CA</v>
      </c>
      <c r="E201" s="5">
        <f ca="1">IFERROR(__xludf.DUMMYFUNCTION("""COMPUTED_VALUE"""),91205)</f>
        <v>91205</v>
      </c>
      <c r="F201" s="19">
        <f ca="1">IFERROR(__xludf.DUMMYFUNCTION("""COMPUTED_VALUE"""),8500)</f>
        <v>8500</v>
      </c>
      <c r="G201" s="19">
        <f ca="1">IFERROR(__xludf.DUMMYFUNCTION("""COMPUTED_VALUE"""),19500)</f>
        <v>19500</v>
      </c>
      <c r="H201" s="18">
        <f ca="1">IFERROR(__xludf.DUMMYFUNCTION("""COMPUTED_VALUE"""),45670)</f>
        <v>45670</v>
      </c>
      <c r="I201" s="5" t="str">
        <f ca="1">IFERROR(__xludf.DUMMYFUNCTION("""COMPUTED_VALUE"""),"Zillow")</f>
        <v>Zillow</v>
      </c>
      <c r="J201" s="25" t="str">
        <f ca="1">IFERROR(__xludf.DUMMYFUNCTION("""COMPUTED_VALUE"""),"https://www.zillow.com/homedetails/1427-Columbia-Dr-Glendale-CA-91205/20847539_zpid/?utm_campaign=iosappmessage&amp;utm_medium=referral&amp;utm_source=txtshare")</f>
        <v>https://www.zillow.com/homedetails/1427-Columbia-Dr-Glendale-CA-91205/20847539_zpid/?utm_campaign=iosappmessage&amp;utm_medium=referral&amp;utm_source=txtshare</v>
      </c>
      <c r="K201" s="5"/>
      <c r="L201" s="5" t="str">
        <f ca="1">IFERROR(__xludf.DUMMYFUNCTION("""COMPUTED_VALUE"""),"Aurelia")</f>
        <v>Aurelia</v>
      </c>
      <c r="M201" s="5"/>
      <c r="N201" s="5" t="str">
        <f ca="1">IFERROR(__xludf.DUMMYFUNCTION("""COMPUTED_VALUE"""),"https://drive.google.com/open?id=1xI-tv5HiznaTBZ_KhQfrakkLPgZfHM0r, https://drive.google.com/open?id=1b9u4931e5D-jWsVmgVtZFmawvWgIih8R")</f>
        <v>https://drive.google.com/open?id=1xI-tv5HiznaTBZ_KhQfrakkLPgZfHM0r, https://drive.google.com/open?id=1b9u4931e5D-jWsVmgVtZFmawvWgIih8R</v>
      </c>
      <c r="O201" s="5">
        <f ca="1">IFERROR(__xludf.DUMMYFUNCTION("""COMPUTED_VALUE"""),5677025001)</f>
        <v>5677025001</v>
      </c>
      <c r="P201" s="5"/>
      <c r="Q201" s="5"/>
      <c r="R201" s="5" t="str">
        <f ca="1">IFERROR(__xludf.DUMMYFUNCTION("""COMPUTED_VALUE"""),"(323) 557-5850")</f>
        <v>(323) 557-5850</v>
      </c>
      <c r="S201" s="5"/>
      <c r="T201" s="5"/>
    </row>
    <row r="202" spans="1:20" ht="12.75">
      <c r="A202" s="24">
        <f ca="1">IFERROR(__xludf.DUMMYFUNCTION("""COMPUTED_VALUE"""),45669.7307098148)</f>
        <v>45669.730709814801</v>
      </c>
      <c r="B202" s="5" t="str">
        <f ca="1">IFERROR(__xludf.DUMMYFUNCTION("""COMPUTED_VALUE"""),"848 15th St APT 2")</f>
        <v>848 15th St APT 2</v>
      </c>
      <c r="C202" s="5" t="str">
        <f ca="1">IFERROR(__xludf.DUMMYFUNCTION("""COMPUTED_VALUE"""),"Santa Monica")</f>
        <v>Santa Monica</v>
      </c>
      <c r="D202" s="5" t="str">
        <f ca="1">IFERROR(__xludf.DUMMYFUNCTION("""COMPUTED_VALUE"""),"CA")</f>
        <v>CA</v>
      </c>
      <c r="E202" s="5">
        <f ca="1">IFERROR(__xludf.DUMMYFUNCTION("""COMPUTED_VALUE"""),90403)</f>
        <v>90403</v>
      </c>
      <c r="F202" s="19">
        <f ca="1">IFERROR(__xludf.DUMMYFUNCTION("""COMPUTED_VALUE"""),3500)</f>
        <v>3500</v>
      </c>
      <c r="G202" s="19">
        <f ca="1">IFERROR(__xludf.DUMMYFUNCTION("""COMPUTED_VALUE"""),4450)</f>
        <v>4450</v>
      </c>
      <c r="H202" s="18">
        <f ca="1">IFERROR(__xludf.DUMMYFUNCTION("""COMPUTED_VALUE"""),45663)</f>
        <v>45663</v>
      </c>
      <c r="I202" s="5" t="str">
        <f ca="1">IFERROR(__xludf.DUMMYFUNCTION("""COMPUTED_VALUE"""),"Zillow")</f>
        <v>Zillow</v>
      </c>
      <c r="J202" s="25" t="str">
        <f ca="1">IFERROR(__xludf.DUMMYFUNCTION("""COMPUTED_VALUE"""),"https://www.zillow.com/homedetails/848-15th-St-APT-2-Santa-Monica-CA-90403/20478339_zpid/")</f>
        <v>https://www.zillow.com/homedetails/848-15th-St-APT-2-Santa-Monica-CA-90403/20478339_zpid/</v>
      </c>
      <c r="K202" s="5" t="str">
        <f ca="1">IFERROR(__xludf.DUMMYFUNCTION("""COMPUTED_VALUE"""),"Wyatt Parker")</f>
        <v>Wyatt Parker</v>
      </c>
      <c r="L202" s="5"/>
      <c r="M202" s="5"/>
      <c r="N202" s="26" t="str">
        <f ca="1">IFERROR(__xludf.DUMMYFUNCTION("""COMPUTED_VALUE"""),"https://drive.google.com/open?id=13XxrWddwBbsSyjIJlvNNxD8Hu9RndxAt")</f>
        <v>https://drive.google.com/open?id=13XxrWddwBbsSyjIJlvNNxD8Hu9RndxAt</v>
      </c>
      <c r="O202" s="5">
        <f ca="1">IFERROR(__xludf.DUMMYFUNCTION("""COMPUTED_VALUE"""),4281009063)</f>
        <v>4281009063</v>
      </c>
      <c r="P202" s="5" t="str">
        <f ca="1">IFERROR(__xludf.DUMMYFUNCTION("""COMPUTED_VALUE"""),"(310) 995-7588")</f>
        <v>(310) 995-7588</v>
      </c>
      <c r="Q202" s="5"/>
      <c r="R202" s="5"/>
      <c r="S202" s="5"/>
      <c r="T202" s="5"/>
    </row>
    <row r="203" spans="1:20" ht="12.75">
      <c r="A203" s="24">
        <f ca="1">IFERROR(__xludf.DUMMYFUNCTION("""COMPUTED_VALUE"""),45669.7310563888)</f>
        <v>45669.731056388802</v>
      </c>
      <c r="B203" s="5" t="str">
        <f ca="1">IFERROR(__xludf.DUMMYFUNCTION("""COMPUTED_VALUE"""),"425 29th St. ")</f>
        <v xml:space="preserve">425 29th St. </v>
      </c>
      <c r="C203" s="5" t="str">
        <f ca="1">IFERROR(__xludf.DUMMYFUNCTION("""COMPUTED_VALUE"""),"Manhattan Beach ")</f>
        <v xml:space="preserve">Manhattan Beach </v>
      </c>
      <c r="D203" s="5" t="str">
        <f ca="1">IFERROR(__xludf.DUMMYFUNCTION("""COMPUTED_VALUE"""),"CA")</f>
        <v>CA</v>
      </c>
      <c r="E203" s="5">
        <f ca="1">IFERROR(__xludf.DUMMYFUNCTION("""COMPUTED_VALUE"""),90266)</f>
        <v>90266</v>
      </c>
      <c r="F203" s="19">
        <f ca="1">IFERROR(__xludf.DUMMYFUNCTION("""COMPUTED_VALUE"""),8250)</f>
        <v>8250</v>
      </c>
      <c r="G203" s="19">
        <f ca="1">IFERROR(__xludf.DUMMYFUNCTION("""COMPUTED_VALUE"""),18000)</f>
        <v>18000</v>
      </c>
      <c r="H203" s="18">
        <f ca="1">IFERROR(__xludf.DUMMYFUNCTION("""COMPUTED_VALUE"""),45669)</f>
        <v>45669</v>
      </c>
      <c r="I203" s="5" t="str">
        <f ca="1">IFERROR(__xludf.DUMMYFUNCTION("""COMPUTED_VALUE"""),"Zillow")</f>
        <v>Zillow</v>
      </c>
      <c r="J203" s="25" t="str">
        <f ca="1">IFERROR(__xludf.DUMMYFUNCTION("""COMPUTED_VALUE"""),"https://www.zillow.com/homedetails/425-29th-St-Manhattan-Beach-CA-90266/20420888_zpid/")</f>
        <v>https://www.zillow.com/homedetails/425-29th-St-Manhattan-Beach-CA-90266/20420888_zpid/</v>
      </c>
      <c r="K203" s="5" t="str">
        <f ca="1">IFERROR(__xludf.DUMMYFUNCTION("""COMPUTED_VALUE"""),"Says listed by property owner")</f>
        <v>Says listed by property owner</v>
      </c>
      <c r="L203" s="5" t="str">
        <f ca="1">IFERROR(__xludf.DUMMYFUNCTION("""COMPUTED_VALUE"""),"Virginia Moore")</f>
        <v>Virginia Moore</v>
      </c>
      <c r="M203" s="5" t="str">
        <f ca="1">IFERROR(__xludf.DUMMYFUNCTION("""COMPUTED_VALUE"""),"Looks like the place was being rented and then was sold, and is now being rented again for more than double its rental cost in 2021.")</f>
        <v>Looks like the place was being rented and then was sold, and is now being rented again for more than double its rental cost in 2021.</v>
      </c>
      <c r="N203" s="26" t="str">
        <f ca="1">IFERROR(__xludf.DUMMYFUNCTION("""COMPUTED_VALUE"""),"https://drive.google.com/open?id=1QdCaG10dp_0I5G20noHWOZH14EruF-_M")</f>
        <v>https://drive.google.com/open?id=1QdCaG10dp_0I5G20noHWOZH14EruF-_M</v>
      </c>
      <c r="O203" s="5">
        <f ca="1">IFERROR(__xludf.DUMMYFUNCTION("""COMPUTED_VALUE"""),4176013017)</f>
        <v>4176013017</v>
      </c>
      <c r="P203" s="5"/>
      <c r="Q203" s="5"/>
      <c r="R203" s="5" t="str">
        <f ca="1">IFERROR(__xludf.DUMMYFUNCTION("""COMPUTED_VALUE"""),"(949) 278-7466")</f>
        <v>(949) 278-7466</v>
      </c>
      <c r="S203" s="5"/>
      <c r="T203" s="5"/>
    </row>
    <row r="204" spans="1:20" ht="12.75">
      <c r="A204" s="24">
        <f ca="1">IFERROR(__xludf.DUMMYFUNCTION("""COMPUTED_VALUE"""),45669.7315397916)</f>
        <v>45669.731539791603</v>
      </c>
      <c r="B204" s="5" t="str">
        <f ca="1">IFERROR(__xludf.DUMMYFUNCTION("""COMPUTED_VALUE"""),"1026 E Verdugo Ave")</f>
        <v>1026 E Verdugo Ave</v>
      </c>
      <c r="C204" s="5" t="str">
        <f ca="1">IFERROR(__xludf.DUMMYFUNCTION("""COMPUTED_VALUE"""),"Burbank")</f>
        <v>Burbank</v>
      </c>
      <c r="D204" s="5" t="str">
        <f ca="1">IFERROR(__xludf.DUMMYFUNCTION("""COMPUTED_VALUE"""),"CA")</f>
        <v>CA</v>
      </c>
      <c r="E204" s="5">
        <f ca="1">IFERROR(__xludf.DUMMYFUNCTION("""COMPUTED_VALUE"""),91501)</f>
        <v>91501</v>
      </c>
      <c r="F204" s="19">
        <f ca="1">IFERROR(__xludf.DUMMYFUNCTION("""COMPUTED_VALUE"""),7865)</f>
        <v>7865</v>
      </c>
      <c r="G204" s="19">
        <f ca="1">IFERROR(__xludf.DUMMYFUNCTION("""COMPUTED_VALUE"""),12000)</f>
        <v>12000</v>
      </c>
      <c r="H204" s="18">
        <f ca="1">IFERROR(__xludf.DUMMYFUNCTION("""COMPUTED_VALUE"""),45666)</f>
        <v>45666</v>
      </c>
      <c r="I204" s="5" t="str">
        <f ca="1">IFERROR(__xludf.DUMMYFUNCTION("""COMPUTED_VALUE"""),"Zillow")</f>
        <v>Zillow</v>
      </c>
      <c r="J204" s="25" t="str">
        <f ca="1">IFERROR(__xludf.DUMMYFUNCTION("""COMPUTED_VALUE"""),"https://www.zillow.com/homedetails/1026-E-Verdugo-Ave-Burbank-CA-91501/20054588_zpid/?utm_campaign=androidappmessage&amp;utm_medium=referral&amp;utm_source=txtshare")</f>
        <v>https://www.zillow.com/homedetails/1026-E-Verdugo-Ave-Burbank-CA-91501/20054588_zpid/?utm_campaign=androidappmessage&amp;utm_medium=referral&amp;utm_source=txtshare</v>
      </c>
      <c r="K204" s="5" t="str">
        <f ca="1">IFERROR(__xludf.DUMMYFUNCTION("""COMPUTED_VALUE"""),"Arthur Mangassarian RE/MAX TRI-CITY REALTY")</f>
        <v>Arthur Mangassarian RE/MAX TRI-CITY REALTY</v>
      </c>
      <c r="L204" s="5"/>
      <c r="M204" s="5" t="str">
        <f ca="1">IFERROR(__xludf.DUMMYFUNCTION("""COMPUTED_VALUE"""),"Price increased from $7,865 to $12,000 (52.6%) between 1/7/25 and 1/9/25, then dropped to $8,650 on 1/11/25 (net 9.98% increase)")</f>
        <v>Price increased from $7,865 to $12,000 (52.6%) between 1/7/25 and 1/9/25, then dropped to $8,650 on 1/11/25 (net 9.98% increase)</v>
      </c>
      <c r="N204" s="5" t="str">
        <f ca="1">IFERROR(__xludf.DUMMYFUNCTION("""COMPUTED_VALUE"""),"https://drive.google.com/open?id=1X6lYkwkCrczlgyveFigm7pbAcDCGu2kC, https://drive.google.com/open?id=1zR_GyY0xYgY_-sam2AEr1lWGYW0LlJGR")</f>
        <v>https://drive.google.com/open?id=1X6lYkwkCrczlgyveFigm7pbAcDCGu2kC, https://drive.google.com/open?id=1zR_GyY0xYgY_-sam2AEr1lWGYW0LlJGR</v>
      </c>
      <c r="O204" s="5">
        <f ca="1">IFERROR(__xludf.DUMMYFUNCTION("""COMPUTED_VALUE"""),2456035010)</f>
        <v>2456035010</v>
      </c>
      <c r="P204" s="5" t="str">
        <f ca="1">IFERROR(__xludf.DUMMYFUNCTION("""COMPUTED_VALUE"""),"(818) 549-9000")</f>
        <v>(818) 549-9000</v>
      </c>
      <c r="Q204" s="5"/>
      <c r="R204" s="5"/>
      <c r="S204" s="5"/>
      <c r="T204" s="5"/>
    </row>
    <row r="205" spans="1:20" ht="12.75">
      <c r="A205" s="24">
        <f ca="1">IFERROR(__xludf.DUMMYFUNCTION("""COMPUTED_VALUE"""),45669.7352913078)</f>
        <v>45669.735291307799</v>
      </c>
      <c r="B205" s="5" t="str">
        <f ca="1">IFERROR(__xludf.DUMMYFUNCTION("""COMPUTED_VALUE"""),"240 Howland Canal Ct")</f>
        <v>240 Howland Canal Ct</v>
      </c>
      <c r="C205" s="5" t="str">
        <f ca="1">IFERROR(__xludf.DUMMYFUNCTION("""COMPUTED_VALUE"""),"Venice")</f>
        <v>Venice</v>
      </c>
      <c r="D205" s="5" t="str">
        <f ca="1">IFERROR(__xludf.DUMMYFUNCTION("""COMPUTED_VALUE"""),"CA")</f>
        <v>CA</v>
      </c>
      <c r="E205" s="5">
        <f ca="1">IFERROR(__xludf.DUMMYFUNCTION("""COMPUTED_VALUE"""),90291)</f>
        <v>90291</v>
      </c>
      <c r="F205" s="19">
        <f ca="1">IFERROR(__xludf.DUMMYFUNCTION("""COMPUTED_VALUE"""),20500)</f>
        <v>20500</v>
      </c>
      <c r="G205" s="19">
        <f ca="1">IFERROR(__xludf.DUMMYFUNCTION("""COMPUTED_VALUE"""),35000)</f>
        <v>35000</v>
      </c>
      <c r="H205" s="18">
        <f ca="1">IFERROR(__xludf.DUMMYFUNCTION("""COMPUTED_VALUE"""),45665)</f>
        <v>45665</v>
      </c>
      <c r="I205" s="5" t="str">
        <f ca="1">IFERROR(__xludf.DUMMYFUNCTION("""COMPUTED_VALUE"""),"Zillow")</f>
        <v>Zillow</v>
      </c>
      <c r="J205" s="25" t="str">
        <f ca="1">IFERROR(__xludf.DUMMYFUNCTION("""COMPUTED_VALUE"""),"https://www.zillow.com/homedetails/240-Howland-Canal-Ct-Venice-CA-90291/443837979_zpid/")</f>
        <v>https://www.zillow.com/homedetails/240-Howland-Canal-Ct-Venice-CA-90291/443837979_zpid/</v>
      </c>
      <c r="K205" s="5"/>
      <c r="L205" s="5" t="str">
        <f ca="1">IFERROR(__xludf.DUMMYFUNCTION("""COMPUTED_VALUE"""),"240 Howland Canal")</f>
        <v>240 Howland Canal</v>
      </c>
      <c r="M205" s="5"/>
      <c r="N205" s="26" t="str">
        <f ca="1">IFERROR(__xludf.DUMMYFUNCTION("""COMPUTED_VALUE"""),"https://drive.google.com/open?id=1N2Cem9H4VweRlYlkSlUDQA0GFYZxvyLn")</f>
        <v>https://drive.google.com/open?id=1N2Cem9H4VweRlYlkSlUDQA0GFYZxvyLn</v>
      </c>
      <c r="O205" s="5" t="str">
        <f ca="1">IFERROR(__xludf.DUMMYFUNCTION("""COMPUTED_VALUE"""),"NA")</f>
        <v>NA</v>
      </c>
      <c r="P205" s="5"/>
      <c r="Q205" s="5"/>
      <c r="R205" s="5" t="str">
        <f ca="1">IFERROR(__xludf.DUMMYFUNCTION("""COMPUTED_VALUE"""),"(818) 577-5739")</f>
        <v>(818) 577-5739</v>
      </c>
      <c r="S205" s="5"/>
      <c r="T205" s="5"/>
    </row>
    <row r="206" spans="1:20" ht="12.75">
      <c r="A206" s="24">
        <f ca="1">IFERROR(__xludf.DUMMYFUNCTION("""COMPUTED_VALUE"""),45669.7363095601)</f>
        <v>45669.736309560103</v>
      </c>
      <c r="B206" s="5" t="str">
        <f ca="1">IFERROR(__xludf.DUMMYFUNCTION("""COMPUTED_VALUE"""),"12243 Gorham Ave #A")</f>
        <v>12243 Gorham Ave #A</v>
      </c>
      <c r="C206" s="5" t="str">
        <f ca="1">IFERROR(__xludf.DUMMYFUNCTION("""COMPUTED_VALUE"""),"Los Angeles")</f>
        <v>Los Angeles</v>
      </c>
      <c r="D206" s="5" t="str">
        <f ca="1">IFERROR(__xludf.DUMMYFUNCTION("""COMPUTED_VALUE"""),"CA")</f>
        <v>CA</v>
      </c>
      <c r="E206" s="5">
        <f ca="1">IFERROR(__xludf.DUMMYFUNCTION("""COMPUTED_VALUE"""),90049)</f>
        <v>90049</v>
      </c>
      <c r="F206" s="19">
        <f ca="1">IFERROR(__xludf.DUMMYFUNCTION("""COMPUTED_VALUE"""),5500)</f>
        <v>5500</v>
      </c>
      <c r="G206" s="19">
        <f ca="1">IFERROR(__xludf.DUMMYFUNCTION("""COMPUTED_VALUE"""),7000)</f>
        <v>7000</v>
      </c>
      <c r="H206" s="18">
        <f ca="1">IFERROR(__xludf.DUMMYFUNCTION("""COMPUTED_VALUE"""),45669)</f>
        <v>45669</v>
      </c>
      <c r="I206" s="5" t="str">
        <f ca="1">IFERROR(__xludf.DUMMYFUNCTION("""COMPUTED_VALUE"""),"Zillow")</f>
        <v>Zillow</v>
      </c>
      <c r="J206" s="25" t="str">
        <f ca="1">IFERROR(__xludf.DUMMYFUNCTION("""COMPUTED_VALUE"""),"https://www.zillow.com/homedetails/12243-Gorham-Ave-A-Los-Angeles-CA-90049/2079729137_zpid/")</f>
        <v>https://www.zillow.com/homedetails/12243-Gorham-Ave-A-Los-Angeles-CA-90049/2079729137_zpid/</v>
      </c>
      <c r="K206" s="5"/>
      <c r="L206" s="5" t="str">
        <f ca="1">IFERROR(__xludf.DUMMYFUNCTION("""COMPUTED_VALUE"""),"Maricela")</f>
        <v>Maricela</v>
      </c>
      <c r="M206" s="5"/>
      <c r="N206" s="26" t="str">
        <f ca="1">IFERROR(__xludf.DUMMYFUNCTION("""COMPUTED_VALUE"""),"https://drive.google.com/open?id=1TZylGqslTVsNsSkNnM9Mp7SFtJAUebkq")</f>
        <v>https://drive.google.com/open?id=1TZylGqslTVsNsSkNnM9Mp7SFtJAUebkq</v>
      </c>
      <c r="O206" s="5" t="str">
        <f ca="1">IFERROR(__xludf.DUMMYFUNCTION("""COMPUTED_VALUE"""),"N/A")</f>
        <v>N/A</v>
      </c>
      <c r="P206" s="5"/>
      <c r="Q206" s="5"/>
      <c r="R206" s="5" t="str">
        <f ca="1">IFERROR(__xludf.DUMMYFUNCTION("""COMPUTED_VALUE"""),"(310) 613-2241")</f>
        <v>(310) 613-2241</v>
      </c>
      <c r="S206" s="5"/>
      <c r="T206" s="5"/>
    </row>
    <row r="207" spans="1:20" ht="12.75">
      <c r="A207" s="24">
        <f ca="1">IFERROR(__xludf.DUMMYFUNCTION("""COMPUTED_VALUE"""),45669.7374039004)</f>
        <v>45669.737403900399</v>
      </c>
      <c r="B207" s="5" t="str">
        <f ca="1">IFERROR(__xludf.DUMMYFUNCTION("""COMPUTED_VALUE"""),"640 Harbor St Apt 1")</f>
        <v>640 Harbor St Apt 1</v>
      </c>
      <c r="C207" s="5" t="str">
        <f ca="1">IFERROR(__xludf.DUMMYFUNCTION("""COMPUTED_VALUE"""),"Venice")</f>
        <v>Venice</v>
      </c>
      <c r="D207" s="5" t="str">
        <f ca="1">IFERROR(__xludf.DUMMYFUNCTION("""COMPUTED_VALUE"""),"CA")</f>
        <v>CA</v>
      </c>
      <c r="E207" s="5">
        <f ca="1">IFERROR(__xludf.DUMMYFUNCTION("""COMPUTED_VALUE"""),90291)</f>
        <v>90291</v>
      </c>
      <c r="F207" s="19">
        <f ca="1">IFERROR(__xludf.DUMMYFUNCTION("""COMPUTED_VALUE"""),20000)</f>
        <v>20000</v>
      </c>
      <c r="G207" s="19">
        <f ca="1">IFERROR(__xludf.DUMMYFUNCTION("""COMPUTED_VALUE"""),29500)</f>
        <v>29500</v>
      </c>
      <c r="H207" s="18">
        <f ca="1">IFERROR(__xludf.DUMMYFUNCTION("""COMPUTED_VALUE"""),45666)</f>
        <v>45666</v>
      </c>
      <c r="I207" s="5" t="str">
        <f ca="1">IFERROR(__xludf.DUMMYFUNCTION("""COMPUTED_VALUE"""),"Zillow")</f>
        <v>Zillow</v>
      </c>
      <c r="J207" s="25" t="str">
        <f ca="1">IFERROR(__xludf.DUMMYFUNCTION("""COMPUTED_VALUE"""),"https://www.zillow.com/homedetails/640-Harbor-St-APT-1-Venice-CA-90291/20444876_zpid/")</f>
        <v>https://www.zillow.com/homedetails/640-Harbor-St-APT-1-Venice-CA-90291/20444876_zpid/</v>
      </c>
      <c r="K207" s="5" t="str">
        <f ca="1">IFERROR(__xludf.DUMMYFUNCTION("""COMPUTED_VALUE"""),"Josh Afighom, Josh Afi Group")</f>
        <v>Josh Afighom, Josh Afi Group</v>
      </c>
      <c r="L207" s="5"/>
      <c r="M207" s="5"/>
      <c r="N207" s="26" t="str">
        <f ca="1">IFERROR(__xludf.DUMMYFUNCTION("""COMPUTED_VALUE"""),"https://drive.google.com/open?id=1helEMAdM-ub5OuLiHjpDTAh-ahcUYdbQ")</f>
        <v>https://drive.google.com/open?id=1helEMAdM-ub5OuLiHjpDTAh-ahcUYdbQ</v>
      </c>
      <c r="O207" s="5">
        <f ca="1">IFERROR(__xludf.DUMMYFUNCTION("""COMPUTED_VALUE"""),4228016039)</f>
        <v>4228016039</v>
      </c>
      <c r="P207" s="5" t="str">
        <f ca="1">IFERROR(__xludf.DUMMYFUNCTION("""COMPUTED_VALUE"""),"(310) 500-6319")</f>
        <v>(310) 500-6319</v>
      </c>
      <c r="Q207" s="5"/>
      <c r="R207" s="5"/>
      <c r="S207" s="5"/>
      <c r="T207" s="5"/>
    </row>
    <row r="208" spans="1:20" ht="12.75">
      <c r="A208" s="24">
        <f ca="1">IFERROR(__xludf.DUMMYFUNCTION("""COMPUTED_VALUE"""),45669.738248993)</f>
        <v>45669.738248993002</v>
      </c>
      <c r="B208" s="5" t="str">
        <f ca="1">IFERROR(__xludf.DUMMYFUNCTION("""COMPUTED_VALUE"""),"1741 Stearns Dr")</f>
        <v>1741 Stearns Dr</v>
      </c>
      <c r="C208" s="5" t="str">
        <f ca="1">IFERROR(__xludf.DUMMYFUNCTION("""COMPUTED_VALUE"""),"Los Angeles ")</f>
        <v xml:space="preserve">Los Angeles </v>
      </c>
      <c r="D208" s="5" t="str">
        <f ca="1">IFERROR(__xludf.DUMMYFUNCTION("""COMPUTED_VALUE"""),"CA")</f>
        <v>CA</v>
      </c>
      <c r="E208" s="5">
        <f ca="1">IFERROR(__xludf.DUMMYFUNCTION("""COMPUTED_VALUE"""),90035)</f>
        <v>90035</v>
      </c>
      <c r="F208" s="19">
        <f ca="1">IFERROR(__xludf.DUMMYFUNCTION("""COMPUTED_VALUE"""),14995)</f>
        <v>14995</v>
      </c>
      <c r="G208" s="19">
        <f ca="1">IFERROR(__xludf.DUMMYFUNCTION("""COMPUTED_VALUE"""),19999)</f>
        <v>19999</v>
      </c>
      <c r="H208" s="18">
        <f ca="1">IFERROR(__xludf.DUMMYFUNCTION("""COMPUTED_VALUE"""),45667)</f>
        <v>45667</v>
      </c>
      <c r="I208" s="5" t="str">
        <f ca="1">IFERROR(__xludf.DUMMYFUNCTION("""COMPUTED_VALUE"""),"Zillow")</f>
        <v>Zillow</v>
      </c>
      <c r="J208" s="25" t="str">
        <f ca="1">IFERROR(__xludf.DUMMYFUNCTION("""COMPUTED_VALUE"""),"https://www.zillow.com/homedetails/1741-Stearns-Dr-Los-Angeles-CA-90035/20598494_zpid/")</f>
        <v>https://www.zillow.com/homedetails/1741-Stearns-Dr-Los-Angeles-CA-90035/20598494_zpid/</v>
      </c>
      <c r="K208" s="5" t="str">
        <f ca="1">IFERROR(__xludf.DUMMYFUNCTION("""COMPUTED_VALUE"""),"Shay Gozlan")</f>
        <v>Shay Gozlan</v>
      </c>
      <c r="L208" s="5" t="str">
        <f ca="1">IFERROR(__xludf.DUMMYFUNCTION("""COMPUTED_VALUE"""),"Shay Gozlan")</f>
        <v>Shay Gozlan</v>
      </c>
      <c r="M208" s="5" t="str">
        <f ca="1">IFERROR(__xludf.DUMMYFUNCTION("""COMPUTED_VALUE"""),"Listing was removed January 10, and relisted January 10")</f>
        <v>Listing was removed January 10, and relisted January 10</v>
      </c>
      <c r="N208" s="26" t="str">
        <f ca="1">IFERROR(__xludf.DUMMYFUNCTION("""COMPUTED_VALUE"""),"https://drive.google.com/open?id=1JEPm2YA-BMbW22rN_NIhIqp6d_pd3oxh")</f>
        <v>https://drive.google.com/open?id=1JEPm2YA-BMbW22rN_NIhIqp6d_pd3oxh</v>
      </c>
      <c r="O208" s="5">
        <f ca="1">IFERROR(__xludf.DUMMYFUNCTION("""COMPUTED_VALUE"""),5066008031)</f>
        <v>5066008031</v>
      </c>
      <c r="P208" s="5">
        <f ca="1">IFERROR(__xludf.DUMMYFUNCTION("""COMPUTED_VALUE"""),2139056544)</f>
        <v>2139056544</v>
      </c>
      <c r="Q208" s="5"/>
      <c r="R208" s="5"/>
      <c r="S208" s="5"/>
      <c r="T208" s="5"/>
    </row>
    <row r="209" spans="1:20" ht="12.75">
      <c r="A209" s="24">
        <f ca="1">IFERROR(__xludf.DUMMYFUNCTION("""COMPUTED_VALUE"""),45669.7390999884)</f>
        <v>45669.739099988401</v>
      </c>
      <c r="B209" s="5" t="str">
        <f ca="1">IFERROR(__xludf.DUMMYFUNCTION("""COMPUTED_VALUE"""),"2311 Malcolm Ave")</f>
        <v>2311 Malcolm Ave</v>
      </c>
      <c r="C209" s="5" t="str">
        <f ca="1">IFERROR(__xludf.DUMMYFUNCTION("""COMPUTED_VALUE"""),"Los Angeles")</f>
        <v>Los Angeles</v>
      </c>
      <c r="D209" s="5" t="str">
        <f ca="1">IFERROR(__xludf.DUMMYFUNCTION("""COMPUTED_VALUE"""),"CA")</f>
        <v>CA</v>
      </c>
      <c r="E209" s="5">
        <f ca="1">IFERROR(__xludf.DUMMYFUNCTION("""COMPUTED_VALUE"""),90064)</f>
        <v>90064</v>
      </c>
      <c r="F209" s="19">
        <f ca="1">IFERROR(__xludf.DUMMYFUNCTION("""COMPUTED_VALUE"""),4500)</f>
        <v>4500</v>
      </c>
      <c r="G209" s="19">
        <f ca="1">IFERROR(__xludf.DUMMYFUNCTION("""COMPUTED_VALUE"""),7500)</f>
        <v>7500</v>
      </c>
      <c r="H209" s="18">
        <f ca="1">IFERROR(__xludf.DUMMYFUNCTION("""COMPUTED_VALUE"""),45663)</f>
        <v>45663</v>
      </c>
      <c r="I209" s="5" t="str">
        <f ca="1">IFERROR(__xludf.DUMMYFUNCTION("""COMPUTED_VALUE"""),"Zillow")</f>
        <v>Zillow</v>
      </c>
      <c r="J209" s="25" t="str">
        <f ca="1">IFERROR(__xludf.DUMMYFUNCTION("""COMPUTED_VALUE"""),"https://www.zillow.com/homedetails/2311-Malcolm-Ave-Los-Angeles-CA-90064/20500588_zpid/")</f>
        <v>https://www.zillow.com/homedetails/2311-Malcolm-Ave-Los-Angeles-CA-90064/20500588_zpid/</v>
      </c>
      <c r="K209" s="5" t="str">
        <f ca="1">IFERROR(__xludf.DUMMYFUNCTION("""COMPUTED_VALUE"""),"Shah Noorvash")</f>
        <v>Shah Noorvash</v>
      </c>
      <c r="L209" s="5"/>
      <c r="M209" s="5"/>
      <c r="N209" s="26" t="str">
        <f ca="1">IFERROR(__xludf.DUMMYFUNCTION("""COMPUTED_VALUE"""),"https://drive.google.com/open?id=1xuerSwngFGX_-pO2OY9yuXAT9OjclwEh")</f>
        <v>https://drive.google.com/open?id=1xuerSwngFGX_-pO2OY9yuXAT9OjclwEh</v>
      </c>
      <c r="O209" s="5">
        <f ca="1">IFERROR(__xludf.DUMMYFUNCTION("""COMPUTED_VALUE"""),4320003072)</f>
        <v>4320003072</v>
      </c>
      <c r="P209" s="5" t="str">
        <f ca="1">IFERROR(__xludf.DUMMYFUNCTION("""COMPUTED_VALUE"""),"(310) 709-7424")</f>
        <v>(310) 709-7424</v>
      </c>
      <c r="Q209" s="5"/>
      <c r="R209" s="5"/>
      <c r="S209" s="5"/>
      <c r="T209" s="5"/>
    </row>
    <row r="210" spans="1:20" ht="12.75">
      <c r="A210" s="24">
        <f ca="1">IFERROR(__xludf.DUMMYFUNCTION("""COMPUTED_VALUE"""),45669.7401642013)</f>
        <v>45669.740164201299</v>
      </c>
      <c r="B210" s="5" t="str">
        <f ca="1">IFERROR(__xludf.DUMMYFUNCTION("""COMPUTED_VALUE"""),"16754 Armstead St")</f>
        <v>16754 Armstead St</v>
      </c>
      <c r="C210" s="5" t="str">
        <f ca="1">IFERROR(__xludf.DUMMYFUNCTION("""COMPUTED_VALUE"""),"Granada Hills")</f>
        <v>Granada Hills</v>
      </c>
      <c r="D210" s="5" t="str">
        <f ca="1">IFERROR(__xludf.DUMMYFUNCTION("""COMPUTED_VALUE"""),"CA")</f>
        <v>CA</v>
      </c>
      <c r="E210" s="5">
        <f ca="1">IFERROR(__xludf.DUMMYFUNCTION("""COMPUTED_VALUE"""),91344)</f>
        <v>91344</v>
      </c>
      <c r="F210" s="19">
        <f ca="1">IFERROR(__xludf.DUMMYFUNCTION("""COMPUTED_VALUE"""),6000)</f>
        <v>6000</v>
      </c>
      <c r="G210" s="19">
        <f ca="1">IFERROR(__xludf.DUMMYFUNCTION("""COMPUTED_VALUE"""),7000)</f>
        <v>7000</v>
      </c>
      <c r="H210" s="18">
        <f ca="1">IFERROR(__xludf.DUMMYFUNCTION("""COMPUTED_VALUE"""),45669)</f>
        <v>45669</v>
      </c>
      <c r="I210" s="5" t="str">
        <f ca="1">IFERROR(__xludf.DUMMYFUNCTION("""COMPUTED_VALUE"""),"Zillow")</f>
        <v>Zillow</v>
      </c>
      <c r="J210" s="25" t="str">
        <f ca="1">IFERROR(__xludf.DUMMYFUNCTION("""COMPUTED_VALUE"""),"https://www.zillow.com/homedetails/16754-Armstead-St-Granada-Hills-CA-91344/20110441_zpid/")</f>
        <v>https://www.zillow.com/homedetails/16754-Armstead-St-Granada-Hills-CA-91344/20110441_zpid/</v>
      </c>
      <c r="K210" s="5" t="str">
        <f ca="1">IFERROR(__xludf.DUMMYFUNCTION("""COMPUTED_VALUE"""),"It says ""Lana"" (not sure if this is a mgmt co or a person)")</f>
        <v>It says "Lana" (not sure if this is a mgmt co or a person)</v>
      </c>
      <c r="L210" s="5"/>
      <c r="M210" s="5"/>
      <c r="N210" s="26" t="str">
        <f ca="1">IFERROR(__xludf.DUMMYFUNCTION("""COMPUTED_VALUE"""),"https://drive.google.com/open?id=1qdmT4gaJ43Jjze92Of-0pUC3dxPzdcZC")</f>
        <v>https://drive.google.com/open?id=1qdmT4gaJ43Jjze92Of-0pUC3dxPzdcZC</v>
      </c>
      <c r="O210" s="5">
        <f ca="1">IFERROR(__xludf.DUMMYFUNCTION("""COMPUTED_VALUE"""),2610012002)</f>
        <v>2610012002</v>
      </c>
      <c r="P210" s="5" t="str">
        <f ca="1">IFERROR(__xludf.DUMMYFUNCTION("""COMPUTED_VALUE""")," (213) 715-4914")</f>
        <v xml:space="preserve"> (213) 715-4914</v>
      </c>
      <c r="Q210" s="5"/>
      <c r="R210" s="5"/>
      <c r="S210" s="5"/>
      <c r="T210" s="5"/>
    </row>
    <row r="211" spans="1:20" ht="12.75">
      <c r="A211" s="24">
        <f ca="1">IFERROR(__xludf.DUMMYFUNCTION("""COMPUTED_VALUE"""),45669.7411722685)</f>
        <v>45669.741172268499</v>
      </c>
      <c r="B211" s="5" t="str">
        <f ca="1">IFERROR(__xludf.DUMMYFUNCTION("""COMPUTED_VALUE"""),"2219 Estribo Dr")</f>
        <v>2219 Estribo Dr</v>
      </c>
      <c r="C211" s="5" t="str">
        <f ca="1">IFERROR(__xludf.DUMMYFUNCTION("""COMPUTED_VALUE"""),"Rolling Hills")</f>
        <v>Rolling Hills</v>
      </c>
      <c r="D211" s="5" t="str">
        <f ca="1">IFERROR(__xludf.DUMMYFUNCTION("""COMPUTED_VALUE"""),"CA")</f>
        <v>CA</v>
      </c>
      <c r="E211" s="5">
        <f ca="1">IFERROR(__xludf.DUMMYFUNCTION("""COMPUTED_VALUE"""),90274)</f>
        <v>90274</v>
      </c>
      <c r="F211" s="19">
        <f ca="1">IFERROR(__xludf.DUMMYFUNCTION("""COMPUTED_VALUE"""),9500)</f>
        <v>9500</v>
      </c>
      <c r="G211" s="19">
        <f ca="1">IFERROR(__xludf.DUMMYFUNCTION("""COMPUTED_VALUE"""),10500)</f>
        <v>10500</v>
      </c>
      <c r="H211" s="18">
        <f ca="1">IFERROR(__xludf.DUMMYFUNCTION("""COMPUTED_VALUE"""),45668)</f>
        <v>45668</v>
      </c>
      <c r="I211" s="5" t="str">
        <f ca="1">IFERROR(__xludf.DUMMYFUNCTION("""COMPUTED_VALUE"""),"Zillow")</f>
        <v>Zillow</v>
      </c>
      <c r="J211" s="25" t="str">
        <f ca="1">IFERROR(__xludf.DUMMYFUNCTION("""COMPUTED_VALUE"""),"https://www.zillow.com/homedetails/2219-Estribo-Dr-Rolling-Hills-CA-90274/21348855_zpid/")</f>
        <v>https://www.zillow.com/homedetails/2219-Estribo-Dr-Rolling-Hills-CA-90274/21348855_zpid/</v>
      </c>
      <c r="K211" s="5" t="str">
        <f ca="1">IFERROR(__xludf.DUMMYFUNCTION("""COMPUTED_VALUE"""),"Justin Miller, Beach City Brokers")</f>
        <v>Justin Miller, Beach City Brokers</v>
      </c>
      <c r="L211" s="5"/>
      <c r="M211" s="5"/>
      <c r="N211" s="5" t="str">
        <f ca="1">IFERROR(__xludf.DUMMYFUNCTION("""COMPUTED_VALUE"""),"https://drive.google.com/open?id=1siOQVYGTV-42wGjf7h22O5kzdWY9AJ06, https://drive.google.com/open?id=1fqvC3JxrpzXX073R3arqQx4RU_P2Mt2o")</f>
        <v>https://drive.google.com/open?id=1siOQVYGTV-42wGjf7h22O5kzdWY9AJ06, https://drive.google.com/open?id=1fqvC3JxrpzXX073R3arqQx4RU_P2Mt2o</v>
      </c>
      <c r="O211" s="5">
        <f ca="1">IFERROR(__xludf.DUMMYFUNCTION("""COMPUTED_VALUE"""),7554005014)</f>
        <v>7554005014</v>
      </c>
      <c r="P211" s="5" t="str">
        <f ca="1">IFERROR(__xludf.DUMMYFUNCTION("""COMPUTED_VALUE"""),"(424) 401-7564")</f>
        <v>(424) 401-7564</v>
      </c>
      <c r="Q211" s="5"/>
      <c r="R211" s="5"/>
      <c r="S211" s="5"/>
      <c r="T211" s="5"/>
    </row>
    <row r="212" spans="1:20" ht="12.75">
      <c r="A212" s="24">
        <f ca="1">IFERROR(__xludf.DUMMYFUNCTION("""COMPUTED_VALUE"""),45669.741235706)</f>
        <v>45669.741235706002</v>
      </c>
      <c r="B212" s="5" t="str">
        <f ca="1">IFERROR(__xludf.DUMMYFUNCTION("""COMPUTED_VALUE"""),"2229 willetta st")</f>
        <v>2229 willetta st</v>
      </c>
      <c r="C212" s="5" t="str">
        <f ca="1">IFERROR(__xludf.DUMMYFUNCTION("""COMPUTED_VALUE"""),"los angeles ")</f>
        <v xml:space="preserve">los angeles </v>
      </c>
      <c r="D212" s="5" t="str">
        <f ca="1">IFERROR(__xludf.DUMMYFUNCTION("""COMPUTED_VALUE"""),"CA")</f>
        <v>CA</v>
      </c>
      <c r="E212" s="5">
        <f ca="1">IFERROR(__xludf.DUMMYFUNCTION("""COMPUTED_VALUE"""),90068)</f>
        <v>90068</v>
      </c>
      <c r="F212" s="19">
        <f ca="1">IFERROR(__xludf.DUMMYFUNCTION("""COMPUTED_VALUE"""),10500)</f>
        <v>10500</v>
      </c>
      <c r="G212" s="19">
        <f ca="1">IFERROR(__xludf.DUMMYFUNCTION("""COMPUTED_VALUE"""),16500)</f>
        <v>16500</v>
      </c>
      <c r="H212" s="18">
        <f ca="1">IFERROR(__xludf.DUMMYFUNCTION("""COMPUTED_VALUE"""),45669)</f>
        <v>45669</v>
      </c>
      <c r="I212" s="5" t="str">
        <f ca="1">IFERROR(__xludf.DUMMYFUNCTION("""COMPUTED_VALUE"""),"Zillow")</f>
        <v>Zillow</v>
      </c>
      <c r="J212" s="25" t="str">
        <f ca="1">IFERROR(__xludf.DUMMYFUNCTION("""COMPUTED_VALUE"""),"https://www.zillow.com/homedetails/2229-Willetta-St-Los-Angeles-CA-90068/20804418_zpid/?utm_campaign=iosappmessage&amp;utm_medium=referral&amp;utm_source=txtshare")</f>
        <v>https://www.zillow.com/homedetails/2229-Willetta-St-Los-Angeles-CA-90068/20804418_zpid/?utm_campaign=iosappmessage&amp;utm_medium=referral&amp;utm_source=txtshare</v>
      </c>
      <c r="K212" s="5" t="str">
        <f ca="1">IFERROR(__xludf.DUMMYFUNCTION("""COMPUTED_VALUE"""),"Mike")</f>
        <v>Mike</v>
      </c>
      <c r="L212" s="5"/>
      <c r="M212" s="5"/>
      <c r="N212" s="5" t="str">
        <f ca="1">IFERROR(__xludf.DUMMYFUNCTION("""COMPUTED_VALUE"""),"https://drive.google.com/open?id=1RJ619Qxtje21besq3-Katu3HJQkAn2qW, https://drive.google.com/open?id=1Tp6JJVzisFrnOtsKEUro8pRTEgr2jzl8")</f>
        <v>https://drive.google.com/open?id=1RJ619Qxtje21besq3-Katu3HJQkAn2qW, https://drive.google.com/open?id=1Tp6JJVzisFrnOtsKEUro8pRTEgr2jzl8</v>
      </c>
      <c r="O212" s="5">
        <f ca="1">IFERROR(__xludf.DUMMYFUNCTION("""COMPUTED_VALUE"""),5576015017)</f>
        <v>5576015017</v>
      </c>
      <c r="P212" s="5" t="str">
        <f ca="1">IFERROR(__xludf.DUMMYFUNCTION("""COMPUTED_VALUE"""),"(213) 466-1186")</f>
        <v>(213) 466-1186</v>
      </c>
      <c r="Q212" s="5"/>
      <c r="R212" s="5"/>
      <c r="S212" s="5"/>
      <c r="T212" s="5"/>
    </row>
    <row r="213" spans="1:20" ht="12.75">
      <c r="A213" s="24">
        <f ca="1">IFERROR(__xludf.DUMMYFUNCTION("""COMPUTED_VALUE"""),45669.7416787847)</f>
        <v>45669.741678784703</v>
      </c>
      <c r="B213" s="5" t="str">
        <f ca="1">IFERROR(__xludf.DUMMYFUNCTION("""COMPUTED_VALUE"""),"1812 Navy St")</f>
        <v>1812 Navy St</v>
      </c>
      <c r="C213" s="5" t="str">
        <f ca="1">IFERROR(__xludf.DUMMYFUNCTION("""COMPUTED_VALUE"""),"Santa Monica")</f>
        <v>Santa Monica</v>
      </c>
      <c r="D213" s="5" t="str">
        <f ca="1">IFERROR(__xludf.DUMMYFUNCTION("""COMPUTED_VALUE"""),"CA")</f>
        <v>CA</v>
      </c>
      <c r="E213" s="5">
        <f ca="1">IFERROR(__xludf.DUMMYFUNCTION("""COMPUTED_VALUE"""),90405)</f>
        <v>90405</v>
      </c>
      <c r="F213" s="19">
        <f ca="1">IFERROR(__xludf.DUMMYFUNCTION("""COMPUTED_VALUE"""),12750)</f>
        <v>12750</v>
      </c>
      <c r="G213" s="19">
        <f ca="1">IFERROR(__xludf.DUMMYFUNCTION("""COMPUTED_VALUE"""),28000)</f>
        <v>28000</v>
      </c>
      <c r="H213" s="18">
        <f ca="1">IFERROR(__xludf.DUMMYFUNCTION("""COMPUTED_VALUE"""),45667)</f>
        <v>45667</v>
      </c>
      <c r="I213" s="5" t="str">
        <f ca="1">IFERROR(__xludf.DUMMYFUNCTION("""COMPUTED_VALUE"""),"Zillow")</f>
        <v>Zillow</v>
      </c>
      <c r="J213" s="25" t="str">
        <f ca="1">IFERROR(__xludf.DUMMYFUNCTION("""COMPUTED_VALUE"""),"https://www.zillow.com/homedetails/1812-Navy-St-Santa-Monica-CA-90405/20472397_zpid/")</f>
        <v>https://www.zillow.com/homedetails/1812-Navy-St-Santa-Monica-CA-90405/20472397_zpid/</v>
      </c>
      <c r="K213" s="5" t="str">
        <f ca="1">IFERROR(__xludf.DUMMYFUNCTION("""COMPUTED_VALUE"""),"Gabriel Palmrot")</f>
        <v>Gabriel Palmrot</v>
      </c>
      <c r="L213" s="5"/>
      <c r="M213" s="5" t="str">
        <f ca="1">IFERROR(__xludf.DUMMYFUNCTION("""COMPUTED_VALUE"""),"119.6 percent increase, 9 dollars per sq ft ")</f>
        <v xml:space="preserve">119.6 percent increase, 9 dollars per sq ft </v>
      </c>
      <c r="N213" s="5" t="str">
        <f ca="1">IFERROR(__xludf.DUMMYFUNCTION("""COMPUTED_VALUE"""),"https://drive.google.com/open?id=1k36vwYR1MOho1voucjbilcTmGihJVNcl, https://drive.google.com/open?id=1w1Vf9OtoQdZuEV6IzDLJzTetdZldU3QM")</f>
        <v>https://drive.google.com/open?id=1k36vwYR1MOho1voucjbilcTmGihJVNcl, https://drive.google.com/open?id=1w1Vf9OtoQdZuEV6IzDLJzTetdZldU3QM</v>
      </c>
      <c r="O213" s="5">
        <f ca="1">IFERROR(__xludf.DUMMYFUNCTION("""COMPUTED_VALUE"""),4272007003)</f>
        <v>4272007003</v>
      </c>
      <c r="P213" s="5">
        <f ca="1">IFERROR(__xludf.DUMMYFUNCTION("""COMPUTED_VALUE"""),4243945309)</f>
        <v>4243945309</v>
      </c>
      <c r="Q213" s="5"/>
      <c r="R213" s="5"/>
      <c r="S213" s="5"/>
      <c r="T213" s="5"/>
    </row>
    <row r="214" spans="1:20" ht="12.75">
      <c r="A214" s="24">
        <f ca="1">IFERROR(__xludf.DUMMYFUNCTION("""COMPUTED_VALUE"""),45669.7425292129)</f>
        <v>45669.742529212897</v>
      </c>
      <c r="B214" s="5" t="str">
        <f ca="1">IFERROR(__xludf.DUMMYFUNCTION("""COMPUTED_VALUE"""),"5900 Hellman Ave")</f>
        <v>5900 Hellman Ave</v>
      </c>
      <c r="C214" s="5" t="str">
        <f ca="1">IFERROR(__xludf.DUMMYFUNCTION("""COMPUTED_VALUE"""),"Los Angeles")</f>
        <v>Los Angeles</v>
      </c>
      <c r="D214" s="5" t="str">
        <f ca="1">IFERROR(__xludf.DUMMYFUNCTION("""COMPUTED_VALUE"""),"CA")</f>
        <v>CA</v>
      </c>
      <c r="E214" s="5">
        <f ca="1">IFERROR(__xludf.DUMMYFUNCTION("""COMPUTED_VALUE"""),90042)</f>
        <v>90042</v>
      </c>
      <c r="F214" s="19">
        <f ca="1">IFERROR(__xludf.DUMMYFUNCTION("""COMPUTED_VALUE"""),4950)</f>
        <v>4950</v>
      </c>
      <c r="G214" s="19">
        <f ca="1">IFERROR(__xludf.DUMMYFUNCTION("""COMPUTED_VALUE"""),6950)</f>
        <v>6950</v>
      </c>
      <c r="H214" s="18">
        <f ca="1">IFERROR(__xludf.DUMMYFUNCTION("""COMPUTED_VALUE"""),45668)</f>
        <v>45668</v>
      </c>
      <c r="I214" s="5" t="str">
        <f ca="1">IFERROR(__xludf.DUMMYFUNCTION("""COMPUTED_VALUE"""),"Zillow")</f>
        <v>Zillow</v>
      </c>
      <c r="J214" s="25" t="str">
        <f ca="1">IFERROR(__xludf.DUMMYFUNCTION("""COMPUTED_VALUE"""),"https://www.zillow.com/homedetails/5900-Hellman-Ave-Los-Angeles-CA-90042/20692747_zpid/")</f>
        <v>https://www.zillow.com/homedetails/5900-Hellman-Ave-Los-Angeles-CA-90042/20692747_zpid/</v>
      </c>
      <c r="K214" s="5" t="str">
        <f ca="1">IFERROR(__xludf.DUMMYFUNCTION("""COMPUTED_VALUE"""),"Dean Zamani (Owner)")</f>
        <v>Dean Zamani (Owner)</v>
      </c>
      <c r="L214" s="5" t="str">
        <f ca="1">IFERROR(__xludf.DUMMYFUNCTION("""COMPUTED_VALUE"""),"Dean Zamani")</f>
        <v>Dean Zamani</v>
      </c>
      <c r="M214" s="5" t="str">
        <f ca="1">IFERROR(__xludf.DUMMYFUNCTION("""COMPUTED_VALUE"""),"Owner raised the rent from $4,950 to $7,950 on January 8th. On January 11th, he dropped it to $6,950.")</f>
        <v>Owner raised the rent from $4,950 to $7,950 on January 8th. On January 11th, he dropped it to $6,950.</v>
      </c>
      <c r="N214" s="5" t="str">
        <f ca="1">IFERROR(__xludf.DUMMYFUNCTION("""COMPUTED_VALUE"""),"https://drive.google.com/open?id=1S3ywZ85CBMcml59IYIoNQ4phPzCZPhY7, https://drive.google.com/open?id=1-icIFzhLCszmbnUHBOJ56WzlRBBAX5oF, https://drive.google.com/open?id=1KRwumhFTh7makxBQIOdPNT9UJM7eoVq5")</f>
        <v>https://drive.google.com/open?id=1S3ywZ85CBMcml59IYIoNQ4phPzCZPhY7, https://drive.google.com/open?id=1-icIFzhLCszmbnUHBOJ56WzlRBBAX5oF, https://drive.google.com/open?id=1KRwumhFTh7makxBQIOdPNT9UJM7eoVq5</v>
      </c>
      <c r="O214" s="5">
        <f ca="1">IFERROR(__xludf.DUMMYFUNCTION("""COMPUTED_VALUE"""),5312015007)</f>
        <v>5312015007</v>
      </c>
      <c r="P214" s="5" t="str">
        <f ca="1">IFERROR(__xludf.DUMMYFUNCTION("""COMPUTED_VALUE"""),"(818) 418-8219")</f>
        <v>(818) 418-8219</v>
      </c>
      <c r="Q214" s="5"/>
      <c r="R214" s="5" t="str">
        <f ca="1">IFERROR(__xludf.DUMMYFUNCTION("""COMPUTED_VALUE"""),"(818) 418-8219")</f>
        <v>(818) 418-8219</v>
      </c>
      <c r="S214" s="5"/>
      <c r="T214" s="5"/>
    </row>
    <row r="215" spans="1:20" ht="12.75">
      <c r="A215" s="24">
        <f ca="1">IFERROR(__xludf.DUMMYFUNCTION("""COMPUTED_VALUE"""),45669.7435226273)</f>
        <v>45669.743522627301</v>
      </c>
      <c r="B215" s="5" t="str">
        <f ca="1">IFERROR(__xludf.DUMMYFUNCTION("""COMPUTED_VALUE"""),"427 Manhattan Ave")</f>
        <v>427 Manhattan Ave</v>
      </c>
      <c r="C215" s="5" t="str">
        <f ca="1">IFERROR(__xludf.DUMMYFUNCTION("""COMPUTED_VALUE"""),"Hermosa Beach")</f>
        <v>Hermosa Beach</v>
      </c>
      <c r="D215" s="5" t="str">
        <f ca="1">IFERROR(__xludf.DUMMYFUNCTION("""COMPUTED_VALUE"""),"CA")</f>
        <v>CA</v>
      </c>
      <c r="E215" s="5">
        <f ca="1">IFERROR(__xludf.DUMMYFUNCTION("""COMPUTED_VALUE"""),90254)</f>
        <v>90254</v>
      </c>
      <c r="F215" s="19">
        <f ca="1">IFERROR(__xludf.DUMMYFUNCTION("""COMPUTED_VALUE"""),7400)</f>
        <v>7400</v>
      </c>
      <c r="G215" s="19">
        <f ca="1">IFERROR(__xludf.DUMMYFUNCTION("""COMPUTED_VALUE"""),8900)</f>
        <v>8900</v>
      </c>
      <c r="H215" s="18">
        <f ca="1">IFERROR(__xludf.DUMMYFUNCTION("""COMPUTED_VALUE"""),45665)</f>
        <v>45665</v>
      </c>
      <c r="I215" s="5" t="str">
        <f ca="1">IFERROR(__xludf.DUMMYFUNCTION("""COMPUTED_VALUE"""),"Zillow")</f>
        <v>Zillow</v>
      </c>
      <c r="J215" s="25" t="str">
        <f ca="1">IFERROR(__xludf.DUMMYFUNCTION("""COMPUTED_VALUE"""),"https://www.zillow.com/homedetails/427-Manhattan-Ave-Hermosa-Beach-CA-90254/2078086078_zpid/")</f>
        <v>https://www.zillow.com/homedetails/427-Manhattan-Ave-Hermosa-Beach-CA-90254/2078086078_zpid/</v>
      </c>
      <c r="K215" s="5" t="str">
        <f ca="1">IFERROR(__xludf.DUMMYFUNCTION("""COMPUTED_VALUE"""),"Justin Miller, Beach City Brokers")</f>
        <v>Justin Miller, Beach City Brokers</v>
      </c>
      <c r="L215" s="5"/>
      <c r="M215" s="5"/>
      <c r="N215" s="5" t="str">
        <f ca="1">IFERROR(__xludf.DUMMYFUNCTION("""COMPUTED_VALUE"""),"https://drive.google.com/open?id=1chXcnQGDmfJ9qW96zxhmNs168JA9waLh, https://drive.google.com/open?id=1IUfbmHgTSUdMOlReWl54D867ml7teY8N")</f>
        <v>https://drive.google.com/open?id=1chXcnQGDmfJ9qW96zxhmNs168JA9waLh, https://drive.google.com/open?id=1IUfbmHgTSUdMOlReWl54D867ml7teY8N</v>
      </c>
      <c r="O215" s="5" t="str">
        <f ca="1">IFERROR(__xludf.DUMMYFUNCTION("""COMPUTED_VALUE"""),"NA")</f>
        <v>NA</v>
      </c>
      <c r="P215" s="5" t="str">
        <f ca="1">IFERROR(__xludf.DUMMYFUNCTION("""COMPUTED_VALUE"""),"(310) 620-1628")</f>
        <v>(310) 620-1628</v>
      </c>
      <c r="Q215" s="5"/>
      <c r="R215" s="5"/>
      <c r="S215" s="5"/>
      <c r="T215" s="5"/>
    </row>
    <row r="216" spans="1:20" ht="12.75">
      <c r="A216" s="24">
        <f ca="1">IFERROR(__xludf.DUMMYFUNCTION("""COMPUTED_VALUE"""),45669.7437786342)</f>
        <v>45669.743778634198</v>
      </c>
      <c r="B216" s="5" t="str">
        <f ca="1">IFERROR(__xludf.DUMMYFUNCTION("""COMPUTED_VALUE"""),"10919 Ayres Ave")</f>
        <v>10919 Ayres Ave</v>
      </c>
      <c r="C216" s="5" t="str">
        <f ca="1">IFERROR(__xludf.DUMMYFUNCTION("""COMPUTED_VALUE"""),"Los Angeles")</f>
        <v>Los Angeles</v>
      </c>
      <c r="D216" s="5" t="str">
        <f ca="1">IFERROR(__xludf.DUMMYFUNCTION("""COMPUTED_VALUE"""),"CA")</f>
        <v>CA</v>
      </c>
      <c r="E216" s="5">
        <f ca="1">IFERROR(__xludf.DUMMYFUNCTION("""COMPUTED_VALUE"""),90064)</f>
        <v>90064</v>
      </c>
      <c r="F216" s="19">
        <f ca="1">IFERROR(__xludf.DUMMYFUNCTION("""COMPUTED_VALUE"""),8000)</f>
        <v>8000</v>
      </c>
      <c r="G216" s="19">
        <f ca="1">IFERROR(__xludf.DUMMYFUNCTION("""COMPUTED_VALUE"""),8900)</f>
        <v>8900</v>
      </c>
      <c r="H216" s="18">
        <f ca="1">IFERROR(__xludf.DUMMYFUNCTION("""COMPUTED_VALUE"""),45666)</f>
        <v>45666</v>
      </c>
      <c r="I216" s="5" t="str">
        <f ca="1">IFERROR(__xludf.DUMMYFUNCTION("""COMPUTED_VALUE"""),"Zillow")</f>
        <v>Zillow</v>
      </c>
      <c r="J216" s="25" t="str">
        <f ca="1">IFERROR(__xludf.DUMMYFUNCTION("""COMPUTED_VALUE"""),"https://www.zillow.com/homedetails/10919-Ayres-Ave-Los-Angeles-CA-90064/2098430421_zpid/")</f>
        <v>https://www.zillow.com/homedetails/10919-Ayres-Ave-Los-Angeles-CA-90064/2098430421_zpid/</v>
      </c>
      <c r="K216" s="5"/>
      <c r="L216" s="5" t="str">
        <f ca="1">IFERROR(__xludf.DUMMYFUNCTION("""COMPUTED_VALUE"""),"Sam")</f>
        <v>Sam</v>
      </c>
      <c r="M216" s="5"/>
      <c r="N216" s="26" t="str">
        <f ca="1">IFERROR(__xludf.DUMMYFUNCTION("""COMPUTED_VALUE"""),"https://drive.google.com/open?id=18VwtNi21SWtzIJgo4yu0DiKSB15fH3jl")</f>
        <v>https://drive.google.com/open?id=18VwtNi21SWtzIJgo4yu0DiKSB15fH3jl</v>
      </c>
      <c r="O216" s="5" t="str">
        <f ca="1">IFERROR(__xludf.DUMMYFUNCTION("""COMPUTED_VALUE"""),"NA")</f>
        <v>NA</v>
      </c>
      <c r="P216" s="5"/>
      <c r="Q216" s="5"/>
      <c r="R216" s="5" t="str">
        <f ca="1">IFERROR(__xludf.DUMMYFUNCTION("""COMPUTED_VALUE"""),"(818) 632-2411")</f>
        <v>(818) 632-2411</v>
      </c>
      <c r="S216" s="5"/>
      <c r="T216" s="5"/>
    </row>
    <row r="217" spans="1:20" ht="12.75">
      <c r="A217" s="24">
        <f ca="1">IFERROR(__xludf.DUMMYFUNCTION("""COMPUTED_VALUE"""),45669.7440801736)</f>
        <v>45669.744080173601</v>
      </c>
      <c r="B217" s="5" t="str">
        <f ca="1">IFERROR(__xludf.DUMMYFUNCTION("""COMPUTED_VALUE"""),"11708 Exposition Blvd")</f>
        <v>11708 Exposition Blvd</v>
      </c>
      <c r="C217" s="5" t="str">
        <f ca="1">IFERROR(__xludf.DUMMYFUNCTION("""COMPUTED_VALUE"""),"Los Angeles ")</f>
        <v xml:space="preserve">Los Angeles </v>
      </c>
      <c r="D217" s="5" t="str">
        <f ca="1">IFERROR(__xludf.DUMMYFUNCTION("""COMPUTED_VALUE"""),"CA")</f>
        <v>CA</v>
      </c>
      <c r="E217" s="5">
        <f ca="1">IFERROR(__xludf.DUMMYFUNCTION("""COMPUTED_VALUE"""),90064)</f>
        <v>90064</v>
      </c>
      <c r="F217" s="19">
        <f ca="1">IFERROR(__xludf.DUMMYFUNCTION("""COMPUTED_VALUE"""),5000)</f>
        <v>5000</v>
      </c>
      <c r="G217" s="19">
        <f ca="1">IFERROR(__xludf.DUMMYFUNCTION("""COMPUTED_VALUE"""),7000)</f>
        <v>7000</v>
      </c>
      <c r="H217" s="18">
        <f ca="1">IFERROR(__xludf.DUMMYFUNCTION("""COMPUTED_VALUE"""),45668)</f>
        <v>45668</v>
      </c>
      <c r="I217" s="5" t="str">
        <f ca="1">IFERROR(__xludf.DUMMYFUNCTION("""COMPUTED_VALUE"""),"Zillow")</f>
        <v>Zillow</v>
      </c>
      <c r="J217" s="25" t="str">
        <f ca="1">IFERROR(__xludf.DUMMYFUNCTION("""COMPUTED_VALUE"""),"https://www.zillow.com/homedetails/11708-Exposition-Blvd-Los-Angeles-CA-90064/20464795_zpid/?utm_campaign=iosappmessage&amp;utm_medium=referral&amp;utm_source=txtshare")</f>
        <v>https://www.zillow.com/homedetails/11708-Exposition-Blvd-Los-Angeles-CA-90064/20464795_zpid/?utm_campaign=iosappmessage&amp;utm_medium=referral&amp;utm_source=txtshare</v>
      </c>
      <c r="K217" s="5"/>
      <c r="L217" s="5" t="str">
        <f ca="1">IFERROR(__xludf.DUMMYFUNCTION("""COMPUTED_VALUE"""),"Selia Hao")</f>
        <v>Selia Hao</v>
      </c>
      <c r="M217" s="5" t="str">
        <f ca="1">IFERROR(__xludf.DUMMYFUNCTION("""COMPUTED_VALUE"""),"40 percent increase, 6 dollars a sq ft. Listed for rent on 12/13/2024, removed on 12/28, re listed on 1/11")</f>
        <v>40 percent increase, 6 dollars a sq ft. Listed for rent on 12/13/2024, removed on 12/28, re listed on 1/11</v>
      </c>
      <c r="N217" s="5" t="str">
        <f ca="1">IFERROR(__xludf.DUMMYFUNCTION("""COMPUTED_VALUE"""),"https://drive.google.com/open?id=1wf5p4wMuRujWGnwihPJ6qPqCgdTXwQlc, https://drive.google.com/open?id=1a1GRAIa4CyPoqmD6JdjQU48YMBTKUBQi")</f>
        <v>https://drive.google.com/open?id=1wf5p4wMuRujWGnwihPJ6qPqCgdTXwQlc, https://drive.google.com/open?id=1a1GRAIa4CyPoqmD6JdjQU48YMBTKUBQi</v>
      </c>
      <c r="O217" s="5">
        <f ca="1">IFERROR(__xludf.DUMMYFUNCTION("""COMPUTED_VALUE"""),4260028003)</f>
        <v>4260028003</v>
      </c>
      <c r="P217" s="5"/>
      <c r="Q217" s="5"/>
      <c r="R217" s="5">
        <f ca="1">IFERROR(__xludf.DUMMYFUNCTION("""COMPUTED_VALUE"""),7022345475)</f>
        <v>7022345475</v>
      </c>
      <c r="S217" s="5"/>
      <c r="T217" s="5"/>
    </row>
    <row r="218" spans="1:20" ht="12.75">
      <c r="A218" s="24">
        <f ca="1">IFERROR(__xludf.DUMMYFUNCTION("""COMPUTED_VALUE"""),45669.7447536226)</f>
        <v>45669.744753622603</v>
      </c>
      <c r="B218" s="5" t="str">
        <f ca="1">IFERROR(__xludf.DUMMYFUNCTION("""COMPUTED_VALUE"""),"907 pine grove ave")</f>
        <v>907 pine grove ave</v>
      </c>
      <c r="C218" s="5" t="str">
        <f ca="1">IFERROR(__xludf.DUMMYFUNCTION("""COMPUTED_VALUE"""),"los angeles")</f>
        <v>los angeles</v>
      </c>
      <c r="D218" s="5" t="str">
        <f ca="1">IFERROR(__xludf.DUMMYFUNCTION("""COMPUTED_VALUE"""),"CA")</f>
        <v>CA</v>
      </c>
      <c r="E218" s="5">
        <f ca="1">IFERROR(__xludf.DUMMYFUNCTION("""COMPUTED_VALUE"""),90042)</f>
        <v>90042</v>
      </c>
      <c r="F218" s="19">
        <f ca="1">IFERROR(__xludf.DUMMYFUNCTION("""COMPUTED_VALUE"""),5250)</f>
        <v>5250</v>
      </c>
      <c r="G218" s="19">
        <f ca="1">IFERROR(__xludf.DUMMYFUNCTION("""COMPUTED_VALUE"""),5800)</f>
        <v>5800</v>
      </c>
      <c r="H218" s="18">
        <f ca="1">IFERROR(__xludf.DUMMYFUNCTION("""COMPUTED_VALUE"""),45669)</f>
        <v>45669</v>
      </c>
      <c r="I218" s="5" t="str">
        <f ca="1">IFERROR(__xludf.DUMMYFUNCTION("""COMPUTED_VALUE"""),"Zillow")</f>
        <v>Zillow</v>
      </c>
      <c r="J218" s="25" t="str">
        <f ca="1">IFERROR(__xludf.DUMMYFUNCTION("""COMPUTED_VALUE"""),"https://www.zillow.com/homedetails/907-Pine-Grove-Ave-Los-Angeles-CA-90042/20769156_zpid/?utm_campaign=iosappmessage&amp;utm_medium=referral&amp;utm_source=txtshare")</f>
        <v>https://www.zillow.com/homedetails/907-Pine-Grove-Ave-Los-Angeles-CA-90042/20769156_zpid/?utm_campaign=iosappmessage&amp;utm_medium=referral&amp;utm_source=txtshare</v>
      </c>
      <c r="K218" s="5"/>
      <c r="L218" s="5" t="str">
        <f ca="1">IFERROR(__xludf.DUMMYFUNCTION("""COMPUTED_VALUE"""),"Jonathan Sklar")</f>
        <v>Jonathan Sklar</v>
      </c>
      <c r="M218" s="5"/>
      <c r="N218" s="5" t="str">
        <f ca="1">IFERROR(__xludf.DUMMYFUNCTION("""COMPUTED_VALUE"""),"https://drive.google.com/open?id=1DGDbv8bhsCkyd3b_30nUp2t10TIZMHwf, https://drive.google.com/open?id=1W9GZA2gbtDAAANQxtb0XAu2sDl3fNMqR")</f>
        <v>https://drive.google.com/open?id=1DGDbv8bhsCkyd3b_30nUp2t10TIZMHwf, https://drive.google.com/open?id=1W9GZA2gbtDAAANQxtb0XAu2sDl3fNMqR</v>
      </c>
      <c r="O218" s="5">
        <f ca="1">IFERROR(__xludf.DUMMYFUNCTION("""COMPUTED_VALUE"""),5481005027)</f>
        <v>5481005027</v>
      </c>
      <c r="P218" s="5"/>
      <c r="Q218" s="5"/>
      <c r="R218" s="5"/>
      <c r="S218" s="5"/>
      <c r="T218" s="5"/>
    </row>
    <row r="219" spans="1:20" ht="12.75">
      <c r="A219" s="24">
        <f ca="1">IFERROR(__xludf.DUMMYFUNCTION("""COMPUTED_VALUE"""),45669.7455355671)</f>
        <v>45669.745535567097</v>
      </c>
      <c r="B219" s="5" t="str">
        <f ca="1">IFERROR(__xludf.DUMMYFUNCTION("""COMPUTED_VALUE"""),"208 Marine Ave")</f>
        <v>208 Marine Ave</v>
      </c>
      <c r="C219" s="5" t="str">
        <f ca="1">IFERROR(__xludf.DUMMYFUNCTION("""COMPUTED_VALUE"""),"Manhattan Beach")</f>
        <v>Manhattan Beach</v>
      </c>
      <c r="D219" s="5" t="str">
        <f ca="1">IFERROR(__xludf.DUMMYFUNCTION("""COMPUTED_VALUE"""),"CA")</f>
        <v>CA</v>
      </c>
      <c r="E219" s="5">
        <f ca="1">IFERROR(__xludf.DUMMYFUNCTION("""COMPUTED_VALUE"""),90266)</f>
        <v>90266</v>
      </c>
      <c r="F219" s="19">
        <f ca="1">IFERROR(__xludf.DUMMYFUNCTION("""COMPUTED_VALUE"""),7900)</f>
        <v>7900</v>
      </c>
      <c r="G219" s="19">
        <f ca="1">IFERROR(__xludf.DUMMYFUNCTION("""COMPUTED_VALUE"""),8900)</f>
        <v>8900</v>
      </c>
      <c r="H219" s="18">
        <f ca="1">IFERROR(__xludf.DUMMYFUNCTION("""COMPUTED_VALUE"""),45667)</f>
        <v>45667</v>
      </c>
      <c r="I219" s="5" t="str">
        <f ca="1">IFERROR(__xludf.DUMMYFUNCTION("""COMPUTED_VALUE"""),"Zillow")</f>
        <v>Zillow</v>
      </c>
      <c r="J219" s="25" t="str">
        <f ca="1">IFERROR(__xludf.DUMMYFUNCTION("""COMPUTED_VALUE"""),"https://www.zillow.com/homedetails/208-Marine-Ave-Manhattan-Beach-CA-90266/20421873_zpid/")</f>
        <v>https://www.zillow.com/homedetails/208-Marine-Ave-Manhattan-Beach-CA-90266/20421873_zpid/</v>
      </c>
      <c r="K219" s="5" t="str">
        <f ca="1">IFERROR(__xludf.DUMMYFUNCTION("""COMPUTED_VALUE"""),"Justin Miller, Beach City Brokers")</f>
        <v>Justin Miller, Beach City Brokers</v>
      </c>
      <c r="L219" s="5"/>
      <c r="M219" s="5"/>
      <c r="N219" s="5" t="str">
        <f ca="1">IFERROR(__xludf.DUMMYFUNCTION("""COMPUTED_VALUE"""),"https://drive.google.com/open?id=1vN_aec17VRwRSCoMTlSVu36iF8cvYV1B, https://drive.google.com/open?id=14Y8fC1EqoWAUSCZ8yjXE-mJSyi0o7Gpu")</f>
        <v>https://drive.google.com/open?id=1vN_aec17VRwRSCoMTlSVu36iF8cvYV1B, https://drive.google.com/open?id=14Y8fC1EqoWAUSCZ8yjXE-mJSyi0o7Gpu</v>
      </c>
      <c r="O219" s="5" t="str">
        <f ca="1">IFERROR(__xludf.DUMMYFUNCTION("""COMPUTED_VALUE"""),"NA")</f>
        <v>NA</v>
      </c>
      <c r="P219" s="5" t="str">
        <f ca="1">IFERROR(__xludf.DUMMYFUNCTION("""COMPUTED_VALUE"""),"(424) 329-8910")</f>
        <v>(424) 329-8910</v>
      </c>
      <c r="Q219" s="5"/>
      <c r="R219" s="5"/>
      <c r="S219" s="5"/>
      <c r="T219" s="5"/>
    </row>
    <row r="220" spans="1:20" ht="12.75">
      <c r="A220" s="24">
        <f ca="1">IFERROR(__xludf.DUMMYFUNCTION("""COMPUTED_VALUE"""),45669.7461748611)</f>
        <v>45669.746174861102</v>
      </c>
      <c r="B220" s="5" t="str">
        <f ca="1">IFERROR(__xludf.DUMMYFUNCTION("""COMPUTED_VALUE"""),"716 Rochedale Way")</f>
        <v>716 Rochedale Way</v>
      </c>
      <c r="C220" s="5" t="str">
        <f ca="1">IFERROR(__xludf.DUMMYFUNCTION("""COMPUTED_VALUE"""),"Los Angeles ")</f>
        <v xml:space="preserve">Los Angeles </v>
      </c>
      <c r="D220" s="5" t="str">
        <f ca="1">IFERROR(__xludf.DUMMYFUNCTION("""COMPUTED_VALUE"""),"CA")</f>
        <v>CA</v>
      </c>
      <c r="E220" s="5">
        <f ca="1">IFERROR(__xludf.DUMMYFUNCTION("""COMPUTED_VALUE"""),90049)</f>
        <v>90049</v>
      </c>
      <c r="F220" s="19">
        <f ca="1">IFERROR(__xludf.DUMMYFUNCTION("""COMPUTED_VALUE"""),8995)</f>
        <v>8995</v>
      </c>
      <c r="G220" s="19">
        <f ca="1">IFERROR(__xludf.DUMMYFUNCTION("""COMPUTED_VALUE"""),12000)</f>
        <v>12000</v>
      </c>
      <c r="H220" s="18">
        <f ca="1">IFERROR(__xludf.DUMMYFUNCTION("""COMPUTED_VALUE"""),45667)</f>
        <v>45667</v>
      </c>
      <c r="I220" s="5" t="str">
        <f ca="1">IFERROR(__xludf.DUMMYFUNCTION("""COMPUTED_VALUE"""),"Zillow")</f>
        <v>Zillow</v>
      </c>
      <c r="J220" s="25" t="str">
        <f ca="1">IFERROR(__xludf.DUMMYFUNCTION("""COMPUTED_VALUE"""),"https://www.zillow.com/homedetails/716-Rochedale-Way-Los-Angeles-CA-90049/20560159_zpid/")</f>
        <v>https://www.zillow.com/homedetails/716-Rochedale-Way-Los-Angeles-CA-90049/20560159_zpid/</v>
      </c>
      <c r="K220" s="5"/>
      <c r="L220" s="5" t="str">
        <f ca="1">IFERROR(__xludf.DUMMYFUNCTION("""COMPUTED_VALUE"""),"M Joseph")</f>
        <v>M Joseph</v>
      </c>
      <c r="M220" s="5" t="str">
        <f ca="1">IFERROR(__xludf.DUMMYFUNCTION("""COMPUTED_VALUE"""),"33.4 percent increase ")</f>
        <v xml:space="preserve">33.4 percent increase </v>
      </c>
      <c r="N220" s="5" t="str">
        <f ca="1">IFERROR(__xludf.DUMMYFUNCTION("""COMPUTED_VALUE"""),"https://drive.google.com/open?id=1TUSayY22ujVhPg4q_JFWro7_IXjhQPZh, https://drive.google.com/open?id=1PmK9ltrF0fVZ4vkSw7lSe9v9ELKvKyWv")</f>
        <v>https://drive.google.com/open?id=1TUSayY22ujVhPg4q_JFWro7_IXjhQPZh, https://drive.google.com/open?id=1PmK9ltrF0fVZ4vkSw7lSe9v9ELKvKyWv</v>
      </c>
      <c r="O220" s="5">
        <f ca="1">IFERROR(__xludf.DUMMYFUNCTION("""COMPUTED_VALUE"""),4494010023)</f>
        <v>4494010023</v>
      </c>
      <c r="P220" s="5"/>
      <c r="Q220" s="5"/>
      <c r="R220" s="5"/>
      <c r="S220" s="5"/>
      <c r="T220" s="5"/>
    </row>
    <row r="221" spans="1:20" ht="12.75">
      <c r="A221" s="24">
        <f ca="1">IFERROR(__xludf.DUMMYFUNCTION("""COMPUTED_VALUE"""),45669.7463187731)</f>
        <v>45669.746318773097</v>
      </c>
      <c r="B221" s="5" t="str">
        <f ca="1">IFERROR(__xludf.DUMMYFUNCTION("""COMPUTED_VALUE"""),"10 20th Ave")</f>
        <v>10 20th Ave</v>
      </c>
      <c r="C221" s="5" t="str">
        <f ca="1">IFERROR(__xludf.DUMMYFUNCTION("""COMPUTED_VALUE"""),"Venice")</f>
        <v>Venice</v>
      </c>
      <c r="D221" s="5" t="str">
        <f ca="1">IFERROR(__xludf.DUMMYFUNCTION("""COMPUTED_VALUE"""),"CA")</f>
        <v>CA</v>
      </c>
      <c r="E221" s="5">
        <f ca="1">IFERROR(__xludf.DUMMYFUNCTION("""COMPUTED_VALUE"""),90291)</f>
        <v>90291</v>
      </c>
      <c r="F221" s="19">
        <f ca="1">IFERROR(__xludf.DUMMYFUNCTION("""COMPUTED_VALUE"""),10000)</f>
        <v>10000</v>
      </c>
      <c r="G221" s="19">
        <f ca="1">IFERROR(__xludf.DUMMYFUNCTION("""COMPUTED_VALUE"""),19000)</f>
        <v>19000</v>
      </c>
      <c r="H221" s="18">
        <f ca="1">IFERROR(__xludf.DUMMYFUNCTION("""COMPUTED_VALUE"""),45669)</f>
        <v>45669</v>
      </c>
      <c r="I221" s="5" t="str">
        <f ca="1">IFERROR(__xludf.DUMMYFUNCTION("""COMPUTED_VALUE"""),"Zillow")</f>
        <v>Zillow</v>
      </c>
      <c r="J221" s="25" t="str">
        <f ca="1">IFERROR(__xludf.DUMMYFUNCTION("""COMPUTED_VALUE"""),"https://zillow.com/homedetails/10-20th-Ave-Venice-CA-90291/60295991_zpid/")</f>
        <v>https://zillow.com/homedetails/10-20th-Ave-Venice-CA-90291/60295991_zpid/</v>
      </c>
      <c r="K221" s="5" t="str">
        <f ca="1">IFERROR(__xludf.DUMMYFUNCTION("""COMPUTED_VALUE"""),"Zev Forrest")</f>
        <v>Zev Forrest</v>
      </c>
      <c r="L221" s="5"/>
      <c r="M221" s="5"/>
      <c r="N221" s="26" t="str">
        <f ca="1">IFERROR(__xludf.DUMMYFUNCTION("""COMPUTED_VALUE"""),"https://drive.google.com/open?id=1y-OPc2OM-z1FaGOQ2zwtAxETwo4buQtc")</f>
        <v>https://drive.google.com/open?id=1y-OPc2OM-z1FaGOQ2zwtAxETwo4buQtc</v>
      </c>
      <c r="O221" s="5" t="str">
        <f ca="1">IFERROR(__xludf.DUMMYFUNCTION("""COMPUTED_VALUE"""),"NA")</f>
        <v>NA</v>
      </c>
      <c r="P221" s="5" t="str">
        <f ca="1">IFERROR(__xludf.DUMMYFUNCTION("""COMPUTED_VALUE"""),"(323) 638-4289")</f>
        <v>(323) 638-4289</v>
      </c>
      <c r="Q221" s="5"/>
      <c r="R221" s="5"/>
      <c r="S221" s="5"/>
      <c r="T221" s="5"/>
    </row>
    <row r="222" spans="1:20" ht="12.75">
      <c r="A222" s="24">
        <f ca="1">IFERROR(__xludf.DUMMYFUNCTION("""COMPUTED_VALUE"""),45669.7463540393)</f>
        <v>45669.7463540393</v>
      </c>
      <c r="B222" s="5" t="str">
        <f ca="1">IFERROR(__xludf.DUMMYFUNCTION("""COMPUTED_VALUE"""),"907 Pine Grove Ave")</f>
        <v>907 Pine Grove Ave</v>
      </c>
      <c r="C222" s="5" t="str">
        <f ca="1">IFERROR(__xludf.DUMMYFUNCTION("""COMPUTED_VALUE"""),"Los Angeles")</f>
        <v>Los Angeles</v>
      </c>
      <c r="D222" s="5" t="str">
        <f ca="1">IFERROR(__xludf.DUMMYFUNCTION("""COMPUTED_VALUE"""),"CA")</f>
        <v>CA</v>
      </c>
      <c r="E222" s="5">
        <f ca="1">IFERROR(__xludf.DUMMYFUNCTION("""COMPUTED_VALUE"""),90042)</f>
        <v>90042</v>
      </c>
      <c r="F222" s="19">
        <f ca="1">IFERROR(__xludf.DUMMYFUNCTION("""COMPUTED_VALUE"""),5250)</f>
        <v>5250</v>
      </c>
      <c r="G222" s="19">
        <f ca="1">IFERROR(__xludf.DUMMYFUNCTION("""COMPUTED_VALUE"""),5800)</f>
        <v>5800</v>
      </c>
      <c r="H222" s="18">
        <f ca="1">IFERROR(__xludf.DUMMYFUNCTION("""COMPUTED_VALUE"""),45669)</f>
        <v>45669</v>
      </c>
      <c r="I222" s="5" t="str">
        <f ca="1">IFERROR(__xludf.DUMMYFUNCTION("""COMPUTED_VALUE"""),"Zillow")</f>
        <v>Zillow</v>
      </c>
      <c r="J222" s="25" t="str">
        <f ca="1">IFERROR(__xludf.DUMMYFUNCTION("""COMPUTED_VALUE"""),"https://www.zillow.com/homedetails/907-Pine-Grove-Ave-Los-Angeles-CA-90042/20769156_zpid/")</f>
        <v>https://www.zillow.com/homedetails/907-Pine-Grove-Ave-Los-Angeles-CA-90042/20769156_zpid/</v>
      </c>
      <c r="K222" s="5" t="str">
        <f ca="1">IFERROR(__xludf.DUMMYFUNCTION("""COMPUTED_VALUE"""),"Jonathan Sklar")</f>
        <v>Jonathan Sklar</v>
      </c>
      <c r="L222" s="5" t="str">
        <f ca="1">IFERROR(__xludf.DUMMYFUNCTION("""COMPUTED_VALUE"""),"Jonathan Sklar")</f>
        <v>Jonathan Sklar</v>
      </c>
      <c r="M222" s="5" t="str">
        <f ca="1">IFERROR(__xludf.DUMMYFUNCTION("""COMPUTED_VALUE"""),"Price has been consistently dropping the last few months until 1/12/25, when it was raised more than 10.5%. I toured this property on 1/3/25 and it was unoccupied.")</f>
        <v>Price has been consistently dropping the last few months until 1/12/25, when it was raised more than 10.5%. I toured this property on 1/3/25 and it was unoccupied.</v>
      </c>
      <c r="N222" s="5" t="str">
        <f ca="1">IFERROR(__xludf.DUMMYFUNCTION("""COMPUTED_VALUE"""),"https://drive.google.com/open?id=1NSXv9w6CbnEEGAybgcAZI2OUToPcg_kg, https://drive.google.com/open?id=1zgbMTRC3fmGspH2r5CM3-iorh9q93YDm, https://drive.google.com/open?id=1jhJVwWegD9wfWinngzUzpELedo4qBytP")</f>
        <v>https://drive.google.com/open?id=1NSXv9w6CbnEEGAybgcAZI2OUToPcg_kg, https://drive.google.com/open?id=1zgbMTRC3fmGspH2r5CM3-iorh9q93YDm, https://drive.google.com/open?id=1jhJVwWegD9wfWinngzUzpELedo4qBytP</v>
      </c>
      <c r="O222" s="5">
        <f ca="1">IFERROR(__xludf.DUMMYFUNCTION("""COMPUTED_VALUE"""),5481005027)</f>
        <v>5481005027</v>
      </c>
      <c r="P222" s="5" t="str">
        <f ca="1">IFERROR(__xludf.DUMMYFUNCTION("""COMPUTED_VALUE"""),"+1 (323) 333-2367")</f>
        <v>+1 (323) 333-2367</v>
      </c>
      <c r="Q222" s="5"/>
      <c r="R222" s="5" t="str">
        <f ca="1">IFERROR(__xludf.DUMMYFUNCTION("""COMPUTED_VALUE"""),"+1 (323) 333-2367")</f>
        <v>+1 (323) 333-2367</v>
      </c>
      <c r="S222" s="5"/>
      <c r="T222" s="5"/>
    </row>
    <row r="223" spans="1:20" ht="12.75">
      <c r="A223" s="24">
        <f ca="1">IFERROR(__xludf.DUMMYFUNCTION("""COMPUTED_VALUE"""),45669.7475832754)</f>
        <v>45669.747583275399</v>
      </c>
      <c r="B223" s="5" t="str">
        <f ca="1">IFERROR(__xludf.DUMMYFUNCTION("""COMPUTED_VALUE"""),"undisclosed")</f>
        <v>undisclosed</v>
      </c>
      <c r="C223" s="5" t="str">
        <f ca="1">IFERROR(__xludf.DUMMYFUNCTION("""COMPUTED_VALUE"""),"burbank")</f>
        <v>burbank</v>
      </c>
      <c r="D223" s="5" t="str">
        <f ca="1">IFERROR(__xludf.DUMMYFUNCTION("""COMPUTED_VALUE"""),"CA")</f>
        <v>CA</v>
      </c>
      <c r="E223" s="5">
        <f ca="1">IFERROR(__xludf.DUMMYFUNCTION("""COMPUTED_VALUE"""),91504)</f>
        <v>91504</v>
      </c>
      <c r="F223" s="19">
        <f ca="1">IFERROR(__xludf.DUMMYFUNCTION("""COMPUTED_VALUE"""),17900)</f>
        <v>17900</v>
      </c>
      <c r="G223" s="19">
        <f ca="1">IFERROR(__xludf.DUMMYFUNCTION("""COMPUTED_VALUE"""),20950)</f>
        <v>20950</v>
      </c>
      <c r="H223" s="18">
        <f ca="1">IFERROR(__xludf.DUMMYFUNCTION("""COMPUTED_VALUE"""),45669)</f>
        <v>45669</v>
      </c>
      <c r="I223" s="5" t="str">
        <f ca="1">IFERROR(__xludf.DUMMYFUNCTION("""COMPUTED_VALUE"""),"Zillow")</f>
        <v>Zillow</v>
      </c>
      <c r="J223" s="25" t="str">
        <f ca="1">IFERROR(__xludf.DUMMYFUNCTION("""COMPUTED_VALUE"""),"https://www.zillow.com/homedetails/(undisclosed-Address)-Burbank-CA-91504/20060493_zpid/?utm_campaign=iosappmessage&amp;utm_medium=referral&amp;utm_source=txtshare")</f>
        <v>https://www.zillow.com/homedetails/(undisclosed-Address)-Burbank-CA-91504/20060493_zpid/?utm_campaign=iosappmessage&amp;utm_medium=referral&amp;utm_source=txtshare</v>
      </c>
      <c r="K223" s="5"/>
      <c r="L223" s="5" t="str">
        <f ca="1">IFERROR(__xludf.DUMMYFUNCTION("""COMPUTED_VALUE"""),"Nina Bui")</f>
        <v>Nina Bui</v>
      </c>
      <c r="M223" s="5"/>
      <c r="N223" s="5" t="str">
        <f ca="1">IFERROR(__xludf.DUMMYFUNCTION("""COMPUTED_VALUE"""),"https://drive.google.com/open?id=1PaTD_zGphZXyFQkBo56Nkqab3kBruXzP, https://drive.google.com/open?id=1AZmRlaB6sSQcpj-tnMQS7XE0f-iip30U")</f>
        <v>https://drive.google.com/open?id=1PaTD_zGphZXyFQkBo56Nkqab3kBruXzP, https://drive.google.com/open?id=1AZmRlaB6sSQcpj-tnMQS7XE0f-iip30U</v>
      </c>
      <c r="O223" s="5" t="str">
        <f ca="1">IFERROR(__xludf.DUMMYFUNCTION("""COMPUTED_VALUE"""),"NA")</f>
        <v>NA</v>
      </c>
      <c r="P223" s="5"/>
      <c r="Q223" s="5"/>
      <c r="R223" s="5" t="str">
        <f ca="1">IFERROR(__xludf.DUMMYFUNCTION("""COMPUTED_VALUE"""),"(818) 860-2561")</f>
        <v>(818) 860-2561</v>
      </c>
      <c r="S223" s="5"/>
      <c r="T223" s="5"/>
    </row>
    <row r="224" spans="1:20" ht="12.75">
      <c r="A224" s="24">
        <f ca="1">IFERROR(__xludf.DUMMYFUNCTION("""COMPUTED_VALUE"""),45669.7479894328)</f>
        <v>45669.747989432799</v>
      </c>
      <c r="B224" s="5" t="str">
        <f ca="1">IFERROR(__xludf.DUMMYFUNCTION("""COMPUTED_VALUE"""),"3512 Crestmont Ave")</f>
        <v>3512 Crestmont Ave</v>
      </c>
      <c r="C224" s="5" t="str">
        <f ca="1">IFERROR(__xludf.DUMMYFUNCTION("""COMPUTED_VALUE"""),"Los Angeles ")</f>
        <v xml:space="preserve">Los Angeles </v>
      </c>
      <c r="D224" s="5" t="str">
        <f ca="1">IFERROR(__xludf.DUMMYFUNCTION("""COMPUTED_VALUE"""),"CA")</f>
        <v>CA</v>
      </c>
      <c r="E224" s="5">
        <f ca="1">IFERROR(__xludf.DUMMYFUNCTION("""COMPUTED_VALUE"""),90026)</f>
        <v>90026</v>
      </c>
      <c r="F224" s="19">
        <f ca="1">IFERROR(__xludf.DUMMYFUNCTION("""COMPUTED_VALUE"""),9000)</f>
        <v>9000</v>
      </c>
      <c r="G224" s="19">
        <f ca="1">IFERROR(__xludf.DUMMYFUNCTION("""COMPUTED_VALUE"""),11000)</f>
        <v>11000</v>
      </c>
      <c r="H224" s="18">
        <f ca="1">IFERROR(__xludf.DUMMYFUNCTION("""COMPUTED_VALUE"""),45668)</f>
        <v>45668</v>
      </c>
      <c r="I224" s="5" t="str">
        <f ca="1">IFERROR(__xludf.DUMMYFUNCTION("""COMPUTED_VALUE"""),"Zillow")</f>
        <v>Zillow</v>
      </c>
      <c r="J224" s="25" t="str">
        <f ca="1">IFERROR(__xludf.DUMMYFUNCTION("""COMPUTED_VALUE"""),"https://www.zillow.com/homedetails/3512-Crestmont-Ave-Los-Angeles-CA-90026/20746365_zpid/")</f>
        <v>https://www.zillow.com/homedetails/3512-Crestmont-Ave-Los-Angeles-CA-90026/20746365_zpid/</v>
      </c>
      <c r="K224" s="5"/>
      <c r="L224" s="5" t="str">
        <f ca="1">IFERROR(__xludf.DUMMYFUNCTION("""COMPUTED_VALUE"""),"Edward Kay")</f>
        <v>Edward Kay</v>
      </c>
      <c r="M224" s="5" t="str">
        <f ca="1">IFERROR(__xludf.DUMMYFUNCTION("""COMPUTED_VALUE"""),"22.2 percent increase ")</f>
        <v xml:space="preserve">22.2 percent increase </v>
      </c>
      <c r="N224" s="5" t="str">
        <f ca="1">IFERROR(__xludf.DUMMYFUNCTION("""COMPUTED_VALUE"""),"https://drive.google.com/open?id=1PzfQ7ZJ9TSZ7733HjbsDZW9RqnnE_KjT, https://drive.google.com/open?id=1C3NyTrKSkmVtbYOi6LgUET7C-mltqnsu")</f>
        <v>https://drive.google.com/open?id=1PzfQ7ZJ9TSZ7733HjbsDZW9RqnnE_KjT, https://drive.google.com/open?id=1C3NyTrKSkmVtbYOi6LgUET7C-mltqnsu</v>
      </c>
      <c r="O224" s="5">
        <f ca="1">IFERROR(__xludf.DUMMYFUNCTION("""COMPUTED_VALUE"""),5429020022)</f>
        <v>5429020022</v>
      </c>
      <c r="P224" s="5"/>
      <c r="Q224" s="5"/>
      <c r="R224" s="5">
        <f ca="1">IFERROR(__xludf.DUMMYFUNCTION("""COMPUTED_VALUE"""),8184018719)</f>
        <v>8184018719</v>
      </c>
      <c r="S224" s="5"/>
      <c r="T224" s="5"/>
    </row>
    <row r="225" spans="1:20" ht="12.75">
      <c r="A225" s="24">
        <f ca="1">IFERROR(__xludf.DUMMYFUNCTION("""COMPUTED_VALUE"""),45669.748561493)</f>
        <v>45669.748561492997</v>
      </c>
      <c r="B225" s="5" t="str">
        <f ca="1">IFERROR(__xludf.DUMMYFUNCTION("""COMPUTED_VALUE"""),"700 N Irena Ave")</f>
        <v>700 N Irena Ave</v>
      </c>
      <c r="C225" s="5" t="str">
        <f ca="1">IFERROR(__xludf.DUMMYFUNCTION("""COMPUTED_VALUE"""),"Redondo Beach")</f>
        <v>Redondo Beach</v>
      </c>
      <c r="D225" s="5" t="str">
        <f ca="1">IFERROR(__xludf.DUMMYFUNCTION("""COMPUTED_VALUE"""),"CA")</f>
        <v>CA</v>
      </c>
      <c r="E225" s="5">
        <f ca="1">IFERROR(__xludf.DUMMYFUNCTION("""COMPUTED_VALUE"""),90277)</f>
        <v>90277</v>
      </c>
      <c r="F225" s="19">
        <f ca="1">IFERROR(__xludf.DUMMYFUNCTION("""COMPUTED_VALUE"""),7320)</f>
        <v>7320</v>
      </c>
      <c r="G225" s="19">
        <f ca="1">IFERROR(__xludf.DUMMYFUNCTION("""COMPUTED_VALUE"""),8820)</f>
        <v>8820</v>
      </c>
      <c r="H225" s="18">
        <f ca="1">IFERROR(__xludf.DUMMYFUNCTION("""COMPUTED_VALUE"""),45669)</f>
        <v>45669</v>
      </c>
      <c r="I225" s="5" t="str">
        <f ca="1">IFERROR(__xludf.DUMMYFUNCTION("""COMPUTED_VALUE"""),"Zillow")</f>
        <v>Zillow</v>
      </c>
      <c r="J225" s="25" t="str">
        <f ca="1">IFERROR(__xludf.DUMMYFUNCTION("""COMPUTED_VALUE"""),"https://www.zillow.com/homedetails/700-N-Irena-Ave-Redondo-Beach-CA-90277/21317441_zpid/")</f>
        <v>https://www.zillow.com/homedetails/700-N-Irena-Ave-Redondo-Beach-CA-90277/21317441_zpid/</v>
      </c>
      <c r="K225" s="5"/>
      <c r="L225" s="5" t="str">
        <f ca="1">IFERROR(__xludf.DUMMYFUNCTION("""COMPUTED_VALUE"""),"Linda")</f>
        <v>Linda</v>
      </c>
      <c r="M225" s="5"/>
      <c r="N225" s="5" t="str">
        <f ca="1">IFERROR(__xludf.DUMMYFUNCTION("""COMPUTED_VALUE"""),"https://drive.google.com/open?id=1WX-vvmzofdChn74LPMgyvQIF-vPL-Yzw, https://drive.google.com/open?id=1brwH-B8nY4SArCPP-ybe3J8bo_htGvdA")</f>
        <v>https://drive.google.com/open?id=1WX-vvmzofdChn74LPMgyvQIF-vPL-Yzw, https://drive.google.com/open?id=1brwH-B8nY4SArCPP-ybe3J8bo_htGvdA</v>
      </c>
      <c r="O225" s="5">
        <f ca="1">IFERROR(__xludf.DUMMYFUNCTION("""COMPUTED_VALUE"""),7503004033)</f>
        <v>7503004033</v>
      </c>
      <c r="P225" s="5"/>
      <c r="Q225" s="5"/>
      <c r="R225" s="5" t="str">
        <f ca="1">IFERROR(__xludf.DUMMYFUNCTION("""COMPUTED_VALUE"""),"(424) 265-3535")</f>
        <v>(424) 265-3535</v>
      </c>
      <c r="S225" s="5"/>
      <c r="T225" s="5"/>
    </row>
    <row r="226" spans="1:20" ht="12.75">
      <c r="A226" s="24">
        <f ca="1">IFERROR(__xludf.DUMMYFUNCTION("""COMPUTED_VALUE"""),45669.7489687615)</f>
        <v>45669.748968761502</v>
      </c>
      <c r="B226" s="5" t="str">
        <f ca="1">IFERROR(__xludf.DUMMYFUNCTION("""COMPUTED_VALUE"""),"1610 S Hayworth Ave")</f>
        <v>1610 S Hayworth Ave</v>
      </c>
      <c r="C226" s="5" t="str">
        <f ca="1">IFERROR(__xludf.DUMMYFUNCTION("""COMPUTED_VALUE"""),"Los Angeles")</f>
        <v>Los Angeles</v>
      </c>
      <c r="D226" s="5" t="str">
        <f ca="1">IFERROR(__xludf.DUMMYFUNCTION("""COMPUTED_VALUE"""),"CA")</f>
        <v>CA</v>
      </c>
      <c r="E226" s="5">
        <f ca="1">IFERROR(__xludf.DUMMYFUNCTION("""COMPUTED_VALUE"""),90035)</f>
        <v>90035</v>
      </c>
      <c r="F226" s="19">
        <f ca="1">IFERROR(__xludf.DUMMYFUNCTION("""COMPUTED_VALUE"""),6995)</f>
        <v>6995</v>
      </c>
      <c r="G226" s="19">
        <f ca="1">IFERROR(__xludf.DUMMYFUNCTION("""COMPUTED_VALUE"""),8790)</f>
        <v>8790</v>
      </c>
      <c r="H226" s="18">
        <f ca="1">IFERROR(__xludf.DUMMYFUNCTION("""COMPUTED_VALUE"""),45667)</f>
        <v>45667</v>
      </c>
      <c r="I226" s="5" t="str">
        <f ca="1">IFERROR(__xludf.DUMMYFUNCTION("""COMPUTED_VALUE"""),"Zillow")</f>
        <v>Zillow</v>
      </c>
      <c r="J226" s="25" t="str">
        <f ca="1">IFERROR(__xludf.DUMMYFUNCTION("""COMPUTED_VALUE"""),"https://www.zillow.com/homedetails/1610-S-Hayworth-Ave-Los-Angeles-CA-90035/20599960_zpid/")</f>
        <v>https://www.zillow.com/homedetails/1610-S-Hayworth-Ave-Los-Angeles-CA-90035/20599960_zpid/</v>
      </c>
      <c r="K226" s="5" t="str">
        <f ca="1">IFERROR(__xludf.DUMMYFUNCTION("""COMPUTED_VALUE"""),"Rachel (?) management co unknown")</f>
        <v>Rachel (?) management co unknown</v>
      </c>
      <c r="L226" s="5"/>
      <c r="M226" s="5" t="str">
        <f ca="1">IFERROR(__xludf.DUMMYFUNCTION("""COMPUTED_VALUE"""),"i believe this is price gouging because of the date of the change (1/10/25, a 25/7% increase). The listing was previously removed on 6/29/24, having previously been listed as $6.995 per month. I'm not sure if that time period is too long to justify price "&amp;"gouging but the % increase still seems insane within the same year.")</f>
        <v>i believe this is price gouging because of the date of the change (1/10/25, a 25/7% increase). The listing was previously removed on 6/29/24, having previously been listed as $6.995 per month. I'm not sure if that time period is too long to justify price gouging but the % increase still seems insane within the same year.</v>
      </c>
      <c r="N226" s="26" t="str">
        <f ca="1">IFERROR(__xludf.DUMMYFUNCTION("""COMPUTED_VALUE"""),"https://drive.google.com/open?id=1vXxaAHSCKnl6XLgb2FG0m9vgNu_ic3cJ")</f>
        <v>https://drive.google.com/open?id=1vXxaAHSCKnl6XLgb2FG0m9vgNu_ic3cJ</v>
      </c>
      <c r="O226" s="5">
        <f ca="1">IFERROR(__xludf.DUMMYFUNCTION("""COMPUTED_VALUE"""),5068020027)</f>
        <v>5068020027</v>
      </c>
      <c r="P226" s="5" t="str">
        <f ca="1">IFERROR(__xludf.DUMMYFUNCTION("""COMPUTED_VALUE""")," (213) 816-4915")</f>
        <v xml:space="preserve"> (213) 816-4915</v>
      </c>
      <c r="Q226" s="5"/>
      <c r="R226" s="5"/>
      <c r="S226" s="5"/>
      <c r="T226" s="5"/>
    </row>
    <row r="227" spans="1:20" ht="12.75">
      <c r="A227" s="24">
        <f ca="1">IFERROR(__xludf.DUMMYFUNCTION("""COMPUTED_VALUE"""),45669.750095949)</f>
        <v>45669.750095948999</v>
      </c>
      <c r="B227" s="5" t="str">
        <f ca="1">IFERROR(__xludf.DUMMYFUNCTION("""COMPUTED_VALUE"""),"705 Chaucer Rd")</f>
        <v>705 Chaucer Rd</v>
      </c>
      <c r="C227" s="5" t="str">
        <f ca="1">IFERROR(__xludf.DUMMYFUNCTION("""COMPUTED_VALUE"""),"San Marino")</f>
        <v>San Marino</v>
      </c>
      <c r="D227" s="5" t="str">
        <f ca="1">IFERROR(__xludf.DUMMYFUNCTION("""COMPUTED_VALUE"""),"CA")</f>
        <v>CA</v>
      </c>
      <c r="E227" s="5">
        <f ca="1">IFERROR(__xludf.DUMMYFUNCTION("""COMPUTED_VALUE"""),91108)</f>
        <v>91108</v>
      </c>
      <c r="F227" s="19">
        <f ca="1">IFERROR(__xludf.DUMMYFUNCTION("""COMPUTED_VALUE"""),10500)</f>
        <v>10500</v>
      </c>
      <c r="G227" s="19">
        <f ca="1">IFERROR(__xludf.DUMMYFUNCTION("""COMPUTED_VALUE"""),11900)</f>
        <v>11900</v>
      </c>
      <c r="H227" s="18">
        <f ca="1">IFERROR(__xludf.DUMMYFUNCTION("""COMPUTED_VALUE"""),45667)</f>
        <v>45667</v>
      </c>
      <c r="I227" s="5" t="str">
        <f ca="1">IFERROR(__xludf.DUMMYFUNCTION("""COMPUTED_VALUE"""),"Zillow")</f>
        <v>Zillow</v>
      </c>
      <c r="J227" s="25" t="str">
        <f ca="1">IFERROR(__xludf.DUMMYFUNCTION("""COMPUTED_VALUE"""),"https://www.zillow.com/homedetails/705-Chaucer-Rd-San-Marino-CA-91108/20701815_zpid/")</f>
        <v>https://www.zillow.com/homedetails/705-Chaucer-Rd-San-Marino-CA-91108/20701815_zpid/</v>
      </c>
      <c r="K227" s="5" t="str">
        <f ca="1">IFERROR(__xludf.DUMMYFUNCTION("""COMPUTED_VALUE"""),"Joshua Chao (Help-U-Sell Smart Realty)")</f>
        <v>Joshua Chao (Help-U-Sell Smart Realty)</v>
      </c>
      <c r="L227" s="5"/>
      <c r="M227" s="5" t="str">
        <f ca="1">IFERROR(__xludf.DUMMYFUNCTION("""COMPUTED_VALUE"""),"Listed for $10,500 on January 3rd and raised to $13,980 on January 9th. Decreased it to $11,900 on January 10th. Still over 10% increase.")</f>
        <v>Listed for $10,500 on January 3rd and raised to $13,980 on January 9th. Decreased it to $11,900 on January 10th. Still over 10% increase.</v>
      </c>
      <c r="N227" s="5" t="str">
        <f ca="1">IFERROR(__xludf.DUMMYFUNCTION("""COMPUTED_VALUE"""),"https://drive.google.com/open?id=1TsUWCx69IgavucDGbayXWJ5YhxDU4QmS, https://drive.google.com/open?id=1GIIJoi_uoGemaVmA1vUnEXotJBebLDEV")</f>
        <v>https://drive.google.com/open?id=1TsUWCx69IgavucDGbayXWJ5YhxDU4QmS, https://drive.google.com/open?id=1GIIJoi_uoGemaVmA1vUnEXotJBebLDEV</v>
      </c>
      <c r="O227" s="5">
        <f ca="1">IFERROR(__xludf.DUMMYFUNCTION("""COMPUTED_VALUE"""),5329016004)</f>
        <v>5329016004</v>
      </c>
      <c r="P227" s="5" t="str">
        <f ca="1">IFERROR(__xludf.DUMMYFUNCTION("""COMPUTED_VALUE"""),"(626) 405-8818")</f>
        <v>(626) 405-8818</v>
      </c>
      <c r="Q227" s="5"/>
      <c r="R227" s="5"/>
      <c r="S227" s="5"/>
      <c r="T227" s="5"/>
    </row>
    <row r="228" spans="1:20" ht="12.75">
      <c r="A228" s="24">
        <f ca="1">IFERROR(__xludf.DUMMYFUNCTION("""COMPUTED_VALUE"""),45669.7504229051)</f>
        <v>45669.750422905097</v>
      </c>
      <c r="B228" s="5" t="str">
        <f ca="1">IFERROR(__xludf.DUMMYFUNCTION("""COMPUTED_VALUE"""),"2727 El Oeste Dr")</f>
        <v>2727 El Oeste Dr</v>
      </c>
      <c r="C228" s="5" t="str">
        <f ca="1">IFERROR(__xludf.DUMMYFUNCTION("""COMPUTED_VALUE"""),"Hermosa Beach")</f>
        <v>Hermosa Beach</v>
      </c>
      <c r="D228" s="5" t="str">
        <f ca="1">IFERROR(__xludf.DUMMYFUNCTION("""COMPUTED_VALUE"""),"CA")</f>
        <v>CA</v>
      </c>
      <c r="E228" s="5">
        <f ca="1">IFERROR(__xludf.DUMMYFUNCTION("""COMPUTED_VALUE"""),90254)</f>
        <v>90254</v>
      </c>
      <c r="F228" s="19">
        <f ca="1">IFERROR(__xludf.DUMMYFUNCTION("""COMPUTED_VALUE"""),9900)</f>
        <v>9900</v>
      </c>
      <c r="G228" s="19">
        <f ca="1">IFERROR(__xludf.DUMMYFUNCTION("""COMPUTED_VALUE"""),10890)</f>
        <v>10890</v>
      </c>
      <c r="H228" s="18">
        <f ca="1">IFERROR(__xludf.DUMMYFUNCTION("""COMPUTED_VALUE"""),45667)</f>
        <v>45667</v>
      </c>
      <c r="I228" s="5" t="str">
        <f ca="1">IFERROR(__xludf.DUMMYFUNCTION("""COMPUTED_VALUE"""),"Zillow")</f>
        <v>Zillow</v>
      </c>
      <c r="J228" s="25" t="str">
        <f ca="1">IFERROR(__xludf.DUMMYFUNCTION("""COMPUTED_VALUE"""),"https://www.zillow.com/homedetails/2727-El-Oeste-Dr-Hermosa-Beach-CA-90254/20416648_zpid/")</f>
        <v>https://www.zillow.com/homedetails/2727-El-Oeste-Dr-Hermosa-Beach-CA-90254/20416648_zpid/</v>
      </c>
      <c r="K228" s="5" t="str">
        <f ca="1">IFERROR(__xludf.DUMMYFUNCTION("""COMPUTED_VALUE"""),"Yasmina")</f>
        <v>Yasmina</v>
      </c>
      <c r="L228" s="5"/>
      <c r="M228" s="5"/>
      <c r="N228" s="5" t="str">
        <f ca="1">IFERROR(__xludf.DUMMYFUNCTION("""COMPUTED_VALUE"""),"https://drive.google.com/open?id=1ApWPbKwniqBaWo4DjlpZmZUiOQCZlgrs, https://drive.google.com/open?id=1MMNL_xRWDdJVvLG_AEkQYLZdMiBz2-2X")</f>
        <v>https://drive.google.com/open?id=1ApWPbKwniqBaWo4DjlpZmZUiOQCZlgrs, https://drive.google.com/open?id=1MMNL_xRWDdJVvLG_AEkQYLZdMiBz2-2X</v>
      </c>
      <c r="O228" s="5">
        <f ca="1">IFERROR(__xludf.DUMMYFUNCTION("""COMPUTED_VALUE"""),4169035007)</f>
        <v>4169035007</v>
      </c>
      <c r="P228" s="5" t="str">
        <f ca="1">IFERROR(__xludf.DUMMYFUNCTION("""COMPUTED_VALUE"""),"(213) 667-6953")</f>
        <v>(213) 667-6953</v>
      </c>
      <c r="Q228" s="5"/>
      <c r="R228" s="5"/>
      <c r="S228" s="5"/>
      <c r="T228" s="5"/>
    </row>
    <row r="229" spans="1:20" ht="12.75">
      <c r="A229" s="24">
        <f ca="1">IFERROR(__xludf.DUMMYFUNCTION("""COMPUTED_VALUE"""),45669.7506242939)</f>
        <v>45669.750624293898</v>
      </c>
      <c r="B229" s="5" t="str">
        <f ca="1">IFERROR(__xludf.DUMMYFUNCTION("""COMPUTED_VALUE"""),"6255 W Olympic Blvd #2")</f>
        <v>6255 W Olympic Blvd #2</v>
      </c>
      <c r="C229" s="5" t="str">
        <f ca="1">IFERROR(__xludf.DUMMYFUNCTION("""COMPUTED_VALUE"""),"Los Angeles ")</f>
        <v xml:space="preserve">Los Angeles </v>
      </c>
      <c r="D229" s="5" t="str">
        <f ca="1">IFERROR(__xludf.DUMMYFUNCTION("""COMPUTED_VALUE"""),"CA")</f>
        <v>CA</v>
      </c>
      <c r="E229" s="5">
        <f ca="1">IFERROR(__xludf.DUMMYFUNCTION("""COMPUTED_VALUE"""),90048)</f>
        <v>90048</v>
      </c>
      <c r="F229" s="19">
        <f ca="1">IFERROR(__xludf.DUMMYFUNCTION("""COMPUTED_VALUE"""),7500)</f>
        <v>7500</v>
      </c>
      <c r="G229" s="19">
        <f ca="1">IFERROR(__xludf.DUMMYFUNCTION("""COMPUTED_VALUE"""),15000)</f>
        <v>15000</v>
      </c>
      <c r="H229" s="18">
        <f ca="1">IFERROR(__xludf.DUMMYFUNCTION("""COMPUTED_VALUE"""),45668)</f>
        <v>45668</v>
      </c>
      <c r="I229" s="5" t="str">
        <f ca="1">IFERROR(__xludf.DUMMYFUNCTION("""COMPUTED_VALUE"""),"Zillow")</f>
        <v>Zillow</v>
      </c>
      <c r="J229" s="25" t="str">
        <f ca="1">IFERROR(__xludf.DUMMYFUNCTION("""COMPUTED_VALUE"""),"https://www.zillow.com/homedetails/6255-W-Olympic-Blvd-2-Los-Angeles-CA-90048/443225953_zpid/")</f>
        <v>https://www.zillow.com/homedetails/6255-W-Olympic-Blvd-2-Los-Angeles-CA-90048/443225953_zpid/</v>
      </c>
      <c r="K229" s="5"/>
      <c r="L229" s="5"/>
      <c r="M229" s="5" t="str">
        <f ca="1">IFERROR(__xludf.DUMMYFUNCTION("""COMPUTED_VALUE"""),"They removed the listing lol ")</f>
        <v xml:space="preserve">They removed the listing lol </v>
      </c>
      <c r="N229" s="26" t="str">
        <f ca="1">IFERROR(__xludf.DUMMYFUNCTION("""COMPUTED_VALUE"""),"https://drive.google.com/open?id=1VPdM8Uc2SWtHADKixOOZhTJbDtFwzXdW")</f>
        <v>https://drive.google.com/open?id=1VPdM8Uc2SWtHADKixOOZhTJbDtFwzXdW</v>
      </c>
      <c r="O229" s="5" t="str">
        <f ca="1">IFERROR(__xludf.DUMMYFUNCTION("""COMPUTED_VALUE"""),"NA")</f>
        <v>NA</v>
      </c>
      <c r="P229" s="5"/>
      <c r="Q229" s="5"/>
      <c r="R229" s="5"/>
      <c r="S229" s="5"/>
      <c r="T229" s="5"/>
    </row>
    <row r="230" spans="1:20" ht="12.75">
      <c r="A230" s="24">
        <f ca="1">IFERROR(__xludf.DUMMYFUNCTION("""COMPUTED_VALUE"""),45669.7508949189)</f>
        <v>45669.7508949189</v>
      </c>
      <c r="B230" s="5" t="str">
        <f ca="1">IFERROR(__xludf.DUMMYFUNCTION("""COMPUTED_VALUE"""),"614 Midvale Ave")</f>
        <v>614 Midvale Ave</v>
      </c>
      <c r="C230" s="5" t="str">
        <f ca="1">IFERROR(__xludf.DUMMYFUNCTION("""COMPUTED_VALUE"""),"Los Angeles")</f>
        <v>Los Angeles</v>
      </c>
      <c r="D230" s="5" t="str">
        <f ca="1">IFERROR(__xludf.DUMMYFUNCTION("""COMPUTED_VALUE"""),"CA")</f>
        <v>CA</v>
      </c>
      <c r="E230" s="5">
        <f ca="1">IFERROR(__xludf.DUMMYFUNCTION("""COMPUTED_VALUE"""),90024)</f>
        <v>90024</v>
      </c>
      <c r="F230" s="19">
        <f ca="1">IFERROR(__xludf.DUMMYFUNCTION("""COMPUTED_VALUE"""),3350)</f>
        <v>3350</v>
      </c>
      <c r="G230" s="19">
        <f ca="1">IFERROR(__xludf.DUMMYFUNCTION("""COMPUTED_VALUE"""),5250)</f>
        <v>5250</v>
      </c>
      <c r="H230" s="18">
        <f ca="1">IFERROR(__xludf.DUMMYFUNCTION("""COMPUTED_VALUE"""),45668)</f>
        <v>45668</v>
      </c>
      <c r="I230" s="5" t="str">
        <f ca="1">IFERROR(__xludf.DUMMYFUNCTION("""COMPUTED_VALUE"""),"Zillow")</f>
        <v>Zillow</v>
      </c>
      <c r="J230" s="25" t="str">
        <f ca="1">IFERROR(__xludf.DUMMYFUNCTION("""COMPUTED_VALUE"""),"https://www.zillow.com/homedetails/614-Midvale-Ave-Los-Angeles-CA-90024/2078728356_zpid/")</f>
        <v>https://www.zillow.com/homedetails/614-Midvale-Ave-Los-Angeles-CA-90024/2078728356_zpid/</v>
      </c>
      <c r="K230" s="5" t="str">
        <f ca="1">IFERROR(__xludf.DUMMYFUNCTION("""COMPUTED_VALUE"""),"Aitan Segal")</f>
        <v>Aitan Segal</v>
      </c>
      <c r="L230" s="5"/>
      <c r="M230" s="5"/>
      <c r="N230" s="26" t="str">
        <f ca="1">IFERROR(__xludf.DUMMYFUNCTION("""COMPUTED_VALUE"""),"https://drive.google.com/open?id=1hWk_7Apx47z-2rzRs1WFiUWSkBoN2Bja")</f>
        <v>https://drive.google.com/open?id=1hWk_7Apx47z-2rzRs1WFiUWSkBoN2Bja</v>
      </c>
      <c r="O230" s="5" t="str">
        <f ca="1">IFERROR(__xludf.DUMMYFUNCTION("""COMPUTED_VALUE"""),"NA")</f>
        <v>NA</v>
      </c>
      <c r="P230" s="5" t="str">
        <f ca="1">IFERROR(__xludf.DUMMYFUNCTION("""COMPUTED_VALUE"""),"(310) 278-3754")</f>
        <v>(310) 278-3754</v>
      </c>
      <c r="Q230" s="5"/>
      <c r="R230" s="5"/>
      <c r="S230" s="5"/>
      <c r="T230" s="5"/>
    </row>
    <row r="231" spans="1:20" ht="12.75">
      <c r="A231" s="24">
        <f ca="1">IFERROR(__xludf.DUMMYFUNCTION("""COMPUTED_VALUE"""),45669.75150978)</f>
        <v>45669.751509779999</v>
      </c>
      <c r="B231" s="5" t="str">
        <f ca="1">IFERROR(__xludf.DUMMYFUNCTION("""COMPUTED_VALUE"""),"3408 Alma Ave")</f>
        <v>3408 Alma Ave</v>
      </c>
      <c r="C231" s="5" t="str">
        <f ca="1">IFERROR(__xludf.DUMMYFUNCTION("""COMPUTED_VALUE"""),"Manhattan Beach")</f>
        <v>Manhattan Beach</v>
      </c>
      <c r="D231" s="5" t="str">
        <f ca="1">IFERROR(__xludf.DUMMYFUNCTION("""COMPUTED_VALUE"""),"CA")</f>
        <v>CA</v>
      </c>
      <c r="E231" s="5">
        <f ca="1">IFERROR(__xludf.DUMMYFUNCTION("""COMPUTED_VALUE"""),90266)</f>
        <v>90266</v>
      </c>
      <c r="F231" s="19">
        <f ca="1">IFERROR(__xludf.DUMMYFUNCTION("""COMPUTED_VALUE"""),4500)</f>
        <v>4500</v>
      </c>
      <c r="G231" s="19">
        <f ca="1">IFERROR(__xludf.DUMMYFUNCTION("""COMPUTED_VALUE"""),12500)</f>
        <v>12500</v>
      </c>
      <c r="H231" s="18">
        <f ca="1">IFERROR(__xludf.DUMMYFUNCTION("""COMPUTED_VALUE"""),45670)</f>
        <v>45670</v>
      </c>
      <c r="I231" s="5" t="str">
        <f ca="1">IFERROR(__xludf.DUMMYFUNCTION("""COMPUTED_VALUE"""),"Zillow")</f>
        <v>Zillow</v>
      </c>
      <c r="J231" s="25" t="str">
        <f ca="1">IFERROR(__xludf.DUMMYFUNCTION("""COMPUTED_VALUE"""),"https://www.zillow.com/homedetails/3408-Alma-Ave-Manhattan-Beach-CA-90266/20420312_zpid/")</f>
        <v>https://www.zillow.com/homedetails/3408-Alma-Ave-Manhattan-Beach-CA-90266/20420312_zpid/</v>
      </c>
      <c r="K231" s="5"/>
      <c r="L231" s="5" t="str">
        <f ca="1">IFERROR(__xludf.DUMMYFUNCTION("""COMPUTED_VALUE"""),"Montie Taylor")</f>
        <v>Montie Taylor</v>
      </c>
      <c r="M231" s="5"/>
      <c r="N231" s="26" t="str">
        <f ca="1">IFERROR(__xludf.DUMMYFUNCTION("""COMPUTED_VALUE"""),"https://drive.google.com/open?id=1_wwFu5NROqgMuL41drhiEyyKx5irwwhi")</f>
        <v>https://drive.google.com/open?id=1_wwFu5NROqgMuL41drhiEyyKx5irwwhi</v>
      </c>
      <c r="O231" s="5">
        <f ca="1">IFERROR(__xludf.DUMMYFUNCTION("""COMPUTED_VALUE"""),4175013024)</f>
        <v>4175013024</v>
      </c>
      <c r="P231" s="5"/>
      <c r="Q231" s="5"/>
      <c r="R231" s="5" t="str">
        <f ca="1">IFERROR(__xludf.DUMMYFUNCTION("""COMPUTED_VALUE"""),"(310) 994-3695")</f>
        <v>(310) 994-3695</v>
      </c>
      <c r="S231" s="5"/>
      <c r="T231" s="5"/>
    </row>
    <row r="232" spans="1:20" ht="12.75">
      <c r="A232" s="24">
        <f ca="1">IFERROR(__xludf.DUMMYFUNCTION("""COMPUTED_VALUE"""),45669.7515115046)</f>
        <v>45669.751511504597</v>
      </c>
      <c r="B232" s="5" t="str">
        <f ca="1">IFERROR(__xludf.DUMMYFUNCTION("""COMPUTED_VALUE"""),"1222 Hilldale Ave")</f>
        <v>1222 Hilldale Ave</v>
      </c>
      <c r="C232" s="5" t="str">
        <f ca="1">IFERROR(__xludf.DUMMYFUNCTION("""COMPUTED_VALUE"""),"Los Angeles ")</f>
        <v xml:space="preserve">Los Angeles </v>
      </c>
      <c r="D232" s="5" t="str">
        <f ca="1">IFERROR(__xludf.DUMMYFUNCTION("""COMPUTED_VALUE"""),"CA")</f>
        <v>CA</v>
      </c>
      <c r="E232" s="5">
        <f ca="1">IFERROR(__xludf.DUMMYFUNCTION("""COMPUTED_VALUE"""),90069)</f>
        <v>90069</v>
      </c>
      <c r="F232" s="19">
        <f ca="1">IFERROR(__xludf.DUMMYFUNCTION("""COMPUTED_VALUE"""),24500)</f>
        <v>24500</v>
      </c>
      <c r="G232" s="19">
        <f ca="1">IFERROR(__xludf.DUMMYFUNCTION("""COMPUTED_VALUE"""),50000)</f>
        <v>50000</v>
      </c>
      <c r="H232" s="18">
        <f ca="1">IFERROR(__xludf.DUMMYFUNCTION("""COMPUTED_VALUE"""),45670)</f>
        <v>45670</v>
      </c>
      <c r="I232" s="5" t="str">
        <f ca="1">IFERROR(__xludf.DUMMYFUNCTION("""COMPUTED_VALUE"""),"Zillow")</f>
        <v>Zillow</v>
      </c>
      <c r="J232" s="25" t="str">
        <f ca="1">IFERROR(__xludf.DUMMYFUNCTION("""COMPUTED_VALUE"""),"https://www.zillow.com/homedetails/1222-Hilldale-Ave-Los-Angeles-CA-90069/20799396_zpid/")</f>
        <v>https://www.zillow.com/homedetails/1222-Hilldale-Ave-Los-Angeles-CA-90069/20799396_zpid/</v>
      </c>
      <c r="K232" s="5" t="str">
        <f ca="1">IFERROR(__xludf.DUMMYFUNCTION("""COMPUTED_VALUE"""),"Henry Orozco (mgmt company)")</f>
        <v>Henry Orozco (mgmt company)</v>
      </c>
      <c r="L232" s="5"/>
      <c r="M232" s="5" t="str">
        <f ca="1">IFERROR(__xludf.DUMMYFUNCTION("""COMPUTED_VALUE"""),"Note that last rental listing/price was in Feb. 2023, and listing was removed in March 2023; the increase still seems significant but should be cross referenced average pre-fire rent for the area and property type ")</f>
        <v xml:space="preserve">Note that last rental listing/price was in Feb. 2023, and listing was removed in March 2023; the increase still seems significant but should be cross referenced average pre-fire rent for the area and property type </v>
      </c>
      <c r="N232" s="5" t="str">
        <f ca="1">IFERROR(__xludf.DUMMYFUNCTION("""COMPUTED_VALUE"""),"https://drive.google.com/open?id=1VYfHI6Fx2N2nYT3a8UDPFzSiMWLV9xv9, https://drive.google.com/open?id=1U4H0A5K9vgMhZTle2fqjilsqh6nvdhUt, https://drive.google.com/open?id=1GFOwgJfck-fLbgXsK2s2j7frLuMy_MD_")</f>
        <v>https://drive.google.com/open?id=1VYfHI6Fx2N2nYT3a8UDPFzSiMWLV9xv9, https://drive.google.com/open?id=1U4H0A5K9vgMhZTle2fqjilsqh6nvdhUt, https://drive.google.com/open?id=1GFOwgJfck-fLbgXsK2s2j7frLuMy_MD_</v>
      </c>
      <c r="O232" s="5">
        <f ca="1">IFERROR(__xludf.DUMMYFUNCTION("""COMPUTED_VALUE"""),5560024013)</f>
        <v>5560024013</v>
      </c>
      <c r="P232" s="5" t="str">
        <f ca="1">IFERROR(__xludf.DUMMYFUNCTION("""COMPUTED_VALUE"""),"(424) 370-0738")</f>
        <v>(424) 370-0738</v>
      </c>
      <c r="Q232" s="5"/>
      <c r="R232" s="5"/>
      <c r="S232" s="5"/>
      <c r="T232" s="5"/>
    </row>
    <row r="233" spans="1:20" ht="12.75">
      <c r="A233" s="24">
        <f ca="1">IFERROR(__xludf.DUMMYFUNCTION("""COMPUTED_VALUE"""),45669.752336875)</f>
        <v>45669.752336874997</v>
      </c>
      <c r="B233" s="5" t="str">
        <f ca="1">IFERROR(__xludf.DUMMYFUNCTION("""COMPUTED_VALUE"""),"8966 Shoreham Dr")</f>
        <v>8966 Shoreham Dr</v>
      </c>
      <c r="C233" s="5" t="str">
        <f ca="1">IFERROR(__xludf.DUMMYFUNCTION("""COMPUTED_VALUE"""),"Los Angeles ")</f>
        <v xml:space="preserve">Los Angeles </v>
      </c>
      <c r="D233" s="5" t="str">
        <f ca="1">IFERROR(__xludf.DUMMYFUNCTION("""COMPUTED_VALUE"""),"CA")</f>
        <v>CA</v>
      </c>
      <c r="E233" s="5">
        <f ca="1">IFERROR(__xludf.DUMMYFUNCTION("""COMPUTED_VALUE"""),90069)</f>
        <v>90069</v>
      </c>
      <c r="F233" s="19">
        <f ca="1">IFERROR(__xludf.DUMMYFUNCTION("""COMPUTED_VALUE"""),8500)</f>
        <v>8500</v>
      </c>
      <c r="G233" s="19">
        <f ca="1">IFERROR(__xludf.DUMMYFUNCTION("""COMPUTED_VALUE"""),11500)</f>
        <v>11500</v>
      </c>
      <c r="H233" s="18">
        <f ca="1">IFERROR(__xludf.DUMMYFUNCTION("""COMPUTED_VALUE"""),45666)</f>
        <v>45666</v>
      </c>
      <c r="I233" s="5" t="str">
        <f ca="1">IFERROR(__xludf.DUMMYFUNCTION("""COMPUTED_VALUE"""),"Zillow")</f>
        <v>Zillow</v>
      </c>
      <c r="J233" s="25" t="str">
        <f ca="1">IFERROR(__xludf.DUMMYFUNCTION("""COMPUTED_VALUE"""),"https://www.zillow.com/homedetails/8966-Shoreham-Dr-Los-Angeles-CA-90069/20799415_zpid/")</f>
        <v>https://www.zillow.com/homedetails/8966-Shoreham-Dr-Los-Angeles-CA-90069/20799415_zpid/</v>
      </c>
      <c r="K233" s="5" t="str">
        <f ca="1">IFERROR(__xludf.DUMMYFUNCTION("""COMPUTED_VALUE"""),"Mark Bua")</f>
        <v>Mark Bua</v>
      </c>
      <c r="L233" s="5"/>
      <c r="M233" s="5" t="str">
        <f ca="1">IFERROR(__xludf.DUMMYFUNCTION("""COMPUTED_VALUE"""),"35.3 percent increase ")</f>
        <v xml:space="preserve">35.3 percent increase </v>
      </c>
      <c r="N233" s="5" t="str">
        <f ca="1">IFERROR(__xludf.DUMMYFUNCTION("""COMPUTED_VALUE"""),"https://drive.google.com/open?id=18itUJxcuXIMi3X9moX9UcKgba7SkMIZN, https://drive.google.com/open?id=1ACQYBrWV4fgM484xg766fXo4kIBYd1r7")</f>
        <v>https://drive.google.com/open?id=18itUJxcuXIMi3X9moX9UcKgba7SkMIZN, https://drive.google.com/open?id=1ACQYBrWV4fgM484xg766fXo4kIBYd1r7</v>
      </c>
      <c r="O233" s="5">
        <f ca="1">IFERROR(__xludf.DUMMYFUNCTION("""COMPUTED_VALUE"""),5560025007)</f>
        <v>5560025007</v>
      </c>
      <c r="P233" s="5">
        <f ca="1">IFERROR(__xludf.DUMMYFUNCTION("""COMPUTED_VALUE"""),8183805206)</f>
        <v>8183805206</v>
      </c>
      <c r="Q233" s="5"/>
      <c r="R233" s="5"/>
      <c r="S233" s="5"/>
      <c r="T233" s="5"/>
    </row>
    <row r="234" spans="1:20" ht="12.75">
      <c r="A234" s="24">
        <f ca="1">IFERROR(__xludf.DUMMYFUNCTION("""COMPUTED_VALUE"""),45669.7530627662)</f>
        <v>45669.753062766198</v>
      </c>
      <c r="B234" s="5" t="str">
        <f ca="1">IFERROR(__xludf.DUMMYFUNCTION("""COMPUTED_VALUE"""),"3100 The Strand")</f>
        <v>3100 The Strand</v>
      </c>
      <c r="C234" s="5" t="str">
        <f ca="1">IFERROR(__xludf.DUMMYFUNCTION("""COMPUTED_VALUE"""),"Hermosa Beach")</f>
        <v>Hermosa Beach</v>
      </c>
      <c r="D234" s="5" t="str">
        <f ca="1">IFERROR(__xludf.DUMMYFUNCTION("""COMPUTED_VALUE"""),"CA")</f>
        <v>CA</v>
      </c>
      <c r="E234" s="5">
        <f ca="1">IFERROR(__xludf.DUMMYFUNCTION("""COMPUTED_VALUE"""),90254)</f>
        <v>90254</v>
      </c>
      <c r="F234" s="19">
        <f ca="1">IFERROR(__xludf.DUMMYFUNCTION("""COMPUTED_VALUE"""),16000)</f>
        <v>16000</v>
      </c>
      <c r="G234" s="19">
        <f ca="1">IFERROR(__xludf.DUMMYFUNCTION("""COMPUTED_VALUE"""),22000)</f>
        <v>22000</v>
      </c>
      <c r="H234" s="18">
        <f ca="1">IFERROR(__xludf.DUMMYFUNCTION("""COMPUTED_VALUE"""),45669)</f>
        <v>45669</v>
      </c>
      <c r="I234" s="5" t="str">
        <f ca="1">IFERROR(__xludf.DUMMYFUNCTION("""COMPUTED_VALUE"""),"Zillow")</f>
        <v>Zillow</v>
      </c>
      <c r="J234" s="25" t="str">
        <f ca="1">IFERROR(__xludf.DUMMYFUNCTION("""COMPUTED_VALUE"""),"https://www.zillow.com/homedetails/3100-The-Strand-Hermosa-Beach-CA-90254/20424059_zpid/")</f>
        <v>https://www.zillow.com/homedetails/3100-The-Strand-Hermosa-Beach-CA-90254/20424059_zpid/</v>
      </c>
      <c r="K234" s="5" t="str">
        <f ca="1">IFERROR(__xludf.DUMMYFUNCTION("""COMPUTED_VALUE"""),"Shannon Aikman, Coldwell Banker Realty")</f>
        <v>Shannon Aikman, Coldwell Banker Realty</v>
      </c>
      <c r="L234" s="5"/>
      <c r="M234" s="5"/>
      <c r="N234" s="5" t="str">
        <f ca="1">IFERROR(__xludf.DUMMYFUNCTION("""COMPUTED_VALUE"""),"https://drive.google.com/open?id=167MoE7nVy5sjMI9irwTB27E30vJD-_uS, https://drive.google.com/open?id=1DO85qW4sCsYclIgxt6MDQ7HfAiz9sS71")</f>
        <v>https://drive.google.com/open?id=167MoE7nVy5sjMI9irwTB27E30vJD-_uS, https://drive.google.com/open?id=1DO85qW4sCsYclIgxt6MDQ7HfAiz9sS71</v>
      </c>
      <c r="O234" s="5">
        <f ca="1">IFERROR(__xludf.DUMMYFUNCTION("""COMPUTED_VALUE"""),4181035018)</f>
        <v>4181035018</v>
      </c>
      <c r="P234" s="5" t="str">
        <f ca="1">IFERROR(__xludf.DUMMYFUNCTION("""COMPUTED_VALUE"""),"(949) 246-2990")</f>
        <v>(949) 246-2990</v>
      </c>
      <c r="Q234" s="5"/>
      <c r="R234" s="5"/>
      <c r="S234" s="5"/>
      <c r="T234" s="5"/>
    </row>
    <row r="235" spans="1:20" ht="12.75">
      <c r="A235" s="24">
        <f ca="1">IFERROR(__xludf.DUMMYFUNCTION("""COMPUTED_VALUE"""),45669.7534763657)</f>
        <v>45669.753476365702</v>
      </c>
      <c r="B235" s="5" t="str">
        <f ca="1">IFERROR(__xludf.DUMMYFUNCTION("""COMPUTED_VALUE"""),"11570 W Sunset Blvd")</f>
        <v>11570 W Sunset Blvd</v>
      </c>
      <c r="C235" s="5" t="str">
        <f ca="1">IFERROR(__xludf.DUMMYFUNCTION("""COMPUTED_VALUE"""),"Los Angeles")</f>
        <v>Los Angeles</v>
      </c>
      <c r="D235" s="5" t="str">
        <f ca="1">IFERROR(__xludf.DUMMYFUNCTION("""COMPUTED_VALUE"""),"CA")</f>
        <v>CA</v>
      </c>
      <c r="E235" s="5">
        <f ca="1">IFERROR(__xludf.DUMMYFUNCTION("""COMPUTED_VALUE"""),90049)</f>
        <v>90049</v>
      </c>
      <c r="F235" s="19">
        <f ca="1">IFERROR(__xludf.DUMMYFUNCTION("""COMPUTED_VALUE"""),11999)</f>
        <v>11999</v>
      </c>
      <c r="G235" s="19">
        <f ca="1">IFERROR(__xludf.DUMMYFUNCTION("""COMPUTED_VALUE"""),25999)</f>
        <v>25999</v>
      </c>
      <c r="H235" s="18">
        <f ca="1">IFERROR(__xludf.DUMMYFUNCTION("""COMPUTED_VALUE"""),45669)</f>
        <v>45669</v>
      </c>
      <c r="I235" s="5" t="str">
        <f ca="1">IFERROR(__xludf.DUMMYFUNCTION("""COMPUTED_VALUE"""),"Zillow")</f>
        <v>Zillow</v>
      </c>
      <c r="J235" s="25" t="str">
        <f ca="1">IFERROR(__xludf.DUMMYFUNCTION("""COMPUTED_VALUE"""),"https://www.zillow.com/homedetails/11570-W-Sunset-Blvd-Los-Angeles-CA-90049/20527245_zpid/")</f>
        <v>https://www.zillow.com/homedetails/11570-W-Sunset-Blvd-Los-Angeles-CA-90049/20527245_zpid/</v>
      </c>
      <c r="K235" s="5"/>
      <c r="L235" s="5" t="str">
        <f ca="1">IFERROR(__xludf.DUMMYFUNCTION("""COMPUTED_VALUE"""),"Elle")</f>
        <v>Elle</v>
      </c>
      <c r="M235" s="5"/>
      <c r="N235" s="26" t="str">
        <f ca="1">IFERROR(__xludf.DUMMYFUNCTION("""COMPUTED_VALUE"""),"https://drive.google.com/open?id=1uPsZMr9JXmrdVRIOC1OSEDPL9WcA2L33")</f>
        <v>https://drive.google.com/open?id=1uPsZMr9JXmrdVRIOC1OSEDPL9WcA2L33</v>
      </c>
      <c r="O235" s="5">
        <f ca="1">IFERROR(__xludf.DUMMYFUNCTION("""COMPUTED_VALUE"""),4365004017)</f>
        <v>4365004017</v>
      </c>
      <c r="P235" s="5"/>
      <c r="Q235" s="5"/>
      <c r="R235" s="5" t="str">
        <f ca="1">IFERROR(__xludf.DUMMYFUNCTION("""COMPUTED_VALUE"""),"(310) 428-2553")</f>
        <v>(310) 428-2553</v>
      </c>
      <c r="S235" s="5"/>
      <c r="T235" s="5"/>
    </row>
    <row r="236" spans="1:20" ht="12.75">
      <c r="A236" s="24">
        <f ca="1">IFERROR(__xludf.DUMMYFUNCTION("""COMPUTED_VALUE"""),45669.7539034375)</f>
        <v>45669.7539034375</v>
      </c>
      <c r="B236" s="5" t="str">
        <f ca="1">IFERROR(__xludf.DUMMYFUNCTION("""COMPUTED_VALUE"""),"1923 Sunset Plaza Dr")</f>
        <v>1923 Sunset Plaza Dr</v>
      </c>
      <c r="C236" s="5" t="str">
        <f ca="1">IFERROR(__xludf.DUMMYFUNCTION("""COMPUTED_VALUE"""),"Los Angeles ")</f>
        <v xml:space="preserve">Los Angeles </v>
      </c>
      <c r="D236" s="5" t="str">
        <f ca="1">IFERROR(__xludf.DUMMYFUNCTION("""COMPUTED_VALUE"""),"CA")</f>
        <v>CA</v>
      </c>
      <c r="E236" s="5">
        <f ca="1">IFERROR(__xludf.DUMMYFUNCTION("""COMPUTED_VALUE"""),90069)</f>
        <v>90069</v>
      </c>
      <c r="F236" s="19">
        <f ca="1">IFERROR(__xludf.DUMMYFUNCTION("""COMPUTED_VALUE"""),11850)</f>
        <v>11850</v>
      </c>
      <c r="G236" s="19">
        <f ca="1">IFERROR(__xludf.DUMMYFUNCTION("""COMPUTED_VALUE"""),13500)</f>
        <v>13500</v>
      </c>
      <c r="H236" s="18">
        <f ca="1">IFERROR(__xludf.DUMMYFUNCTION("""COMPUTED_VALUE"""),45667)</f>
        <v>45667</v>
      </c>
      <c r="I236" s="5" t="str">
        <f ca="1">IFERROR(__xludf.DUMMYFUNCTION("""COMPUTED_VALUE"""),"Zillow")</f>
        <v>Zillow</v>
      </c>
      <c r="J236" s="25" t="str">
        <f ca="1">IFERROR(__xludf.DUMMYFUNCTION("""COMPUTED_VALUE"""),"https://www.zillow.com/homedetails/1923-Sunset-Plaza-Dr-Los-Angeles-CA-90069/20798097_zpid/")</f>
        <v>https://www.zillow.com/homedetails/1923-Sunset-Plaza-Dr-Los-Angeles-CA-90069/20798097_zpid/</v>
      </c>
      <c r="K236" s="5" t="str">
        <f ca="1">IFERROR(__xludf.DUMMYFUNCTION("""COMPUTED_VALUE"""),"Marisa, Revel Real Estate")</f>
        <v>Marisa, Revel Real Estate</v>
      </c>
      <c r="L236" s="5"/>
      <c r="M236" s="5" t="str">
        <f ca="1">IFERROR(__xludf.DUMMYFUNCTION("""COMPUTED_VALUE"""),"13.9 percent increase ")</f>
        <v xml:space="preserve">13.9 percent increase </v>
      </c>
      <c r="N236" s="5" t="str">
        <f ca="1">IFERROR(__xludf.DUMMYFUNCTION("""COMPUTED_VALUE"""),"https://drive.google.com/open?id=1DkqnIwLucd1uxD8lHq_yKO_PuNw3iiga, https://drive.google.com/open?id=1XtTKhSLXbURTXJiIF8dInmjHJK85-MBw")</f>
        <v>https://drive.google.com/open?id=1DkqnIwLucd1uxD8lHq_yKO_PuNw3iiga, https://drive.google.com/open?id=1XtTKhSLXbURTXJiIF8dInmjHJK85-MBw</v>
      </c>
      <c r="O236" s="5">
        <f ca="1">IFERROR(__xludf.DUMMYFUNCTION("""COMPUTED_VALUE"""),5558002013)</f>
        <v>5558002013</v>
      </c>
      <c r="P236" s="5">
        <f ca="1">IFERROR(__xludf.DUMMYFUNCTION("""COMPUTED_VALUE"""),2133184745)</f>
        <v>2133184745</v>
      </c>
      <c r="Q236" s="5"/>
      <c r="R236" s="5"/>
      <c r="S236" s="5"/>
      <c r="T236" s="5"/>
    </row>
    <row r="237" spans="1:20" ht="12.75">
      <c r="A237" s="24">
        <f ca="1">IFERROR(__xludf.DUMMYFUNCTION("""COMPUTED_VALUE"""),45669.7554864583)</f>
        <v>45669.7554864583</v>
      </c>
      <c r="B237" s="5" t="str">
        <f ca="1">IFERROR(__xludf.DUMMYFUNCTION("""COMPUTED_VALUE"""),"undisclosed address")</f>
        <v>undisclosed address</v>
      </c>
      <c r="C237" s="5" t="str">
        <f ca="1">IFERROR(__xludf.DUMMYFUNCTION("""COMPUTED_VALUE"""),"Los Angeles ")</f>
        <v xml:space="preserve">Los Angeles </v>
      </c>
      <c r="D237" s="5" t="str">
        <f ca="1">IFERROR(__xludf.DUMMYFUNCTION("""COMPUTED_VALUE"""),"CA")</f>
        <v>CA</v>
      </c>
      <c r="E237" s="5">
        <f ca="1">IFERROR(__xludf.DUMMYFUNCTION("""COMPUTED_VALUE"""),90046)</f>
        <v>90046</v>
      </c>
      <c r="F237" s="19">
        <f ca="1">IFERROR(__xludf.DUMMYFUNCTION("""COMPUTED_VALUE"""),11500)</f>
        <v>11500</v>
      </c>
      <c r="G237" s="19">
        <f ca="1">IFERROR(__xludf.DUMMYFUNCTION("""COMPUTED_VALUE"""),15000)</f>
        <v>15000</v>
      </c>
      <c r="H237" s="18">
        <f ca="1">IFERROR(__xludf.DUMMYFUNCTION("""COMPUTED_VALUE"""),45666)</f>
        <v>45666</v>
      </c>
      <c r="I237" s="5" t="str">
        <f ca="1">IFERROR(__xludf.DUMMYFUNCTION("""COMPUTED_VALUE"""),"Zillow")</f>
        <v>Zillow</v>
      </c>
      <c r="J237" s="25" t="str">
        <f ca="1">IFERROR(__xludf.DUMMYFUNCTION("""COMPUTED_VALUE"""),"https://www.zillow.com/homedetails/Los-Angeles-CA-90046/20803208_zpid/")</f>
        <v>https://www.zillow.com/homedetails/Los-Angeles-CA-90046/20803208_zpid/</v>
      </c>
      <c r="K237" s="5" t="str">
        <f ca="1">IFERROR(__xludf.DUMMYFUNCTION("""COMPUTED_VALUE"""),"echo 2 llc ")</f>
        <v xml:space="preserve">echo 2 llc </v>
      </c>
      <c r="L237" s="5"/>
      <c r="M237" s="5" t="str">
        <f ca="1">IFERROR(__xludf.DUMMYFUNCTION("""COMPUTED_VALUE"""),"30.4 percent increase ")</f>
        <v xml:space="preserve">30.4 percent increase </v>
      </c>
      <c r="N237" s="5" t="str">
        <f ca="1">IFERROR(__xludf.DUMMYFUNCTION("""COMPUTED_VALUE"""),"https://drive.google.com/open?id=1MF5P_S7uvMXUm6PnfM9hPpryEXwC5HsG, https://drive.google.com/open?id=1zwq2GmwfNj9T8kGjtTjKUfCTUREf-aF5")</f>
        <v>https://drive.google.com/open?id=1MF5P_S7uvMXUm6PnfM9hPpryEXwC5HsG, https://drive.google.com/open?id=1zwq2GmwfNj9T8kGjtTjKUfCTUREf-aF5</v>
      </c>
      <c r="O237" s="5" t="str">
        <f ca="1">IFERROR(__xludf.DUMMYFUNCTION("""COMPUTED_VALUE"""),"NA")</f>
        <v>NA</v>
      </c>
      <c r="P237" s="5"/>
      <c r="Q237" s="5"/>
      <c r="R237" s="5"/>
      <c r="S237" s="5"/>
      <c r="T237" s="5"/>
    </row>
    <row r="238" spans="1:20" ht="12.75">
      <c r="A238" s="24">
        <f ca="1">IFERROR(__xludf.DUMMYFUNCTION("""COMPUTED_VALUE"""),45669.755681574)</f>
        <v>45669.755681574003</v>
      </c>
      <c r="B238" s="5" t="str">
        <f ca="1">IFERROR(__xludf.DUMMYFUNCTION("""COMPUTED_VALUE"""),"233 17th St")</f>
        <v>233 17th St</v>
      </c>
      <c r="C238" s="5" t="str">
        <f ca="1">IFERROR(__xludf.DUMMYFUNCTION("""COMPUTED_VALUE"""),"Manhattan Beach")</f>
        <v>Manhattan Beach</v>
      </c>
      <c r="D238" s="5" t="str">
        <f ca="1">IFERROR(__xludf.DUMMYFUNCTION("""COMPUTED_VALUE"""),"CA")</f>
        <v>CA</v>
      </c>
      <c r="E238" s="5">
        <f ca="1">IFERROR(__xludf.DUMMYFUNCTION("""COMPUTED_VALUE"""),90266)</f>
        <v>90266</v>
      </c>
      <c r="F238" s="19">
        <f ca="1">IFERROR(__xludf.DUMMYFUNCTION("""COMPUTED_VALUE"""),10000)</f>
        <v>10000</v>
      </c>
      <c r="G238" s="19">
        <f ca="1">IFERROR(__xludf.DUMMYFUNCTION("""COMPUTED_VALUE"""),19700)</f>
        <v>19700</v>
      </c>
      <c r="H238" s="18">
        <f ca="1">IFERROR(__xludf.DUMMYFUNCTION("""COMPUTED_VALUE"""),45669)</f>
        <v>45669</v>
      </c>
      <c r="I238" s="5" t="str">
        <f ca="1">IFERROR(__xludf.DUMMYFUNCTION("""COMPUTED_VALUE"""),"Zillow")</f>
        <v>Zillow</v>
      </c>
      <c r="J238" s="25" t="str">
        <f ca="1">IFERROR(__xludf.DUMMYFUNCTION("""COMPUTED_VALUE"""),"https://www.zillow.com/homedetails/233-17th-St-Manhattan-Beach-CA-90266/20421726_zpid/")</f>
        <v>https://www.zillow.com/homedetails/233-17th-St-Manhattan-Beach-CA-90266/20421726_zpid/</v>
      </c>
      <c r="K238" s="5"/>
      <c r="L238" s="5" t="str">
        <f ca="1">IFERROR(__xludf.DUMMYFUNCTION("""COMPUTED_VALUE"""),"cg cecil")</f>
        <v>cg cecil</v>
      </c>
      <c r="M238" s="5"/>
      <c r="N238" s="5" t="str">
        <f ca="1">IFERROR(__xludf.DUMMYFUNCTION("""COMPUTED_VALUE"""),"https://drive.google.com/open?id=1YjINqNcdE2BofRmmkT0zfkYKBx3ok7HI, https://drive.google.com/open?id=1757nvfI2Qcvj-Fig51x2kxN52PWNkDPb")</f>
        <v>https://drive.google.com/open?id=1YjINqNcdE2BofRmmkT0zfkYKBx3ok7HI, https://drive.google.com/open?id=1757nvfI2Qcvj-Fig51x2kxN52PWNkDPb</v>
      </c>
      <c r="O238" s="5">
        <f ca="1">IFERROR(__xludf.DUMMYFUNCTION("""COMPUTED_VALUE"""),4178006020)</f>
        <v>4178006020</v>
      </c>
      <c r="P238" s="5"/>
      <c r="Q238" s="5"/>
      <c r="R238" s="5"/>
      <c r="S238" s="5"/>
      <c r="T238" s="5"/>
    </row>
    <row r="239" spans="1:20" ht="12.75">
      <c r="A239" s="24">
        <f ca="1">IFERROR(__xludf.DUMMYFUNCTION("""COMPUTED_VALUE"""),45669.7571986574)</f>
        <v>45669.757198657397</v>
      </c>
      <c r="B239" s="5" t="str">
        <f ca="1">IFERROR(__xludf.DUMMYFUNCTION("""COMPUTED_VALUE"""),"3600 Valley Meadow Rd")</f>
        <v>3600 Valley Meadow Rd</v>
      </c>
      <c r="C239" s="5" t="str">
        <f ca="1">IFERROR(__xludf.DUMMYFUNCTION("""COMPUTED_VALUE"""),"Sherman Oaks")</f>
        <v>Sherman Oaks</v>
      </c>
      <c r="D239" s="5" t="str">
        <f ca="1">IFERROR(__xludf.DUMMYFUNCTION("""COMPUTED_VALUE"""),"CA")</f>
        <v>CA</v>
      </c>
      <c r="E239" s="5">
        <f ca="1">IFERROR(__xludf.DUMMYFUNCTION("""COMPUTED_VALUE"""),91403)</f>
        <v>91403</v>
      </c>
      <c r="F239" s="19">
        <f ca="1">IFERROR(__xludf.DUMMYFUNCTION("""COMPUTED_VALUE"""),8500)</f>
        <v>8500</v>
      </c>
      <c r="G239" s="19">
        <f ca="1">IFERROR(__xludf.DUMMYFUNCTION("""COMPUTED_VALUE"""),9500)</f>
        <v>9500</v>
      </c>
      <c r="H239" s="18">
        <f ca="1">IFERROR(__xludf.DUMMYFUNCTION("""COMPUTED_VALUE"""),45665)</f>
        <v>45665</v>
      </c>
      <c r="I239" s="5" t="str">
        <f ca="1">IFERROR(__xludf.DUMMYFUNCTION("""COMPUTED_VALUE"""),"Zillow")</f>
        <v>Zillow</v>
      </c>
      <c r="J239" s="25" t="str">
        <f ca="1">IFERROR(__xludf.DUMMYFUNCTION("""COMPUTED_VALUE"""),"https://www.zillow.com/homedetails/3600-Valley-Meadow-Rd-Sherman-Oaks-CA-91403/19990550_zpid/")</f>
        <v>https://www.zillow.com/homedetails/3600-Valley-Meadow-Rd-Sherman-Oaks-CA-91403/19990550_zpid/</v>
      </c>
      <c r="K239" s="5"/>
      <c r="L239" s="5" t="str">
        <f ca="1">IFERROR(__xludf.DUMMYFUNCTION("""COMPUTED_VALUE"""),"Lisa Morin")</f>
        <v>Lisa Morin</v>
      </c>
      <c r="M239" s="5" t="str">
        <f ca="1">IFERROR(__xludf.DUMMYFUNCTION("""COMPUTED_VALUE"""),"posted for rent in oct 2024, rent lowered in nov 2024, listing removed dec 2024, reposted 1/8/25 with an 11.8% increase")</f>
        <v>posted for rent in oct 2024, rent lowered in nov 2024, listing removed dec 2024, reposted 1/8/25 with an 11.8% increase</v>
      </c>
      <c r="N239" s="26" t="str">
        <f ca="1">IFERROR(__xludf.DUMMYFUNCTION("""COMPUTED_VALUE"""),"https://drive.google.com/open?id=1sgFI5vArFESQ0rJx1kM2uVjQGZnTEGRn")</f>
        <v>https://drive.google.com/open?id=1sgFI5vArFESQ0rJx1kM2uVjQGZnTEGRn</v>
      </c>
      <c r="O239" s="5">
        <f ca="1">IFERROR(__xludf.DUMMYFUNCTION("""COMPUTED_VALUE"""),2280012027)</f>
        <v>2280012027</v>
      </c>
      <c r="P239" s="5"/>
      <c r="Q239" s="5"/>
      <c r="R239" s="5" t="str">
        <f ca="1">IFERROR(__xludf.DUMMYFUNCTION("""COMPUTED_VALUE"""),"(872) 266-2415")</f>
        <v>(872) 266-2415</v>
      </c>
      <c r="S239" s="5"/>
      <c r="T239" s="5"/>
    </row>
    <row r="240" spans="1:20" ht="12.75">
      <c r="A240" s="24">
        <f ca="1">IFERROR(__xludf.DUMMYFUNCTION("""COMPUTED_VALUE"""),45669.7574762268)</f>
        <v>45669.757476226798</v>
      </c>
      <c r="B240" s="5" t="str">
        <f ca="1">IFERROR(__xludf.DUMMYFUNCTION("""COMPUTED_VALUE"""),"1915 S Crescent Heights Blvd")</f>
        <v>1915 S Crescent Heights Blvd</v>
      </c>
      <c r="C240" s="5" t="str">
        <f ca="1">IFERROR(__xludf.DUMMYFUNCTION("""COMPUTED_VALUE"""),"Los Angeles ")</f>
        <v xml:space="preserve">Los Angeles </v>
      </c>
      <c r="D240" s="5" t="str">
        <f ca="1">IFERROR(__xludf.DUMMYFUNCTION("""COMPUTED_VALUE"""),"CA")</f>
        <v>CA</v>
      </c>
      <c r="E240" s="5">
        <f ca="1">IFERROR(__xludf.DUMMYFUNCTION("""COMPUTED_VALUE"""),90034)</f>
        <v>90034</v>
      </c>
      <c r="F240" s="19">
        <f ca="1">IFERROR(__xludf.DUMMYFUNCTION("""COMPUTED_VALUE"""),6600)</f>
        <v>6600</v>
      </c>
      <c r="G240" s="19">
        <f ca="1">IFERROR(__xludf.DUMMYFUNCTION("""COMPUTED_VALUE"""),15000)</f>
        <v>15000</v>
      </c>
      <c r="H240" s="18">
        <f ca="1">IFERROR(__xludf.DUMMYFUNCTION("""COMPUTED_VALUE"""),45666)</f>
        <v>45666</v>
      </c>
      <c r="I240" s="5" t="str">
        <f ca="1">IFERROR(__xludf.DUMMYFUNCTION("""COMPUTED_VALUE"""),"Zillow")</f>
        <v>Zillow</v>
      </c>
      <c r="J240" s="25" t="str">
        <f ca="1">IFERROR(__xludf.DUMMYFUNCTION("""COMPUTED_VALUE"""),"https://www.zillow.com/homedetails/1915-S-Crescent-Heights-Blvd-Los-Angeles-CA-90034/20598384_zpid/")</f>
        <v>https://www.zillow.com/homedetails/1915-S-Crescent-Heights-Blvd-Los-Angeles-CA-90034/20598384_zpid/</v>
      </c>
      <c r="K240" s="5"/>
      <c r="L240" s="5" t="str">
        <f ca="1">IFERROR(__xludf.DUMMYFUNCTION("""COMPUTED_VALUE"""),"Fariba and Carmelo")</f>
        <v>Fariba and Carmelo</v>
      </c>
      <c r="M240" s="5" t="str">
        <f ca="1">IFERROR(__xludf.DUMMYFUNCTION("""COMPUTED_VALUE"""),"Removed listing 1/7, relisted 1/9")</f>
        <v>Removed listing 1/7, relisted 1/9</v>
      </c>
      <c r="N240" s="5" t="str">
        <f ca="1">IFERROR(__xludf.DUMMYFUNCTION("""COMPUTED_VALUE"""),"https://drive.google.com/open?id=1dhTDofaQEzmcfZVL8oGFejBBlJ1XY385, https://drive.google.com/open?id=1qL_6G4PLWf4u6isJRgJfnM7_8YYJjDgj")</f>
        <v>https://drive.google.com/open?id=1dhTDofaQEzmcfZVL8oGFejBBlJ1XY385, https://drive.google.com/open?id=1qL_6G4PLWf4u6isJRgJfnM7_8YYJjDgj</v>
      </c>
      <c r="O240" s="5">
        <f ca="1">IFERROR(__xludf.DUMMYFUNCTION("""COMPUTED_VALUE"""),5066004003)</f>
        <v>5066004003</v>
      </c>
      <c r="P240" s="5"/>
      <c r="Q240" s="5"/>
      <c r="R240" s="5">
        <f ca="1">IFERROR(__xludf.DUMMYFUNCTION("""COMPUTED_VALUE"""),3106669972)</f>
        <v>3106669972</v>
      </c>
      <c r="S240" s="5"/>
      <c r="T240" s="5"/>
    </row>
    <row r="241" spans="1:20" ht="12.75">
      <c r="A241" s="24">
        <f ca="1">IFERROR(__xludf.DUMMYFUNCTION("""COMPUTED_VALUE"""),45669.7578479976)</f>
        <v>45669.7578479976</v>
      </c>
      <c r="B241" s="5" t="str">
        <f ca="1">IFERROR(__xludf.DUMMYFUNCTION("""COMPUTED_VALUE"""),"500 14th St")</f>
        <v>500 14th St</v>
      </c>
      <c r="C241" s="5" t="str">
        <f ca="1">IFERROR(__xludf.DUMMYFUNCTION("""COMPUTED_VALUE"""),"Manhattan Beach")</f>
        <v>Manhattan Beach</v>
      </c>
      <c r="D241" s="5" t="str">
        <f ca="1">IFERROR(__xludf.DUMMYFUNCTION("""COMPUTED_VALUE"""),"CA")</f>
        <v>CA</v>
      </c>
      <c r="E241" s="5">
        <f ca="1">IFERROR(__xludf.DUMMYFUNCTION("""COMPUTED_VALUE"""),90266)</f>
        <v>90266</v>
      </c>
      <c r="F241" s="19">
        <f ca="1">IFERROR(__xludf.DUMMYFUNCTION("""COMPUTED_VALUE"""),12500)</f>
        <v>12500</v>
      </c>
      <c r="G241" s="19">
        <f ca="1">IFERROR(__xludf.DUMMYFUNCTION("""COMPUTED_VALUE"""),23000)</f>
        <v>23000</v>
      </c>
      <c r="H241" s="18">
        <f ca="1">IFERROR(__xludf.DUMMYFUNCTION("""COMPUTED_VALUE"""),45669)</f>
        <v>45669</v>
      </c>
      <c r="I241" s="5" t="str">
        <f ca="1">IFERROR(__xludf.DUMMYFUNCTION("""COMPUTED_VALUE"""),"Zillow")</f>
        <v>Zillow</v>
      </c>
      <c r="J241" s="25" t="str">
        <f ca="1">IFERROR(__xludf.DUMMYFUNCTION("""COMPUTED_VALUE"""),"https://www.zillow.com/homedetails/500-14th-St-Manhattan-Beach-CA-90266/20418321_zpid/")</f>
        <v>https://www.zillow.com/homedetails/500-14th-St-Manhattan-Beach-CA-90266/20418321_zpid/</v>
      </c>
      <c r="K241" s="5" t="str">
        <f ca="1">IFERROR(__xludf.DUMMYFUNCTION("""COMPUTED_VALUE"""),"Jenny Morant, Compass")</f>
        <v>Jenny Morant, Compass</v>
      </c>
      <c r="L241" s="5"/>
      <c r="M241" s="5"/>
      <c r="N241" s="5" t="str">
        <f ca="1">IFERROR(__xludf.DUMMYFUNCTION("""COMPUTED_VALUE"""),"https://drive.google.com/open?id=1yKsZtsIby3ELWgrXxmdgPtRRNUWXcEik, https://drive.google.com/open?id=10cxJn4HUZBz-BI370kORlqoQc7oMfmRg")</f>
        <v>https://drive.google.com/open?id=1yKsZtsIby3ELWgrXxmdgPtRRNUWXcEik, https://drive.google.com/open?id=10cxJn4HUZBz-BI370kORlqoQc7oMfmRg</v>
      </c>
      <c r="O241" s="5">
        <f ca="1">IFERROR(__xludf.DUMMYFUNCTION("""COMPUTED_VALUE"""),4171035018)</f>
        <v>4171035018</v>
      </c>
      <c r="P241" s="5" t="str">
        <f ca="1">IFERROR(__xludf.DUMMYFUNCTION("""COMPUTED_VALUE"""),"(424) 409-8976")</f>
        <v>(424) 409-8976</v>
      </c>
      <c r="Q241" s="5"/>
      <c r="R241" s="5"/>
      <c r="S241" s="5"/>
      <c r="T241" s="5"/>
    </row>
    <row r="242" spans="1:20" ht="12.75">
      <c r="A242" s="24">
        <f ca="1">IFERROR(__xludf.DUMMYFUNCTION("""COMPUTED_VALUE"""),45669.760121412)</f>
        <v>45669.760121412</v>
      </c>
      <c r="B242" s="5" t="str">
        <f ca="1">IFERROR(__xludf.DUMMYFUNCTION("""COMPUTED_VALUE"""),"11246 Segrell Way")</f>
        <v>11246 Segrell Way</v>
      </c>
      <c r="C242" s="5" t="str">
        <f ca="1">IFERROR(__xludf.DUMMYFUNCTION("""COMPUTED_VALUE"""),"Culver City")</f>
        <v>Culver City</v>
      </c>
      <c r="D242" s="5" t="str">
        <f ca="1">IFERROR(__xludf.DUMMYFUNCTION("""COMPUTED_VALUE"""),"CA")</f>
        <v>CA</v>
      </c>
      <c r="E242" s="5">
        <f ca="1">IFERROR(__xludf.DUMMYFUNCTION("""COMPUTED_VALUE"""),90230)</f>
        <v>90230</v>
      </c>
      <c r="F242" s="19">
        <f ca="1">IFERROR(__xludf.DUMMYFUNCTION("""COMPUTED_VALUE"""),4200)</f>
        <v>4200</v>
      </c>
      <c r="G242" s="19">
        <f ca="1">IFERROR(__xludf.DUMMYFUNCTION("""COMPUTED_VALUE"""),5500)</f>
        <v>5500</v>
      </c>
      <c r="H242" s="18">
        <f ca="1">IFERROR(__xludf.DUMMYFUNCTION("""COMPUTED_VALUE"""),45670)</f>
        <v>45670</v>
      </c>
      <c r="I242" s="5" t="str">
        <f ca="1">IFERROR(__xludf.DUMMYFUNCTION("""COMPUTED_VALUE"""),"Zillow")</f>
        <v>Zillow</v>
      </c>
      <c r="J242" s="25" t="str">
        <f ca="1">IFERROR(__xludf.DUMMYFUNCTION("""COMPUTED_VALUE"""),"https://www.zillow.com/homedetails/11246-Segrell-Way-Culver-City-CA-90230/20438478_zpid/")</f>
        <v>https://www.zillow.com/homedetails/11246-Segrell-Way-Culver-City-CA-90230/20438478_zpid/</v>
      </c>
      <c r="K242" s="5" t="str">
        <f ca="1">IFERROR(__xludf.DUMMYFUNCTION("""COMPUTED_VALUE"""),"Hofit Kahn")</f>
        <v>Hofit Kahn</v>
      </c>
      <c r="L242" s="5"/>
      <c r="M242" s="5"/>
      <c r="N242" s="26" t="str">
        <f ca="1">IFERROR(__xludf.DUMMYFUNCTION("""COMPUTED_VALUE"""),"https://drive.google.com/open?id=1Q9vPuxCvxfsl41GSeNPWht_Bo1qii-Qs")</f>
        <v>https://drive.google.com/open?id=1Q9vPuxCvxfsl41GSeNPWht_Bo1qii-Qs</v>
      </c>
      <c r="O242" s="5">
        <f ca="1">IFERROR(__xludf.DUMMYFUNCTION("""COMPUTED_VALUE"""),4216030008)</f>
        <v>4216030008</v>
      </c>
      <c r="P242" s="5"/>
      <c r="Q242" s="5"/>
      <c r="R242" s="5"/>
      <c r="S242" s="5"/>
      <c r="T242" s="5"/>
    </row>
    <row r="243" spans="1:20" ht="12.75">
      <c r="A243" s="24">
        <f ca="1">IFERROR(__xludf.DUMMYFUNCTION("""COMPUTED_VALUE"""),45669.7603748958)</f>
        <v>45669.760374895799</v>
      </c>
      <c r="B243" s="5" t="str">
        <f ca="1">IFERROR(__xludf.DUMMYFUNCTION("""COMPUTED_VALUE"""),"23716 Archwood St ")</f>
        <v xml:space="preserve">23716 Archwood St </v>
      </c>
      <c r="C243" s="5" t="str">
        <f ca="1">IFERROR(__xludf.DUMMYFUNCTION("""COMPUTED_VALUE"""),"West Hils ")</f>
        <v xml:space="preserve">West Hils </v>
      </c>
      <c r="D243" s="5" t="str">
        <f ca="1">IFERROR(__xludf.DUMMYFUNCTION("""COMPUTED_VALUE"""),"CA")</f>
        <v>CA</v>
      </c>
      <c r="E243" s="5">
        <f ca="1">IFERROR(__xludf.DUMMYFUNCTION("""COMPUTED_VALUE"""),91307)</f>
        <v>91307</v>
      </c>
      <c r="F243" s="19">
        <f ca="1">IFERROR(__xludf.DUMMYFUNCTION("""COMPUTED_VALUE"""),10500)</f>
        <v>10500</v>
      </c>
      <c r="G243" s="19">
        <f ca="1">IFERROR(__xludf.DUMMYFUNCTION("""COMPUTED_VALUE"""),11000)</f>
        <v>11000</v>
      </c>
      <c r="H243" s="18">
        <f ca="1">IFERROR(__xludf.DUMMYFUNCTION("""COMPUTED_VALUE"""),45670)</f>
        <v>45670</v>
      </c>
      <c r="I243" s="5" t="str">
        <f ca="1">IFERROR(__xludf.DUMMYFUNCTION("""COMPUTED_VALUE"""),"Zillow")</f>
        <v>Zillow</v>
      </c>
      <c r="J243" s="25" t="str">
        <f ca="1">IFERROR(__xludf.DUMMYFUNCTION("""COMPUTED_VALUE"""),"https://www.zillow.com/homedetails/23716-Archwood-St-West-Hills-CA-91307/340040879_zpid/")</f>
        <v>https://www.zillow.com/homedetails/23716-Archwood-St-West-Hills-CA-91307/340040879_zpid/</v>
      </c>
      <c r="K243" s="5" t="str">
        <f ca="1">IFERROR(__xludf.DUMMYFUNCTION("""COMPUTED_VALUE"""),"Sharon Furman Lee")</f>
        <v>Sharon Furman Lee</v>
      </c>
      <c r="L243" s="5"/>
      <c r="M243" s="5" t="str">
        <f ca="1">IFERROR(__xludf.DUMMYFUNCTION("""COMPUTED_VALUE"""),"Raised it to 12k on 1/9, then again up to 13k on the 11th, back down to 11k on the 13th")</f>
        <v>Raised it to 12k on 1/9, then again up to 13k on the 11th, back down to 11k on the 13th</v>
      </c>
      <c r="N243" s="5" t="str">
        <f ca="1">IFERROR(__xludf.DUMMYFUNCTION("""COMPUTED_VALUE"""),"https://drive.google.com/open?id=1jcXBvu8GA4YkuWwN77c4YUISC2nwwsyL, https://drive.google.com/open?id=1nvf_vbNxck8blVCmeWD9FXt7SvN7AZ_l")</f>
        <v>https://drive.google.com/open?id=1jcXBvu8GA4YkuWwN77c4YUISC2nwwsyL, https://drive.google.com/open?id=1nvf_vbNxck8blVCmeWD9FXt7SvN7AZ_l</v>
      </c>
      <c r="O243" s="5" t="str">
        <f ca="1">IFERROR(__xludf.DUMMYFUNCTION("""COMPUTED_VALUE"""),"NA")</f>
        <v>NA</v>
      </c>
      <c r="P243" s="5">
        <f ca="1">IFERROR(__xludf.DUMMYFUNCTION("""COMPUTED_VALUE"""),3106969620)</f>
        <v>3106969620</v>
      </c>
      <c r="Q243" s="5"/>
      <c r="R243" s="5"/>
      <c r="S243" s="5"/>
      <c r="T243" s="5"/>
    </row>
    <row r="244" spans="1:20" ht="12.75">
      <c r="A244" s="24">
        <f ca="1">IFERROR(__xludf.DUMMYFUNCTION("""COMPUTED_VALUE"""),45669.7605266203)</f>
        <v>45669.760526620303</v>
      </c>
      <c r="B244" s="5" t="str">
        <f ca="1">IFERROR(__xludf.DUMMYFUNCTION("""COMPUTED_VALUE"""),"918 N Screenland Dr")</f>
        <v>918 N Screenland Dr</v>
      </c>
      <c r="C244" s="5" t="str">
        <f ca="1">IFERROR(__xludf.DUMMYFUNCTION("""COMPUTED_VALUE"""),"Burbank")</f>
        <v>Burbank</v>
      </c>
      <c r="D244" s="5" t="str">
        <f ca="1">IFERROR(__xludf.DUMMYFUNCTION("""COMPUTED_VALUE"""),"CA")</f>
        <v>CA</v>
      </c>
      <c r="E244" s="5">
        <f ca="1">IFERROR(__xludf.DUMMYFUNCTION("""COMPUTED_VALUE"""),91505)</f>
        <v>91505</v>
      </c>
      <c r="F244" s="19">
        <f ca="1">IFERROR(__xludf.DUMMYFUNCTION("""COMPUTED_VALUE"""),3200)</f>
        <v>3200</v>
      </c>
      <c r="G244" s="19">
        <f ca="1">IFERROR(__xludf.DUMMYFUNCTION("""COMPUTED_VALUE"""),3600)</f>
        <v>3600</v>
      </c>
      <c r="H244" s="18">
        <f ca="1">IFERROR(__xludf.DUMMYFUNCTION("""COMPUTED_VALUE"""),45666)</f>
        <v>45666</v>
      </c>
      <c r="I244" s="5" t="str">
        <f ca="1">IFERROR(__xludf.DUMMYFUNCTION("""COMPUTED_VALUE"""),"Zillow")</f>
        <v>Zillow</v>
      </c>
      <c r="J244" s="25" t="str">
        <f ca="1">IFERROR(__xludf.DUMMYFUNCTION("""COMPUTED_VALUE"""),"https://www.zillow.com/homedetails/918-N-Screenland-Dr-Burbank-CA-91505/20064092_zpid/")</f>
        <v>https://www.zillow.com/homedetails/918-N-Screenland-Dr-Burbank-CA-91505/20064092_zpid/</v>
      </c>
      <c r="K244" s="5" t="str">
        <f ca="1">IFERROR(__xludf.DUMMYFUNCTION("""COMPUTED_VALUE"""),"Peter ")</f>
        <v xml:space="preserve">Peter </v>
      </c>
      <c r="L244" s="5" t="str">
        <f ca="1">IFERROR(__xludf.DUMMYFUNCTION("""COMPUTED_VALUE"""),"Peter")</f>
        <v>Peter</v>
      </c>
      <c r="M244" s="5" t="str">
        <f ca="1">IFERROR(__xludf.DUMMYFUNCTION("""COMPUTED_VALUE"""),"Price lowered to $3,500 on 1/12/25")</f>
        <v>Price lowered to $3,500 on 1/12/25</v>
      </c>
      <c r="N244" s="26" t="str">
        <f ca="1">IFERROR(__xludf.DUMMYFUNCTION("""COMPUTED_VALUE"""),"https://drive.google.com/open?id=1Bv7Wip_9bKpqyRr_LYUzVBvFKol7-uuQ")</f>
        <v>https://drive.google.com/open?id=1Bv7Wip_9bKpqyRr_LYUzVBvFKol7-uuQ</v>
      </c>
      <c r="O244" s="5">
        <f ca="1">IFERROR(__xludf.DUMMYFUNCTION("""COMPUTED_VALUE"""),2480012011)</f>
        <v>2480012011</v>
      </c>
      <c r="P244" s="5" t="str">
        <f ca="1">IFERROR(__xludf.DUMMYFUNCTION("""COMPUTED_VALUE"""),"(626) 833-5151")</f>
        <v>(626) 833-5151</v>
      </c>
      <c r="Q244" s="5"/>
      <c r="R244" s="5" t="str">
        <f ca="1">IFERROR(__xludf.DUMMYFUNCTION("""COMPUTED_VALUE"""),"(626) 833-5151")</f>
        <v>(626) 833-5151</v>
      </c>
      <c r="S244" s="5"/>
      <c r="T244" s="5"/>
    </row>
    <row r="245" spans="1:20" ht="12.75">
      <c r="A245" s="24">
        <f ca="1">IFERROR(__xludf.DUMMYFUNCTION("""COMPUTED_VALUE"""),45669.7611971296)</f>
        <v>45669.761197129599</v>
      </c>
      <c r="B245" s="5" t="str">
        <f ca="1">IFERROR(__xludf.DUMMYFUNCTION("""COMPUTED_VALUE"""),"8147 Mulholland Ter")</f>
        <v>8147 Mulholland Ter</v>
      </c>
      <c r="C245" s="5" t="str">
        <f ca="1">IFERROR(__xludf.DUMMYFUNCTION("""COMPUTED_VALUE"""),"Los Angeles")</f>
        <v>Los Angeles</v>
      </c>
      <c r="D245" s="5" t="str">
        <f ca="1">IFERROR(__xludf.DUMMYFUNCTION("""COMPUTED_VALUE"""),"CA")</f>
        <v>CA</v>
      </c>
      <c r="E245" s="5">
        <f ca="1">IFERROR(__xludf.DUMMYFUNCTION("""COMPUTED_VALUE"""),90046)</f>
        <v>90046</v>
      </c>
      <c r="F245" s="19">
        <f ca="1">IFERROR(__xludf.DUMMYFUNCTION("""COMPUTED_VALUE"""),15900)</f>
        <v>15900</v>
      </c>
      <c r="G245" s="19">
        <f ca="1">IFERROR(__xludf.DUMMYFUNCTION("""COMPUTED_VALUE"""),20000)</f>
        <v>20000</v>
      </c>
      <c r="H245" s="18">
        <f ca="1">IFERROR(__xludf.DUMMYFUNCTION("""COMPUTED_VALUE"""),45670)</f>
        <v>45670</v>
      </c>
      <c r="I245" s="5" t="str">
        <f ca="1">IFERROR(__xludf.DUMMYFUNCTION("""COMPUTED_VALUE"""),"Zillow")</f>
        <v>Zillow</v>
      </c>
      <c r="J245" s="25" t="str">
        <f ca="1">IFERROR(__xludf.DUMMYFUNCTION("""COMPUTED_VALUE"""),"https://www.zillow.com/homedetails/8147-Mulholland-Ter-Los-Angeles-CA-90046/20031972_zpid/")</f>
        <v>https://www.zillow.com/homedetails/8147-Mulholland-Ter-Los-Angeles-CA-90046/20031972_zpid/</v>
      </c>
      <c r="K245" s="5"/>
      <c r="L245" s="5" t="str">
        <f ca="1">IFERROR(__xludf.DUMMYFUNCTION("""COMPUTED_VALUE"""),"Lyndall")</f>
        <v>Lyndall</v>
      </c>
      <c r="M245" s="5" t="str">
        <f ca="1">IFERROR(__xludf.DUMMYFUNCTION("""COMPUTED_VALUE"""),"listed on 1/7/25 for $15,900. Removed listing on 1/10. Relisted on 1/13 for $20,000, a 25.8% increase.")</f>
        <v>listed on 1/7/25 for $15,900. Removed listing on 1/10. Relisted on 1/13 for $20,000, a 25.8% increase.</v>
      </c>
      <c r="N245" s="26" t="str">
        <f ca="1">IFERROR(__xludf.DUMMYFUNCTION("""COMPUTED_VALUE"""),"https://drive.google.com/open?id=1c3pVWwcTW_y8cQ8vXVpZdgeXeWyfHncC")</f>
        <v>https://drive.google.com/open?id=1c3pVWwcTW_y8cQ8vXVpZdgeXeWyfHncC</v>
      </c>
      <c r="O245" s="5">
        <f ca="1">IFERROR(__xludf.DUMMYFUNCTION("""COMPUTED_VALUE"""),2381029002)</f>
        <v>2381029002</v>
      </c>
      <c r="P245" s="5"/>
      <c r="Q245" s="5"/>
      <c r="R245" s="5" t="str">
        <f ca="1">IFERROR(__xludf.DUMMYFUNCTION("""COMPUTED_VALUE"""),"(424) 233-1575")</f>
        <v>(424) 233-1575</v>
      </c>
      <c r="S245" s="5"/>
      <c r="T245" s="5"/>
    </row>
    <row r="246" spans="1:20" ht="12.75">
      <c r="A246" s="24">
        <f ca="1">IFERROR(__xludf.DUMMYFUNCTION("""COMPUTED_VALUE"""),45669.762174537)</f>
        <v>45669.762174536998</v>
      </c>
      <c r="B246" s="5" t="str">
        <f ca="1">IFERROR(__xludf.DUMMYFUNCTION("""COMPUTED_VALUE"""),"711 Huntley Dr")</f>
        <v>711 Huntley Dr</v>
      </c>
      <c r="C246" s="5" t="str">
        <f ca="1">IFERROR(__xludf.DUMMYFUNCTION("""COMPUTED_VALUE"""),"West Hollywood")</f>
        <v>West Hollywood</v>
      </c>
      <c r="D246" s="5" t="str">
        <f ca="1">IFERROR(__xludf.DUMMYFUNCTION("""COMPUTED_VALUE"""),"CA")</f>
        <v>CA</v>
      </c>
      <c r="E246" s="5">
        <f ca="1">IFERROR(__xludf.DUMMYFUNCTION("""COMPUTED_VALUE"""),90069)</f>
        <v>90069</v>
      </c>
      <c r="F246" s="19">
        <f ca="1">IFERROR(__xludf.DUMMYFUNCTION("""COMPUTED_VALUE"""),17000)</f>
        <v>17000</v>
      </c>
      <c r="G246" s="19">
        <f ca="1">IFERROR(__xludf.DUMMYFUNCTION("""COMPUTED_VALUE"""),18500)</f>
        <v>18500</v>
      </c>
      <c r="H246" s="18">
        <f ca="1">IFERROR(__xludf.DUMMYFUNCTION("""COMPUTED_VALUE"""),45668)</f>
        <v>45668</v>
      </c>
      <c r="I246" s="5" t="str">
        <f ca="1">IFERROR(__xludf.DUMMYFUNCTION("""COMPUTED_VALUE"""),"Zillow")</f>
        <v>Zillow</v>
      </c>
      <c r="J246" s="25" t="str">
        <f ca="1">IFERROR(__xludf.DUMMYFUNCTION("""COMPUTED_VALUE"""),"https://www.zillow.com/homedetails/711-Huntley-Dr-West-Hollywood-CA-90069/20517081_zpid/")</f>
        <v>https://www.zillow.com/homedetails/711-Huntley-Dr-West-Hollywood-CA-90069/20517081_zpid/</v>
      </c>
      <c r="K246" s="5" t="str">
        <f ca="1">IFERROR(__xludf.DUMMYFUNCTION("""COMPUTED_VALUE""")," Nicoleta Chipercean LA Estate Rentals")</f>
        <v xml:space="preserve"> Nicoleta Chipercean LA Estate Rentals</v>
      </c>
      <c r="L246" s="5"/>
      <c r="M246" s="5"/>
      <c r="N246" s="26" t="str">
        <f ca="1">IFERROR(__xludf.DUMMYFUNCTION("""COMPUTED_VALUE"""),"https://drive.google.com/open?id=1EUrRth6TK1anfnH0gJ0jzf1bR0RtGlZG")</f>
        <v>https://drive.google.com/open?id=1EUrRth6TK1anfnH0gJ0jzf1bR0RtGlZG</v>
      </c>
      <c r="O246" s="5">
        <f ca="1">IFERROR(__xludf.DUMMYFUNCTION("""COMPUTED_VALUE"""),4337014045)</f>
        <v>4337014045</v>
      </c>
      <c r="P246" s="5" t="str">
        <f ca="1">IFERROR(__xludf.DUMMYFUNCTION("""COMPUTED_VALUE"""),"(323) 507-7278")</f>
        <v>(323) 507-7278</v>
      </c>
      <c r="Q246" s="5"/>
      <c r="R246" s="5"/>
      <c r="S246" s="5"/>
      <c r="T246" s="5"/>
    </row>
    <row r="247" spans="1:20" ht="12.75">
      <c r="A247" s="24">
        <f ca="1">IFERROR(__xludf.DUMMYFUNCTION("""COMPUTED_VALUE"""),45669.763011655)</f>
        <v>45669.763011654999</v>
      </c>
      <c r="B247" s="5" t="str">
        <f ca="1">IFERROR(__xludf.DUMMYFUNCTION("""COMPUTED_VALUE"""),"825 N Pasadena Ave")</f>
        <v>825 N Pasadena Ave</v>
      </c>
      <c r="C247" s="5" t="str">
        <f ca="1">IFERROR(__xludf.DUMMYFUNCTION("""COMPUTED_VALUE"""),"Pasadena")</f>
        <v>Pasadena</v>
      </c>
      <c r="D247" s="5" t="str">
        <f ca="1">IFERROR(__xludf.DUMMYFUNCTION("""COMPUTED_VALUE"""),"CA")</f>
        <v>CA</v>
      </c>
      <c r="E247" s="5">
        <f ca="1">IFERROR(__xludf.DUMMYFUNCTION("""COMPUTED_VALUE"""),91103)</f>
        <v>91103</v>
      </c>
      <c r="F247" s="19">
        <f ca="1">IFERROR(__xludf.DUMMYFUNCTION("""COMPUTED_VALUE"""),3750)</f>
        <v>3750</v>
      </c>
      <c r="G247" s="19">
        <f ca="1">IFERROR(__xludf.DUMMYFUNCTION("""COMPUTED_VALUE"""),4200)</f>
        <v>4200</v>
      </c>
      <c r="H247" s="18">
        <f ca="1">IFERROR(__xludf.DUMMYFUNCTION("""COMPUTED_VALUE"""),45669)</f>
        <v>45669</v>
      </c>
      <c r="I247" s="5" t="str">
        <f ca="1">IFERROR(__xludf.DUMMYFUNCTION("""COMPUTED_VALUE"""),"Zillow")</f>
        <v>Zillow</v>
      </c>
      <c r="J247" s="25" t="str">
        <f ca="1">IFERROR(__xludf.DUMMYFUNCTION("""COMPUTED_VALUE"""),"https://www.zillow.com/homedetails/825-N-Pasadena-Ave-Pasadena-CA-91103/20857788_zpid/")</f>
        <v>https://www.zillow.com/homedetails/825-N-Pasadena-Ave-Pasadena-CA-91103/20857788_zpid/</v>
      </c>
      <c r="K247" s="5" t="str">
        <f ca="1">IFERROR(__xludf.DUMMYFUNCTION("""COMPUTED_VALUE"""),"AnnMarie, Engel &amp; Voelkers  Management company")</f>
        <v>AnnMarie, Engel &amp; Voelkers  Management company</v>
      </c>
      <c r="L247" s="5"/>
      <c r="M247" s="5"/>
      <c r="N247" s="5" t="str">
        <f ca="1">IFERROR(__xludf.DUMMYFUNCTION("""COMPUTED_VALUE"""),"https://drive.google.com/open?id=1TV3eQ4Qdpz2DKqlC7QJL21_8294I9k__, https://drive.google.com/open?id=1GtfZRE40yWfL-bLvU3RQTUOreocEjosu")</f>
        <v>https://drive.google.com/open?id=1TV3eQ4Qdpz2DKqlC7QJL21_8294I9k__, https://drive.google.com/open?id=1GtfZRE40yWfL-bLvU3RQTUOreocEjosu</v>
      </c>
      <c r="O247" s="5">
        <f ca="1">IFERROR(__xludf.DUMMYFUNCTION("""COMPUTED_VALUE"""),5711012026)</f>
        <v>5711012026</v>
      </c>
      <c r="P247" s="5" t="str">
        <f ca="1">IFERROR(__xludf.DUMMYFUNCTION("""COMPUTED_VALUE"""),"(626) 319-0585")</f>
        <v>(626) 319-0585</v>
      </c>
      <c r="Q247" s="5"/>
      <c r="R247" s="5"/>
      <c r="S247" s="5"/>
      <c r="T247" s="5"/>
    </row>
    <row r="248" spans="1:20" ht="12.75">
      <c r="A248" s="24">
        <f ca="1">IFERROR(__xludf.DUMMYFUNCTION("""COMPUTED_VALUE"""),45669.7630992592)</f>
        <v>45669.763099259202</v>
      </c>
      <c r="B248" s="5" t="str">
        <f ca="1">IFERROR(__xludf.DUMMYFUNCTION("""COMPUTED_VALUE"""),"233 17th St")</f>
        <v>233 17th St</v>
      </c>
      <c r="C248" s="5" t="str">
        <f ca="1">IFERROR(__xludf.DUMMYFUNCTION("""COMPUTED_VALUE"""),"Manhattan Beach")</f>
        <v>Manhattan Beach</v>
      </c>
      <c r="D248" s="5" t="str">
        <f ca="1">IFERROR(__xludf.DUMMYFUNCTION("""COMPUTED_VALUE"""),"CA")</f>
        <v>CA</v>
      </c>
      <c r="E248" s="5">
        <f ca="1">IFERROR(__xludf.DUMMYFUNCTION("""COMPUTED_VALUE"""),90266)</f>
        <v>90266</v>
      </c>
      <c r="F248" s="19">
        <f ca="1">IFERROR(__xludf.DUMMYFUNCTION("""COMPUTED_VALUE"""),10000)</f>
        <v>10000</v>
      </c>
      <c r="G248" s="19">
        <f ca="1">IFERROR(__xludf.DUMMYFUNCTION("""COMPUTED_VALUE"""),19700)</f>
        <v>19700</v>
      </c>
      <c r="H248" s="18">
        <f ca="1">IFERROR(__xludf.DUMMYFUNCTION("""COMPUTED_VALUE"""),45669)</f>
        <v>45669</v>
      </c>
      <c r="I248" s="5" t="str">
        <f ca="1">IFERROR(__xludf.DUMMYFUNCTION("""COMPUTED_VALUE"""),"Zillow")</f>
        <v>Zillow</v>
      </c>
      <c r="J248" s="25" t="str">
        <f ca="1">IFERROR(__xludf.DUMMYFUNCTION("""COMPUTED_VALUE"""),"https://www.zillow.com/homedetails/233-17th-St-Manhattan-Beach-CA-90266/20421726_zpid/")</f>
        <v>https://www.zillow.com/homedetails/233-17th-St-Manhattan-Beach-CA-90266/20421726_zpid/</v>
      </c>
      <c r="K248" s="5" t="str">
        <f ca="1">IFERROR(__xludf.DUMMYFUNCTION("""COMPUTED_VALUE"""),"Says listed by property owner")</f>
        <v>Says listed by property owner</v>
      </c>
      <c r="L248" s="5" t="str">
        <f ca="1">IFERROR(__xludf.DUMMYFUNCTION("""COMPUTED_VALUE"""),"cg cecil")</f>
        <v>cg cecil</v>
      </c>
      <c r="M248" s="5" t="str">
        <f ca="1">IFERROR(__xludf.DUMMYFUNCTION("""COMPUTED_VALUE"""),"Owner did not include phone number or email. 97% increase on rent.")</f>
        <v>Owner did not include phone number or email. 97% increase on rent.</v>
      </c>
      <c r="N248" s="26" t="str">
        <f ca="1">IFERROR(__xludf.DUMMYFUNCTION("""COMPUTED_VALUE"""),"https://drive.google.com/open?id=1TtdzfmcsirmchVHTQzjpIYVL7gZ-FtCO")</f>
        <v>https://drive.google.com/open?id=1TtdzfmcsirmchVHTQzjpIYVL7gZ-FtCO</v>
      </c>
      <c r="O248" s="5">
        <f ca="1">IFERROR(__xludf.DUMMYFUNCTION("""COMPUTED_VALUE"""),4178006020)</f>
        <v>4178006020</v>
      </c>
      <c r="P248" s="5"/>
      <c r="Q248" s="5"/>
      <c r="R248" s="5"/>
      <c r="S248" s="5"/>
      <c r="T248" s="5"/>
    </row>
    <row r="249" spans="1:20" ht="12.75">
      <c r="A249" s="24">
        <f ca="1">IFERROR(__xludf.DUMMYFUNCTION("""COMPUTED_VALUE"""),45669.7638474074)</f>
        <v>45669.763847407397</v>
      </c>
      <c r="B249" s="5" t="str">
        <f ca="1">IFERROR(__xludf.DUMMYFUNCTION("""COMPUTED_VALUE"""),"1321 Londonderry Pl")</f>
        <v>1321 Londonderry Pl</v>
      </c>
      <c r="C249" s="5" t="str">
        <f ca="1">IFERROR(__xludf.DUMMYFUNCTION("""COMPUTED_VALUE"""),"Los Angeles")</f>
        <v>Los Angeles</v>
      </c>
      <c r="D249" s="5" t="str">
        <f ca="1">IFERROR(__xludf.DUMMYFUNCTION("""COMPUTED_VALUE"""),"CA")</f>
        <v>CA</v>
      </c>
      <c r="E249" s="5">
        <f ca="1">IFERROR(__xludf.DUMMYFUNCTION("""COMPUTED_VALUE"""),90069)</f>
        <v>90069</v>
      </c>
      <c r="F249" s="19">
        <f ca="1">IFERROR(__xludf.DUMMYFUNCTION("""COMPUTED_VALUE"""),17400)</f>
        <v>17400</v>
      </c>
      <c r="G249" s="19">
        <f ca="1">IFERROR(__xludf.DUMMYFUNCTION("""COMPUTED_VALUE"""),18500)</f>
        <v>18500</v>
      </c>
      <c r="H249" s="18">
        <f ca="1">IFERROR(__xludf.DUMMYFUNCTION("""COMPUTED_VALUE"""),45668)</f>
        <v>45668</v>
      </c>
      <c r="I249" s="5" t="str">
        <f ca="1">IFERROR(__xludf.DUMMYFUNCTION("""COMPUTED_VALUE"""),"Zillow")</f>
        <v>Zillow</v>
      </c>
      <c r="J249" s="25" t="str">
        <f ca="1">IFERROR(__xludf.DUMMYFUNCTION("""COMPUTED_VALUE"""),"https://www.zillow.com/homedetails/1321-Londonderry-Pl-Los-Angeles-CA-90069/20798979_zpid/")</f>
        <v>https://www.zillow.com/homedetails/1321-Londonderry-Pl-Los-Angeles-CA-90069/20798979_zpid/</v>
      </c>
      <c r="K249" s="5" t="str">
        <f ca="1">IFERROR(__xludf.DUMMYFUNCTION("""COMPUTED_VALUE"""),"Peter Cornell Oppenheimer Group")</f>
        <v>Peter Cornell Oppenheimer Group</v>
      </c>
      <c r="L249" s="5"/>
      <c r="M249" s="5"/>
      <c r="N249" s="26" t="str">
        <f ca="1">IFERROR(__xludf.DUMMYFUNCTION("""COMPUTED_VALUE"""),"https://drive.google.com/open?id=1ATYe5B5jzNSry08ltD0XTPf2iHS8s37b")</f>
        <v>https://drive.google.com/open?id=1ATYe5B5jzNSry08ltD0XTPf2iHS8s37b</v>
      </c>
      <c r="O249" s="5">
        <f ca="1">IFERROR(__xludf.DUMMYFUNCTION("""COMPUTED_VALUE"""),5559009004)</f>
        <v>5559009004</v>
      </c>
      <c r="P249" s="5" t="str">
        <f ca="1">IFERROR(__xludf.DUMMYFUNCTION("""COMPUTED_VALUE""")," (310) 466-3200")</f>
        <v xml:space="preserve"> (310) 466-3200</v>
      </c>
      <c r="Q249" s="5"/>
      <c r="R249" s="5"/>
      <c r="S249" s="5"/>
      <c r="T249" s="5"/>
    </row>
    <row r="250" spans="1:20" ht="12.75">
      <c r="A250" s="24">
        <f ca="1">IFERROR(__xludf.DUMMYFUNCTION("""COMPUTED_VALUE"""),45669.7656485763)</f>
        <v>45669.7656485763</v>
      </c>
      <c r="B250" s="5" t="str">
        <f ca="1">IFERROR(__xludf.DUMMYFUNCTION("""COMPUTED_VALUE"""),"1920 Sunset Plaza Dr")</f>
        <v>1920 Sunset Plaza Dr</v>
      </c>
      <c r="C250" s="5" t="str">
        <f ca="1">IFERROR(__xludf.DUMMYFUNCTION("""COMPUTED_VALUE"""),"Los Angeles")</f>
        <v>Los Angeles</v>
      </c>
      <c r="D250" s="5" t="str">
        <f ca="1">IFERROR(__xludf.DUMMYFUNCTION("""COMPUTED_VALUE"""),"CA")</f>
        <v>CA</v>
      </c>
      <c r="E250" s="5">
        <f ca="1">IFERROR(__xludf.DUMMYFUNCTION("""COMPUTED_VALUE"""),90069)</f>
        <v>90069</v>
      </c>
      <c r="F250" s="19">
        <f ca="1">IFERROR(__xludf.DUMMYFUNCTION("""COMPUTED_VALUE"""),35000)</f>
        <v>35000</v>
      </c>
      <c r="G250" s="19">
        <f ca="1">IFERROR(__xludf.DUMMYFUNCTION("""COMPUTED_VALUE"""),50000)</f>
        <v>50000</v>
      </c>
      <c r="H250" s="18">
        <f ca="1">IFERROR(__xludf.DUMMYFUNCTION("""COMPUTED_VALUE"""),45667)</f>
        <v>45667</v>
      </c>
      <c r="I250" s="5" t="str">
        <f ca="1">IFERROR(__xludf.DUMMYFUNCTION("""COMPUTED_VALUE"""),"Zillow")</f>
        <v>Zillow</v>
      </c>
      <c r="J250" s="25" t="str">
        <f ca="1">IFERROR(__xludf.DUMMYFUNCTION("""COMPUTED_VALUE"""),"https://www.zillow.com/homedetails/1920-Sunset-Plaza-Dr-Los-Angeles-CA-90069/20798268_zpid/")</f>
        <v>https://www.zillow.com/homedetails/1920-Sunset-Plaza-Dr-Los-Angeles-CA-90069/20798268_zpid/</v>
      </c>
      <c r="K250" s="5" t="str">
        <f ca="1">IFERROR(__xludf.DUMMYFUNCTION("""COMPUTED_VALUE"""),"Adam Rosenfeld Grauman Rosenfeld Group")</f>
        <v>Adam Rosenfeld Grauman Rosenfeld Group</v>
      </c>
      <c r="L250" s="5"/>
      <c r="M250" s="5"/>
      <c r="N250" s="26" t="str">
        <f ca="1">IFERROR(__xludf.DUMMYFUNCTION("""COMPUTED_VALUE"""),"https://drive.google.com/open?id=1F4K1W5k5QTO2OM0ImMyiCWvH2yAo6MTM")</f>
        <v>https://drive.google.com/open?id=1F4K1W5k5QTO2OM0ImMyiCWvH2yAo6MTM</v>
      </c>
      <c r="O250" s="5">
        <f ca="1">IFERROR(__xludf.DUMMYFUNCTION("""COMPUTED_VALUE"""),5558014002)</f>
        <v>5558014002</v>
      </c>
      <c r="P250" s="5" t="str">
        <f ca="1">IFERROR(__xludf.DUMMYFUNCTION("""COMPUTED_VALUE"""),"(424) 600-7576")</f>
        <v>(424) 600-7576</v>
      </c>
      <c r="Q250" s="5"/>
      <c r="R250" s="5"/>
      <c r="S250" s="5"/>
      <c r="T250" s="5"/>
    </row>
    <row r="251" spans="1:20" ht="12.75">
      <c r="A251" s="24">
        <f ca="1">IFERROR(__xludf.DUMMYFUNCTION("""COMPUTED_VALUE"""),45669.7664258449)</f>
        <v>45669.7664258449</v>
      </c>
      <c r="B251" s="5" t="str">
        <f ca="1">IFERROR(__xludf.DUMMYFUNCTION("""COMPUTED_VALUE"""),"870 Hilgard Ave #315")</f>
        <v>870 Hilgard Ave #315</v>
      </c>
      <c r="C251" s="5" t="str">
        <f ca="1">IFERROR(__xludf.DUMMYFUNCTION("""COMPUTED_VALUE"""),"Los Angeles")</f>
        <v>Los Angeles</v>
      </c>
      <c r="D251" s="5" t="str">
        <f ca="1">IFERROR(__xludf.DUMMYFUNCTION("""COMPUTED_VALUE"""),"CA")</f>
        <v>CA</v>
      </c>
      <c r="E251" s="5">
        <f ca="1">IFERROR(__xludf.DUMMYFUNCTION("""COMPUTED_VALUE"""),90024)</f>
        <v>90024</v>
      </c>
      <c r="F251" s="19">
        <f ca="1">IFERROR(__xludf.DUMMYFUNCTION("""COMPUTED_VALUE"""),2995)</f>
        <v>2995</v>
      </c>
      <c r="G251" s="19">
        <f ca="1">IFERROR(__xludf.DUMMYFUNCTION("""COMPUTED_VALUE"""),3395)</f>
        <v>3395</v>
      </c>
      <c r="H251" s="18">
        <f ca="1">IFERROR(__xludf.DUMMYFUNCTION("""COMPUTED_VALUE"""),45666)</f>
        <v>45666</v>
      </c>
      <c r="I251" s="5" t="str">
        <f ca="1">IFERROR(__xludf.DUMMYFUNCTION("""COMPUTED_VALUE"""),"Zillow")</f>
        <v>Zillow</v>
      </c>
      <c r="J251" s="25" t="str">
        <f ca="1">IFERROR(__xludf.DUMMYFUNCTION("""COMPUTED_VALUE"""),"https://www.zillow.com/homedetails/870-Hilgard-Ave-315-Los-Angeles-CA-90024/2079769957_zpid/")</f>
        <v>https://www.zillow.com/homedetails/870-Hilgard-Ave-315-Los-Angeles-CA-90024/2079769957_zpid/</v>
      </c>
      <c r="K251" s="5"/>
      <c r="L251" s="5"/>
      <c r="M251" s="5" t="str">
        <f ca="1">IFERROR(__xludf.DUMMYFUNCTION("""COMPUTED_VALUE"""),"it may be a weaker case because technically it was unlisted before conveniently coming back on the market just in time to price gouge, instead of being a 'price change' it's a 'listed for rent'")</f>
        <v>it may be a weaker case because technically it was unlisted before conveniently coming back on the market just in time to price gouge, instead of being a 'price change' it's a 'listed for rent'</v>
      </c>
      <c r="N251" s="26" t="str">
        <f ca="1">IFERROR(__xludf.DUMMYFUNCTION("""COMPUTED_VALUE"""),"https://drive.google.com/open?id=19Xbzwal21XeuqzLAwY-iGUdN05BF3uRF")</f>
        <v>https://drive.google.com/open?id=19Xbzwal21XeuqzLAwY-iGUdN05BF3uRF</v>
      </c>
      <c r="O251" s="5" t="str">
        <f ca="1">IFERROR(__xludf.DUMMYFUNCTION("""COMPUTED_VALUE"""),"na")</f>
        <v>na</v>
      </c>
      <c r="P251" s="5"/>
      <c r="Q251" s="5"/>
      <c r="R251" s="5"/>
      <c r="S251" s="5"/>
      <c r="T251" s="5"/>
    </row>
    <row r="252" spans="1:20" ht="12.75">
      <c r="A252" s="24">
        <f ca="1">IFERROR(__xludf.DUMMYFUNCTION("""COMPUTED_VALUE"""),45669.7667629513)</f>
        <v>45669.766762951302</v>
      </c>
      <c r="B252" s="5" t="str">
        <f ca="1">IFERROR(__xludf.DUMMYFUNCTION("""COMPUTED_VALUE"""),"1801 Roscomare Rd")</f>
        <v>1801 Roscomare Rd</v>
      </c>
      <c r="C252" s="5" t="str">
        <f ca="1">IFERROR(__xludf.DUMMYFUNCTION("""COMPUTED_VALUE"""),"Los Angeles")</f>
        <v>Los Angeles</v>
      </c>
      <c r="D252" s="5" t="str">
        <f ca="1">IFERROR(__xludf.DUMMYFUNCTION("""COMPUTED_VALUE"""),"CA")</f>
        <v>CA</v>
      </c>
      <c r="E252" s="5">
        <f ca="1">IFERROR(__xludf.DUMMYFUNCTION("""COMPUTED_VALUE"""),90077)</f>
        <v>90077</v>
      </c>
      <c r="F252" s="19">
        <f ca="1">IFERROR(__xludf.DUMMYFUNCTION("""COMPUTED_VALUE"""),13500)</f>
        <v>13500</v>
      </c>
      <c r="G252" s="19">
        <f ca="1">IFERROR(__xludf.DUMMYFUNCTION("""COMPUTED_VALUE"""),18900)</f>
        <v>18900</v>
      </c>
      <c r="H252" s="18">
        <f ca="1">IFERROR(__xludf.DUMMYFUNCTION("""COMPUTED_VALUE"""),45670)</f>
        <v>45670</v>
      </c>
      <c r="I252" s="5" t="str">
        <f ca="1">IFERROR(__xludf.DUMMYFUNCTION("""COMPUTED_VALUE"""),"Zillow")</f>
        <v>Zillow</v>
      </c>
      <c r="J252" s="25" t="str">
        <f ca="1">IFERROR(__xludf.DUMMYFUNCTION("""COMPUTED_VALUE"""),"https://www.zillow.com/homedetails/1801-Roscomare-Rd-Los-Angeles-CA-90077/20530151_zpid/")</f>
        <v>https://www.zillow.com/homedetails/1801-Roscomare-Rd-Los-Angeles-CA-90077/20530151_zpid/</v>
      </c>
      <c r="K252" s="5"/>
      <c r="L252" s="5" t="str">
        <f ca="1">IFERROR(__xludf.DUMMYFUNCTION("""COMPUTED_VALUE"""),"Alex")</f>
        <v>Alex</v>
      </c>
      <c r="M252" s="5" t="str">
        <f ca="1">IFERROR(__xludf.DUMMYFUNCTION("""COMPUTED_VALUE"""),"zillow lists the price change date as 1/13/25, but i'm submitting this on 1/12/25, i'm not sure what that means. at any rate, this property was listed on 1/7/25 for $13,500, then changed on 1/13/25 to $20,000 a month, lol. A 40% increase.")</f>
        <v>zillow lists the price change date as 1/13/25, but i'm submitting this on 1/12/25, i'm not sure what that means. at any rate, this property was listed on 1/7/25 for $13,500, then changed on 1/13/25 to $20,000 a month, lol. A 40% increase.</v>
      </c>
      <c r="N252" s="26" t="str">
        <f ca="1">IFERROR(__xludf.DUMMYFUNCTION("""COMPUTED_VALUE"""),"https://drive.google.com/open?id=1xrh6x7xiVA8_hSMrWbUJNncEujUK-mU6")</f>
        <v>https://drive.google.com/open?id=1xrh6x7xiVA8_hSMrWbUJNncEujUK-mU6</v>
      </c>
      <c r="O252" s="5">
        <f ca="1">IFERROR(__xludf.DUMMYFUNCTION("""COMPUTED_VALUE"""),4377015003)</f>
        <v>4377015003</v>
      </c>
      <c r="P252" s="5"/>
      <c r="Q252" s="5"/>
      <c r="R252" s="5" t="str">
        <f ca="1">IFERROR(__xludf.DUMMYFUNCTION("""COMPUTED_VALUE"""),"(213) 816-4694")</f>
        <v>(213) 816-4694</v>
      </c>
      <c r="S252" s="5"/>
      <c r="T252" s="5"/>
    </row>
    <row r="253" spans="1:20" ht="12.75">
      <c r="A253" s="24">
        <f ca="1">IFERROR(__xludf.DUMMYFUNCTION("""COMPUTED_VALUE"""),45669.7671898148)</f>
        <v>45669.767189814796</v>
      </c>
      <c r="B253" s="5" t="str">
        <f ca="1">IFERROR(__xludf.DUMMYFUNCTION("""COMPUTED_VALUE"""),"815 N Whittier Dr")</f>
        <v>815 N Whittier Dr</v>
      </c>
      <c r="C253" s="5" t="str">
        <f ca="1">IFERROR(__xludf.DUMMYFUNCTION("""COMPUTED_VALUE"""),"Beverly Hills")</f>
        <v>Beverly Hills</v>
      </c>
      <c r="D253" s="5" t="str">
        <f ca="1">IFERROR(__xludf.DUMMYFUNCTION("""COMPUTED_VALUE"""),"CA")</f>
        <v>CA</v>
      </c>
      <c r="E253" s="5">
        <f ca="1">IFERROR(__xludf.DUMMYFUNCTION("""COMPUTED_VALUE"""),90210)</f>
        <v>90210</v>
      </c>
      <c r="F253" s="19">
        <f ca="1">IFERROR(__xludf.DUMMYFUNCTION("""COMPUTED_VALUE"""),29000)</f>
        <v>29000</v>
      </c>
      <c r="G253" s="19">
        <f ca="1">IFERROR(__xludf.DUMMYFUNCTION("""COMPUTED_VALUE"""),67500)</f>
        <v>67500</v>
      </c>
      <c r="H253" s="18">
        <f ca="1">IFERROR(__xludf.DUMMYFUNCTION("""COMPUTED_VALUE"""),45669)</f>
        <v>45669</v>
      </c>
      <c r="I253" s="5" t="str">
        <f ca="1">IFERROR(__xludf.DUMMYFUNCTION("""COMPUTED_VALUE"""),"Zillow")</f>
        <v>Zillow</v>
      </c>
      <c r="J253" s="25" t="str">
        <f ca="1">IFERROR(__xludf.DUMMYFUNCTION("""COMPUTED_VALUE"""),"https://www.zillow.com/homedetails/815-N-Whittier-Dr-Beverly-Hills-CA-90210/20521924_zpid/")</f>
        <v>https://www.zillow.com/homedetails/815-N-Whittier-Dr-Beverly-Hills-CA-90210/20521924_zpid/</v>
      </c>
      <c r="K253" s="5" t="str">
        <f ca="1">IFERROR(__xludf.DUMMYFUNCTION("""COMPUTED_VALUE"""),"EQM Real Estate")</f>
        <v>EQM Real Estate</v>
      </c>
      <c r="L253" s="5"/>
      <c r="M253" s="5"/>
      <c r="N253" s="26" t="str">
        <f ca="1">IFERROR(__xludf.DUMMYFUNCTION("""COMPUTED_VALUE"""),"https://drive.google.com/open?id=1qjQGpYS4NVE8KEG0qchARlBWc0TQcv9A")</f>
        <v>https://drive.google.com/open?id=1qjQGpYS4NVE8KEG0qchARlBWc0TQcv9A</v>
      </c>
      <c r="O253" s="5">
        <f ca="1">IFERROR(__xludf.DUMMYFUNCTION("""COMPUTED_VALUE"""),4345034007)</f>
        <v>4345034007</v>
      </c>
      <c r="P253" s="5" t="str">
        <f ca="1">IFERROR(__xludf.DUMMYFUNCTION("""COMPUTED_VALUE"""),"(213) 772-4996")</f>
        <v>(213) 772-4996</v>
      </c>
      <c r="Q253" s="5"/>
      <c r="R253" s="5"/>
      <c r="S253" s="5"/>
      <c r="T253" s="5"/>
    </row>
    <row r="254" spans="1:20" ht="12.75">
      <c r="A254" s="24">
        <f ca="1">IFERROR(__xludf.DUMMYFUNCTION("""COMPUTED_VALUE"""),45669.7675307407)</f>
        <v>45669.767530740697</v>
      </c>
      <c r="B254" s="5" t="str">
        <f ca="1">IFERROR(__xludf.DUMMYFUNCTION("""COMPUTED_VALUE"""),"8911 Cynthia St APT 9")</f>
        <v>8911 Cynthia St APT 9</v>
      </c>
      <c r="C254" s="5" t="str">
        <f ca="1">IFERROR(__xludf.DUMMYFUNCTION("""COMPUTED_VALUE"""),"West Hollywood")</f>
        <v>West Hollywood</v>
      </c>
      <c r="D254" s="5" t="str">
        <f ca="1">IFERROR(__xludf.DUMMYFUNCTION("""COMPUTED_VALUE"""),"CA")</f>
        <v>CA</v>
      </c>
      <c r="E254" s="5">
        <f ca="1">IFERROR(__xludf.DUMMYFUNCTION("""COMPUTED_VALUE"""),90069)</f>
        <v>90069</v>
      </c>
      <c r="F254" s="19">
        <f ca="1">IFERROR(__xludf.DUMMYFUNCTION("""COMPUTED_VALUE"""),6240)</f>
        <v>6240</v>
      </c>
      <c r="G254" s="19">
        <f ca="1">IFERROR(__xludf.DUMMYFUNCTION("""COMPUTED_VALUE"""),7000)</f>
        <v>7000</v>
      </c>
      <c r="H254" s="18">
        <f ca="1">IFERROR(__xludf.DUMMYFUNCTION("""COMPUTED_VALUE"""),45669)</f>
        <v>45669</v>
      </c>
      <c r="I254" s="5" t="str">
        <f ca="1">IFERROR(__xludf.DUMMYFUNCTION("""COMPUTED_VALUE"""),"Zillow")</f>
        <v>Zillow</v>
      </c>
      <c r="J254" s="25" t="str">
        <f ca="1">IFERROR(__xludf.DUMMYFUNCTION("""COMPUTED_VALUE"""),"https://www.zillow.com/homedetails/8911-Cynthia-St-APT-9-West-Hollywood-CA-90069/2100113899_zpid/")</f>
        <v>https://www.zillow.com/homedetails/8911-Cynthia-St-APT-9-West-Hollywood-CA-90069/2100113899_zpid/</v>
      </c>
      <c r="K254" s="5" t="str">
        <f ca="1">IFERROR(__xludf.DUMMYFUNCTION("""COMPUTED_VALUE"""),"Adam Zunder (mgmt company)")</f>
        <v>Adam Zunder (mgmt company)</v>
      </c>
      <c r="L254" s="5"/>
      <c r="M254" s="5" t="str">
        <f ca="1">IFERROR(__xludf.DUMMYFUNCTION("""COMPUTED_VALUE"""),"Last rental price was established on Nov. 7, 2024; the listing was both removed and relisted on 1/12/25 -- not sure if this is a way to get around the terms of price gouging? Or is a listed by default removed/relisted when prices change? ")</f>
        <v xml:space="preserve">Last rental price was established on Nov. 7, 2024; the listing was both removed and relisted on 1/12/25 -- not sure if this is a way to get around the terms of price gouging? Or is a listed by default removed/relisted when prices change? </v>
      </c>
      <c r="N254" s="5" t="str">
        <f ca="1">IFERROR(__xludf.DUMMYFUNCTION("""COMPUTED_VALUE"""),"https://drive.google.com/open?id=1HY642_B12O4tAZv3kPJiynE3KB0FoHy2, https://drive.google.com/open?id=10c4PZVlK3Q1Dnx79qFqwZD071uBGoKFK")</f>
        <v>https://drive.google.com/open?id=1HY642_B12O4tAZv3kPJiynE3KB0FoHy2, https://drive.google.com/open?id=10c4PZVlK3Q1Dnx79qFqwZD071uBGoKFK</v>
      </c>
      <c r="O254" s="5" t="str">
        <f ca="1">IFERROR(__xludf.DUMMYFUNCTION("""COMPUTED_VALUE"""),"NA")</f>
        <v>NA</v>
      </c>
      <c r="P254" s="5" t="str">
        <f ca="1">IFERROR(__xludf.DUMMYFUNCTION("""COMPUTED_VALUE"""),"(747) 214-0470")</f>
        <v>(747) 214-0470</v>
      </c>
      <c r="Q254" s="5"/>
      <c r="R254" s="5"/>
      <c r="S254" s="5"/>
      <c r="T254" s="5"/>
    </row>
    <row r="255" spans="1:20" ht="12.75">
      <c r="A255" s="24">
        <f ca="1">IFERROR(__xludf.DUMMYFUNCTION("""COMPUTED_VALUE"""),45669.7679917939)</f>
        <v>45669.767991793902</v>
      </c>
      <c r="B255" s="5" t="str">
        <f ca="1">IFERROR(__xludf.DUMMYFUNCTION("""COMPUTED_VALUE"""),"274 S La Fayette Park Pl #2B-2BA")</f>
        <v>274 S La Fayette Park Pl #2B-2BA</v>
      </c>
      <c r="C255" s="5" t="str">
        <f ca="1">IFERROR(__xludf.DUMMYFUNCTION("""COMPUTED_VALUE"""),"Los Angeles")</f>
        <v>Los Angeles</v>
      </c>
      <c r="D255" s="5" t="str">
        <f ca="1">IFERROR(__xludf.DUMMYFUNCTION("""COMPUTED_VALUE"""),"CA")</f>
        <v>CA</v>
      </c>
      <c r="E255" s="5">
        <f ca="1">IFERROR(__xludf.DUMMYFUNCTION("""COMPUTED_VALUE"""),90057)</f>
        <v>90057</v>
      </c>
      <c r="F255" s="19">
        <f ca="1">IFERROR(__xludf.DUMMYFUNCTION("""COMPUTED_VALUE"""),2395)</f>
        <v>2395</v>
      </c>
      <c r="G255" s="19">
        <f ca="1">IFERROR(__xludf.DUMMYFUNCTION("""COMPUTED_VALUE"""),3295)</f>
        <v>3295</v>
      </c>
      <c r="H255" s="18">
        <f ca="1">IFERROR(__xludf.DUMMYFUNCTION("""COMPUTED_VALUE"""),45666)</f>
        <v>45666</v>
      </c>
      <c r="I255" s="5" t="str">
        <f ca="1">IFERROR(__xludf.DUMMYFUNCTION("""COMPUTED_VALUE"""),"Zillow")</f>
        <v>Zillow</v>
      </c>
      <c r="J255" s="25" t="str">
        <f ca="1">IFERROR(__xludf.DUMMYFUNCTION("""COMPUTED_VALUE"""),"https://www.zillow.com/homedetails/274-S-La-Fayette-Park-Pl-2B-2BA-Los-Angeles-CA-90057/441951840_zpid/")</f>
        <v>https://www.zillow.com/homedetails/274-S-La-Fayette-Park-Pl-2B-2BA-Los-Angeles-CA-90057/441951840_zpid/</v>
      </c>
      <c r="K255" s="5"/>
      <c r="L255" s="5"/>
      <c r="M255" s="5" t="str">
        <f ca="1">IFERROR(__xludf.DUMMYFUNCTION("""COMPUTED_VALUE"""),"absolutely wack 37% increase")</f>
        <v>absolutely wack 37% increase</v>
      </c>
      <c r="N255" s="26" t="str">
        <f ca="1">IFERROR(__xludf.DUMMYFUNCTION("""COMPUTED_VALUE"""),"https://drive.google.com/open?id=1I2N6IXCNajYrAsvTl1Wd3pJpQXmGpgaS")</f>
        <v>https://drive.google.com/open?id=1I2N6IXCNajYrAsvTl1Wd3pJpQXmGpgaS</v>
      </c>
      <c r="O255" s="5" t="str">
        <f ca="1">IFERROR(__xludf.DUMMYFUNCTION("""COMPUTED_VALUE"""),"na")</f>
        <v>na</v>
      </c>
      <c r="P255" s="5"/>
      <c r="Q255" s="5"/>
      <c r="R255" s="5"/>
      <c r="S255" s="5"/>
      <c r="T255" s="5"/>
    </row>
    <row r="256" spans="1:20" ht="12.75">
      <c r="A256" s="24">
        <f ca="1">IFERROR(__xludf.DUMMYFUNCTION("""COMPUTED_VALUE"""),45669.7694311111)</f>
        <v>45669.769431111097</v>
      </c>
      <c r="B256" s="5" t="str">
        <f ca="1">IFERROR(__xludf.DUMMYFUNCTION("""COMPUTED_VALUE"""),"2070 Layton St")</f>
        <v>2070 Layton St</v>
      </c>
      <c r="C256" s="5" t="str">
        <f ca="1">IFERROR(__xludf.DUMMYFUNCTION("""COMPUTED_VALUE"""),"Pasadena")</f>
        <v>Pasadena</v>
      </c>
      <c r="D256" s="5" t="str">
        <f ca="1">IFERROR(__xludf.DUMMYFUNCTION("""COMPUTED_VALUE"""),"CA")</f>
        <v>CA</v>
      </c>
      <c r="E256" s="5">
        <f ca="1">IFERROR(__xludf.DUMMYFUNCTION("""COMPUTED_VALUE"""),91104)</f>
        <v>91104</v>
      </c>
      <c r="F256" s="19">
        <f ca="1">IFERROR(__xludf.DUMMYFUNCTION("""COMPUTED_VALUE"""),3100)</f>
        <v>3100</v>
      </c>
      <c r="G256" s="19">
        <f ca="1">IFERROR(__xludf.DUMMYFUNCTION("""COMPUTED_VALUE"""),3500)</f>
        <v>3500</v>
      </c>
      <c r="H256" s="18">
        <f ca="1">IFERROR(__xludf.DUMMYFUNCTION("""COMPUTED_VALUE"""),45667)</f>
        <v>45667</v>
      </c>
      <c r="I256" s="5" t="str">
        <f ca="1">IFERROR(__xludf.DUMMYFUNCTION("""COMPUTED_VALUE"""),"Zillow")</f>
        <v>Zillow</v>
      </c>
      <c r="J256" s="25" t="str">
        <f ca="1">IFERROR(__xludf.DUMMYFUNCTION("""COMPUTED_VALUE"""),"https://www.zillow.com/homedetails/2070-Layton-St-Pasadena-CA-91104/20921040_zpid/")</f>
        <v>https://www.zillow.com/homedetails/2070-Layton-St-Pasadena-CA-91104/20921040_zpid/</v>
      </c>
      <c r="K256" s="5"/>
      <c r="L256" s="5" t="str">
        <f ca="1">IFERROR(__xludf.DUMMYFUNCTION("""COMPUTED_VALUE"""),"Cynthia Lambakis")</f>
        <v>Cynthia Lambakis</v>
      </c>
      <c r="M256" s="5"/>
      <c r="N256" s="5" t="str">
        <f ca="1">IFERROR(__xludf.DUMMYFUNCTION("""COMPUTED_VALUE"""),"https://drive.google.com/open?id=1Fa-XV_3jGLtavP7BPaDTaS9ZmEY4TFNu, https://drive.google.com/open?id=14FDum8KSJuqDAbbm7qKhev5qtV-Fz3es")</f>
        <v>https://drive.google.com/open?id=1Fa-XV_3jGLtavP7BPaDTaS9ZmEY4TFNu, https://drive.google.com/open?id=14FDum8KSJuqDAbbm7qKhev5qtV-Fz3es</v>
      </c>
      <c r="O256" s="5">
        <f ca="1">IFERROR(__xludf.DUMMYFUNCTION("""COMPUTED_VALUE"""),5852008029)</f>
        <v>5852008029</v>
      </c>
      <c r="P256" s="5"/>
      <c r="Q256" s="5"/>
      <c r="R256" s="5" t="str">
        <f ca="1">IFERROR(__xludf.DUMMYFUNCTION("""COMPUTED_VALUE"""),"(626) 726-3820")</f>
        <v>(626) 726-3820</v>
      </c>
      <c r="S256" s="5"/>
      <c r="T256" s="5"/>
    </row>
    <row r="257" spans="1:20" ht="12.75">
      <c r="A257" s="24">
        <f ca="1">IFERROR(__xludf.DUMMYFUNCTION("""COMPUTED_VALUE"""),45669.769993287)</f>
        <v>45669.769993287002</v>
      </c>
      <c r="B257" s="5" t="str">
        <f ca="1">IFERROR(__xludf.DUMMYFUNCTION("""COMPUTED_VALUE"""),"5514 Sylvia Ave")</f>
        <v>5514 Sylvia Ave</v>
      </c>
      <c r="C257" s="5" t="str">
        <f ca="1">IFERROR(__xludf.DUMMYFUNCTION("""COMPUTED_VALUE"""),"Tarzana")</f>
        <v>Tarzana</v>
      </c>
      <c r="D257" s="5" t="str">
        <f ca="1">IFERROR(__xludf.DUMMYFUNCTION("""COMPUTED_VALUE"""),"CA")</f>
        <v>CA</v>
      </c>
      <c r="E257" s="5">
        <f ca="1">IFERROR(__xludf.DUMMYFUNCTION("""COMPUTED_VALUE"""),91356)</f>
        <v>91356</v>
      </c>
      <c r="F257" s="19">
        <f ca="1">IFERROR(__xludf.DUMMYFUNCTION("""COMPUTED_VALUE"""),17000)</f>
        <v>17000</v>
      </c>
      <c r="G257" s="19">
        <f ca="1">IFERROR(__xludf.DUMMYFUNCTION("""COMPUTED_VALUE"""),20000)</f>
        <v>20000</v>
      </c>
      <c r="H257" s="18">
        <f ca="1">IFERROR(__xludf.DUMMYFUNCTION("""COMPUTED_VALUE"""),45666)</f>
        <v>45666</v>
      </c>
      <c r="I257" s="5" t="str">
        <f ca="1">IFERROR(__xludf.DUMMYFUNCTION("""COMPUTED_VALUE"""),"Zillow")</f>
        <v>Zillow</v>
      </c>
      <c r="J257" s="25" t="str">
        <f ca="1">IFERROR(__xludf.DUMMYFUNCTION("""COMPUTED_VALUE"""),"https://www.zillow.com/homedetails/5514-Sylvia-Ave-Tarzana-CA-91356/19940536_zpid/")</f>
        <v>https://www.zillow.com/homedetails/5514-Sylvia-Ave-Tarzana-CA-91356/19940536_zpid/</v>
      </c>
      <c r="K257" s="5"/>
      <c r="L257" s="5" t="str">
        <f ca="1">IFERROR(__xludf.DUMMYFUNCTION("""COMPUTED_VALUE"""),"Matthew Omrani")</f>
        <v>Matthew Omrani</v>
      </c>
      <c r="M257" s="5"/>
      <c r="N257" s="26" t="str">
        <f ca="1">IFERROR(__xludf.DUMMYFUNCTION("""COMPUTED_VALUE"""),"https://drive.google.com/open?id=1nUhxHUlZWRBrwRSE0-2jBaWPreBIuOlG")</f>
        <v>https://drive.google.com/open?id=1nUhxHUlZWRBrwRSE0-2jBaWPreBIuOlG</v>
      </c>
      <c r="O257" s="5">
        <f ca="1">IFERROR(__xludf.DUMMYFUNCTION("""COMPUTED_VALUE"""),2163017019)</f>
        <v>2163017019</v>
      </c>
      <c r="P257" s="5"/>
      <c r="Q257" s="5"/>
      <c r="R257" s="5" t="str">
        <f ca="1">IFERROR(__xludf.DUMMYFUNCTION("""COMPUTED_VALUE""")," (424) 500-0731")</f>
        <v xml:space="preserve"> (424) 500-0731</v>
      </c>
      <c r="S257" s="5"/>
      <c r="T257" s="5"/>
    </row>
    <row r="258" spans="1:20" ht="12.75">
      <c r="A258" s="24">
        <f ca="1">IFERROR(__xludf.DUMMYFUNCTION("""COMPUTED_VALUE"""),45669.771870706)</f>
        <v>45669.771870705998</v>
      </c>
      <c r="B258" s="5" t="str">
        <f ca="1">IFERROR(__xludf.DUMMYFUNCTION("""COMPUTED_VALUE"""),"1221 Myra Ave #PENTHOUSE 605")</f>
        <v>1221 Myra Ave #PENTHOUSE 605</v>
      </c>
      <c r="C258" s="5" t="str">
        <f ca="1">IFERROR(__xludf.DUMMYFUNCTION("""COMPUTED_VALUE"""),"los angeles")</f>
        <v>los angeles</v>
      </c>
      <c r="D258" s="5" t="str">
        <f ca="1">IFERROR(__xludf.DUMMYFUNCTION("""COMPUTED_VALUE"""),"CA")</f>
        <v>CA</v>
      </c>
      <c r="E258" s="5">
        <f ca="1">IFERROR(__xludf.DUMMYFUNCTION("""COMPUTED_VALUE"""),90029)</f>
        <v>90029</v>
      </c>
      <c r="F258" s="19">
        <f ca="1">IFERROR(__xludf.DUMMYFUNCTION("""COMPUTED_VALUE"""),2832)</f>
        <v>2832</v>
      </c>
      <c r="G258" s="19">
        <f ca="1">IFERROR(__xludf.DUMMYFUNCTION("""COMPUTED_VALUE"""),3245)</f>
        <v>3245</v>
      </c>
      <c r="H258" s="18">
        <f ca="1">IFERROR(__xludf.DUMMYFUNCTION("""COMPUTED_VALUE"""),45667)</f>
        <v>45667</v>
      </c>
      <c r="I258" s="5" t="str">
        <f ca="1">IFERROR(__xludf.DUMMYFUNCTION("""COMPUTED_VALUE"""),"Zillow")</f>
        <v>Zillow</v>
      </c>
      <c r="J258" s="25" t="str">
        <f ca="1">IFERROR(__xludf.DUMMYFUNCTION("""COMPUTED_VALUE"""),"https://www.zillow.com/homedetails/1221-Myra-Ave-PENTHOUSE-605-Los-Angeles-CA-90029/442628656_zpid/")</f>
        <v>https://www.zillow.com/homedetails/1221-Myra-Ave-PENTHOUSE-605-Los-Angeles-CA-90029/442628656_zpid/</v>
      </c>
      <c r="K258" s="5"/>
      <c r="L258" s="5"/>
      <c r="M258" s="5" t="str">
        <f ca="1">IFERROR(__xludf.DUMMYFUNCTION("""COMPUTED_VALUE"""),"these people might have a bot adjusting prices to match some average for the area or something? the price changed frequently and by large percentages. ")</f>
        <v xml:space="preserve">these people might have a bot adjusting prices to match some average for the area or something? the price changed frequently and by large percentages. </v>
      </c>
      <c r="N258" s="26" t="str">
        <f ca="1">IFERROR(__xludf.DUMMYFUNCTION("""COMPUTED_VALUE"""),"https://drive.google.com/open?id=1IvEc_KP1v7xZsNs2ZrFsM3mbKVtRdQoV")</f>
        <v>https://drive.google.com/open?id=1IvEc_KP1v7xZsNs2ZrFsM3mbKVtRdQoV</v>
      </c>
      <c r="O258" s="5" t="str">
        <f ca="1">IFERROR(__xludf.DUMMYFUNCTION("""COMPUTED_VALUE"""),"na")</f>
        <v>na</v>
      </c>
      <c r="P258" s="5"/>
      <c r="Q258" s="5"/>
      <c r="R258" s="5"/>
      <c r="S258" s="5"/>
      <c r="T258" s="5"/>
    </row>
    <row r="259" spans="1:20" ht="12.75">
      <c r="A259" s="24">
        <f ca="1">IFERROR(__xludf.DUMMYFUNCTION("""COMPUTED_VALUE"""),45669.7734447685)</f>
        <v>45669.7734447685</v>
      </c>
      <c r="B259" s="5" t="str">
        <f ca="1">IFERROR(__xludf.DUMMYFUNCTION("""COMPUTED_VALUE"""),"2950 Tyburn St")</f>
        <v>2950 Tyburn St</v>
      </c>
      <c r="C259" s="5" t="str">
        <f ca="1">IFERROR(__xludf.DUMMYFUNCTION("""COMPUTED_VALUE"""),"Los Angeles")</f>
        <v>Los Angeles</v>
      </c>
      <c r="D259" s="5" t="str">
        <f ca="1">IFERROR(__xludf.DUMMYFUNCTION("""COMPUTED_VALUE"""),"CA")</f>
        <v>CA</v>
      </c>
      <c r="E259" s="5">
        <f ca="1">IFERROR(__xludf.DUMMYFUNCTION("""COMPUTED_VALUE"""),90039)</f>
        <v>90039</v>
      </c>
      <c r="F259" s="19">
        <f ca="1">IFERROR(__xludf.DUMMYFUNCTION("""COMPUTED_VALUE"""),3800)</f>
        <v>3800</v>
      </c>
      <c r="G259" s="19">
        <f ca="1">IFERROR(__xludf.DUMMYFUNCTION("""COMPUTED_VALUE"""),4500)</f>
        <v>4500</v>
      </c>
      <c r="H259" s="18">
        <f ca="1">IFERROR(__xludf.DUMMYFUNCTION("""COMPUTED_VALUE"""),45669)</f>
        <v>45669</v>
      </c>
      <c r="I259" s="5" t="str">
        <f ca="1">IFERROR(__xludf.DUMMYFUNCTION("""COMPUTED_VALUE"""),"Zillow")</f>
        <v>Zillow</v>
      </c>
      <c r="J259" s="25" t="str">
        <f ca="1">IFERROR(__xludf.DUMMYFUNCTION("""COMPUTED_VALUE"""),"https://www.zillow.com/homedetails/2950-Tyburn-St-Los-Angeles-CA-90039/20751814_zpid/")</f>
        <v>https://www.zillow.com/homedetails/2950-Tyburn-St-Los-Angeles-CA-90039/20751814_zpid/</v>
      </c>
      <c r="K259" s="5" t="str">
        <f ca="1">IFERROR(__xludf.DUMMYFUNCTION("""COMPUTED_VALUE"""),"Vartan Tamamian")</f>
        <v>Vartan Tamamian</v>
      </c>
      <c r="L259" s="5"/>
      <c r="M259" s="5"/>
      <c r="N259" s="5" t="str">
        <f ca="1">IFERROR(__xludf.DUMMYFUNCTION("""COMPUTED_VALUE"""),"https://drive.google.com/open?id=1s3qe__pmCDE4LN7fUmzXyC0khxQb_i5X, https://drive.google.com/open?id=1_KUqVylUQqHZfwA78oF9rhIKwN49Aepy")</f>
        <v>https://drive.google.com/open?id=1s3qe__pmCDE4LN7fUmzXyC0khxQb_i5X, https://drive.google.com/open?id=1_KUqVylUQqHZfwA78oF9rhIKwN49Aepy</v>
      </c>
      <c r="O259" s="5">
        <f ca="1">IFERROR(__xludf.DUMMYFUNCTION("""COMPUTED_VALUE"""),5437023007)</f>
        <v>5437023007</v>
      </c>
      <c r="P259" s="5" t="str">
        <f ca="1">IFERROR(__xludf.DUMMYFUNCTION("""COMPUTED_VALUE"""),"(626) 590-6647")</f>
        <v>(626) 590-6647</v>
      </c>
      <c r="Q259" s="5"/>
      <c r="R259" s="5"/>
      <c r="S259" s="5"/>
      <c r="T259" s="5"/>
    </row>
    <row r="260" spans="1:20" ht="12.75">
      <c r="A260" s="24">
        <f ca="1">IFERROR(__xludf.DUMMYFUNCTION("""COMPUTED_VALUE"""),45669.7823797222)</f>
        <v>45669.782379722201</v>
      </c>
      <c r="B260" s="5" t="str">
        <f ca="1">IFERROR(__xludf.DUMMYFUNCTION("""COMPUTED_VALUE"""),"446 S Almont Dr, Beverly Hills, CA 90211")</f>
        <v>446 S Almont Dr, Beverly Hills, CA 90211</v>
      </c>
      <c r="C260" s="5" t="str">
        <f ca="1">IFERROR(__xludf.DUMMYFUNCTION("""COMPUTED_VALUE"""),"Beverly hills")</f>
        <v>Beverly hills</v>
      </c>
      <c r="D260" s="5" t="str">
        <f ca="1">IFERROR(__xludf.DUMMYFUNCTION("""COMPUTED_VALUE"""),"CA")</f>
        <v>CA</v>
      </c>
      <c r="E260" s="5">
        <f ca="1">IFERROR(__xludf.DUMMYFUNCTION("""COMPUTED_VALUE"""),90211)</f>
        <v>90211</v>
      </c>
      <c r="F260" s="19">
        <f ca="1">IFERROR(__xludf.DUMMYFUNCTION("""COMPUTED_VALUE"""),11000)</f>
        <v>11000</v>
      </c>
      <c r="G260" s="19">
        <f ca="1">IFERROR(__xludf.DUMMYFUNCTION("""COMPUTED_VALUE"""),13000)</f>
        <v>13000</v>
      </c>
      <c r="H260" s="18">
        <f ca="1">IFERROR(__xludf.DUMMYFUNCTION("""COMPUTED_VALUE"""),45666)</f>
        <v>45666</v>
      </c>
      <c r="I260" s="5" t="str">
        <f ca="1">IFERROR(__xludf.DUMMYFUNCTION("""COMPUTED_VALUE"""),"Zillow")</f>
        <v>Zillow</v>
      </c>
      <c r="J260" s="25" t="str">
        <f ca="1">IFERROR(__xludf.DUMMYFUNCTION("""COMPUTED_VALUE"""),"https://www.zillow.com/homedetails/446-S-Almont-Dr-Beverly-Hills-CA-90211/20513005_zpid/?utm_campaign=iosappmessage&amp;utm_medium=referral&amp;utm_source=txtshare")</f>
        <v>https://www.zillow.com/homedetails/446-S-Almont-Dr-Beverly-Hills-CA-90211/20513005_zpid/?utm_campaign=iosappmessage&amp;utm_medium=referral&amp;utm_source=txtshare</v>
      </c>
      <c r="K260" s="5" t="str">
        <f ca="1">IFERROR(__xludf.DUMMYFUNCTION("""COMPUTED_VALUE"""),"Deborah gabbai")</f>
        <v>Deborah gabbai</v>
      </c>
      <c r="L260" s="5"/>
      <c r="M260" s="5"/>
      <c r="N260" s="5" t="str">
        <f ca="1">IFERROR(__xludf.DUMMYFUNCTION("""COMPUTED_VALUE"""),"https://drive.google.com/open?id=1kc8cWkJNhoNGL5SeGv_uxElVfbH7F1Rm, https://drive.google.com/open?id=1Pu2b5G3UAaMHHMDvyaZUtPH016y2ID8L, https://drive.google.com/open?id=12LiP-G38aCJ9O7qDVNDdi8cDUeQRvMyp")</f>
        <v>https://drive.google.com/open?id=1kc8cWkJNhoNGL5SeGv_uxElVfbH7F1Rm, https://drive.google.com/open?id=1Pu2b5G3UAaMHHMDvyaZUtPH016y2ID8L, https://drive.google.com/open?id=12LiP-G38aCJ9O7qDVNDdi8cDUeQRvMyp</v>
      </c>
      <c r="O260" s="5">
        <f ca="1">IFERROR(__xludf.DUMMYFUNCTION("""COMPUTED_VALUE"""),4332009026)</f>
        <v>4332009026</v>
      </c>
      <c r="P260" s="5">
        <f ca="1">IFERROR(__xludf.DUMMYFUNCTION("""COMPUTED_VALUE"""),2136687520)</f>
        <v>2136687520</v>
      </c>
      <c r="Q260" s="5"/>
      <c r="R260" s="5"/>
      <c r="S260" s="5"/>
      <c r="T260" s="5"/>
    </row>
    <row r="261" spans="1:20" ht="12.75">
      <c r="A261" s="24">
        <f ca="1">IFERROR(__xludf.DUMMYFUNCTION("""COMPUTED_VALUE"""),45669.7833897338)</f>
        <v>45669.783389733799</v>
      </c>
      <c r="B261" s="5" t="str">
        <f ca="1">IFERROR(__xludf.DUMMYFUNCTION("""COMPUTED_VALUE"""),"1106 Maybrook dr")</f>
        <v>1106 Maybrook dr</v>
      </c>
      <c r="C261" s="5" t="str">
        <f ca="1">IFERROR(__xludf.DUMMYFUNCTION("""COMPUTED_VALUE"""),"Beverly hills")</f>
        <v>Beverly hills</v>
      </c>
      <c r="D261" s="5" t="str">
        <f ca="1">IFERROR(__xludf.DUMMYFUNCTION("""COMPUTED_VALUE"""),"CA")</f>
        <v>CA</v>
      </c>
      <c r="E261" s="5">
        <f ca="1">IFERROR(__xludf.DUMMYFUNCTION("""COMPUTED_VALUE"""),90210)</f>
        <v>90210</v>
      </c>
      <c r="F261" s="19">
        <f ca="1">IFERROR(__xludf.DUMMYFUNCTION("""COMPUTED_VALUE"""),13950)</f>
        <v>13950</v>
      </c>
      <c r="G261" s="19">
        <f ca="1">IFERROR(__xludf.DUMMYFUNCTION("""COMPUTED_VALUE"""),18000)</f>
        <v>18000</v>
      </c>
      <c r="H261" s="18">
        <f ca="1">IFERROR(__xludf.DUMMYFUNCTION("""COMPUTED_VALUE"""),45670)</f>
        <v>45670</v>
      </c>
      <c r="I261" s="5" t="str">
        <f ca="1">IFERROR(__xludf.DUMMYFUNCTION("""COMPUTED_VALUE"""),"Zillow")</f>
        <v>Zillow</v>
      </c>
      <c r="J261" s="25" t="str">
        <f ca="1">IFERROR(__xludf.DUMMYFUNCTION("""COMPUTED_VALUE"""),"https://docs.google.com/spreadsheets/d/1RXWxLqTyWvAuq8A0PgaBuWeEn_G6qTLyTZ8lzfNEaNw/htmlview")</f>
        <v>https://docs.google.com/spreadsheets/d/1RXWxLqTyWvAuq8A0PgaBuWeEn_G6qTLyTZ8lzfNEaNw/htmlview</v>
      </c>
      <c r="K261" s="5" t="str">
        <f ca="1">IFERROR(__xludf.DUMMYFUNCTION("""COMPUTED_VALUE"""),"None ")</f>
        <v xml:space="preserve">None </v>
      </c>
      <c r="L261" s="5" t="str">
        <f ca="1">IFERROR(__xludf.DUMMYFUNCTION("""COMPUTED_VALUE"""),"Jd medwin")</f>
        <v>Jd medwin</v>
      </c>
      <c r="M261" s="5"/>
      <c r="N261" s="5" t="str">
        <f ca="1">IFERROR(__xludf.DUMMYFUNCTION("""COMPUTED_VALUE"""),"https://drive.google.com/open?id=11Iv-CCnPA9bMtFnS8do0QNNqbH0N19M3, https://drive.google.com/open?id=1XWc51eyBSAKIRDLiVgHncM3l1vPL_gfV")</f>
        <v>https://drive.google.com/open?id=11Iv-CCnPA9bMtFnS8do0QNNqbH0N19M3, https://drive.google.com/open?id=1XWc51eyBSAKIRDLiVgHncM3l1vPL_gfV</v>
      </c>
      <c r="O261" s="5">
        <f ca="1">IFERROR(__xludf.DUMMYFUNCTION("""COMPUTED_VALUE"""),4358014024)</f>
        <v>4358014024</v>
      </c>
      <c r="P261" s="5"/>
      <c r="Q261" s="5"/>
      <c r="R261" s="5"/>
      <c r="S261" s="5"/>
      <c r="T261" s="5"/>
    </row>
    <row r="262" spans="1:20" ht="12.75">
      <c r="A262" s="24">
        <f ca="1">IFERROR(__xludf.DUMMYFUNCTION("""COMPUTED_VALUE"""),45669.783533287)</f>
        <v>45669.783533287002</v>
      </c>
      <c r="B262" s="5" t="str">
        <f ca="1">IFERROR(__xludf.DUMMYFUNCTION("""COMPUTED_VALUE"""),"1106 Maybrook D")</f>
        <v>1106 Maybrook D</v>
      </c>
      <c r="C262" s="5" t="str">
        <f ca="1">IFERROR(__xludf.DUMMYFUNCTION("""COMPUTED_VALUE"""),"Beverly Hills")</f>
        <v>Beverly Hills</v>
      </c>
      <c r="D262" s="5" t="str">
        <f ca="1">IFERROR(__xludf.DUMMYFUNCTION("""COMPUTED_VALUE"""),"CA")</f>
        <v>CA</v>
      </c>
      <c r="E262" s="5">
        <f ca="1">IFERROR(__xludf.DUMMYFUNCTION("""COMPUTED_VALUE"""),90210)</f>
        <v>90210</v>
      </c>
      <c r="F262" s="19">
        <f ca="1">IFERROR(__xludf.DUMMYFUNCTION("""COMPUTED_VALUE"""),13950)</f>
        <v>13950</v>
      </c>
      <c r="G262" s="19">
        <f ca="1">IFERROR(__xludf.DUMMYFUNCTION("""COMPUTED_VALUE"""),18000)</f>
        <v>18000</v>
      </c>
      <c r="H262" s="18">
        <f ca="1">IFERROR(__xludf.DUMMYFUNCTION("""COMPUTED_VALUE"""),45670)</f>
        <v>45670</v>
      </c>
      <c r="I262" s="5" t="str">
        <f ca="1">IFERROR(__xludf.DUMMYFUNCTION("""COMPUTED_VALUE"""),"Zillow")</f>
        <v>Zillow</v>
      </c>
      <c r="J262" s="25" t="str">
        <f ca="1">IFERROR(__xludf.DUMMYFUNCTION("""COMPUTED_VALUE"""),"https://www.zillow.com/homedetails/1106-Maybrook-Dr-Beverly-Hills-CA-90210/20524112_zpid/")</f>
        <v>https://www.zillow.com/homedetails/1106-Maybrook-Dr-Beverly-Hills-CA-90210/20524112_zpid/</v>
      </c>
      <c r="K262" s="5" t="str">
        <f ca="1">IFERROR(__xludf.DUMMYFUNCTION("""COMPUTED_VALUE"""),"Jd medwin")</f>
        <v>Jd medwin</v>
      </c>
      <c r="L262" s="5"/>
      <c r="M262" s="5" t="str">
        <f ca="1">IFERROR(__xludf.DUMMYFUNCTION("""COMPUTED_VALUE"""),"Last price listing was Nov 2020.  Just listed today with a 29% increase")</f>
        <v>Last price listing was Nov 2020.  Just listed today with a 29% increase</v>
      </c>
      <c r="N262" s="26" t="str">
        <f ca="1">IFERROR(__xludf.DUMMYFUNCTION("""COMPUTED_VALUE"""),"https://drive.google.com/open?id=1FCc3hVLZluutG08uUEkV69VHkWoF-4ll")</f>
        <v>https://drive.google.com/open?id=1FCc3hVLZluutG08uUEkV69VHkWoF-4ll</v>
      </c>
      <c r="O262" s="5">
        <f ca="1">IFERROR(__xludf.DUMMYFUNCTION("""COMPUTED_VALUE"""),4358014024)</f>
        <v>4358014024</v>
      </c>
      <c r="P262" s="5"/>
      <c r="Q262" s="5"/>
      <c r="R262" s="5"/>
      <c r="S262" s="5"/>
      <c r="T262" s="5"/>
    </row>
    <row r="263" spans="1:20" ht="12.75">
      <c r="A263" s="24">
        <f ca="1">IFERROR(__xludf.DUMMYFUNCTION("""COMPUTED_VALUE"""),45669.7863491898)</f>
        <v>45669.786349189802</v>
      </c>
      <c r="B263" s="5" t="str">
        <f ca="1">IFERROR(__xludf.DUMMYFUNCTION("""COMPUTED_VALUE"""),"1222 Hilldale Ave")</f>
        <v>1222 Hilldale Ave</v>
      </c>
      <c r="C263" s="5" t="str">
        <f ca="1">IFERROR(__xludf.DUMMYFUNCTION("""COMPUTED_VALUE"""),"Los Angeles")</f>
        <v>Los Angeles</v>
      </c>
      <c r="D263" s="5" t="str">
        <f ca="1">IFERROR(__xludf.DUMMYFUNCTION("""COMPUTED_VALUE"""),"CA")</f>
        <v>CA</v>
      </c>
      <c r="E263" s="5">
        <f ca="1">IFERROR(__xludf.DUMMYFUNCTION("""COMPUTED_VALUE"""),90069)</f>
        <v>90069</v>
      </c>
      <c r="F263" s="19">
        <f ca="1">IFERROR(__xludf.DUMMYFUNCTION("""COMPUTED_VALUE"""),24500)</f>
        <v>24500</v>
      </c>
      <c r="G263" s="19">
        <f ca="1">IFERROR(__xludf.DUMMYFUNCTION("""COMPUTED_VALUE"""),50000)</f>
        <v>50000</v>
      </c>
      <c r="H263" s="18">
        <f ca="1">IFERROR(__xludf.DUMMYFUNCTION("""COMPUTED_VALUE"""),45670)</f>
        <v>45670</v>
      </c>
      <c r="I263" s="5" t="str">
        <f ca="1">IFERROR(__xludf.DUMMYFUNCTION("""COMPUTED_VALUE"""),"Zillow")</f>
        <v>Zillow</v>
      </c>
      <c r="J263" s="25" t="str">
        <f ca="1">IFERROR(__xludf.DUMMYFUNCTION("""COMPUTED_VALUE"""),"https://www.zillow.com/homedetails/1222-Hilldale-Ave-Los-Angeles-CA-90069/20799396_zpid/")</f>
        <v>https://www.zillow.com/homedetails/1222-Hilldale-Ave-Los-Angeles-CA-90069/20799396_zpid/</v>
      </c>
      <c r="K263" s="5" t="str">
        <f ca="1">IFERROR(__xludf.DUMMYFUNCTION("""COMPUTED_VALUE"""),"Henry Orozco")</f>
        <v>Henry Orozco</v>
      </c>
      <c r="L263" s="5"/>
      <c r="M263" s="5"/>
      <c r="N263" s="5" t="str">
        <f ca="1">IFERROR(__xludf.DUMMYFUNCTION("""COMPUTED_VALUE"""),"https://drive.google.com/open?id=1YD7yKhOU9qakKEB2CJeLbFq0jbVWzV5V, https://drive.google.com/open?id=1DfdRudQzmvKj3YaDtFlwNs9qJsvwO8jG")</f>
        <v>https://drive.google.com/open?id=1YD7yKhOU9qakKEB2CJeLbFq0jbVWzV5V, https://drive.google.com/open?id=1DfdRudQzmvKj3YaDtFlwNs9qJsvwO8jG</v>
      </c>
      <c r="O263" s="5">
        <f ca="1">IFERROR(__xludf.DUMMYFUNCTION("""COMPUTED_VALUE"""),5560024013)</f>
        <v>5560024013</v>
      </c>
      <c r="P263" s="5" t="str">
        <f ca="1">IFERROR(__xludf.DUMMYFUNCTION("""COMPUTED_VALUE"""),"(424) 370-0738")</f>
        <v>(424) 370-0738</v>
      </c>
      <c r="Q263" s="5"/>
      <c r="R263" s="5"/>
      <c r="S263" s="5"/>
      <c r="T263" s="5"/>
    </row>
    <row r="264" spans="1:20" ht="12.75">
      <c r="A264" s="24">
        <f ca="1">IFERROR(__xludf.DUMMYFUNCTION("""COMPUTED_VALUE"""),45669.7878822222)</f>
        <v>45669.787882222197</v>
      </c>
      <c r="B264" s="5" t="str">
        <f ca="1">IFERROR(__xludf.DUMMYFUNCTION("""COMPUTED_VALUE"""),"10734 Bloomfield St")</f>
        <v>10734 Bloomfield St</v>
      </c>
      <c r="C264" s="5" t="str">
        <f ca="1">IFERROR(__xludf.DUMMYFUNCTION("""COMPUTED_VALUE"""),"North Hollywood")</f>
        <v>North Hollywood</v>
      </c>
      <c r="D264" s="5" t="str">
        <f ca="1">IFERROR(__xludf.DUMMYFUNCTION("""COMPUTED_VALUE"""),"CA")</f>
        <v>CA</v>
      </c>
      <c r="E264" s="5">
        <f ca="1">IFERROR(__xludf.DUMMYFUNCTION("""COMPUTED_VALUE"""),91602)</f>
        <v>91602</v>
      </c>
      <c r="F264" s="19">
        <f ca="1">IFERROR(__xludf.DUMMYFUNCTION("""COMPUTED_VALUE"""),3980)</f>
        <v>3980</v>
      </c>
      <c r="G264" s="19">
        <f ca="1">IFERROR(__xludf.DUMMYFUNCTION("""COMPUTED_VALUE"""),4800)</f>
        <v>4800</v>
      </c>
      <c r="H264" s="18">
        <f ca="1">IFERROR(__xludf.DUMMYFUNCTION("""COMPUTED_VALUE"""),45667)</f>
        <v>45667</v>
      </c>
      <c r="I264" s="5" t="str">
        <f ca="1">IFERROR(__xludf.DUMMYFUNCTION("""COMPUTED_VALUE"""),"Zillow")</f>
        <v>Zillow</v>
      </c>
      <c r="J264" s="25" t="str">
        <f ca="1">IFERROR(__xludf.DUMMYFUNCTION("""COMPUTED_VALUE"""),"https://www.zillow.com/homedetails/10734-Bloomfield-St-North-Hollywood-CA-91602/157718290_zpid/")</f>
        <v>https://www.zillow.com/homedetails/10734-Bloomfield-St-North-Hollywood-CA-91602/157718290_zpid/</v>
      </c>
      <c r="K264" s="5" t="str">
        <f ca="1">IFERROR(__xludf.DUMMYFUNCTION("""COMPUTED_VALUE"""),"Blueground ")</f>
        <v xml:space="preserve">Blueground </v>
      </c>
      <c r="L264" s="5"/>
      <c r="M264" s="5" t="str">
        <f ca="1">IFERROR(__xludf.DUMMYFUNCTION("""COMPUTED_VALUE"""),"They may be doing this for multiple properties. https://www.theblueground.com/furnished-apartments-los-angeles-usa?utm_source=Zillow&amp;utm_medium=Feed&amp;utm_campaign=LAX&amp;zgRef=zillow")</f>
        <v>They may be doing this for multiple properties. https://www.theblueground.com/furnished-apartments-los-angeles-usa?utm_source=Zillow&amp;utm_medium=Feed&amp;utm_campaign=LAX&amp;zgRef=zillow</v>
      </c>
      <c r="N264" s="5" t="str">
        <f ca="1">IFERROR(__xludf.DUMMYFUNCTION("""COMPUTED_VALUE"""),"https://drive.google.com/open?id=1hqZQ-OHDpn88e21nYEOkA7sE1ROSjUBK, https://drive.google.com/open?id=1SySN_BmuW17vbiGzXnMuvrXPMZM3D0Eh, https://drive.google.com/open?id=1JuDAsf82YD-IvdHwepeQAW9TTt2yOfGP, https://drive.google.com/open?id=1iUDqt4UMRb9QxXNnO"&amp;"hkwcTZ8sNpAZePy")</f>
        <v>https://drive.google.com/open?id=1hqZQ-OHDpn88e21nYEOkA7sE1ROSjUBK, https://drive.google.com/open?id=1SySN_BmuW17vbiGzXnMuvrXPMZM3D0Eh, https://drive.google.com/open?id=1JuDAsf82YD-IvdHwepeQAW9TTt2yOfGP, https://drive.google.com/open?id=1iUDqt4UMRb9QxXNnOhkwcTZ8sNpAZePy</v>
      </c>
      <c r="O264" s="5">
        <f ca="1">IFERROR(__xludf.DUMMYFUNCTION("""COMPUTED_VALUE"""),2423040017)</f>
        <v>2423040017</v>
      </c>
      <c r="P264" s="5" t="str">
        <f ca="1">IFERROR(__xludf.DUMMYFUNCTION("""COMPUTED_VALUE"""),"(213) 693-4849")</f>
        <v>(213) 693-4849</v>
      </c>
      <c r="Q264" s="5"/>
      <c r="R264" s="5"/>
      <c r="S264" s="5"/>
      <c r="T264" s="5"/>
    </row>
    <row r="265" spans="1:20" ht="12.75">
      <c r="A265" s="24">
        <f ca="1">IFERROR(__xludf.DUMMYFUNCTION("""COMPUTED_VALUE"""),45669.7894474537)</f>
        <v>45669.789447453702</v>
      </c>
      <c r="B265" s="5" t="str">
        <f ca="1">IFERROR(__xludf.DUMMYFUNCTION("""COMPUTED_VALUE"""),"15105 Mulholland Dr")</f>
        <v>15105 Mulholland Dr</v>
      </c>
      <c r="C265" s="5" t="str">
        <f ca="1">IFERROR(__xludf.DUMMYFUNCTION("""COMPUTED_VALUE"""),"Los Angeles")</f>
        <v>Los Angeles</v>
      </c>
      <c r="D265" s="5" t="str">
        <f ca="1">IFERROR(__xludf.DUMMYFUNCTION("""COMPUTED_VALUE"""),"CA")</f>
        <v>CA</v>
      </c>
      <c r="E265" s="5">
        <f ca="1">IFERROR(__xludf.DUMMYFUNCTION("""COMPUTED_VALUE"""),90077)</f>
        <v>90077</v>
      </c>
      <c r="F265" s="19">
        <f ca="1">IFERROR(__xludf.DUMMYFUNCTION("""COMPUTED_VALUE"""),58500)</f>
        <v>58500</v>
      </c>
      <c r="G265" s="19">
        <f ca="1">IFERROR(__xludf.DUMMYFUNCTION("""COMPUTED_VALUE"""),70000)</f>
        <v>70000</v>
      </c>
      <c r="H265" s="18">
        <f ca="1">IFERROR(__xludf.DUMMYFUNCTION("""COMPUTED_VALUE"""),45668)</f>
        <v>45668</v>
      </c>
      <c r="I265" s="5" t="str">
        <f ca="1">IFERROR(__xludf.DUMMYFUNCTION("""COMPUTED_VALUE"""),"Zillow")</f>
        <v>Zillow</v>
      </c>
      <c r="J265" s="25" t="str">
        <f ca="1">IFERROR(__xludf.DUMMYFUNCTION("""COMPUTED_VALUE"""),"https://www.zillow.com/homedetails/15105-Mulholland-Dr-Los-Angeles-CA-90077/19990206_zpid/")</f>
        <v>https://www.zillow.com/homedetails/15105-Mulholland-Dr-Los-Angeles-CA-90077/19990206_zpid/</v>
      </c>
      <c r="K265" s="5" t="str">
        <f ca="1">IFERROR(__xludf.DUMMYFUNCTION("""COMPUTED_VALUE"""),"HangNy Nguyen Advance Estate Realty")</f>
        <v>HangNy Nguyen Advance Estate Realty</v>
      </c>
      <c r="L265" s="5"/>
      <c r="M265" s="5"/>
      <c r="N265" s="26" t="str">
        <f ca="1">IFERROR(__xludf.DUMMYFUNCTION("""COMPUTED_VALUE"""),"https://drive.google.com/open?id=16BcWxiHgDEVc2qXkR3c2Do5-EiPYJXr5")</f>
        <v>https://drive.google.com/open?id=16BcWxiHgDEVc2qXkR3c2Do5-EiPYJXr5</v>
      </c>
      <c r="O265" s="5">
        <f ca="1">IFERROR(__xludf.DUMMYFUNCTION("""COMPUTED_VALUE"""),2279026021)</f>
        <v>2279026021</v>
      </c>
      <c r="P265" s="5" t="str">
        <f ca="1">IFERROR(__xludf.DUMMYFUNCTION("""COMPUTED_VALUE"""),"(714) 657-4821")</f>
        <v>(714) 657-4821</v>
      </c>
      <c r="Q265" s="5"/>
      <c r="R265" s="5"/>
      <c r="S265" s="5"/>
      <c r="T265" s="5"/>
    </row>
    <row r="266" spans="1:20" ht="12.75">
      <c r="A266" s="24">
        <f ca="1">IFERROR(__xludf.DUMMYFUNCTION("""COMPUTED_VALUE"""),45669.7954579282)</f>
        <v>45669.795457928201</v>
      </c>
      <c r="B266" s="5" t="str">
        <f ca="1">IFERROR(__xludf.DUMMYFUNCTION("""COMPUTED_VALUE"""),"1106 Maybrook Dr")</f>
        <v>1106 Maybrook Dr</v>
      </c>
      <c r="C266" s="5" t="str">
        <f ca="1">IFERROR(__xludf.DUMMYFUNCTION("""COMPUTED_VALUE"""),"Beverly Hills")</f>
        <v>Beverly Hills</v>
      </c>
      <c r="D266" s="5" t="str">
        <f ca="1">IFERROR(__xludf.DUMMYFUNCTION("""COMPUTED_VALUE"""),"CA")</f>
        <v>CA</v>
      </c>
      <c r="E266" s="5">
        <f ca="1">IFERROR(__xludf.DUMMYFUNCTION("""COMPUTED_VALUE"""),90210)</f>
        <v>90210</v>
      </c>
      <c r="F266" s="19">
        <f ca="1">IFERROR(__xludf.DUMMYFUNCTION("""COMPUTED_VALUE"""),13950)</f>
        <v>13950</v>
      </c>
      <c r="G266" s="19">
        <f ca="1">IFERROR(__xludf.DUMMYFUNCTION("""COMPUTED_VALUE"""),18000)</f>
        <v>18000</v>
      </c>
      <c r="H266" s="18">
        <f ca="1">IFERROR(__xludf.DUMMYFUNCTION("""COMPUTED_VALUE"""),45670)</f>
        <v>45670</v>
      </c>
      <c r="I266" s="5" t="str">
        <f ca="1">IFERROR(__xludf.DUMMYFUNCTION("""COMPUTED_VALUE"""),"Zillow")</f>
        <v>Zillow</v>
      </c>
      <c r="J266" s="25" t="str">
        <f ca="1">IFERROR(__xludf.DUMMYFUNCTION("""COMPUTED_VALUE"""),"https://www.zillow.com/homedetails/1106-Maybrook-Dr-Beverly-Hills-CA-90210/20524112_zpid/")</f>
        <v>https://www.zillow.com/homedetails/1106-Maybrook-Dr-Beverly-Hills-CA-90210/20524112_zpid/</v>
      </c>
      <c r="K266" s="5" t="str">
        <f ca="1">IFERROR(__xludf.DUMMYFUNCTION("""COMPUTED_VALUE"""),"Jd medwin")</f>
        <v>Jd medwin</v>
      </c>
      <c r="L266" s="5" t="str">
        <f ca="1">IFERROR(__xludf.DUMMYFUNCTION("""COMPUTED_VALUE"""),"Jd medwin")</f>
        <v>Jd medwin</v>
      </c>
      <c r="M266" s="5"/>
      <c r="N266" s="26" t="str">
        <f ca="1">IFERROR(__xludf.DUMMYFUNCTION("""COMPUTED_VALUE"""),"https://drive.google.com/open?id=1Moi4mL06HTx-hH8O5r7L2tAEA_2_zFnw")</f>
        <v>https://drive.google.com/open?id=1Moi4mL06HTx-hH8O5r7L2tAEA_2_zFnw</v>
      </c>
      <c r="O266" s="5">
        <f ca="1">IFERROR(__xludf.DUMMYFUNCTION("""COMPUTED_VALUE"""),4358014024)</f>
        <v>4358014024</v>
      </c>
      <c r="P266" s="5"/>
      <c r="Q266" s="5" t="str">
        <f ca="1">IFERROR(__xludf.DUMMYFUNCTION("""COMPUTED_VALUE"""),"NA@NA.NA")</f>
        <v>NA@NA.NA</v>
      </c>
      <c r="R266" s="5" t="str">
        <f ca="1">IFERROR(__xludf.DUMMYFUNCTION("""COMPUTED_VALUE"""),"NA")</f>
        <v>NA</v>
      </c>
      <c r="S266" s="5" t="str">
        <f ca="1">IFERROR(__xludf.DUMMYFUNCTION("""COMPUTED_VALUE"""),"NA@NA.NA")</f>
        <v>NA@NA.NA</v>
      </c>
      <c r="T266" s="5"/>
    </row>
    <row r="267" spans="1:20" ht="12.75">
      <c r="A267" s="24">
        <f ca="1">IFERROR(__xludf.DUMMYFUNCTION("""COMPUTED_VALUE"""),45669.8000558217)</f>
        <v>45669.800055821703</v>
      </c>
      <c r="B267" s="5" t="str">
        <f ca="1">IFERROR(__xludf.DUMMYFUNCTION("""COMPUTED_VALUE"""),"201 N California St")</f>
        <v>201 N California St</v>
      </c>
      <c r="C267" s="5" t="str">
        <f ca="1">IFERROR(__xludf.DUMMYFUNCTION("""COMPUTED_VALUE"""),"Burbank")</f>
        <v>Burbank</v>
      </c>
      <c r="D267" s="5" t="str">
        <f ca="1">IFERROR(__xludf.DUMMYFUNCTION("""COMPUTED_VALUE"""),"CA")</f>
        <v>CA</v>
      </c>
      <c r="E267" s="5">
        <f ca="1">IFERROR(__xludf.DUMMYFUNCTION("""COMPUTED_VALUE"""),91505)</f>
        <v>91505</v>
      </c>
      <c r="F267" s="19">
        <f ca="1">IFERROR(__xludf.DUMMYFUNCTION("""COMPUTED_VALUE"""),7900)</f>
        <v>7900</v>
      </c>
      <c r="G267" s="19">
        <f ca="1">IFERROR(__xludf.DUMMYFUNCTION("""COMPUTED_VALUE"""),12734.8)</f>
        <v>12734.8</v>
      </c>
      <c r="H267" s="18">
        <f ca="1">IFERROR(__xludf.DUMMYFUNCTION("""COMPUTED_VALUE"""),45668)</f>
        <v>45668</v>
      </c>
      <c r="I267" s="5" t="str">
        <f ca="1">IFERROR(__xludf.DUMMYFUNCTION("""COMPUTED_VALUE"""),"Zillow")</f>
        <v>Zillow</v>
      </c>
      <c r="J267" s="25" t="str">
        <f ca="1">IFERROR(__xludf.DUMMYFUNCTION("""COMPUTED_VALUE"""),"https://www.zillow.com/homedetails/Burbank-CA-91505/20065843_zpid/")</f>
        <v>https://www.zillow.com/homedetails/Burbank-CA-91505/20065843_zpid/</v>
      </c>
      <c r="K267" s="5" t="str">
        <f ca="1">IFERROR(__xludf.DUMMYFUNCTION("""COMPUTED_VALUE"""),"Cameron Hunter •DRE #01900152 ")</f>
        <v xml:space="preserve">Cameron Hunter •DRE #01900152 </v>
      </c>
      <c r="L267" s="5"/>
      <c r="M267" s="5"/>
      <c r="N267" s="26" t="str">
        <f ca="1">IFERROR(__xludf.DUMMYFUNCTION("""COMPUTED_VALUE"""),"https://drive.google.com/open?id=1x3Vp3RMfXD7RCn4k1KhkaLqNf2fMqP3e")</f>
        <v>https://drive.google.com/open?id=1x3Vp3RMfXD7RCn4k1KhkaLqNf2fMqP3e</v>
      </c>
      <c r="O267" s="5" t="str">
        <f ca="1">IFERROR(__xludf.DUMMYFUNCTION("""COMPUTED_VALUE"""),"2483-018-407")</f>
        <v>2483-018-407</v>
      </c>
      <c r="P267" s="5"/>
      <c r="Q267" s="5"/>
      <c r="R267" s="5"/>
      <c r="S267" s="5"/>
      <c r="T267" s="5"/>
    </row>
    <row r="268" spans="1:20" ht="12.75">
      <c r="A268" s="24">
        <f ca="1">IFERROR(__xludf.DUMMYFUNCTION("""COMPUTED_VALUE"""),45669.8007503588)</f>
        <v>45669.800750358801</v>
      </c>
      <c r="B268" s="5" t="str">
        <f ca="1">IFERROR(__xludf.DUMMYFUNCTION("""COMPUTED_VALUE"""),"8666 Hollywood Blvd")</f>
        <v>8666 Hollywood Blvd</v>
      </c>
      <c r="C268" s="5" t="str">
        <f ca="1">IFERROR(__xludf.DUMMYFUNCTION("""COMPUTED_VALUE"""),"Los Angeles")</f>
        <v>Los Angeles</v>
      </c>
      <c r="D268" s="5" t="str">
        <f ca="1">IFERROR(__xludf.DUMMYFUNCTION("""COMPUTED_VALUE"""),"CA")</f>
        <v>CA</v>
      </c>
      <c r="E268" s="5">
        <f ca="1">IFERROR(__xludf.DUMMYFUNCTION("""COMPUTED_VALUE"""),90069)</f>
        <v>90069</v>
      </c>
      <c r="F268" s="19">
        <f ca="1">IFERROR(__xludf.DUMMYFUNCTION("""COMPUTED_VALUE"""),14995)</f>
        <v>14995</v>
      </c>
      <c r="G268" s="19">
        <f ca="1">IFERROR(__xludf.DUMMYFUNCTION("""COMPUTED_VALUE"""),17500)</f>
        <v>17500</v>
      </c>
      <c r="H268" s="18">
        <f ca="1">IFERROR(__xludf.DUMMYFUNCTION("""COMPUTED_VALUE"""),45670)</f>
        <v>45670</v>
      </c>
      <c r="I268" s="5" t="str">
        <f ca="1">IFERROR(__xludf.DUMMYFUNCTION("""COMPUTED_VALUE"""),"Zillow")</f>
        <v>Zillow</v>
      </c>
      <c r="J268" s="25" t="str">
        <f ca="1">IFERROR(__xludf.DUMMYFUNCTION("""COMPUTED_VALUE"""),"https://www.zillow.com/homedetails/8666-Hollywood-Blvd-Los-Angeles-CA-90069/20799046_zpid/")</f>
        <v>https://www.zillow.com/homedetails/8666-Hollywood-Blvd-Los-Angeles-CA-90069/20799046_zpid/</v>
      </c>
      <c r="K268" s="5" t="str">
        <f ca="1">IFERROR(__xludf.DUMMYFUNCTION("""COMPUTED_VALUE"""),"Sherel Levi")</f>
        <v>Sherel Levi</v>
      </c>
      <c r="L268" s="5"/>
      <c r="M268" s="5"/>
      <c r="N268" s="26" t="str">
        <f ca="1">IFERROR(__xludf.DUMMYFUNCTION("""COMPUTED_VALUE"""),"https://drive.google.com/open?id=1jKWUbrryJO2HGARe7FU8TJzWhmJEN4t0")</f>
        <v>https://drive.google.com/open?id=1jKWUbrryJO2HGARe7FU8TJzWhmJEN4t0</v>
      </c>
      <c r="O268" s="5">
        <f ca="1">IFERROR(__xludf.DUMMYFUNCTION("""COMPUTED_VALUE"""),5559015004)</f>
        <v>5559015004</v>
      </c>
      <c r="P268" s="5" t="str">
        <f ca="1">IFERROR(__xludf.DUMMYFUNCTION("""COMPUTED_VALUE"""),"(323) 893-2637")</f>
        <v>(323) 893-2637</v>
      </c>
      <c r="Q268" s="5"/>
      <c r="R268" s="5"/>
      <c r="S268" s="5"/>
      <c r="T268" s="5"/>
    </row>
    <row r="269" spans="1:20" ht="12.75">
      <c r="A269" s="24">
        <f ca="1">IFERROR(__xludf.DUMMYFUNCTION("""COMPUTED_VALUE"""),45669.8041808564)</f>
        <v>45669.804180856401</v>
      </c>
      <c r="B269" s="5" t="str">
        <f ca="1">IFERROR(__xludf.DUMMYFUNCTION("""COMPUTED_VALUE"""),"10714 Franklin Ave")</f>
        <v>10714 Franklin Ave</v>
      </c>
      <c r="C269" s="5" t="str">
        <f ca="1">IFERROR(__xludf.DUMMYFUNCTION("""COMPUTED_VALUE"""),"Culver City")</f>
        <v>Culver City</v>
      </c>
      <c r="D269" s="5" t="str">
        <f ca="1">IFERROR(__xludf.DUMMYFUNCTION("""COMPUTED_VALUE"""),"CA")</f>
        <v>CA</v>
      </c>
      <c r="E269" s="5">
        <f ca="1">IFERROR(__xludf.DUMMYFUNCTION("""COMPUTED_VALUE"""),90230)</f>
        <v>90230</v>
      </c>
      <c r="F269" s="19">
        <f ca="1">IFERROR(__xludf.DUMMYFUNCTION("""COMPUTED_VALUE"""),4200)</f>
        <v>4200</v>
      </c>
      <c r="G269" s="19">
        <f ca="1">IFERROR(__xludf.DUMMYFUNCTION("""COMPUTED_VALUE"""),5000)</f>
        <v>5000</v>
      </c>
      <c r="H269" s="18">
        <f ca="1">IFERROR(__xludf.DUMMYFUNCTION("""COMPUTED_VALUE"""),45666)</f>
        <v>45666</v>
      </c>
      <c r="I269" s="5" t="str">
        <f ca="1">IFERROR(__xludf.DUMMYFUNCTION("""COMPUTED_VALUE"""),"Zillow")</f>
        <v>Zillow</v>
      </c>
      <c r="J269" s="25" t="str">
        <f ca="1">IFERROR(__xludf.DUMMYFUNCTION("""COMPUTED_VALUE"""),"https://www.zillow.com/homedetails/10714-Franklin-Ave-Culver-City-CA-90230/20434510_zpid/")</f>
        <v>https://www.zillow.com/homedetails/10714-Franklin-Ave-Culver-City-CA-90230/20434510_zpid/</v>
      </c>
      <c r="K269" s="5" t="str">
        <f ca="1">IFERROR(__xludf.DUMMYFUNCTION("""COMPUTED_VALUE"""),"   Courtney     ")</f>
        <v xml:space="preserve">   Courtney     </v>
      </c>
      <c r="L269" s="5"/>
      <c r="M269" s="5"/>
      <c r="N269" s="26" t="str">
        <f ca="1">IFERROR(__xludf.DUMMYFUNCTION("""COMPUTED_VALUE"""),"https://drive.google.com/open?id=1z9NXhbEDm_M5w6CnT0khDRyOldxpX6wP")</f>
        <v>https://drive.google.com/open?id=1z9NXhbEDm_M5w6CnT0khDRyOldxpX6wP</v>
      </c>
      <c r="O269" s="5">
        <f ca="1">IFERROR(__xludf.DUMMYFUNCTION("""COMPUTED_VALUE"""),4210018031)</f>
        <v>4210018031</v>
      </c>
      <c r="P269" s="5" t="str">
        <f ca="1">IFERROR(__xludf.DUMMYFUNCTION("""COMPUTED_VALUE"""),"(310) 848-3199")</f>
        <v>(310) 848-3199</v>
      </c>
      <c r="Q269" s="5"/>
      <c r="R269" s="5"/>
      <c r="S269" s="5"/>
      <c r="T269" s="5"/>
    </row>
    <row r="270" spans="1:20" ht="12.75">
      <c r="A270" s="24">
        <f ca="1">IFERROR(__xludf.DUMMYFUNCTION("""COMPUTED_VALUE"""),45669.8088136226)</f>
        <v>45669.8088136226</v>
      </c>
      <c r="B270" s="5" t="str">
        <f ca="1">IFERROR(__xludf.DUMMYFUNCTION("""COMPUTED_VALUE"""),"2903 Lincoln Blvd #221")</f>
        <v>2903 Lincoln Blvd #221</v>
      </c>
      <c r="C270" s="5" t="str">
        <f ca="1">IFERROR(__xludf.DUMMYFUNCTION("""COMPUTED_VALUE"""),"Santa Monica")</f>
        <v>Santa Monica</v>
      </c>
      <c r="D270" s="5" t="str">
        <f ca="1">IFERROR(__xludf.DUMMYFUNCTION("""COMPUTED_VALUE"""),"CA")</f>
        <v>CA</v>
      </c>
      <c r="E270" s="5">
        <f ca="1">IFERROR(__xludf.DUMMYFUNCTION("""COMPUTED_VALUE"""),90405)</f>
        <v>90405</v>
      </c>
      <c r="F270" s="19">
        <f ca="1">IFERROR(__xludf.DUMMYFUNCTION("""COMPUTED_VALUE"""),3249)</f>
        <v>3249</v>
      </c>
      <c r="G270" s="19">
        <f ca="1">IFERROR(__xludf.DUMMYFUNCTION("""COMPUTED_VALUE"""),31490)</f>
        <v>31490</v>
      </c>
      <c r="H270" s="18">
        <f ca="1">IFERROR(__xludf.DUMMYFUNCTION("""COMPUTED_VALUE"""),45664)</f>
        <v>45664</v>
      </c>
      <c r="I270" s="5" t="str">
        <f ca="1">IFERROR(__xludf.DUMMYFUNCTION("""COMPUTED_VALUE"""),"Zillow")</f>
        <v>Zillow</v>
      </c>
      <c r="J270" s="25" t="str">
        <f ca="1">IFERROR(__xludf.DUMMYFUNCTION("""COMPUTED_VALUE"""),"https://www.zillow.com/homedetails/2903-Lincoln-Blvd-221-Santa-Monica-CA-90405/2055723866_zpid/")</f>
        <v>https://www.zillow.com/homedetails/2903-Lincoln-Blvd-221-Santa-Monica-CA-90405/2055723866_zpid/</v>
      </c>
      <c r="K270" s="5" t="str">
        <f ca="1">IFERROR(__xludf.DUMMYFUNCTION("""COMPUTED_VALUE"""),"CIM Group LP")</f>
        <v>CIM Group LP</v>
      </c>
      <c r="L270" s="5"/>
      <c r="M270" s="5"/>
      <c r="N270" s="26" t="str">
        <f ca="1">IFERROR(__xludf.DUMMYFUNCTION("""COMPUTED_VALUE"""),"https://drive.google.com/open?id=1XXMoL6w-TiLSS2C5JukczKtdTI6Ml5XT")</f>
        <v>https://drive.google.com/open?id=1XXMoL6w-TiLSS2C5JukczKtdTI6Ml5XT</v>
      </c>
      <c r="O270" s="5" t="str">
        <f ca="1">IFERROR(__xludf.DUMMYFUNCTION("""COMPUTED_VALUE"""),"NA")</f>
        <v>NA</v>
      </c>
      <c r="P270" s="5" t="str">
        <f ca="1">IFERROR(__xludf.DUMMYFUNCTION("""COMPUTED_VALUE"""),"(657) 837-2645")</f>
        <v>(657) 837-2645</v>
      </c>
      <c r="Q270" s="5"/>
      <c r="R270" s="5"/>
      <c r="S270" s="5"/>
      <c r="T270" s="5"/>
    </row>
    <row r="271" spans="1:20" ht="12.75">
      <c r="A271" s="24">
        <f ca="1">IFERROR(__xludf.DUMMYFUNCTION("""COMPUTED_VALUE"""),45669.8117511689)</f>
        <v>45669.811751168898</v>
      </c>
      <c r="B271" s="5" t="str">
        <f ca="1">IFERROR(__xludf.DUMMYFUNCTION("""COMPUTED_VALUE"""),"7599 W Coastal Dr")</f>
        <v>7599 W Coastal Dr</v>
      </c>
      <c r="C271" s="5" t="str">
        <f ca="1">IFERROR(__xludf.DUMMYFUNCTION("""COMPUTED_VALUE"""),"Los Angeles")</f>
        <v>Los Angeles</v>
      </c>
      <c r="D271" s="5" t="str">
        <f ca="1">IFERROR(__xludf.DUMMYFUNCTION("""COMPUTED_VALUE"""),"CA")</f>
        <v>CA</v>
      </c>
      <c r="E271" s="5">
        <f ca="1">IFERROR(__xludf.DUMMYFUNCTION("""COMPUTED_VALUE"""),90045)</f>
        <v>90045</v>
      </c>
      <c r="F271" s="19">
        <f ca="1">IFERROR(__xludf.DUMMYFUNCTION("""COMPUTED_VALUE"""),25000)</f>
        <v>25000</v>
      </c>
      <c r="G271" s="19">
        <f ca="1">IFERROR(__xludf.DUMMYFUNCTION("""COMPUTED_VALUE"""),33333)</f>
        <v>33333</v>
      </c>
      <c r="H271" s="18">
        <f ca="1">IFERROR(__xludf.DUMMYFUNCTION("""COMPUTED_VALUE"""),45665)</f>
        <v>45665</v>
      </c>
      <c r="I271" s="5" t="str">
        <f ca="1">IFERROR(__xludf.DUMMYFUNCTION("""COMPUTED_VALUE"""),"Zillow")</f>
        <v>Zillow</v>
      </c>
      <c r="J271" s="25" t="str">
        <f ca="1">IFERROR(__xludf.DUMMYFUNCTION("""COMPUTED_VALUE"""),"https://www.zillow.com/homedetails/7599-W-Coastal-View-Dr-Los-Angeles-CA-90045/443793824_zpid/?utm_campaign=iosappmessage&amp;utm_medium=referral&amp;utm_source=txtshare")</f>
        <v>https://www.zillow.com/homedetails/7599-W-Coastal-View-Dr-Los-Angeles-CA-90045/443793824_zpid/?utm_campaign=iosappmessage&amp;utm_medium=referral&amp;utm_source=txtshare</v>
      </c>
      <c r="K271" s="5" t="str">
        <f ca="1">IFERROR(__xludf.DUMMYFUNCTION("""COMPUTED_VALUE"""),"James Scott Suarez")</f>
        <v>James Scott Suarez</v>
      </c>
      <c r="L271" s="5"/>
      <c r="M271" s="5"/>
      <c r="N271" s="26" t="str">
        <f ca="1">IFERROR(__xludf.DUMMYFUNCTION("""COMPUTED_VALUE"""),"https://drive.google.com/open?id=1pmlGPUW-dbDyMNDuu5UMKihfmhSUF8si")</f>
        <v>https://drive.google.com/open?id=1pmlGPUW-dbDyMNDuu5UMKihfmhSUF8si</v>
      </c>
      <c r="O271" s="5" t="str">
        <f ca="1">IFERROR(__xludf.DUMMYFUNCTION("""COMPUTED_VALUE"""),"NA")</f>
        <v>NA</v>
      </c>
      <c r="P271" s="5" t="str">
        <f ca="1">IFERROR(__xludf.DUMMYFUNCTION("""COMPUTED_VALUE"""),"(424) 425-3775")</f>
        <v>(424) 425-3775</v>
      </c>
      <c r="Q271" s="5"/>
      <c r="R271" s="5"/>
      <c r="S271" s="5"/>
      <c r="T271" s="5"/>
    </row>
    <row r="272" spans="1:20" ht="12.75">
      <c r="A272" s="24">
        <f ca="1">IFERROR(__xludf.DUMMYFUNCTION("""COMPUTED_VALUE"""),45669.8135563657)</f>
        <v>45669.813556365698</v>
      </c>
      <c r="B272" s="5" t="str">
        <f ca="1">IFERROR(__xludf.DUMMYFUNCTION("""COMPUTED_VALUE"""),"1104 Casiano Rd")</f>
        <v>1104 Casiano Rd</v>
      </c>
      <c r="C272" s="5" t="str">
        <f ca="1">IFERROR(__xludf.DUMMYFUNCTION("""COMPUTED_VALUE"""),"Los Angeles")</f>
        <v>Los Angeles</v>
      </c>
      <c r="D272" s="5" t="str">
        <f ca="1">IFERROR(__xludf.DUMMYFUNCTION("""COMPUTED_VALUE"""),"CA")</f>
        <v>CA</v>
      </c>
      <c r="E272" s="5">
        <f ca="1">IFERROR(__xludf.DUMMYFUNCTION("""COMPUTED_VALUE"""),90049)</f>
        <v>90049</v>
      </c>
      <c r="F272" s="19">
        <f ca="1">IFERROR(__xludf.DUMMYFUNCTION("""COMPUTED_VALUE"""),9500)</f>
        <v>9500</v>
      </c>
      <c r="G272" s="19">
        <f ca="1">IFERROR(__xludf.DUMMYFUNCTION("""COMPUTED_VALUE"""),12500)</f>
        <v>12500</v>
      </c>
      <c r="H272" s="18">
        <f ca="1">IFERROR(__xludf.DUMMYFUNCTION("""COMPUTED_VALUE"""),45669)</f>
        <v>45669</v>
      </c>
      <c r="I272" s="5" t="str">
        <f ca="1">IFERROR(__xludf.DUMMYFUNCTION("""COMPUTED_VALUE"""),"Zillow")</f>
        <v>Zillow</v>
      </c>
      <c r="J272" s="25" t="str">
        <f ca="1">IFERROR(__xludf.DUMMYFUNCTION("""COMPUTED_VALUE"""),"https://www.zillow.com/los-angeles-ca/rentals/?searchQueryState=%7B%22pagination%22%3A%7B%7D%2C%22isMapVisible%22%3Atrue%2C%22mapBounds%22%3A%7B%22west%22%3A-118.52363831787109%2C%22east%22%3A-118.4144616821289%2C%22south%22%3A34.03261687026668%2C%22north"&amp;"%22%3A34.12929785798081%7D%2C%22regionSelection%22%3A%5B%7B%22regionId%22%3A12447%2C%22regionType%22%3A6%7D%5D%2C%22filterState%22%3A%7B%22fr%22%3A%7B%22value%22%3Atrue%7D%2C%22fsba%22%3A%7B%22value%22%3Afalse%7D%2C%22fsbo%22%3A%7B%22value%22%3Afalse%7D%2"&amp;"C%22nc%22%3A%7B%22value%22%3Afalse%7D%2C%22cmsn%22%3A%7B%22value%22%3Afalse%7D%2C%22auc%22%3A%7B%22value%22%3Afalse%7D%2C%22fore%22%3A%7B%22value%22%3Afalse%7D%7D%2C%22isListVisible%22%3Atrue%2C%22mapZoom%22%3A13%7D")</f>
        <v>https://www.zillow.com/los-angeles-ca/rentals/?searchQueryState=%7B%22pagination%22%3A%7B%7D%2C%22isMapVisible%22%3Atrue%2C%22mapBounds%22%3A%7B%22west%22%3A-118.52363831787109%2C%22east%22%3A-118.4144616821289%2C%22south%22%3A34.03261687026668%2C%22north%22%3A34.12929785798081%7D%2C%22regionSelection%22%3A%5B%7B%22regionId%22%3A12447%2C%22regionType%22%3A6%7D%5D%2C%22filterState%22%3A%7B%22fr%22%3A%7B%22value%22%3Atrue%7D%2C%22fsba%22%3A%7B%22value%22%3Afalse%7D%2C%22fsbo%22%3A%7B%22value%22%3Afalse%7D%2C%22nc%22%3A%7B%22value%22%3Afalse%7D%2C%22cmsn%22%3A%7B%22value%22%3Afalse%7D%2C%22auc%22%3A%7B%22value%22%3Afalse%7D%2C%22fore%22%3A%7B%22value%22%3Afalse%7D%7D%2C%22isListVisible%22%3Atrue%2C%22mapZoom%22%3A13%7D</v>
      </c>
      <c r="K272" s="5"/>
      <c r="L272" s="5" t="str">
        <f ca="1">IFERROR(__xludf.DUMMYFUNCTION("""COMPUTED_VALUE"""),"Dina Goldstein")</f>
        <v>Dina Goldstein</v>
      </c>
      <c r="M272" s="5"/>
      <c r="N272" s="5" t="str">
        <f ca="1">IFERROR(__xludf.DUMMYFUNCTION("""COMPUTED_VALUE"""),"https://drive.google.com/open?id=1hUF40jtHmwEUFRlQlBnzS_AArT52eupk, https://drive.google.com/open?id=1FpGzB3F7EGQWqEeOHkVGeutGD_JhP3xC")</f>
        <v>https://drive.google.com/open?id=1hUF40jtHmwEUFRlQlBnzS_AArT52eupk, https://drive.google.com/open?id=1FpGzB3F7EGQWqEeOHkVGeutGD_JhP3xC</v>
      </c>
      <c r="O272" s="5" t="str">
        <f ca="1">IFERROR(__xludf.DUMMYFUNCTION("""COMPUTED_VALUE"""),"4368-011-012")</f>
        <v>4368-011-012</v>
      </c>
      <c r="P272" s="5"/>
      <c r="Q272" s="5"/>
      <c r="R272" s="5" t="str">
        <f ca="1">IFERROR(__xludf.DUMMYFUNCTION("""COMPUTED_VALUE"""),"(310) 508-5563")</f>
        <v>(310) 508-5563</v>
      </c>
      <c r="S272" s="5"/>
      <c r="T272" s="5"/>
    </row>
    <row r="273" spans="1:20" ht="12.75">
      <c r="A273" s="24">
        <f ca="1">IFERROR(__xludf.DUMMYFUNCTION("""COMPUTED_VALUE"""),45669.8146455324)</f>
        <v>45669.814645532402</v>
      </c>
      <c r="B273" s="5" t="str">
        <f ca="1">IFERROR(__xludf.DUMMYFUNCTION("""COMPUTED_VALUE"""),"3552 Federal Ave")</f>
        <v>3552 Federal Ave</v>
      </c>
      <c r="C273" s="5" t="str">
        <f ca="1">IFERROR(__xludf.DUMMYFUNCTION("""COMPUTED_VALUE"""),"Los Angeles")</f>
        <v>Los Angeles</v>
      </c>
      <c r="D273" s="5" t="str">
        <f ca="1">IFERROR(__xludf.DUMMYFUNCTION("""COMPUTED_VALUE"""),"CA")</f>
        <v>CA</v>
      </c>
      <c r="E273" s="5">
        <f ca="1">IFERROR(__xludf.DUMMYFUNCTION("""COMPUTED_VALUE"""),90066)</f>
        <v>90066</v>
      </c>
      <c r="F273" s="19">
        <f ca="1">IFERROR(__xludf.DUMMYFUNCTION("""COMPUTED_VALUE"""),8000)</f>
        <v>8000</v>
      </c>
      <c r="G273" s="19">
        <f ca="1">IFERROR(__xludf.DUMMYFUNCTION("""COMPUTED_VALUE"""),24000)</f>
        <v>24000</v>
      </c>
      <c r="H273" s="18">
        <f ca="1">IFERROR(__xludf.DUMMYFUNCTION("""COMPUTED_VALUE"""),44954)</f>
        <v>44954</v>
      </c>
      <c r="I273" s="5" t="str">
        <f ca="1">IFERROR(__xludf.DUMMYFUNCTION("""COMPUTED_VALUE"""),"Zillow")</f>
        <v>Zillow</v>
      </c>
      <c r="J273" s="25" t="str">
        <f ca="1">IFERROR(__xludf.DUMMYFUNCTION("""COMPUTED_VALUE"""),"https://www.zillow.com/homedetails/3552-Federal-Ave-Los-Angeles-CA-90066/20458262_zpid/")</f>
        <v>https://www.zillow.com/homedetails/3552-Federal-Ave-Los-Angeles-CA-90066/20458262_zpid/</v>
      </c>
      <c r="K273" s="5" t="str">
        <f ca="1">IFERROR(__xludf.DUMMYFUNCTION("""COMPUTED_VALUE"""),"Gabriel Palmrot")</f>
        <v>Gabriel Palmrot</v>
      </c>
      <c r="L273" s="5"/>
      <c r="M273" s="5"/>
      <c r="N273" s="26" t="str">
        <f ca="1">IFERROR(__xludf.DUMMYFUNCTION("""COMPUTED_VALUE"""),"https://drive.google.com/open?id=1wM0IFIAro2SiNr32j0Uu4L5rl__obEfv")</f>
        <v>https://drive.google.com/open?id=1wM0IFIAro2SiNr32j0Uu4L5rl__obEfv</v>
      </c>
      <c r="O273" s="5">
        <f ca="1">IFERROR(__xludf.DUMMYFUNCTION("""COMPUTED_VALUE"""),4249023015)</f>
        <v>4249023015</v>
      </c>
      <c r="P273" s="5" t="str">
        <f ca="1">IFERROR(__xludf.DUMMYFUNCTION("""COMPUTED_VALUE"""),"(424) 394-5309")</f>
        <v>(424) 394-5309</v>
      </c>
      <c r="Q273" s="5"/>
      <c r="R273" s="5"/>
      <c r="S273" s="5"/>
      <c r="T273" s="5"/>
    </row>
    <row r="274" spans="1:20" ht="12.75">
      <c r="A274" s="24">
        <f ca="1">IFERROR(__xludf.DUMMYFUNCTION("""COMPUTED_VALUE"""),45669.8157595023)</f>
        <v>45669.8157595023</v>
      </c>
      <c r="B274" s="5" t="str">
        <f ca="1">IFERROR(__xludf.DUMMYFUNCTION("""COMPUTED_VALUE"""),"1741 Stearns Dr")</f>
        <v>1741 Stearns Dr</v>
      </c>
      <c r="C274" s="5" t="str">
        <f ca="1">IFERROR(__xludf.DUMMYFUNCTION("""COMPUTED_VALUE"""),"Los Angeles")</f>
        <v>Los Angeles</v>
      </c>
      <c r="D274" s="5" t="str">
        <f ca="1">IFERROR(__xludf.DUMMYFUNCTION("""COMPUTED_VALUE"""),"CA")</f>
        <v>CA</v>
      </c>
      <c r="E274" s="5">
        <f ca="1">IFERROR(__xludf.DUMMYFUNCTION("""COMPUTED_VALUE"""),90035)</f>
        <v>90035</v>
      </c>
      <c r="F274" s="19">
        <f ca="1">IFERROR(__xludf.DUMMYFUNCTION("""COMPUTED_VALUE"""),14995)</f>
        <v>14995</v>
      </c>
      <c r="G274" s="19">
        <f ca="1">IFERROR(__xludf.DUMMYFUNCTION("""COMPUTED_VALUE"""),19999)</f>
        <v>19999</v>
      </c>
      <c r="H274" s="18">
        <f ca="1">IFERROR(__xludf.DUMMYFUNCTION("""COMPUTED_VALUE"""),45667)</f>
        <v>45667</v>
      </c>
      <c r="I274" s="5" t="str">
        <f ca="1">IFERROR(__xludf.DUMMYFUNCTION("""COMPUTED_VALUE"""),"Zillow")</f>
        <v>Zillow</v>
      </c>
      <c r="J274" s="25" t="str">
        <f ca="1">IFERROR(__xludf.DUMMYFUNCTION("""COMPUTED_VALUE"""),"https://www.zillow.com/homedetails/1741-Stearns-Dr-Los-Angeles-CA-90035/20598494_zpid/")</f>
        <v>https://www.zillow.com/homedetails/1741-Stearns-Dr-Los-Angeles-CA-90035/20598494_zpid/</v>
      </c>
      <c r="K274" s="5" t="str">
        <f ca="1">IFERROR(__xludf.DUMMYFUNCTION("""COMPUTED_VALUE"""),"Shay Gozlan")</f>
        <v>Shay Gozlan</v>
      </c>
      <c r="L274" s="5"/>
      <c r="M274" s="5" t="str">
        <f ca="1">IFERROR(__xludf.DUMMYFUNCTION("""COMPUTED_VALUE"""),"https://www.instagram.com/shaygozlan_realestate/
Returned listing back to original price on 1/12/2025 from $19,999 to $14,995")</f>
        <v>https://www.instagram.com/shaygozlan_realestate/
Returned listing back to original price on 1/12/2025 from $19,999 to $14,995</v>
      </c>
      <c r="N274" s="26" t="str">
        <f ca="1">IFERROR(__xludf.DUMMYFUNCTION("""COMPUTED_VALUE"""),"https://drive.google.com/open?id=1p2XOVhogUXb7dN4gfi2IxKOc086UDmVB")</f>
        <v>https://drive.google.com/open?id=1p2XOVhogUXb7dN4gfi2IxKOc086UDmVB</v>
      </c>
      <c r="O274" s="5">
        <f ca="1">IFERROR(__xludf.DUMMYFUNCTION("""COMPUTED_VALUE"""),5066008031)</f>
        <v>5066008031</v>
      </c>
      <c r="P274" s="5" t="str">
        <f ca="1">IFERROR(__xludf.DUMMYFUNCTION("""COMPUTED_VALUE"""),"(213) 905-6544")</f>
        <v>(213) 905-6544</v>
      </c>
      <c r="Q274" s="5"/>
      <c r="R274" s="5"/>
      <c r="S274" s="5"/>
      <c r="T274" s="5"/>
    </row>
    <row r="275" spans="1:20" ht="12.75">
      <c r="A275" s="24">
        <f ca="1">IFERROR(__xludf.DUMMYFUNCTION("""COMPUTED_VALUE"""),45669.8163412268)</f>
        <v>45669.816341226797</v>
      </c>
      <c r="B275" s="5" t="str">
        <f ca="1">IFERROR(__xludf.DUMMYFUNCTION("""COMPUTED_VALUE"""),"2229 Willetta St")</f>
        <v>2229 Willetta St</v>
      </c>
      <c r="C275" s="5" t="str">
        <f ca="1">IFERROR(__xludf.DUMMYFUNCTION("""COMPUTED_VALUE"""),"Los Angeles")</f>
        <v>Los Angeles</v>
      </c>
      <c r="D275" s="5" t="str">
        <f ca="1">IFERROR(__xludf.DUMMYFUNCTION("""COMPUTED_VALUE"""),"CA")</f>
        <v>CA</v>
      </c>
      <c r="E275" s="5">
        <f ca="1">IFERROR(__xludf.DUMMYFUNCTION("""COMPUTED_VALUE"""),90068)</f>
        <v>90068</v>
      </c>
      <c r="F275" s="19">
        <f ca="1">IFERROR(__xludf.DUMMYFUNCTION("""COMPUTED_VALUE"""),10500)</f>
        <v>10500</v>
      </c>
      <c r="G275" s="19">
        <f ca="1">IFERROR(__xludf.DUMMYFUNCTION("""COMPUTED_VALUE"""),16500)</f>
        <v>16500</v>
      </c>
      <c r="H275" s="18">
        <f ca="1">IFERROR(__xludf.DUMMYFUNCTION("""COMPUTED_VALUE"""),45669)</f>
        <v>45669</v>
      </c>
      <c r="I275" s="5" t="str">
        <f ca="1">IFERROR(__xludf.DUMMYFUNCTION("""COMPUTED_VALUE"""),"Zillow")</f>
        <v>Zillow</v>
      </c>
      <c r="J275" s="25" t="str">
        <f ca="1">IFERROR(__xludf.DUMMYFUNCTION("""COMPUTED_VALUE"""),"https://www.zillow.com/homedetails/2229-Willetta-St-Los-Angeles-CA-90068/20804418_zpid/?utm_campaign=iosappmessage&amp;utm_medium=referral&amp;utm_source=txtshare")</f>
        <v>https://www.zillow.com/homedetails/2229-Willetta-St-Los-Angeles-CA-90068/20804418_zpid/?utm_campaign=iosappmessage&amp;utm_medium=referral&amp;utm_source=txtshare</v>
      </c>
      <c r="K275" s="5" t="str">
        <f ca="1">IFERROR(__xludf.DUMMYFUNCTION("""COMPUTED_VALUE"""),"Mike")</f>
        <v>Mike</v>
      </c>
      <c r="L275" s="5"/>
      <c r="M275" s="5"/>
      <c r="N275" s="26" t="str">
        <f ca="1">IFERROR(__xludf.DUMMYFUNCTION("""COMPUTED_VALUE"""),"https://drive.google.com/open?id=16Id389rDEvuyJNQgvmDD421AMifV41GW")</f>
        <v>https://drive.google.com/open?id=16Id389rDEvuyJNQgvmDD421AMifV41GW</v>
      </c>
      <c r="O275" s="5">
        <f ca="1">IFERROR(__xludf.DUMMYFUNCTION("""COMPUTED_VALUE"""),5576015017)</f>
        <v>5576015017</v>
      </c>
      <c r="P275" s="5" t="str">
        <f ca="1">IFERROR(__xludf.DUMMYFUNCTION("""COMPUTED_VALUE"""),"(213) 466-1186")</f>
        <v>(213) 466-1186</v>
      </c>
      <c r="Q275" s="5"/>
      <c r="R275" s="5"/>
      <c r="S275" s="5"/>
      <c r="T275" s="5"/>
    </row>
    <row r="276" spans="1:20" ht="12.75">
      <c r="A276" s="24">
        <f ca="1">IFERROR(__xludf.DUMMYFUNCTION("""COMPUTED_VALUE"""),45669.8164694213)</f>
        <v>45669.816469421297</v>
      </c>
      <c r="B276" s="5" t="str">
        <f ca="1">IFERROR(__xludf.DUMMYFUNCTION("""COMPUTED_VALUE"""),"11455 Segrell Way")</f>
        <v>11455 Segrell Way</v>
      </c>
      <c r="C276" s="5" t="str">
        <f ca="1">IFERROR(__xludf.DUMMYFUNCTION("""COMPUTED_VALUE"""),"Culver City")</f>
        <v>Culver City</v>
      </c>
      <c r="D276" s="5" t="str">
        <f ca="1">IFERROR(__xludf.DUMMYFUNCTION("""COMPUTED_VALUE"""),"CA")</f>
        <v>CA</v>
      </c>
      <c r="E276" s="5">
        <f ca="1">IFERROR(__xludf.DUMMYFUNCTION("""COMPUTED_VALUE"""),90230)</f>
        <v>90230</v>
      </c>
      <c r="F276" s="19">
        <f ca="1">IFERROR(__xludf.DUMMYFUNCTION("""COMPUTED_VALUE"""),8950)</f>
        <v>8950</v>
      </c>
      <c r="G276" s="19">
        <f ca="1">IFERROR(__xludf.DUMMYFUNCTION("""COMPUTED_VALUE"""),9970)</f>
        <v>9970</v>
      </c>
      <c r="H276" s="18">
        <f ca="1">IFERROR(__xludf.DUMMYFUNCTION("""COMPUTED_VALUE"""),-684817)</f>
        <v>-684817</v>
      </c>
      <c r="I276" s="5" t="str">
        <f ca="1">IFERROR(__xludf.DUMMYFUNCTION("""COMPUTED_VALUE"""),"Zillow")</f>
        <v>Zillow</v>
      </c>
      <c r="J276" s="25" t="str">
        <f ca="1">IFERROR(__xludf.DUMMYFUNCTION("""COMPUTED_VALUE"""),"https://www.zillow.com/homedetails/11455-Segrell-Way-Culver-City-CA-90230/20438430_zpid/")</f>
        <v>https://www.zillow.com/homedetails/11455-Segrell-Way-Culver-City-CA-90230/20438430_zpid/</v>
      </c>
      <c r="K276" s="5" t="str">
        <f ca="1">IFERROR(__xludf.DUMMYFUNCTION("""COMPUTED_VALUE"""),"Todd Miller DRE # 01389620 310-923-5353, KW Advisors")</f>
        <v>Todd Miller DRE # 01389620 310-923-5353, KW Advisors</v>
      </c>
      <c r="L276" s="5"/>
      <c r="M276" s="5"/>
      <c r="N276" s="5" t="str">
        <f ca="1">IFERROR(__xludf.DUMMYFUNCTION("""COMPUTED_VALUE"""),"https://drive.google.com/open?id=1nbGSlmqxN1nLCaKBYgJcYnz91F2BK1_b, https://drive.google.com/open?id=1AUpWxiQ2Jg_ijD8UJLL6RXS05_GEmLpK")</f>
        <v>https://drive.google.com/open?id=1nbGSlmqxN1nLCaKBYgJcYnz91F2BK1_b, https://drive.google.com/open?id=1AUpWxiQ2Jg_ijD8UJLL6RXS05_GEmLpK</v>
      </c>
      <c r="O276" s="5">
        <f ca="1">IFERROR(__xludf.DUMMYFUNCTION("""COMPUTED_VALUE"""),4216022014)</f>
        <v>4216022014</v>
      </c>
      <c r="P276" s="5" t="str">
        <f ca="1">IFERROR(__xludf.DUMMYFUNCTION("""COMPUTED_VALUE"""),"310-482-2200")</f>
        <v>310-482-2200</v>
      </c>
      <c r="Q276" s="5"/>
      <c r="R276" s="5"/>
      <c r="S276" s="5"/>
      <c r="T276" s="5"/>
    </row>
    <row r="277" spans="1:20" ht="12.75">
      <c r="A277" s="24">
        <f ca="1">IFERROR(__xludf.DUMMYFUNCTION("""COMPUTED_VALUE"""),45669.8166868402)</f>
        <v>45669.816686840197</v>
      </c>
      <c r="B277" s="5" t="str">
        <f ca="1">IFERROR(__xludf.DUMMYFUNCTION("""COMPUTED_VALUE"""),"11310 Valley Spring Ln")</f>
        <v>11310 Valley Spring Ln</v>
      </c>
      <c r="C277" s="5" t="str">
        <f ca="1">IFERROR(__xludf.DUMMYFUNCTION("""COMPUTED_VALUE"""),"north hollywood")</f>
        <v>north hollywood</v>
      </c>
      <c r="D277" s="5" t="str">
        <f ca="1">IFERROR(__xludf.DUMMYFUNCTION("""COMPUTED_VALUE"""),"CA")</f>
        <v>CA</v>
      </c>
      <c r="E277" s="5">
        <f ca="1">IFERROR(__xludf.DUMMYFUNCTION("""COMPUTED_VALUE"""),91602)</f>
        <v>91602</v>
      </c>
      <c r="F277" s="19">
        <f ca="1">IFERROR(__xludf.DUMMYFUNCTION("""COMPUTED_VALUE"""),10950)</f>
        <v>10950</v>
      </c>
      <c r="G277" s="19">
        <f ca="1">IFERROR(__xludf.DUMMYFUNCTION("""COMPUTED_VALUE"""),12950)</f>
        <v>12950</v>
      </c>
      <c r="H277" s="18">
        <f ca="1">IFERROR(__xludf.DUMMYFUNCTION("""COMPUTED_VALUE"""),45668)</f>
        <v>45668</v>
      </c>
      <c r="I277" s="5" t="str">
        <f ca="1">IFERROR(__xludf.DUMMYFUNCTION("""COMPUTED_VALUE"""),"Zillow")</f>
        <v>Zillow</v>
      </c>
      <c r="J277" s="25" t="str">
        <f ca="1">IFERROR(__xludf.DUMMYFUNCTION("""COMPUTED_VALUE"""),"https://www.zillow.com/homedetails/11310-Valley-Spring-Ln-North-Hollywood-CA-91602/80620474_zpid/")</f>
        <v>https://www.zillow.com/homedetails/11310-Valley-Spring-Ln-North-Hollywood-CA-91602/80620474_zpid/</v>
      </c>
      <c r="K277" s="5" t="str">
        <f ca="1">IFERROR(__xludf.DUMMYFUNCTION("""COMPUTED_VALUE"""),"mike medina")</f>
        <v>mike medina</v>
      </c>
      <c r="L277" s="5"/>
      <c r="M277" s="5" t="str">
        <f ca="1">IFERROR(__xludf.DUMMYFUNCTION("""COMPUTED_VALUE"""),"has been vacant a while, price was dropped twice since September 2024. all of a sudden a huge increase in spike since the LA fires")</f>
        <v>has been vacant a while, price was dropped twice since September 2024. all of a sudden a huge increase in spike since the LA fires</v>
      </c>
      <c r="N277" s="26" t="str">
        <f ca="1">IFERROR(__xludf.DUMMYFUNCTION("""COMPUTED_VALUE"""),"https://drive.google.com/open?id=1bmzYjkvGlufXrTKBcwKKAUgYUxt1EJ2J")</f>
        <v>https://drive.google.com/open?id=1bmzYjkvGlufXrTKBcwKKAUgYUxt1EJ2J</v>
      </c>
      <c r="O277" s="5">
        <f ca="1">IFERROR(__xludf.DUMMYFUNCTION("""COMPUTED_VALUE"""),5563001012)</f>
        <v>5563001012</v>
      </c>
      <c r="P277" s="5" t="str">
        <f ca="1">IFERROR(__xludf.DUMMYFUNCTION("""COMPUTED_VALUE"""),"(562) 456-5651")</f>
        <v>(562) 456-5651</v>
      </c>
      <c r="Q277" s="5"/>
      <c r="R277" s="5"/>
      <c r="S277" s="5"/>
      <c r="T277" s="5"/>
    </row>
    <row r="278" spans="1:20" ht="12.75">
      <c r="A278" s="24">
        <f ca="1">IFERROR(__xludf.DUMMYFUNCTION("""COMPUTED_VALUE"""),45669.817711493)</f>
        <v>45669.817711493</v>
      </c>
      <c r="B278" s="5" t="str">
        <f ca="1">IFERROR(__xludf.DUMMYFUNCTION("""COMPUTED_VALUE"""),"10919 Ayres Ave")</f>
        <v>10919 Ayres Ave</v>
      </c>
      <c r="C278" s="5" t="str">
        <f ca="1">IFERROR(__xludf.DUMMYFUNCTION("""COMPUTED_VALUE"""),"Los angeles")</f>
        <v>Los angeles</v>
      </c>
      <c r="D278" s="5" t="str">
        <f ca="1">IFERROR(__xludf.DUMMYFUNCTION("""COMPUTED_VALUE"""),"CA")</f>
        <v>CA</v>
      </c>
      <c r="E278" s="5">
        <f ca="1">IFERROR(__xludf.DUMMYFUNCTION("""COMPUTED_VALUE"""),90064)</f>
        <v>90064</v>
      </c>
      <c r="F278" s="19">
        <f ca="1">IFERROR(__xludf.DUMMYFUNCTION("""COMPUTED_VALUE"""),8000)</f>
        <v>8000</v>
      </c>
      <c r="G278" s="19">
        <f ca="1">IFERROR(__xludf.DUMMYFUNCTION("""COMPUTED_VALUE"""),8900)</f>
        <v>8900</v>
      </c>
      <c r="H278" s="18">
        <f ca="1">IFERROR(__xludf.DUMMYFUNCTION("""COMPUTED_VALUE"""),45666)</f>
        <v>45666</v>
      </c>
      <c r="I278" s="5" t="str">
        <f ca="1">IFERROR(__xludf.DUMMYFUNCTION("""COMPUTED_VALUE"""),"Zillow")</f>
        <v>Zillow</v>
      </c>
      <c r="J278" s="25" t="str">
        <f ca="1">IFERROR(__xludf.DUMMYFUNCTION("""COMPUTED_VALUE"""),"https://www.zillow.com/homedetails/10919-Ayres-Ave-Los-Angeles-CA-90064/2098430421_zpid/?utm_campaign=iosappmessage&amp;utm_medium=referral&amp;utm_source=txtshare")</f>
        <v>https://www.zillow.com/homedetails/10919-Ayres-Ave-Los-Angeles-CA-90064/2098430421_zpid/?utm_campaign=iosappmessage&amp;utm_medium=referral&amp;utm_source=txtshare</v>
      </c>
      <c r="K278" s="5"/>
      <c r="L278" s="5" t="str">
        <f ca="1">IFERROR(__xludf.DUMMYFUNCTION("""COMPUTED_VALUE"""),"Sam")</f>
        <v>Sam</v>
      </c>
      <c r="M278" s="5"/>
      <c r="N278" s="5" t="str">
        <f ca="1">IFERROR(__xludf.DUMMYFUNCTION("""COMPUTED_VALUE"""),"https://drive.google.com/open?id=1wJswTOxgO6ogd0_x5M7kvXbLQDQeEIap, https://drive.google.com/open?id=1wv9gjJz6WdX765LYhaa8NQM3ov3eU-tm, https://drive.google.com/open?id=1aADYqZAaxDteC6Q7WEfIclATF1ZmeCtA")</f>
        <v>https://drive.google.com/open?id=1wJswTOxgO6ogd0_x5M7kvXbLQDQeEIap, https://drive.google.com/open?id=1wv9gjJz6WdX765LYhaa8NQM3ov3eU-tm, https://drive.google.com/open?id=1aADYqZAaxDteC6Q7WEfIclATF1ZmeCtA</v>
      </c>
      <c r="O278" s="5" t="str">
        <f ca="1">IFERROR(__xludf.DUMMYFUNCTION("""COMPUTED_VALUE"""),"N/a")</f>
        <v>N/a</v>
      </c>
      <c r="P278" s="5"/>
      <c r="Q278" s="5"/>
      <c r="R278" s="5">
        <f ca="1">IFERROR(__xludf.DUMMYFUNCTION("""COMPUTED_VALUE"""),8186322411)</f>
        <v>8186322411</v>
      </c>
      <c r="S278" s="5"/>
      <c r="T278" s="5"/>
    </row>
    <row r="279" spans="1:20" ht="12.75">
      <c r="A279" s="24">
        <f ca="1">IFERROR(__xludf.DUMMYFUNCTION("""COMPUTED_VALUE"""),45669.8186774884)</f>
        <v>45669.818677488402</v>
      </c>
      <c r="B279" s="5" t="str">
        <f ca="1">IFERROR(__xludf.DUMMYFUNCTION("""COMPUTED_VALUE"""),"3452 Maplewood Ave ")</f>
        <v xml:space="preserve">3452 Maplewood Ave </v>
      </c>
      <c r="C279" s="5" t="str">
        <f ca="1">IFERROR(__xludf.DUMMYFUNCTION("""COMPUTED_VALUE"""),"Los Angeles")</f>
        <v>Los Angeles</v>
      </c>
      <c r="D279" s="5" t="str">
        <f ca="1">IFERROR(__xludf.DUMMYFUNCTION("""COMPUTED_VALUE"""),"CA")</f>
        <v>CA</v>
      </c>
      <c r="E279" s="5">
        <f ca="1">IFERROR(__xludf.DUMMYFUNCTION("""COMPUTED_VALUE"""),90066)</f>
        <v>90066</v>
      </c>
      <c r="F279" s="19">
        <f ca="1">IFERROR(__xludf.DUMMYFUNCTION("""COMPUTED_VALUE"""),16750)</f>
        <v>16750</v>
      </c>
      <c r="G279" s="19">
        <f ca="1">IFERROR(__xludf.DUMMYFUNCTION("""COMPUTED_VALUE"""),28000)</f>
        <v>28000</v>
      </c>
      <c r="H279" s="18">
        <f ca="1">IFERROR(__xludf.DUMMYFUNCTION("""COMPUTED_VALUE"""),45668)</f>
        <v>45668</v>
      </c>
      <c r="I279" s="5" t="str">
        <f ca="1">IFERROR(__xludf.DUMMYFUNCTION("""COMPUTED_VALUE"""),"Redfin")</f>
        <v>Redfin</v>
      </c>
      <c r="J279" s="25" t="str">
        <f ca="1">IFERROR(__xludf.DUMMYFUNCTION("""COMPUTED_VALUE"""),"https://www.redfin.com/CA/Los-Angeles/3452-Maplewood-Ave-90066/home/6745385")</f>
        <v>https://www.redfin.com/CA/Los-Angeles/3452-Maplewood-Ave-90066/home/6745385</v>
      </c>
      <c r="K279" s="5" t="str">
        <f ca="1">IFERROR(__xludf.DUMMYFUNCTION("""COMPUTED_VALUE"""),"Listed by Sherri Noel •DRE #01329053 • KW Advisors •310-482-2175 (agent) •sherri@sherrinoel.com (agent) Listed by Annelise Collins •DRE #01793674 • KW Advisors Bought with Janet Thompson •DRE #01406180 • First Team Real Estate")</f>
        <v>Listed by Sherri Noel •DRE #01329053 • KW Advisors •310-482-2175 (agent) •sherri@sherrinoel.com (agent) Listed by Annelise Collins •DRE #01793674 • KW Advisors Bought with Janet Thompson •DRE #01406180 • First Team Real Estate</v>
      </c>
      <c r="L279" s="5" t="str">
        <f ca="1">IFERROR(__xludf.DUMMYFUNCTION("""COMPUTED_VALUE"""),"N/A")</f>
        <v>N/A</v>
      </c>
      <c r="M279" s="5" t="str">
        <f ca="1">IFERROR(__xludf.DUMMYFUNCTION("""COMPUTED_VALUE"""),"Listing has been removed")</f>
        <v>Listing has been removed</v>
      </c>
      <c r="N279" s="26" t="str">
        <f ca="1">IFERROR(__xludf.DUMMYFUNCTION("""COMPUTED_VALUE"""),"https://drive.google.com/open?id=1-PyMDtUe4hRGJT2g366p6gb1-Py7Pc1u")</f>
        <v>https://drive.google.com/open?id=1-PyMDtUe4hRGJT2g366p6gb1-Py7Pc1u</v>
      </c>
      <c r="O279" s="5">
        <f ca="1">IFERROR(__xludf.DUMMYFUNCTION("""COMPUTED_VALUE"""),4244010003)</f>
        <v>4244010003</v>
      </c>
      <c r="P279" s="5" t="str">
        <f ca="1">IFERROR(__xludf.DUMMYFUNCTION("""COMPUTED_VALUE"""),"310-482-2175 ")</f>
        <v xml:space="preserve">310-482-2175 </v>
      </c>
      <c r="Q279" s="5"/>
      <c r="R279" s="5" t="str">
        <f ca="1">IFERROR(__xludf.DUMMYFUNCTION("""COMPUTED_VALUE"""),"N/A")</f>
        <v>N/A</v>
      </c>
      <c r="S279" s="5"/>
      <c r="T279" s="5"/>
    </row>
    <row r="280" spans="1:20" ht="12.75">
      <c r="A280" s="24">
        <f ca="1">IFERROR(__xludf.DUMMYFUNCTION("""COMPUTED_VALUE"""),45669.8190605671)</f>
        <v>45669.819060567097</v>
      </c>
      <c r="B280" s="5" t="str">
        <f ca="1">IFERROR(__xludf.DUMMYFUNCTION("""COMPUTED_VALUE"""),"2010 Vineburn Street")</f>
        <v>2010 Vineburn Street</v>
      </c>
      <c r="C280" s="5" t="str">
        <f ca="1">IFERROR(__xludf.DUMMYFUNCTION("""COMPUTED_VALUE"""),"Los Angeles")</f>
        <v>Los Angeles</v>
      </c>
      <c r="D280" s="5" t="str">
        <f ca="1">IFERROR(__xludf.DUMMYFUNCTION("""COMPUTED_VALUE"""),"CA")</f>
        <v>CA</v>
      </c>
      <c r="E280" s="5">
        <f ca="1">IFERROR(__xludf.DUMMYFUNCTION("""COMPUTED_VALUE"""),90032)</f>
        <v>90032</v>
      </c>
      <c r="F280" s="19">
        <f ca="1">IFERROR(__xludf.DUMMYFUNCTION("""COMPUTED_VALUE"""),3395)</f>
        <v>3395</v>
      </c>
      <c r="G280" s="19">
        <f ca="1">IFERROR(__xludf.DUMMYFUNCTION("""COMPUTED_VALUE"""),3800)</f>
        <v>3800</v>
      </c>
      <c r="H280" s="18">
        <f ca="1">IFERROR(__xludf.DUMMYFUNCTION("""COMPUTED_VALUE"""),-684821)</f>
        <v>-684821</v>
      </c>
      <c r="I280" s="5" t="str">
        <f ca="1">IFERROR(__xludf.DUMMYFUNCTION("""COMPUTED_VALUE"""),"Zillow")</f>
        <v>Zillow</v>
      </c>
      <c r="J280" s="25" t="str">
        <f ca="1">IFERROR(__xludf.DUMMYFUNCTION("""COMPUTED_VALUE"""),"https://www.zillow.com/homedetails/2010-Vineburn-Ave-Los-Angeles-CA-90032/20640422_zpid/")</f>
        <v>https://www.zillow.com/homedetails/2010-Vineburn-Ave-Los-Angeles-CA-90032/20640422_zpid/</v>
      </c>
      <c r="K280" s="5" t="str">
        <f ca="1">IFERROR(__xludf.DUMMYFUNCTION("""COMPUTED_VALUE"""),"Pro Properties")</f>
        <v>Pro Properties</v>
      </c>
      <c r="L280" s="5"/>
      <c r="M280" s="5"/>
      <c r="N280" s="5" t="str">
        <f ca="1">IFERROR(__xludf.DUMMYFUNCTION("""COMPUTED_VALUE"""),"https://drive.google.com/open?id=12q8bxKgVtQznwu8-d5CmocGerjBR6afY, https://drive.google.com/open?id=1_2MfNaKNNxEbPKSGNc6Xo2SSoM6u0yxz")</f>
        <v>https://drive.google.com/open?id=12q8bxKgVtQznwu8-d5CmocGerjBR6afY, https://drive.google.com/open?id=1_2MfNaKNNxEbPKSGNc6Xo2SSoM6u0yxz</v>
      </c>
      <c r="O280" s="5">
        <f ca="1">IFERROR(__xludf.DUMMYFUNCTION("""COMPUTED_VALUE"""),5215016011)</f>
        <v>5215016011</v>
      </c>
      <c r="P280" s="5" t="str">
        <f ca="1">IFERROR(__xludf.DUMMYFUNCTION("""COMPUTED_VALUE"""),"(323) 919-3491")</f>
        <v>(323) 919-3491</v>
      </c>
      <c r="Q280" s="5"/>
      <c r="R280" s="5"/>
      <c r="S280" s="5"/>
      <c r="T280" s="5"/>
    </row>
    <row r="281" spans="1:20" ht="12.75">
      <c r="A281" s="24">
        <f ca="1">IFERROR(__xludf.DUMMYFUNCTION("""COMPUTED_VALUE"""),45669.8194630555)</f>
        <v>45669.819463055501</v>
      </c>
      <c r="B281" s="5" t="str">
        <f ca="1">IFERROR(__xludf.DUMMYFUNCTION("""COMPUTED_VALUE"""),"1812 Navy St")</f>
        <v>1812 Navy St</v>
      </c>
      <c r="C281" s="5" t="str">
        <f ca="1">IFERROR(__xludf.DUMMYFUNCTION("""COMPUTED_VALUE"""),"Sant Monica")</f>
        <v>Sant Monica</v>
      </c>
      <c r="D281" s="5" t="str">
        <f ca="1">IFERROR(__xludf.DUMMYFUNCTION("""COMPUTED_VALUE"""),"CA")</f>
        <v>CA</v>
      </c>
      <c r="E281" s="5">
        <f ca="1">IFERROR(__xludf.DUMMYFUNCTION("""COMPUTED_VALUE"""),90405)</f>
        <v>90405</v>
      </c>
      <c r="F281" s="19">
        <f ca="1">IFERROR(__xludf.DUMMYFUNCTION("""COMPUTED_VALUE"""),12750)</f>
        <v>12750</v>
      </c>
      <c r="G281" s="19">
        <f ca="1">IFERROR(__xludf.DUMMYFUNCTION("""COMPUTED_VALUE"""),28000)</f>
        <v>28000</v>
      </c>
      <c r="H281" s="18">
        <f ca="1">IFERROR(__xludf.DUMMYFUNCTION("""COMPUTED_VALUE"""),45667)</f>
        <v>45667</v>
      </c>
      <c r="I281" s="5" t="str">
        <f ca="1">IFERROR(__xludf.DUMMYFUNCTION("""COMPUTED_VALUE"""),"Zillow")</f>
        <v>Zillow</v>
      </c>
      <c r="J281" s="25" t="str">
        <f ca="1">IFERROR(__xludf.DUMMYFUNCTION("""COMPUTED_VALUE"""),"https://www.zillow.com/homedetails/1812-Navy-St-Santa-Monica-CA-90405/20472397_zpid/")</f>
        <v>https://www.zillow.com/homedetails/1812-Navy-St-Santa-Monica-CA-90405/20472397_zpid/</v>
      </c>
      <c r="K281" s="5" t="str">
        <f ca="1">IFERROR(__xludf.DUMMYFUNCTION("""COMPUTED_VALUE"""),"Gabriel Palmrot Westside Estate Agency Inc.")</f>
        <v>Gabriel Palmrot Westside Estate Agency Inc.</v>
      </c>
      <c r="L281" s="5"/>
      <c r="M281" s="5"/>
      <c r="N281" s="26" t="str">
        <f ca="1">IFERROR(__xludf.DUMMYFUNCTION("""COMPUTED_VALUE"""),"https://drive.google.com/open?id=1BoZfT7wCBGlurbwqFTQ0q6fEWzic6K84")</f>
        <v>https://drive.google.com/open?id=1BoZfT7wCBGlurbwqFTQ0q6fEWzic6K84</v>
      </c>
      <c r="O281" s="5">
        <f ca="1">IFERROR(__xludf.DUMMYFUNCTION("""COMPUTED_VALUE"""),272007003)</f>
        <v>272007003</v>
      </c>
      <c r="P281" s="5" t="str">
        <f ca="1">IFERROR(__xludf.DUMMYFUNCTION("""COMPUTED_VALUE"""),"(424) 394-5309")</f>
        <v>(424) 394-5309</v>
      </c>
      <c r="Q281" s="5"/>
      <c r="R281" s="5"/>
      <c r="S281" s="5"/>
      <c r="T281" s="5"/>
    </row>
    <row r="282" spans="1:20" ht="12.75">
      <c r="A282" s="24">
        <f ca="1">IFERROR(__xludf.DUMMYFUNCTION("""COMPUTED_VALUE"""),45669.8200204398)</f>
        <v>45669.820020439802</v>
      </c>
      <c r="B282" s="5" t="str">
        <f ca="1">IFERROR(__xludf.DUMMYFUNCTION("""COMPUTED_VALUE"""),"1302 N Gardner St")</f>
        <v>1302 N Gardner St</v>
      </c>
      <c r="C282" s="5" t="str">
        <f ca="1">IFERROR(__xludf.DUMMYFUNCTION("""COMPUTED_VALUE"""),"Los Angeles")</f>
        <v>Los Angeles</v>
      </c>
      <c r="D282" s="5" t="str">
        <f ca="1">IFERROR(__xludf.DUMMYFUNCTION("""COMPUTED_VALUE"""),"CA")</f>
        <v>CA</v>
      </c>
      <c r="E282" s="5">
        <f ca="1">IFERROR(__xludf.DUMMYFUNCTION("""COMPUTED_VALUE"""),90046)</f>
        <v>90046</v>
      </c>
      <c r="F282" s="19">
        <f ca="1">IFERROR(__xludf.DUMMYFUNCTION("""COMPUTED_VALUE"""),3300)</f>
        <v>3300</v>
      </c>
      <c r="G282" s="19">
        <f ca="1">IFERROR(__xludf.DUMMYFUNCTION("""COMPUTED_VALUE"""),4500)</f>
        <v>4500</v>
      </c>
      <c r="H282" s="18">
        <f ca="1">IFERROR(__xludf.DUMMYFUNCTION("""COMPUTED_VALUE"""),45669)</f>
        <v>45669</v>
      </c>
      <c r="I282" s="5" t="str">
        <f ca="1">IFERROR(__xludf.DUMMYFUNCTION("""COMPUTED_VALUE"""),"Zillow")</f>
        <v>Zillow</v>
      </c>
      <c r="J282" s="25" t="str">
        <f ca="1">IFERROR(__xludf.DUMMYFUNCTION("""COMPUTED_VALUE"""),"https://www.zillow.com/homedetails/1302-N-Gardner-St-Los-Angeles-CA-90046/2060162532_zpid/?utm_campaign=iosappmessage&amp;utm_medium=referral&amp;utm_source=txtshare")</f>
        <v>https://www.zillow.com/homedetails/1302-N-Gardner-St-Los-Angeles-CA-90046/2060162532_zpid/?utm_campaign=iosappmessage&amp;utm_medium=referral&amp;utm_source=txtshare</v>
      </c>
      <c r="K282" s="5"/>
      <c r="L282" s="5" t="str">
        <f ca="1">IFERROR(__xludf.DUMMYFUNCTION("""COMPUTED_VALUE"""),"Jon")</f>
        <v>Jon</v>
      </c>
      <c r="M282" s="5"/>
      <c r="N282" s="26" t="str">
        <f ca="1">IFERROR(__xludf.DUMMYFUNCTION("""COMPUTED_VALUE"""),"https://drive.google.com/open?id=1Vd-8HxJdOlYz7Yafu1oukpaRO2bZZtSX")</f>
        <v>https://drive.google.com/open?id=1Vd-8HxJdOlYz7Yafu1oukpaRO2bZZtSX</v>
      </c>
      <c r="O282" s="5" t="str">
        <f ca="1">IFERROR(__xludf.DUMMYFUNCTION("""COMPUTED_VALUE"""),"NA")</f>
        <v>NA</v>
      </c>
      <c r="P282" s="5"/>
      <c r="Q282" s="5"/>
      <c r="R282" s="5" t="str">
        <f ca="1">IFERROR(__xludf.DUMMYFUNCTION("""COMPUTED_VALUE"""),"818) 269-0978")</f>
        <v>818) 269-0978</v>
      </c>
      <c r="S282" s="5"/>
      <c r="T282" s="5"/>
    </row>
    <row r="283" spans="1:20" ht="12.75">
      <c r="A283" s="24">
        <f ca="1">IFERROR(__xludf.DUMMYFUNCTION("""COMPUTED_VALUE"""),45669.8226119676)</f>
        <v>45669.822611967596</v>
      </c>
      <c r="B283" s="5" t="str">
        <f ca="1">IFERROR(__xludf.DUMMYFUNCTION("""COMPUTED_VALUE"""),"1405 Elkgrove Cir FLR 2-ID71")</f>
        <v>1405 Elkgrove Cir FLR 2-ID71</v>
      </c>
      <c r="C283" s="5" t="str">
        <f ca="1">IFERROR(__xludf.DUMMYFUNCTION("""COMPUTED_VALUE"""),"Venice")</f>
        <v>Venice</v>
      </c>
      <c r="D283" s="5" t="str">
        <f ca="1">IFERROR(__xludf.DUMMYFUNCTION("""COMPUTED_VALUE"""),"CA")</f>
        <v>CA</v>
      </c>
      <c r="E283" s="5">
        <f ca="1">IFERROR(__xludf.DUMMYFUNCTION("""COMPUTED_VALUE"""),90291)</f>
        <v>90291</v>
      </c>
      <c r="F283" s="19">
        <f ca="1">IFERROR(__xludf.DUMMYFUNCTION("""COMPUTED_VALUE"""),3910)</f>
        <v>3910</v>
      </c>
      <c r="G283" s="19">
        <f ca="1">IFERROR(__xludf.DUMMYFUNCTION("""COMPUTED_VALUE"""),4390)</f>
        <v>4390</v>
      </c>
      <c r="H283" s="18">
        <f ca="1">IFERROR(__xludf.DUMMYFUNCTION("""COMPUTED_VALUE"""),45667)</f>
        <v>45667</v>
      </c>
      <c r="I283" s="5" t="str">
        <f ca="1">IFERROR(__xludf.DUMMYFUNCTION("""COMPUTED_VALUE"""),"Zillow")</f>
        <v>Zillow</v>
      </c>
      <c r="J283" s="25" t="str">
        <f ca="1">IFERROR(__xludf.DUMMYFUNCTION("""COMPUTED_VALUE"""),"https://www.zillow.com/homedetails/1405-Elkgrove-Cir-FLOOR-2-ID71-Venice-CA-90291/439767588_zpid/")</f>
        <v>https://www.zillow.com/homedetails/1405-Elkgrove-Cir-FLOOR-2-ID71-Venice-CA-90291/439767588_zpid/</v>
      </c>
      <c r="K283" s="5" t="str">
        <f ca="1">IFERROR(__xludf.DUMMYFUNCTION("""COMPUTED_VALUE"""),"Blueground US")</f>
        <v>Blueground US</v>
      </c>
      <c r="L283" s="5"/>
      <c r="M283" s="5"/>
      <c r="N283" s="5" t="str">
        <f ca="1">IFERROR(__xludf.DUMMYFUNCTION("""COMPUTED_VALUE"""),"https://drive.google.com/open?id=1dZMhf6V3P5XLpO-wEa-mdR9jz09YL54o, https://drive.google.com/open?id=1ZncXfxkQJ9ah2Kmcky-JCKG4heuQncHT, https://drive.google.com/open?id=1c7M-yfApWKZP9eVYVfZBjsOOEQ20F5uJ")</f>
        <v>https://drive.google.com/open?id=1dZMhf6V3P5XLpO-wEa-mdR9jz09YL54o, https://drive.google.com/open?id=1ZncXfxkQJ9ah2Kmcky-JCKG4heuQncHT, https://drive.google.com/open?id=1c7M-yfApWKZP9eVYVfZBjsOOEQ20F5uJ</v>
      </c>
      <c r="O283" s="5" t="str">
        <f ca="1">IFERROR(__xludf.DUMMYFUNCTION("""COMPUTED_VALUE"""),"NA")</f>
        <v>NA</v>
      </c>
      <c r="P283" s="5" t="str">
        <f ca="1">IFERROR(__xludf.DUMMYFUNCTION("""COMPUTED_VALUE"""),"(213) 682-3969")</f>
        <v>(213) 682-3969</v>
      </c>
      <c r="Q283" s="5"/>
      <c r="R283" s="5"/>
      <c r="S283" s="5"/>
      <c r="T283" s="5"/>
    </row>
    <row r="284" spans="1:20" ht="12.75">
      <c r="A284" s="24">
        <f ca="1">IFERROR(__xludf.DUMMYFUNCTION("""COMPUTED_VALUE"""),45669.823350162)</f>
        <v>45669.823350161998</v>
      </c>
      <c r="B284" s="5" t="str">
        <f ca="1">IFERROR(__xludf.DUMMYFUNCTION("""COMPUTED_VALUE"""),"1941 Glencoe Way,")</f>
        <v>1941 Glencoe Way,</v>
      </c>
      <c r="C284" s="5" t="str">
        <f ca="1">IFERROR(__xludf.DUMMYFUNCTION("""COMPUTED_VALUE"""),"Los Angeles")</f>
        <v>Los Angeles</v>
      </c>
      <c r="D284" s="5" t="str">
        <f ca="1">IFERROR(__xludf.DUMMYFUNCTION("""COMPUTED_VALUE"""),"CA")</f>
        <v>CA</v>
      </c>
      <c r="E284" s="5">
        <f ca="1">IFERROR(__xludf.DUMMYFUNCTION("""COMPUTED_VALUE"""),90068)</f>
        <v>90068</v>
      </c>
      <c r="F284" s="19">
        <f ca="1">IFERROR(__xludf.DUMMYFUNCTION("""COMPUTED_VALUE"""),8500)</f>
        <v>8500</v>
      </c>
      <c r="G284" s="19">
        <f ca="1">IFERROR(__xludf.DUMMYFUNCTION("""COMPUTED_VALUE"""),12500)</f>
        <v>12500</v>
      </c>
      <c r="H284" s="18">
        <f ca="1">IFERROR(__xludf.DUMMYFUNCTION("""COMPUTED_VALUE"""),45668)</f>
        <v>45668</v>
      </c>
      <c r="I284" s="5" t="str">
        <f ca="1">IFERROR(__xludf.DUMMYFUNCTION("""COMPUTED_VALUE"""),"Zillow")</f>
        <v>Zillow</v>
      </c>
      <c r="J284" s="25" t="str">
        <f ca="1">IFERROR(__xludf.DUMMYFUNCTION("""COMPUTED_VALUE"""),"https://www.zillow.com/homedetails/1941-Glencoe-Way-Los-Angeles-CA-90068/20793801_zpid/?utm_campaign=iosappmessage&amp;utm_medium=referral&amp;utm_source=txtshare")</f>
        <v>https://www.zillow.com/homedetails/1941-Glencoe-Way-Los-Angeles-CA-90068/20793801_zpid/?utm_campaign=iosappmessage&amp;utm_medium=referral&amp;utm_source=txtshare</v>
      </c>
      <c r="K284" s="5"/>
      <c r="L284" s="5" t="str">
        <f ca="1">IFERROR(__xludf.DUMMYFUNCTION("""COMPUTED_VALUE"""),"Shaked and Andrea Berenson")</f>
        <v>Shaked and Andrea Berenson</v>
      </c>
      <c r="M284" s="5"/>
      <c r="N284" s="26" t="str">
        <f ca="1">IFERROR(__xludf.DUMMYFUNCTION("""COMPUTED_VALUE"""),"https://drive.google.com/open?id=18MCew9Eu7z2ksiX5nPpH4QxyPAkSA3nO")</f>
        <v>https://drive.google.com/open?id=18MCew9Eu7z2ksiX5nPpH4QxyPAkSA3nO</v>
      </c>
      <c r="O284" s="5">
        <f ca="1">IFERROR(__xludf.DUMMYFUNCTION("""COMPUTED_VALUE"""),5549022024)</f>
        <v>5549022024</v>
      </c>
      <c r="P284" s="5"/>
      <c r="Q284" s="5"/>
      <c r="R284" s="5" t="str">
        <f ca="1">IFERROR(__xludf.DUMMYFUNCTION("""COMPUTED_VALUE"""),"213) 645-2864")</f>
        <v>213) 645-2864</v>
      </c>
      <c r="S284" s="5"/>
      <c r="T284" s="5"/>
    </row>
    <row r="285" spans="1:20" ht="12.75">
      <c r="A285" s="24">
        <f ca="1">IFERROR(__xludf.DUMMYFUNCTION("""COMPUTED_VALUE"""),45669.8235779166)</f>
        <v>45669.823577916599</v>
      </c>
      <c r="B285" s="5" t="str">
        <f ca="1">IFERROR(__xludf.DUMMYFUNCTION("""COMPUTED_VALUE"""),"724 N Ogden Dr")</f>
        <v>724 N Ogden Dr</v>
      </c>
      <c r="C285" s="5" t="str">
        <f ca="1">IFERROR(__xludf.DUMMYFUNCTION("""COMPUTED_VALUE"""),"Los Angeles")</f>
        <v>Los Angeles</v>
      </c>
      <c r="D285" s="5" t="str">
        <f ca="1">IFERROR(__xludf.DUMMYFUNCTION("""COMPUTED_VALUE"""),"CA")</f>
        <v>CA</v>
      </c>
      <c r="E285" s="5">
        <f ca="1">IFERROR(__xludf.DUMMYFUNCTION("""COMPUTED_VALUE"""),90046)</f>
        <v>90046</v>
      </c>
      <c r="F285" s="19">
        <f ca="1">IFERROR(__xludf.DUMMYFUNCTION("""COMPUTED_VALUE"""),1)</f>
        <v>1</v>
      </c>
      <c r="G285" s="19">
        <f ca="1">IFERROR(__xludf.DUMMYFUNCTION("""COMPUTED_VALUE"""),25000)</f>
        <v>25000</v>
      </c>
      <c r="H285" s="18">
        <f ca="1">IFERROR(__xludf.DUMMYFUNCTION("""COMPUTED_VALUE"""),45668)</f>
        <v>45668</v>
      </c>
      <c r="I285" s="5" t="str">
        <f ca="1">IFERROR(__xludf.DUMMYFUNCTION("""COMPUTED_VALUE"""),"Zillow")</f>
        <v>Zillow</v>
      </c>
      <c r="J285" s="25" t="str">
        <f ca="1">IFERROR(__xludf.DUMMYFUNCTION("""COMPUTED_VALUE"""),"https://www.zillow.com/homedetails/724-N-Ogden-Dr-Los-Angeles-CA-90046/20785980_zpid/")</f>
        <v>https://www.zillow.com/homedetails/724-N-Ogden-Dr-Los-Angeles-CA-90046/20785980_zpid/</v>
      </c>
      <c r="K285" s="5" t="str">
        <f ca="1">IFERROR(__xludf.DUMMYFUNCTION("""COMPUTED_VALUE"""),"Tyler Buck")</f>
        <v>Tyler Buck</v>
      </c>
      <c r="L285" s="5"/>
      <c r="M285" s="5"/>
      <c r="N285" s="26" t="str">
        <f ca="1">IFERROR(__xludf.DUMMYFUNCTION("""COMPUTED_VALUE"""),"https://drive.google.com/open?id=1v_KY4rhFU1PVBscg83ETTvYK5CeLvuUV")</f>
        <v>https://drive.google.com/open?id=1v_KY4rhFU1PVBscg83ETTvYK5CeLvuUV</v>
      </c>
      <c r="O285" s="5">
        <f ca="1">IFERROR(__xludf.DUMMYFUNCTION("""COMPUTED_VALUE"""),5527009007)</f>
        <v>5527009007</v>
      </c>
      <c r="P285" s="5" t="str">
        <f ca="1">IFERROR(__xludf.DUMMYFUNCTION("""COMPUTED_VALUE"""),"(310) 735-5458")</f>
        <v>(310) 735-5458</v>
      </c>
      <c r="Q285" s="5"/>
      <c r="R285" s="5"/>
      <c r="S285" s="5"/>
      <c r="T285" s="5"/>
    </row>
    <row r="286" spans="1:20" ht="12.75">
      <c r="A286" s="24">
        <f ca="1">IFERROR(__xludf.DUMMYFUNCTION("""COMPUTED_VALUE"""),45669.8238757754)</f>
        <v>45669.823875775401</v>
      </c>
      <c r="B286" s="5" t="str">
        <f ca="1">IFERROR(__xludf.DUMMYFUNCTION("""COMPUTED_VALUE"""),"9314 Sierra Mar Dr, Los Angeles, CA 90069")</f>
        <v>9314 Sierra Mar Dr, Los Angeles, CA 90069</v>
      </c>
      <c r="C286" s="5" t="str">
        <f ca="1">IFERROR(__xludf.DUMMYFUNCTION("""COMPUTED_VALUE"""),"los angeles")</f>
        <v>los angeles</v>
      </c>
      <c r="D286" s="5" t="str">
        <f ca="1">IFERROR(__xludf.DUMMYFUNCTION("""COMPUTED_VALUE"""),"CA")</f>
        <v>CA</v>
      </c>
      <c r="E286" s="5">
        <f ca="1">IFERROR(__xludf.DUMMYFUNCTION("""COMPUTED_VALUE"""),90069)</f>
        <v>90069</v>
      </c>
      <c r="F286" s="19">
        <f ca="1">IFERROR(__xludf.DUMMYFUNCTION("""COMPUTED_VALUE"""),10000)</f>
        <v>10000</v>
      </c>
      <c r="G286" s="19">
        <f ca="1">IFERROR(__xludf.DUMMYFUNCTION("""COMPUTED_VALUE"""),14000)</f>
        <v>14000</v>
      </c>
      <c r="H286" s="18">
        <f ca="1">IFERROR(__xludf.DUMMYFUNCTION("""COMPUTED_VALUE"""),45670)</f>
        <v>45670</v>
      </c>
      <c r="I286" s="5" t="str">
        <f ca="1">IFERROR(__xludf.DUMMYFUNCTION("""COMPUTED_VALUE"""),"Zillow")</f>
        <v>Zillow</v>
      </c>
      <c r="J286" s="25" t="str">
        <f ca="1">IFERROR(__xludf.DUMMYFUNCTION("""COMPUTED_VALUE"""),"https://www.zillow.com/homedetails/9314-Sierra-Mar-Dr-Los-Angeles-CA-90069/20535099_zpid/")</f>
        <v>https://www.zillow.com/homedetails/9314-Sierra-Mar-Dr-Los-Angeles-CA-90069/20535099_zpid/</v>
      </c>
      <c r="K286" s="5" t="str">
        <f ca="1">IFERROR(__xludf.DUMMYFUNCTION("""COMPUTED_VALUE"""),"Litta Lee Coldwell Banker Realty")</f>
        <v>Litta Lee Coldwell Banker Realty</v>
      </c>
      <c r="L286" s="5"/>
      <c r="M286" s="5" t="str">
        <f ca="1">IFERROR(__xludf.DUMMYFUNCTION("""COMPUTED_VALUE"""),"listing was posted 1/11/2025 for $10,000 as of tomorrow (1/13/2025) they raised it $4,000")</f>
        <v>listing was posted 1/11/2025 for $10,000 as of tomorrow (1/13/2025) they raised it $4,000</v>
      </c>
      <c r="N286" s="26" t="str">
        <f ca="1">IFERROR(__xludf.DUMMYFUNCTION("""COMPUTED_VALUE"""),"https://drive.google.com/open?id=1To-wMgLjwDdFW73Kj5AUtuKuoe2_8nts")</f>
        <v>https://drive.google.com/open?id=1To-wMgLjwDdFW73Kj5AUtuKuoe2_8nts</v>
      </c>
      <c r="O286" s="5">
        <f ca="1">IFERROR(__xludf.DUMMYFUNCTION("""COMPUTED_VALUE"""),4392017016)</f>
        <v>4392017016</v>
      </c>
      <c r="P286" s="5" t="str">
        <f ca="1">IFERROR(__xludf.DUMMYFUNCTION("""COMPUTED_VALUE"""),"(213) 595-2455")</f>
        <v>(213) 595-2455</v>
      </c>
      <c r="Q286" s="5"/>
      <c r="R286" s="5"/>
      <c r="S286" s="5"/>
      <c r="T286" s="5"/>
    </row>
    <row r="287" spans="1:20" ht="12.75">
      <c r="A287" s="24">
        <f ca="1">IFERROR(__xludf.DUMMYFUNCTION("""COMPUTED_VALUE"""),45669.8239080324)</f>
        <v>45669.823908032398</v>
      </c>
      <c r="B287" s="5" t="str">
        <f ca="1">IFERROR(__xludf.DUMMYFUNCTION("""COMPUTED_VALUE"""),"11730 Stonehenge Ln")</f>
        <v>11730 Stonehenge Ln</v>
      </c>
      <c r="C287" s="5" t="str">
        <f ca="1">IFERROR(__xludf.DUMMYFUNCTION("""COMPUTED_VALUE"""),"Los Angeles")</f>
        <v>Los Angeles</v>
      </c>
      <c r="D287" s="5" t="str">
        <f ca="1">IFERROR(__xludf.DUMMYFUNCTION("""COMPUTED_VALUE"""),"CA")</f>
        <v>CA</v>
      </c>
      <c r="E287" s="5">
        <f ca="1">IFERROR(__xludf.DUMMYFUNCTION("""COMPUTED_VALUE"""),90077)</f>
        <v>90077</v>
      </c>
      <c r="F287" s="19">
        <f ca="1">IFERROR(__xludf.DUMMYFUNCTION("""COMPUTED_VALUE"""),48500)</f>
        <v>48500</v>
      </c>
      <c r="G287" s="19">
        <f ca="1">IFERROR(__xludf.DUMMYFUNCTION("""COMPUTED_VALUE"""),65000)</f>
        <v>65000</v>
      </c>
      <c r="H287" s="18">
        <f ca="1">IFERROR(__xludf.DUMMYFUNCTION("""COMPUTED_VALUE"""),45667)</f>
        <v>45667</v>
      </c>
      <c r="I287" s="5" t="str">
        <f ca="1">IFERROR(__xludf.DUMMYFUNCTION("""COMPUTED_VALUE"""),"Zillow")</f>
        <v>Zillow</v>
      </c>
      <c r="J287" s="25" t="str">
        <f ca="1">IFERROR(__xludf.DUMMYFUNCTION("""COMPUTED_VALUE"""),"https://www.zillow.com/homedetails/11730-Stonehenge-Ln-Los-Angeles-CA-90077/20530651_zpid/")</f>
        <v>https://www.zillow.com/homedetails/11730-Stonehenge-Ln-Los-Angeles-CA-90077/20530651_zpid/</v>
      </c>
      <c r="K287" s="5" t="str">
        <f ca="1">IFERROR(__xludf.DUMMYFUNCTION("""COMPUTED_VALUE"""),"Jana Helmig")</f>
        <v>Jana Helmig</v>
      </c>
      <c r="L287" s="5" t="str">
        <f ca="1">IFERROR(__xludf.DUMMYFUNCTION("""COMPUTED_VALUE"""),"n/a")</f>
        <v>n/a</v>
      </c>
      <c r="M287" s="5"/>
      <c r="N287" s="26" t="str">
        <f ca="1">IFERROR(__xludf.DUMMYFUNCTION("""COMPUTED_VALUE"""),"https://drive.google.com/open?id=1rQVjeY8DimBIyk6aFBpeuzdEVyIrW2Xm")</f>
        <v>https://drive.google.com/open?id=1rQVjeY8DimBIyk6aFBpeuzdEVyIrW2Xm</v>
      </c>
      <c r="O287" s="5">
        <f ca="1">IFERROR(__xludf.DUMMYFUNCTION("""COMPUTED_VALUE"""),4377046018)</f>
        <v>4377046018</v>
      </c>
      <c r="P287" s="5" t="str">
        <f ca="1">IFERROR(__xludf.DUMMYFUNCTION("""COMPUTED_VALUE"""),"(310) 890-9163")</f>
        <v>(310) 890-9163</v>
      </c>
      <c r="Q287" s="5" t="str">
        <f ca="1">IFERROR(__xludf.DUMMYFUNCTION("""COMPUTED_VALUE"""),"Ourmoderbproperties@gmail.com")</f>
        <v>Ourmoderbproperties@gmail.com</v>
      </c>
      <c r="R287" s="5" t="str">
        <f ca="1">IFERROR(__xludf.DUMMYFUNCTION("""COMPUTED_VALUE"""),"n/a")</f>
        <v>n/a</v>
      </c>
      <c r="S287" s="5"/>
      <c r="T287" s="5"/>
    </row>
    <row r="288" spans="1:20" ht="12.75">
      <c r="A288" s="24">
        <f ca="1">IFERROR(__xludf.DUMMYFUNCTION("""COMPUTED_VALUE"""),45669.8250039467)</f>
        <v>45669.825003946702</v>
      </c>
      <c r="B288" s="5" t="str">
        <f ca="1">IFERROR(__xludf.DUMMYFUNCTION("""COMPUTED_VALUE"""),"3205 Waverly Dr")</f>
        <v>3205 Waverly Dr</v>
      </c>
      <c r="C288" s="5" t="str">
        <f ca="1">IFERROR(__xludf.DUMMYFUNCTION("""COMPUTED_VALUE"""),"Los Angeles")</f>
        <v>Los Angeles</v>
      </c>
      <c r="D288" s="5" t="str">
        <f ca="1">IFERROR(__xludf.DUMMYFUNCTION("""COMPUTED_VALUE"""),"CA")</f>
        <v>CA</v>
      </c>
      <c r="E288" s="5">
        <f ca="1">IFERROR(__xludf.DUMMYFUNCTION("""COMPUTED_VALUE"""),90027)</f>
        <v>90027</v>
      </c>
      <c r="F288" s="19">
        <f ca="1">IFERROR(__xludf.DUMMYFUNCTION("""COMPUTED_VALUE"""),19000)</f>
        <v>19000</v>
      </c>
      <c r="G288" s="19">
        <f ca="1">IFERROR(__xludf.DUMMYFUNCTION("""COMPUTED_VALUE"""),25000)</f>
        <v>25000</v>
      </c>
      <c r="H288" s="18">
        <f ca="1">IFERROR(__xludf.DUMMYFUNCTION("""COMPUTED_VALUE"""),45669)</f>
        <v>45669</v>
      </c>
      <c r="I288" s="5" t="str">
        <f ca="1">IFERROR(__xludf.DUMMYFUNCTION("""COMPUTED_VALUE"""),"Zillow")</f>
        <v>Zillow</v>
      </c>
      <c r="J288" s="25" t="str">
        <f ca="1">IFERROR(__xludf.DUMMYFUNCTION("""COMPUTED_VALUE"""),"https://www.zillow.com/homedetails/3205-Waverly-Dr-Los-Angeles-CA-90027/20749233_zpid/")</f>
        <v>https://www.zillow.com/homedetails/3205-Waverly-Dr-Los-Angeles-CA-90027/20749233_zpid/</v>
      </c>
      <c r="K288" s="5" t="str">
        <f ca="1">IFERROR(__xludf.DUMMYFUNCTION("""COMPUTED_VALUE"""),"Sharona Davidian, Legacy Villa Rentals")</f>
        <v>Sharona Davidian, Legacy Villa Rentals</v>
      </c>
      <c r="L288" s="5"/>
      <c r="M288" s="5" t="str">
        <f ca="1">IFERROR(__xludf.DUMMYFUNCTION("""COMPUTED_VALUE"""),"Monthly rent was lowered twice in November 2024")</f>
        <v>Monthly rent was lowered twice in November 2024</v>
      </c>
      <c r="N288" s="5" t="str">
        <f ca="1">IFERROR(__xludf.DUMMYFUNCTION("""COMPUTED_VALUE"""),"https://drive.google.com/open?id=1JDBOaOVqAPLqWcoKd6JtRuIAuXySfJv8, https://drive.google.com/open?id=14G2UxqCDfuMHX9r6auLYUQT2_3_qIz_x")</f>
        <v>https://drive.google.com/open?id=1JDBOaOVqAPLqWcoKd6JtRuIAuXySfJv8, https://drive.google.com/open?id=14G2UxqCDfuMHX9r6auLYUQT2_3_qIz_x</v>
      </c>
      <c r="O288" s="5">
        <f ca="1">IFERROR(__xludf.DUMMYFUNCTION("""COMPUTED_VALUE"""),5434016015)</f>
        <v>5434016015</v>
      </c>
      <c r="P288" s="5" t="str">
        <f ca="1">IFERROR(__xludf.DUMMYFUNCTION("""COMPUTED_VALUE"""),"(310) 498-7574")</f>
        <v>(310) 498-7574</v>
      </c>
      <c r="Q288" s="5"/>
      <c r="R288" s="5"/>
      <c r="S288" s="5"/>
      <c r="T288" s="5"/>
    </row>
    <row r="289" spans="1:20" ht="12.75">
      <c r="A289" s="24">
        <f ca="1">IFERROR(__xludf.DUMMYFUNCTION("""COMPUTED_VALUE"""),45669.8252211226)</f>
        <v>45669.825221122599</v>
      </c>
      <c r="B289" s="5" t="str">
        <f ca="1">IFERROR(__xludf.DUMMYFUNCTION("""COMPUTED_VALUE"""),"3663 Edenhurst Ave")</f>
        <v>3663 Edenhurst Ave</v>
      </c>
      <c r="C289" s="5" t="str">
        <f ca="1">IFERROR(__xludf.DUMMYFUNCTION("""COMPUTED_VALUE"""),"Los Angeles")</f>
        <v>Los Angeles</v>
      </c>
      <c r="D289" s="5" t="str">
        <f ca="1">IFERROR(__xludf.DUMMYFUNCTION("""COMPUTED_VALUE"""),"CA")</f>
        <v>CA</v>
      </c>
      <c r="E289" s="5">
        <f ca="1">IFERROR(__xludf.DUMMYFUNCTION("""COMPUTED_VALUE"""),90039)</f>
        <v>90039</v>
      </c>
      <c r="F289" s="19">
        <f ca="1">IFERROR(__xludf.DUMMYFUNCTION("""COMPUTED_VALUE"""),8000)</f>
        <v>8000</v>
      </c>
      <c r="G289" s="19">
        <f ca="1">IFERROR(__xludf.DUMMYFUNCTION("""COMPUTED_VALUE"""),9000)</f>
        <v>9000</v>
      </c>
      <c r="H289" s="18">
        <f ca="1">IFERROR(__xludf.DUMMYFUNCTION("""COMPUTED_VALUE"""),45666)</f>
        <v>45666</v>
      </c>
      <c r="I289" s="5" t="str">
        <f ca="1">IFERROR(__xludf.DUMMYFUNCTION("""COMPUTED_VALUE"""),"Zillow")</f>
        <v>Zillow</v>
      </c>
      <c r="J289" s="25" t="str">
        <f ca="1">IFERROR(__xludf.DUMMYFUNCTION("""COMPUTED_VALUE"""),"https://www.zillow.com/homedetails/3663-Edenhurst-Ave-Los-Angeles-CA-90039/20749912_zpid/")</f>
        <v>https://www.zillow.com/homedetails/3663-Edenhurst-Ave-Los-Angeles-CA-90039/20749912_zpid/</v>
      </c>
      <c r="K289" s="5"/>
      <c r="L289" s="5" t="str">
        <f ca="1">IFERROR(__xludf.DUMMYFUNCTION("""COMPUTED_VALUE"""),"Suzie")</f>
        <v>Suzie</v>
      </c>
      <c r="M289" s="5"/>
      <c r="N289" s="5" t="str">
        <f ca="1">IFERROR(__xludf.DUMMYFUNCTION("""COMPUTED_VALUE"""),"https://drive.google.com/open?id=1r31JyTW0pgMa4UGR3qkgDyLbJdPU7Bqy, https://drive.google.com/open?id=1O3C0NcTx17JpfG-jK5bYnsnC8sLxF-ND")</f>
        <v>https://drive.google.com/open?id=1r31JyTW0pgMa4UGR3qkgDyLbJdPU7Bqy, https://drive.google.com/open?id=1O3C0NcTx17JpfG-jK5bYnsnC8sLxF-ND</v>
      </c>
      <c r="O289" s="5">
        <f ca="1">IFERROR(__xludf.DUMMYFUNCTION("""COMPUTED_VALUE"""),5435014021)</f>
        <v>5435014021</v>
      </c>
      <c r="P289" s="5"/>
      <c r="Q289" s="5"/>
      <c r="R289" s="5" t="str">
        <f ca="1">IFERROR(__xludf.DUMMYFUNCTION("""COMPUTED_VALUE"""),"(310) 909-3276")</f>
        <v>(310) 909-3276</v>
      </c>
      <c r="S289" s="5"/>
      <c r="T289" s="5"/>
    </row>
    <row r="290" spans="1:20" ht="12.75">
      <c r="A290" s="24">
        <f ca="1">IFERROR(__xludf.DUMMYFUNCTION("""COMPUTED_VALUE"""),45669.825331574)</f>
        <v>45669.825331574</v>
      </c>
      <c r="B290" s="5" t="str">
        <f ca="1">IFERROR(__xludf.DUMMYFUNCTION("""COMPUTED_VALUE"""),"8911 Cynthia St APT 9")</f>
        <v>8911 Cynthia St APT 9</v>
      </c>
      <c r="C290" s="5" t="str">
        <f ca="1">IFERROR(__xludf.DUMMYFUNCTION("""COMPUTED_VALUE"""),"West Hollywood")</f>
        <v>West Hollywood</v>
      </c>
      <c r="D290" s="5" t="str">
        <f ca="1">IFERROR(__xludf.DUMMYFUNCTION("""COMPUTED_VALUE"""),"CA")</f>
        <v>CA</v>
      </c>
      <c r="E290" s="5">
        <f ca="1">IFERROR(__xludf.DUMMYFUNCTION("""COMPUTED_VALUE"""),90069)</f>
        <v>90069</v>
      </c>
      <c r="F290" s="19">
        <f ca="1">IFERROR(__xludf.DUMMYFUNCTION("""COMPUTED_VALUE"""),6240)</f>
        <v>6240</v>
      </c>
      <c r="G290" s="19">
        <f ca="1">IFERROR(__xludf.DUMMYFUNCTION("""COMPUTED_VALUE"""),7000)</f>
        <v>7000</v>
      </c>
      <c r="H290" s="18">
        <f ca="1">IFERROR(__xludf.DUMMYFUNCTION("""COMPUTED_VALUE"""),45669)</f>
        <v>45669</v>
      </c>
      <c r="I290" s="5" t="str">
        <f ca="1">IFERROR(__xludf.DUMMYFUNCTION("""COMPUTED_VALUE"""),"Zillow")</f>
        <v>Zillow</v>
      </c>
      <c r="J290" s="25" t="str">
        <f ca="1">IFERROR(__xludf.DUMMYFUNCTION("""COMPUTED_VALUE"""),"https://www.zillow.com/homedetails/8911-Cynthia-St-APT-9-West-Hollywood-CA-90069/2100113899_zpid/")</f>
        <v>https://www.zillow.com/homedetails/8911-Cynthia-St-APT-9-West-Hollywood-CA-90069/2100113899_zpid/</v>
      </c>
      <c r="K290" s="5"/>
      <c r="L290" s="5"/>
      <c r="M290" s="5"/>
      <c r="N290" s="5" t="str">
        <f ca="1">IFERROR(__xludf.DUMMYFUNCTION("""COMPUTED_VALUE"""),"https://drive.google.com/open?id=1hJVft-WS2l1qysYYtiVdHllVUKpTzeR0, https://drive.google.com/open?id=1rEh4bXjiKOVZJVaPqoJwR9Ul2rS2BxnW")</f>
        <v>https://drive.google.com/open?id=1hJVft-WS2l1qysYYtiVdHllVUKpTzeR0, https://drive.google.com/open?id=1rEh4bXjiKOVZJVaPqoJwR9Ul2rS2BxnW</v>
      </c>
      <c r="O290" s="5" t="str">
        <f ca="1">IFERROR(__xludf.DUMMYFUNCTION("""COMPUTED_VALUE"""),"Zillow")</f>
        <v>Zillow</v>
      </c>
      <c r="P290" s="5"/>
      <c r="Q290" s="5"/>
      <c r="R290" s="5"/>
      <c r="S290" s="5"/>
      <c r="T290" s="5"/>
    </row>
    <row r="291" spans="1:20" ht="12.75">
      <c r="A291" s="24">
        <f ca="1">IFERROR(__xludf.DUMMYFUNCTION("""COMPUTED_VALUE"""),45669.8260814583)</f>
        <v>45669.826081458297</v>
      </c>
      <c r="B291" s="5" t="str">
        <f ca="1">IFERROR(__xludf.DUMMYFUNCTION("""COMPUTED_VALUE"""),"1659 Waynecrest Dr")</f>
        <v>1659 Waynecrest Dr</v>
      </c>
      <c r="C291" s="5" t="str">
        <f ca="1">IFERROR(__xludf.DUMMYFUNCTION("""COMPUTED_VALUE"""),"Beverly Hills")</f>
        <v>Beverly Hills</v>
      </c>
      <c r="D291" s="5" t="str">
        <f ca="1">IFERROR(__xludf.DUMMYFUNCTION("""COMPUTED_VALUE"""),"CA")</f>
        <v>CA</v>
      </c>
      <c r="E291" s="5">
        <f ca="1">IFERROR(__xludf.DUMMYFUNCTION("""COMPUTED_VALUE"""),90210)</f>
        <v>90210</v>
      </c>
      <c r="F291" s="19">
        <f ca="1">IFERROR(__xludf.DUMMYFUNCTION("""COMPUTED_VALUE"""),1)</f>
        <v>1</v>
      </c>
      <c r="G291" s="19">
        <f ca="1">IFERROR(__xludf.DUMMYFUNCTION("""COMPUTED_VALUE"""),65000)</f>
        <v>65000</v>
      </c>
      <c r="H291" s="18">
        <f ca="1">IFERROR(__xludf.DUMMYFUNCTION("""COMPUTED_VALUE"""),45667)</f>
        <v>45667</v>
      </c>
      <c r="I291" s="5" t="str">
        <f ca="1">IFERROR(__xludf.DUMMYFUNCTION("""COMPUTED_VALUE"""),"Zillow")</f>
        <v>Zillow</v>
      </c>
      <c r="J291" s="25" t="str">
        <f ca="1">IFERROR(__xludf.DUMMYFUNCTION("""COMPUTED_VALUE"""),"https://www.zillow.com/homedetails/1659-Waynecrest-Dr-Beverly-Hills-CA-90210/20522844_zpid/")</f>
        <v>https://www.zillow.com/homedetails/1659-Waynecrest-Dr-Beverly-Hills-CA-90210/20522844_zpid/</v>
      </c>
      <c r="K291" s="5" t="str">
        <f ca="1">IFERROR(__xludf.DUMMYFUNCTION("""COMPUTED_VALUE"""),"Joshua Altman")</f>
        <v>Joshua Altman</v>
      </c>
      <c r="L291" s="5"/>
      <c r="M291" s="5"/>
      <c r="N291" s="26" t="str">
        <f ca="1">IFERROR(__xludf.DUMMYFUNCTION("""COMPUTED_VALUE"""),"https://drive.google.com/open?id=1bA6okqOMHzTBpunt8fkIpws42Pf7AX45")</f>
        <v>https://drive.google.com/open?id=1bA6okqOMHzTBpunt8fkIpws42Pf7AX45</v>
      </c>
      <c r="O291" s="5">
        <f ca="1">IFERROR(__xludf.DUMMYFUNCTION("""COMPUTED_VALUE"""),4352006014)</f>
        <v>4352006014</v>
      </c>
      <c r="P291" s="5" t="str">
        <f ca="1">IFERROR(__xludf.DUMMYFUNCTION("""COMPUTED_VALUE"""),"(310) 819-3250")</f>
        <v>(310) 819-3250</v>
      </c>
      <c r="Q291" s="5"/>
      <c r="R291" s="5"/>
      <c r="S291" s="5"/>
      <c r="T291" s="5"/>
    </row>
    <row r="292" spans="1:20" ht="12.75">
      <c r="A292" s="24">
        <f ca="1">IFERROR(__xludf.DUMMYFUNCTION("""COMPUTED_VALUE"""),45669.826088912)</f>
        <v>45669.826088911999</v>
      </c>
      <c r="B292" s="5" t="str">
        <f ca="1">IFERROR(__xludf.DUMMYFUNCTION("""COMPUTED_VALUE"""),"11842 Culver Blvd")</f>
        <v>11842 Culver Blvd</v>
      </c>
      <c r="C292" s="5" t="str">
        <f ca="1">IFERROR(__xludf.DUMMYFUNCTION("""COMPUTED_VALUE"""),"Los Angeles")</f>
        <v>Los Angeles</v>
      </c>
      <c r="D292" s="5" t="str">
        <f ca="1">IFERROR(__xludf.DUMMYFUNCTION("""COMPUTED_VALUE"""),"CA")</f>
        <v>CA</v>
      </c>
      <c r="E292" s="5">
        <f ca="1">IFERROR(__xludf.DUMMYFUNCTION("""COMPUTED_VALUE"""),90066)</f>
        <v>90066</v>
      </c>
      <c r="F292" s="19">
        <f ca="1">IFERROR(__xludf.DUMMYFUNCTION("""COMPUTED_VALUE"""),2945)</f>
        <v>2945</v>
      </c>
      <c r="G292" s="19">
        <f ca="1">IFERROR(__xludf.DUMMYFUNCTION("""COMPUTED_VALUE"""),3680)</f>
        <v>3680</v>
      </c>
      <c r="H292" s="18">
        <f ca="1">IFERROR(__xludf.DUMMYFUNCTION("""COMPUTED_VALUE"""),45669)</f>
        <v>45669</v>
      </c>
      <c r="I292" s="5" t="str">
        <f ca="1">IFERROR(__xludf.DUMMYFUNCTION("""COMPUTED_VALUE"""),"Zillow")</f>
        <v>Zillow</v>
      </c>
      <c r="J292" s="25" t="str">
        <f ca="1">IFERROR(__xludf.DUMMYFUNCTION("""COMPUTED_VALUE"""),"https://www.zillow.com/homedetails/11842-Culver-Blvd-Los-Angeles-CA-90066/2123490972_zpid/")</f>
        <v>https://www.zillow.com/homedetails/11842-Culver-Blvd-Los-Angeles-CA-90066/2123490972_zpid/</v>
      </c>
      <c r="K292" s="5" t="str">
        <f ca="1">IFERROR(__xludf.DUMMYFUNCTION("""COMPUTED_VALUE"""),"Zuly")</f>
        <v>Zuly</v>
      </c>
      <c r="L292" s="5"/>
      <c r="M292" s="5"/>
      <c r="N292" s="26" t="str">
        <f ca="1">IFERROR(__xludf.DUMMYFUNCTION("""COMPUTED_VALUE"""),"https://drive.google.com/open?id=15qA2u2OeySJVBuMkdGhfdBG1Z2G-1g2o")</f>
        <v>https://drive.google.com/open?id=15qA2u2OeySJVBuMkdGhfdBG1Z2G-1g2o</v>
      </c>
      <c r="O292" s="5" t="str">
        <f ca="1">IFERROR(__xludf.DUMMYFUNCTION("""COMPUTED_VALUE"""),"NA")</f>
        <v>NA</v>
      </c>
      <c r="P292" s="5" t="str">
        <f ca="1">IFERROR(__xludf.DUMMYFUNCTION("""COMPUTED_VALUE"""),"(424) 234-8005")</f>
        <v>(424) 234-8005</v>
      </c>
      <c r="Q292" s="5"/>
      <c r="R292" s="5"/>
      <c r="S292" s="5"/>
      <c r="T292" s="5"/>
    </row>
    <row r="293" spans="1:20" ht="12.75">
      <c r="A293" s="24">
        <f ca="1">IFERROR(__xludf.DUMMYFUNCTION("""COMPUTED_VALUE"""),45669.8264272685)</f>
        <v>45669.826427268497</v>
      </c>
      <c r="B293" s="5" t="str">
        <f ca="1">IFERROR(__xludf.DUMMYFUNCTION("""COMPUTED_VALUE"""),"715 N Rexford Dr")</f>
        <v>715 N Rexford Dr</v>
      </c>
      <c r="C293" s="5" t="str">
        <f ca="1">IFERROR(__xludf.DUMMYFUNCTION("""COMPUTED_VALUE"""),"Beverly Hills")</f>
        <v>Beverly Hills</v>
      </c>
      <c r="D293" s="5" t="str">
        <f ca="1">IFERROR(__xludf.DUMMYFUNCTION("""COMPUTED_VALUE"""),"CA")</f>
        <v>CA</v>
      </c>
      <c r="E293" s="5">
        <f ca="1">IFERROR(__xludf.DUMMYFUNCTION("""COMPUTED_VALUE"""),90120)</f>
        <v>90120</v>
      </c>
      <c r="F293" s="19">
        <f ca="1">IFERROR(__xludf.DUMMYFUNCTION("""COMPUTED_VALUE"""),37500)</f>
        <v>37500</v>
      </c>
      <c r="G293" s="19">
        <f ca="1">IFERROR(__xludf.DUMMYFUNCTION("""COMPUTED_VALUE"""),55000)</f>
        <v>55000</v>
      </c>
      <c r="H293" s="18">
        <f ca="1">IFERROR(__xludf.DUMMYFUNCTION("""COMPUTED_VALUE"""),45669)</f>
        <v>45669</v>
      </c>
      <c r="I293" s="5" t="str">
        <f ca="1">IFERROR(__xludf.DUMMYFUNCTION("""COMPUTED_VALUE"""),"Zillow")</f>
        <v>Zillow</v>
      </c>
      <c r="J293" s="25" t="str">
        <f ca="1">IFERROR(__xludf.DUMMYFUNCTION("""COMPUTED_VALUE"""),"https://www.zillow.com/homedetails/715-N-Rexford-Dr-Beverly-Hills-CA-90210/20520993_zpid/")</f>
        <v>https://www.zillow.com/homedetails/715-N-Rexford-Dr-Beverly-Hills-CA-90210/20520993_zpid/</v>
      </c>
      <c r="K293" s="5" t="str">
        <f ca="1">IFERROR(__xludf.DUMMYFUNCTION("""COMPUTED_VALUE"""),"Luxury Property management LLC")</f>
        <v>Luxury Property management LLC</v>
      </c>
      <c r="L293" s="5"/>
      <c r="M293" s="5"/>
      <c r="N293" s="5" t="str">
        <f ca="1">IFERROR(__xludf.DUMMYFUNCTION("""COMPUTED_VALUE"""),"https://drive.google.com/open?id=1bPn_CTkilSELenMat2UAryTvU0iNhMaK, https://drive.google.com/open?id=1_EbEoyouqsgbdi1fdlwGnSf8_0vQR6JX")</f>
        <v>https://drive.google.com/open?id=1bPn_CTkilSELenMat2UAryTvU0iNhMaK, https://drive.google.com/open?id=1_EbEoyouqsgbdi1fdlwGnSf8_0vQR6JX</v>
      </c>
      <c r="O293" s="5">
        <f ca="1">IFERROR(__xludf.DUMMYFUNCTION("""COMPUTED_VALUE"""),4344003017)</f>
        <v>4344003017</v>
      </c>
      <c r="P293" s="5" t="str">
        <f ca="1">IFERROR(__xludf.DUMMYFUNCTION("""COMPUTED_VALUE"""),"(818) 620-4955")</f>
        <v>(818) 620-4955</v>
      </c>
      <c r="Q293" s="5"/>
      <c r="R293" s="5"/>
      <c r="S293" s="5"/>
      <c r="T293" s="5"/>
    </row>
    <row r="294" spans="1:20" ht="12.75">
      <c r="A294" s="24">
        <f ca="1">IFERROR(__xludf.DUMMYFUNCTION("""COMPUTED_VALUE"""),45669.8277072337)</f>
        <v>45669.8277072337</v>
      </c>
      <c r="B294" s="5" t="str">
        <f ca="1">IFERROR(__xludf.DUMMYFUNCTION("""COMPUTED_VALUE"""),"2260 Maravilla Dr,")</f>
        <v>2260 Maravilla Dr,</v>
      </c>
      <c r="C294" s="5" t="str">
        <f ca="1">IFERROR(__xludf.DUMMYFUNCTION("""COMPUTED_VALUE"""),"Los Angeles")</f>
        <v>Los Angeles</v>
      </c>
      <c r="D294" s="5" t="str">
        <f ca="1">IFERROR(__xludf.DUMMYFUNCTION("""COMPUTED_VALUE"""),"CA")</f>
        <v>CA</v>
      </c>
      <c r="E294" s="5">
        <f ca="1">IFERROR(__xludf.DUMMYFUNCTION("""COMPUTED_VALUE"""),90068)</f>
        <v>90068</v>
      </c>
      <c r="F294" s="19">
        <f ca="1">IFERROR(__xludf.DUMMYFUNCTION("""COMPUTED_VALUE"""),29900)</f>
        <v>29900</v>
      </c>
      <c r="G294" s="19">
        <f ca="1">IFERROR(__xludf.DUMMYFUNCTION("""COMPUTED_VALUE"""),34999)</f>
        <v>34999</v>
      </c>
      <c r="H294" s="18">
        <f ca="1">IFERROR(__xludf.DUMMYFUNCTION("""COMPUTED_VALUE"""),45668)</f>
        <v>45668</v>
      </c>
      <c r="I294" s="5" t="str">
        <f ca="1">IFERROR(__xludf.DUMMYFUNCTION("""COMPUTED_VALUE"""),"Zillow")</f>
        <v>Zillow</v>
      </c>
      <c r="J294" s="25" t="str">
        <f ca="1">IFERROR(__xludf.DUMMYFUNCTION("""COMPUTED_VALUE"""),"https://www.zillow.com/homedetails/2260-Maravilla-Dr-Los-Angeles-CA-90068/20793606_zpid/?utm_campaign=iosappmessage&amp;utm_medium=referral&amp;utm_source=txtshare")</f>
        <v>https://www.zillow.com/homedetails/2260-Maravilla-Dr-Los-Angeles-CA-90068/20793606_zpid/?utm_campaign=iosappmessage&amp;utm_medium=referral&amp;utm_source=txtshare</v>
      </c>
      <c r="K294" s="5"/>
      <c r="L294" s="5" t="str">
        <f ca="1">IFERROR(__xludf.DUMMYFUNCTION("""COMPUTED_VALUE"""),"peri tubul")</f>
        <v>peri tubul</v>
      </c>
      <c r="M294" s="5"/>
      <c r="N294" s="26" t="str">
        <f ca="1">IFERROR(__xludf.DUMMYFUNCTION("""COMPUTED_VALUE"""),"https://drive.google.com/open?id=1GJ_HPbHk0cqknP6y4Ce4xHkp_no6Y9UQ")</f>
        <v>https://drive.google.com/open?id=1GJ_HPbHk0cqknP6y4Ce4xHkp_no6Y9UQ</v>
      </c>
      <c r="O294" s="5">
        <f ca="1">IFERROR(__xludf.DUMMYFUNCTION("""COMPUTED_VALUE"""),5549013020)</f>
        <v>5549013020</v>
      </c>
      <c r="P294" s="5"/>
      <c r="Q294" s="5"/>
      <c r="R294" s="5" t="str">
        <f ca="1">IFERROR(__xludf.DUMMYFUNCTION("""COMPUTED_VALUE"""),"702) 502-3223")</f>
        <v>702) 502-3223</v>
      </c>
      <c r="S294" s="5"/>
      <c r="T294" s="5"/>
    </row>
    <row r="295" spans="1:20" ht="12.75">
      <c r="A295" s="24">
        <f ca="1">IFERROR(__xludf.DUMMYFUNCTION("""COMPUTED_VALUE"""),45669.8292548032)</f>
        <v>45669.829254803197</v>
      </c>
      <c r="B295" s="5" t="str">
        <f ca="1">IFERROR(__xludf.DUMMYFUNCTION("""COMPUTED_VALUE"""),"2655 Creston Dr")</f>
        <v>2655 Creston Dr</v>
      </c>
      <c r="C295" s="5" t="str">
        <f ca="1">IFERROR(__xludf.DUMMYFUNCTION("""COMPUTED_VALUE"""),"Los Angeles ")</f>
        <v xml:space="preserve">Los Angeles </v>
      </c>
      <c r="D295" s="5" t="str">
        <f ca="1">IFERROR(__xludf.DUMMYFUNCTION("""COMPUTED_VALUE"""),"CA")</f>
        <v>CA</v>
      </c>
      <c r="E295" s="5">
        <f ca="1">IFERROR(__xludf.DUMMYFUNCTION("""COMPUTED_VALUE"""),90068)</f>
        <v>90068</v>
      </c>
      <c r="F295" s="19">
        <f ca="1">IFERROR(__xludf.DUMMYFUNCTION("""COMPUTED_VALUE"""),1)</f>
        <v>1</v>
      </c>
      <c r="G295" s="19">
        <f ca="1">IFERROR(__xludf.DUMMYFUNCTION("""COMPUTED_VALUE"""),19500)</f>
        <v>19500</v>
      </c>
      <c r="H295" s="18">
        <f ca="1">IFERROR(__xludf.DUMMYFUNCTION("""COMPUTED_VALUE"""),45669)</f>
        <v>45669</v>
      </c>
      <c r="I295" s="5" t="str">
        <f ca="1">IFERROR(__xludf.DUMMYFUNCTION("""COMPUTED_VALUE"""),"Zillow")</f>
        <v>Zillow</v>
      </c>
      <c r="J295" s="25" t="str">
        <f ca="1">IFERROR(__xludf.DUMMYFUNCTION("""COMPUTED_VALUE"""),"https://www.zillow.com/homedetails/2655-Creston-Dr-Los-Angeles-CA-90068/20806979_zpid/")</f>
        <v>https://www.zillow.com/homedetails/2655-Creston-Dr-Los-Angeles-CA-90068/20806979_zpid/</v>
      </c>
      <c r="K295" s="5" t="str">
        <f ca="1">IFERROR(__xludf.DUMMYFUNCTION("""COMPUTED_VALUE"""),"Dan")</f>
        <v>Dan</v>
      </c>
      <c r="L295" s="5"/>
      <c r="M295" s="5"/>
      <c r="N295" s="26" t="str">
        <f ca="1">IFERROR(__xludf.DUMMYFUNCTION("""COMPUTED_VALUE"""),"https://drive.google.com/open?id=1pYGS3ksDkiR6c0XudzDPTBxKQ7cPs0Rf")</f>
        <v>https://drive.google.com/open?id=1pYGS3ksDkiR6c0XudzDPTBxKQ7cPs0Rf</v>
      </c>
      <c r="O295" s="5">
        <f ca="1">IFERROR(__xludf.DUMMYFUNCTION("""COMPUTED_VALUE"""),5585011001)</f>
        <v>5585011001</v>
      </c>
      <c r="P295" s="5" t="str">
        <f ca="1">IFERROR(__xludf.DUMMYFUNCTION("""COMPUTED_VALUE"""),"(310) 593-0797")</f>
        <v>(310) 593-0797</v>
      </c>
      <c r="Q295" s="5"/>
      <c r="R295" s="5"/>
      <c r="S295" s="5"/>
      <c r="T295" s="5"/>
    </row>
    <row r="296" spans="1:20" ht="12.75">
      <c r="A296" s="24">
        <f ca="1">IFERROR(__xludf.DUMMYFUNCTION("""COMPUTED_VALUE"""),45669.8320613888)</f>
        <v>45669.832061388799</v>
      </c>
      <c r="B296" s="5" t="str">
        <f ca="1">IFERROR(__xludf.DUMMYFUNCTION("""COMPUTED_VALUE"""),"3935 Inglewood Blvd #3935")</f>
        <v>3935 Inglewood Blvd #3935</v>
      </c>
      <c r="C296" s="5" t="str">
        <f ca="1">IFERROR(__xludf.DUMMYFUNCTION("""COMPUTED_VALUE"""),"Los Angeles")</f>
        <v>Los Angeles</v>
      </c>
      <c r="D296" s="5" t="str">
        <f ca="1">IFERROR(__xludf.DUMMYFUNCTION("""COMPUTED_VALUE"""),"CA")</f>
        <v>CA</v>
      </c>
      <c r="E296" s="5">
        <f ca="1">IFERROR(__xludf.DUMMYFUNCTION("""COMPUTED_VALUE"""),90066)</f>
        <v>90066</v>
      </c>
      <c r="F296" s="19">
        <f ca="1">IFERROR(__xludf.DUMMYFUNCTION("""COMPUTED_VALUE"""),3999)</f>
        <v>3999</v>
      </c>
      <c r="G296" s="19">
        <f ca="1">IFERROR(__xludf.DUMMYFUNCTION("""COMPUTED_VALUE"""),4500)</f>
        <v>4500</v>
      </c>
      <c r="H296" s="18">
        <f ca="1">IFERROR(__xludf.DUMMYFUNCTION("""COMPUTED_VALUE"""),45664)</f>
        <v>45664</v>
      </c>
      <c r="I296" s="5" t="str">
        <f ca="1">IFERROR(__xludf.DUMMYFUNCTION("""COMPUTED_VALUE"""),"Zillow")</f>
        <v>Zillow</v>
      </c>
      <c r="J296" s="25" t="str">
        <f ca="1">IFERROR(__xludf.DUMMYFUNCTION("""COMPUTED_VALUE"""),"https://www.zillow.com/homedetails/3935-Inglewood-Blvd-3935-Los-Angeles-CA-90066/401885716_zpid/")</f>
        <v>https://www.zillow.com/homedetails/3935-Inglewood-Blvd-3935-Los-Angeles-CA-90066/401885716_zpid/</v>
      </c>
      <c r="K296" s="5"/>
      <c r="L296" s="5" t="str">
        <f ca="1">IFERROR(__xludf.DUMMYFUNCTION("""COMPUTED_VALUE"""),"Allen")</f>
        <v>Allen</v>
      </c>
      <c r="M296" s="5"/>
      <c r="N296" s="5" t="str">
        <f ca="1">IFERROR(__xludf.DUMMYFUNCTION("""COMPUTED_VALUE"""),"https://drive.google.com/open?id=18-FWX8oBc2ajP1l8XRJkuII87rYsI19A, https://drive.google.com/open?id=1WXGK72lpldRnrL1V3KFtiqfkM3_ie-ME")</f>
        <v>https://drive.google.com/open?id=18-FWX8oBc2ajP1l8XRJkuII87rYsI19A, https://drive.google.com/open?id=1WXGK72lpldRnrL1V3KFtiqfkM3_ie-ME</v>
      </c>
      <c r="O296" s="5" t="str">
        <f ca="1">IFERROR(__xludf.DUMMYFUNCTION("""COMPUTED_VALUE"""),"NA")</f>
        <v>NA</v>
      </c>
      <c r="P296" s="5"/>
      <c r="Q296" s="5"/>
      <c r="R296" s="5" t="str">
        <f ca="1">IFERROR(__xludf.DUMMYFUNCTION("""COMPUTED_VALUE"""),"(310) 985-1299")</f>
        <v>(310) 985-1299</v>
      </c>
      <c r="S296" s="5"/>
      <c r="T296" s="5"/>
    </row>
    <row r="297" spans="1:20" ht="12.75">
      <c r="A297" s="24">
        <f ca="1">IFERROR(__xludf.DUMMYFUNCTION("""COMPUTED_VALUE"""),45669.8325830439)</f>
        <v>45669.832583043899</v>
      </c>
      <c r="B297" s="5" t="str">
        <f ca="1">IFERROR(__xludf.DUMMYFUNCTION("""COMPUTED_VALUE"""),"2929 S Beverly Dr")</f>
        <v>2929 S Beverly Dr</v>
      </c>
      <c r="C297" s="5" t="str">
        <f ca="1">IFERROR(__xludf.DUMMYFUNCTION("""COMPUTED_VALUE"""),"Los Angeles")</f>
        <v>Los Angeles</v>
      </c>
      <c r="D297" s="5" t="str">
        <f ca="1">IFERROR(__xludf.DUMMYFUNCTION("""COMPUTED_VALUE"""),"CA")</f>
        <v>CA</v>
      </c>
      <c r="E297" s="5">
        <f ca="1">IFERROR(__xludf.DUMMYFUNCTION("""COMPUTED_VALUE"""),90034)</f>
        <v>90034</v>
      </c>
      <c r="F297" s="19">
        <f ca="1">IFERROR(__xludf.DUMMYFUNCTION("""COMPUTED_VALUE"""),1)</f>
        <v>1</v>
      </c>
      <c r="G297" s="19">
        <f ca="1">IFERROR(__xludf.DUMMYFUNCTION("""COMPUTED_VALUE"""),19500)</f>
        <v>19500</v>
      </c>
      <c r="H297" s="18">
        <f ca="1">IFERROR(__xludf.DUMMYFUNCTION("""COMPUTED_VALUE"""),45668)</f>
        <v>45668</v>
      </c>
      <c r="I297" s="5" t="str">
        <f ca="1">IFERROR(__xludf.DUMMYFUNCTION("""COMPUTED_VALUE"""),"Zillow")</f>
        <v>Zillow</v>
      </c>
      <c r="J297" s="25" t="str">
        <f ca="1">IFERROR(__xludf.DUMMYFUNCTION("""COMPUTED_VALUE"""),"https://www.zillow.com/homedetails/2929-S-Beverly-Dr-Los-Angeles-CA-90034/20495197_zpid/")</f>
        <v>https://www.zillow.com/homedetails/2929-S-Beverly-Dr-Los-Angeles-CA-90034/20495197_zpid/</v>
      </c>
      <c r="K297" s="5"/>
      <c r="L297" s="5" t="str">
        <f ca="1">IFERROR(__xludf.DUMMYFUNCTION("""COMPUTED_VALUE"""),"Fei Xiao")</f>
        <v>Fei Xiao</v>
      </c>
      <c r="M297" s="5"/>
      <c r="N297" s="26" t="str">
        <f ca="1">IFERROR(__xludf.DUMMYFUNCTION("""COMPUTED_VALUE"""),"https://drive.google.com/open?id=1A1_FC6R8Z1jrwzceiz61RHH5vzuEk5N5")</f>
        <v>https://drive.google.com/open?id=1A1_FC6R8Z1jrwzceiz61RHH5vzuEk5N5</v>
      </c>
      <c r="O297" s="5">
        <f ca="1">IFERROR(__xludf.DUMMYFUNCTION("""COMPUTED_VALUE"""),4311009018)</f>
        <v>4311009018</v>
      </c>
      <c r="P297" s="5"/>
      <c r="Q297" s="5"/>
      <c r="R297" s="5" t="str">
        <f ca="1">IFERROR(__xludf.DUMMYFUNCTION("""COMPUTED_VALUE"""),"626) 205-0606")</f>
        <v>626) 205-0606</v>
      </c>
      <c r="S297" s="5"/>
      <c r="T297" s="5"/>
    </row>
    <row r="298" spans="1:20" ht="12.75">
      <c r="A298" s="24">
        <f ca="1">IFERROR(__xludf.DUMMYFUNCTION("""COMPUTED_VALUE"""),45669.8336425925)</f>
        <v>45669.833642592501</v>
      </c>
      <c r="B298" s="5" t="str">
        <f ca="1">IFERROR(__xludf.DUMMYFUNCTION("""COMPUTED_VALUE"""),"4188 Marcasel Ave")</f>
        <v>4188 Marcasel Ave</v>
      </c>
      <c r="C298" s="5" t="str">
        <f ca="1">IFERROR(__xludf.DUMMYFUNCTION("""COMPUTED_VALUE"""),"Los Angeles")</f>
        <v>Los Angeles</v>
      </c>
      <c r="D298" s="5" t="str">
        <f ca="1">IFERROR(__xludf.DUMMYFUNCTION("""COMPUTED_VALUE"""),"CA")</f>
        <v>CA</v>
      </c>
      <c r="E298" s="5">
        <f ca="1">IFERROR(__xludf.DUMMYFUNCTION("""COMPUTED_VALUE"""),90066)</f>
        <v>90066</v>
      </c>
      <c r="F298" s="19">
        <f ca="1">IFERROR(__xludf.DUMMYFUNCTION("""COMPUTED_VALUE"""),8955)</f>
        <v>8955</v>
      </c>
      <c r="G298" s="19">
        <f ca="1">IFERROR(__xludf.DUMMYFUNCTION("""COMPUTED_VALUE"""),9000)</f>
        <v>9000</v>
      </c>
      <c r="H298" s="18">
        <f ca="1">IFERROR(__xludf.DUMMYFUNCTION("""COMPUTED_VALUE"""),45669)</f>
        <v>45669</v>
      </c>
      <c r="I298" s="5" t="str">
        <f ca="1">IFERROR(__xludf.DUMMYFUNCTION("""COMPUTED_VALUE"""),"Zillow")</f>
        <v>Zillow</v>
      </c>
      <c r="J298" s="25" t="str">
        <f ca="1">IFERROR(__xludf.DUMMYFUNCTION("""COMPUTED_VALUE"""),"https://www.zillow.com/homedetails/4188-Marcasel-Ave-Los-Angeles-CA-90066/20447597_zpid/")</f>
        <v>https://www.zillow.com/homedetails/4188-Marcasel-Ave-Los-Angeles-CA-90066/20447597_zpid/</v>
      </c>
      <c r="K298" s="5" t="str">
        <f ca="1">IFERROR(__xludf.DUMMYFUNCTION("""COMPUTED_VALUE"""),"Benchmark Management")</f>
        <v>Benchmark Management</v>
      </c>
      <c r="L298" s="5"/>
      <c r="M298" s="5" t="str">
        <f ca="1">IFERROR(__xludf.DUMMYFUNCTION("""COMPUTED_VALUE"""),"Listed for 	$9,950 in 11/2024")</f>
        <v>Listed for 	$9,950 in 11/2024</v>
      </c>
      <c r="N298" s="26" t="str">
        <f ca="1">IFERROR(__xludf.DUMMYFUNCTION("""COMPUTED_VALUE"""),"https://drive.google.com/open?id=17MUQwwoRY02n8MJ6H06objHdOIg7bXoS")</f>
        <v>https://drive.google.com/open?id=17MUQwwoRY02n8MJ6H06objHdOIg7bXoS</v>
      </c>
      <c r="O298" s="5">
        <f ca="1">IFERROR(__xludf.DUMMYFUNCTION("""COMPUTED_VALUE"""),4233014037)</f>
        <v>4233014037</v>
      </c>
      <c r="P298" s="5" t="str">
        <f ca="1">IFERROR(__xludf.DUMMYFUNCTION("""COMPUTED_VALUE"""),"(213) 660-4923")</f>
        <v>(213) 660-4923</v>
      </c>
      <c r="Q298" s="5"/>
      <c r="R298" s="5"/>
      <c r="S298" s="5"/>
      <c r="T298" s="5"/>
    </row>
    <row r="299" spans="1:20" ht="12.75">
      <c r="A299" s="24">
        <f ca="1">IFERROR(__xludf.DUMMYFUNCTION("""COMPUTED_VALUE"""),45669.8346419444)</f>
        <v>45669.834641944399</v>
      </c>
      <c r="B299" s="5" t="str">
        <f ca="1">IFERROR(__xludf.DUMMYFUNCTION("""COMPUTED_VALUE"""),"726 Pier Ave #C")</f>
        <v>726 Pier Ave #C</v>
      </c>
      <c r="C299" s="5" t="str">
        <f ca="1">IFERROR(__xludf.DUMMYFUNCTION("""COMPUTED_VALUE"""),"Santa Monica")</f>
        <v>Santa Monica</v>
      </c>
      <c r="D299" s="5" t="str">
        <f ca="1">IFERROR(__xludf.DUMMYFUNCTION("""COMPUTED_VALUE"""),"CA")</f>
        <v>CA</v>
      </c>
      <c r="E299" s="5">
        <f ca="1">IFERROR(__xludf.DUMMYFUNCTION("""COMPUTED_VALUE"""),90405)</f>
        <v>90405</v>
      </c>
      <c r="F299" s="19">
        <f ca="1">IFERROR(__xludf.DUMMYFUNCTION("""COMPUTED_VALUE"""),3499)</f>
        <v>3499</v>
      </c>
      <c r="G299" s="19">
        <f ca="1">IFERROR(__xludf.DUMMYFUNCTION("""COMPUTED_VALUE"""),4000)</f>
        <v>4000</v>
      </c>
      <c r="H299" s="18">
        <f ca="1">IFERROR(__xludf.DUMMYFUNCTION("""COMPUTED_VALUE"""),45666)</f>
        <v>45666</v>
      </c>
      <c r="I299" s="5" t="str">
        <f ca="1">IFERROR(__xludf.DUMMYFUNCTION("""COMPUTED_VALUE"""),"Zillow")</f>
        <v>Zillow</v>
      </c>
      <c r="J299" s="25" t="str">
        <f ca="1">IFERROR(__xludf.DUMMYFUNCTION("""COMPUTED_VALUE"""),"https://www.zillow.com/homedetails/726-Pier-Ave-C-Santa-Monica-CA-90405/443775974_zpid/?utm_campaign=iosappmessage&amp;utm_medium=referral&amp;utm_source=txtshare")</f>
        <v>https://www.zillow.com/homedetails/726-Pier-Ave-C-Santa-Monica-CA-90405/443775974_zpid/?utm_campaign=iosappmessage&amp;utm_medium=referral&amp;utm_source=txtshare</v>
      </c>
      <c r="K299" s="5" t="str">
        <f ca="1">IFERROR(__xludf.DUMMYFUNCTION("""COMPUTED_VALUE"""),"Jasan Sherman (Berkshire Hathaway)")</f>
        <v>Jasan Sherman (Berkshire Hathaway)</v>
      </c>
      <c r="L299" s="5"/>
      <c r="M299" s="5" t="str">
        <f ca="1">IFERROR(__xludf.DUMMYFUNCTION("""COMPUTED_VALUE"""),"Originally listed 2 days before the fire and only 1 day after fires started they raised the price by 14% on an already overpriced unit.")</f>
        <v>Originally listed 2 days before the fire and only 1 day after fires started they raised the price by 14% on an already overpriced unit.</v>
      </c>
      <c r="N299" s="26" t="str">
        <f ca="1">IFERROR(__xludf.DUMMYFUNCTION("""COMPUTED_VALUE"""),"https://drive.google.com/open?id=1wa-t42EFdoS5dec9ok4eWhE29fdOtMDg")</f>
        <v>https://drive.google.com/open?id=1wa-t42EFdoS5dec9ok4eWhE29fdOtMDg</v>
      </c>
      <c r="O299" s="5" t="str">
        <f ca="1">IFERROR(__xludf.DUMMYFUNCTION("""COMPUTED_VALUE"""),"NA")</f>
        <v>NA</v>
      </c>
      <c r="P299" s="5">
        <f ca="1">IFERROR(__xludf.DUMMYFUNCTION("""COMPUTED_VALUE"""),3106003825)</f>
        <v>3106003825</v>
      </c>
      <c r="Q299" s="5" t="str">
        <f ca="1">IFERROR(__xludf.DUMMYFUNCTION("""COMPUTED_VALUE"""),"JasanSherman@bhhscal.com")</f>
        <v>JasanSherman@bhhscal.com</v>
      </c>
      <c r="R299" s="5"/>
      <c r="S299" s="5"/>
      <c r="T299" s="5"/>
    </row>
    <row r="300" spans="1:20" ht="12.75">
      <c r="A300" s="24">
        <f ca="1">IFERROR(__xludf.DUMMYFUNCTION("""COMPUTED_VALUE"""),45669.8370161226)</f>
        <v>45669.837016122598</v>
      </c>
      <c r="B300" s="5" t="str">
        <f ca="1">IFERROR(__xludf.DUMMYFUNCTION("""COMPUTED_VALUE"""),"12354 Tiara street")</f>
        <v>12354 Tiara street</v>
      </c>
      <c r="C300" s="5" t="str">
        <f ca="1">IFERROR(__xludf.DUMMYFUNCTION("""COMPUTED_VALUE"""),"valley village")</f>
        <v>valley village</v>
      </c>
      <c r="D300" s="5" t="str">
        <f ca="1">IFERROR(__xludf.DUMMYFUNCTION("""COMPUTED_VALUE"""),"CA")</f>
        <v>CA</v>
      </c>
      <c r="E300" s="5">
        <f ca="1">IFERROR(__xludf.DUMMYFUNCTION("""COMPUTED_VALUE"""),91607)</f>
        <v>91607</v>
      </c>
      <c r="F300" s="19">
        <f ca="1">IFERROR(__xludf.DUMMYFUNCTION("""COMPUTED_VALUE"""),15900)</f>
        <v>15900</v>
      </c>
      <c r="G300" s="19">
        <f ca="1">IFERROR(__xludf.DUMMYFUNCTION("""COMPUTED_VALUE"""),18500)</f>
        <v>18500</v>
      </c>
      <c r="H300" s="18">
        <f ca="1">IFERROR(__xludf.DUMMYFUNCTION("""COMPUTED_VALUE"""),45667)</f>
        <v>45667</v>
      </c>
      <c r="I300" s="5" t="str">
        <f ca="1">IFERROR(__xludf.DUMMYFUNCTION("""COMPUTED_VALUE"""),"Zillow")</f>
        <v>Zillow</v>
      </c>
      <c r="J300" s="25" t="str">
        <f ca="1">IFERROR(__xludf.DUMMYFUNCTION("""COMPUTED_VALUE"""),"https://www.zillow.com/homedetails/12354-Tiara-St-Valley-Village-CA-91607/20013214_zpid/")</f>
        <v>https://www.zillow.com/homedetails/12354-Tiara-St-Valley-Village-CA-91607/20013214_zpid/</v>
      </c>
      <c r="K300" s="5" t="str">
        <f ca="1">IFERROR(__xludf.DUMMYFUNCTION("""COMPUTED_VALUE"""),"LVVR LLC Noelle L.")</f>
        <v>LVVR LLC Noelle L.</v>
      </c>
      <c r="L300" s="5"/>
      <c r="M300" s="5" t="str">
        <f ca="1">IFERROR(__xludf.DUMMYFUNCTION("""COMPUTED_VALUE"""),"has been vacant for months, dropped price several times up until the LA fires")</f>
        <v>has been vacant for months, dropped price several times up until the LA fires</v>
      </c>
      <c r="N300" s="26" t="str">
        <f ca="1">IFERROR(__xludf.DUMMYFUNCTION("""COMPUTED_VALUE"""),"https://drive.google.com/open?id=1EiMJBpIvxirsExEChounTX8nZzKcL8Gy")</f>
        <v>https://drive.google.com/open?id=1EiMJBpIvxirsExEChounTX8nZzKcL8Gy</v>
      </c>
      <c r="O300" s="5">
        <f ca="1">IFERROR(__xludf.DUMMYFUNCTION("""COMPUTED_VALUE"""),2340007003)</f>
        <v>2340007003</v>
      </c>
      <c r="P300" s="5" t="str">
        <f ca="1">IFERROR(__xludf.DUMMYFUNCTION("""COMPUTED_VALUE"""),"(213) 772-4190")</f>
        <v>(213) 772-4190</v>
      </c>
      <c r="Q300" s="5"/>
      <c r="R300" s="5"/>
      <c r="S300" s="5"/>
      <c r="T300" s="5"/>
    </row>
    <row r="301" spans="1:20" ht="12.75">
      <c r="A301" s="24">
        <f ca="1">IFERROR(__xludf.DUMMYFUNCTION("""COMPUTED_VALUE"""),45669.8379001157)</f>
        <v>45669.837900115701</v>
      </c>
      <c r="B301" s="5" t="str">
        <f ca="1">IFERROR(__xludf.DUMMYFUNCTION("""COMPUTED_VALUE"""),"4531 Van Nuys Blvd")</f>
        <v>4531 Van Nuys Blvd</v>
      </c>
      <c r="C301" s="5" t="str">
        <f ca="1">IFERROR(__xludf.DUMMYFUNCTION("""COMPUTED_VALUE"""),"Los Angeles")</f>
        <v>Los Angeles</v>
      </c>
      <c r="D301" s="5" t="str">
        <f ca="1">IFERROR(__xludf.DUMMYFUNCTION("""COMPUTED_VALUE"""),"CA")</f>
        <v>CA</v>
      </c>
      <c r="E301" s="5">
        <f ca="1">IFERROR(__xludf.DUMMYFUNCTION("""COMPUTED_VALUE"""),91403)</f>
        <v>91403</v>
      </c>
      <c r="F301" s="19">
        <f ca="1">IFERROR(__xludf.DUMMYFUNCTION("""COMPUTED_VALUE"""),3500)</f>
        <v>3500</v>
      </c>
      <c r="G301" s="19">
        <f ca="1">IFERROR(__xludf.DUMMYFUNCTION("""COMPUTED_VALUE"""),3950)</f>
        <v>3950</v>
      </c>
      <c r="H301" s="18">
        <f ca="1">IFERROR(__xludf.DUMMYFUNCTION("""COMPUTED_VALUE"""),45667)</f>
        <v>45667</v>
      </c>
      <c r="I301" s="5" t="str">
        <f ca="1">IFERROR(__xludf.DUMMYFUNCTION("""COMPUTED_VALUE"""),"Zillow")</f>
        <v>Zillow</v>
      </c>
      <c r="J301" s="25" t="str">
        <f ca="1">IFERROR(__xludf.DUMMYFUNCTION("""COMPUTED_VALUE"""),"https://www.zillow.com/homedetails/4531-Van-Nuys-Blvd-Sherman-Oaks-CA-91403/134800501_zpid/")</f>
        <v>https://www.zillow.com/homedetails/4531-Van-Nuys-Blvd-Sherman-Oaks-CA-91403/134800501_zpid/</v>
      </c>
      <c r="K301" s="5" t="str">
        <f ca="1">IFERROR(__xludf.DUMMYFUNCTION("""COMPUTED_VALUE"""),"Eli Mashiach MGB Realty Group")</f>
        <v>Eli Mashiach MGB Realty Group</v>
      </c>
      <c r="L301" s="5"/>
      <c r="M301" s="5"/>
      <c r="N301" s="5" t="str">
        <f ca="1">IFERROR(__xludf.DUMMYFUNCTION("""COMPUTED_VALUE"""),"https://drive.google.com/open?id=1N6zazTNeZTu4T6Xh8sZ4-zHUNtDXsNXL, https://drive.google.com/open?id=1UfJx9Bnjxh6X08y2qXa7u2NK_YxIWRuE")</f>
        <v>https://drive.google.com/open?id=1N6zazTNeZTu4T6Xh8sZ4-zHUNtDXsNXL, https://drive.google.com/open?id=1UfJx9Bnjxh6X08y2qXa7u2NK_YxIWRuE</v>
      </c>
      <c r="O301" s="5">
        <f ca="1">IFERROR(__xludf.DUMMYFUNCTION("""COMPUTED_VALUE"""),2265011027)</f>
        <v>2265011027</v>
      </c>
      <c r="P301" s="5" t="str">
        <f ca="1">IFERROR(__xludf.DUMMYFUNCTION("""COMPUTED_VALUE"""),"(818) 850-2757")</f>
        <v>(818) 850-2757</v>
      </c>
      <c r="Q301" s="5"/>
      <c r="R301" s="5"/>
      <c r="S301" s="5"/>
      <c r="T301" s="5"/>
    </row>
    <row r="302" spans="1:20" ht="12.75">
      <c r="A302" s="24">
        <f ca="1">IFERROR(__xludf.DUMMYFUNCTION("""COMPUTED_VALUE"""),45669.8385902314)</f>
        <v>45669.838590231397</v>
      </c>
      <c r="B302" s="5" t="str">
        <f ca="1">IFERROR(__xludf.DUMMYFUNCTION("""COMPUTED_VALUE"""),"2442 Beverwil Dr")</f>
        <v>2442 Beverwil Dr</v>
      </c>
      <c r="C302" s="5" t="str">
        <f ca="1">IFERROR(__xludf.DUMMYFUNCTION("""COMPUTED_VALUE"""),"LA")</f>
        <v>LA</v>
      </c>
      <c r="D302" s="5" t="str">
        <f ca="1">IFERROR(__xludf.DUMMYFUNCTION("""COMPUTED_VALUE"""),"CA")</f>
        <v>CA</v>
      </c>
      <c r="E302" s="5">
        <f ca="1">IFERROR(__xludf.DUMMYFUNCTION("""COMPUTED_VALUE"""),90034)</f>
        <v>90034</v>
      </c>
      <c r="F302" s="19">
        <f ca="1">IFERROR(__xludf.DUMMYFUNCTION("""COMPUTED_VALUE"""),6300)</f>
        <v>6300</v>
      </c>
      <c r="G302" s="19">
        <f ca="1">IFERROR(__xludf.DUMMYFUNCTION("""COMPUTED_VALUE"""),12500)</f>
        <v>12500</v>
      </c>
      <c r="H302" s="18">
        <f ca="1">IFERROR(__xludf.DUMMYFUNCTION("""COMPUTED_VALUE"""),45668)</f>
        <v>45668</v>
      </c>
      <c r="I302" s="5" t="str">
        <f ca="1">IFERROR(__xludf.DUMMYFUNCTION("""COMPUTED_VALUE"""),"Zillow")</f>
        <v>Zillow</v>
      </c>
      <c r="J302" s="25" t="str">
        <f ca="1">IFERROR(__xludf.DUMMYFUNCTION("""COMPUTED_VALUE"""),"https://www.zillow.com/homedetails/2442-Beverwil-Dr-Los-Angeles-CA-90034/20494462_zpid/")</f>
        <v>https://www.zillow.com/homedetails/2442-Beverwil-Dr-Los-Angeles-CA-90034/20494462_zpid/</v>
      </c>
      <c r="K302" s="5" t="str">
        <f ca="1">IFERROR(__xludf.DUMMYFUNCTION("""COMPUTED_VALUE"""),"JNM Realty")</f>
        <v>JNM Realty</v>
      </c>
      <c r="L302" s="5"/>
      <c r="M302" s="5"/>
      <c r="N302" s="26" t="str">
        <f ca="1">IFERROR(__xludf.DUMMYFUNCTION("""COMPUTED_VALUE"""),"https://drive.google.com/open?id=1IO27b-BWYpVKLvNWqghtVTf7-zjxcxxl")</f>
        <v>https://drive.google.com/open?id=1IO27b-BWYpVKLvNWqghtVTf7-zjxcxxl</v>
      </c>
      <c r="O302" s="5">
        <f ca="1">IFERROR(__xludf.DUMMYFUNCTION("""COMPUTED_VALUE"""),4309006023)</f>
        <v>4309006023</v>
      </c>
      <c r="P302" s="5" t="str">
        <f ca="1">IFERROR(__xludf.DUMMYFUNCTION("""COMPUTED_VALUE"""),"(424) 405-4073")</f>
        <v>(424) 405-4073</v>
      </c>
      <c r="Q302" s="5"/>
      <c r="R302" s="5"/>
      <c r="S302" s="5"/>
      <c r="T302" s="5"/>
    </row>
    <row r="303" spans="1:20" ht="12.75">
      <c r="A303" s="24">
        <f ca="1">IFERROR(__xludf.DUMMYFUNCTION("""COMPUTED_VALUE"""),45669.8389749074)</f>
        <v>45669.838974907398</v>
      </c>
      <c r="B303" s="5" t="str">
        <f ca="1">IFERROR(__xludf.DUMMYFUNCTION("""COMPUTED_VALUE"""),"700 Main St UNIT 25 ")</f>
        <v xml:space="preserve">700 Main St UNIT 25 </v>
      </c>
      <c r="C303" s="5" t="str">
        <f ca="1">IFERROR(__xludf.DUMMYFUNCTION("""COMPUTED_VALUE"""),"Venice")</f>
        <v>Venice</v>
      </c>
      <c r="D303" s="5" t="str">
        <f ca="1">IFERROR(__xludf.DUMMYFUNCTION("""COMPUTED_VALUE"""),"CA")</f>
        <v>CA</v>
      </c>
      <c r="E303" s="5">
        <f ca="1">IFERROR(__xludf.DUMMYFUNCTION("""COMPUTED_VALUE"""),90291)</f>
        <v>90291</v>
      </c>
      <c r="F303" s="19">
        <f ca="1">IFERROR(__xludf.DUMMYFUNCTION("""COMPUTED_VALUE"""),11000)</f>
        <v>11000</v>
      </c>
      <c r="G303" s="19">
        <f ca="1">IFERROR(__xludf.DUMMYFUNCTION("""COMPUTED_VALUE"""),15000)</f>
        <v>15000</v>
      </c>
      <c r="H303" s="18">
        <f ca="1">IFERROR(__xludf.DUMMYFUNCTION("""COMPUTED_VALUE"""),45667)</f>
        <v>45667</v>
      </c>
      <c r="I303" s="5" t="str">
        <f ca="1">IFERROR(__xludf.DUMMYFUNCTION("""COMPUTED_VALUE"""),"Zillow")</f>
        <v>Zillow</v>
      </c>
      <c r="J303" s="25" t="str">
        <f ca="1">IFERROR(__xludf.DUMMYFUNCTION("""COMPUTED_VALUE"""),"https://www.zillow.com/homedetails/700-Main-St-UNIT-25-Venice-CA-90291/82877585_zpid/")</f>
        <v>https://www.zillow.com/homedetails/700-Main-St-UNIT-25-Venice-CA-90291/82877585_zpid/</v>
      </c>
      <c r="K303" s="5" t="str">
        <f ca="1">IFERROR(__xludf.DUMMYFUNCTION("""COMPUTED_VALUE"""),"Olivia Rud")</f>
        <v>Olivia Rud</v>
      </c>
      <c r="L303" s="5"/>
      <c r="M303" s="5" t="str">
        <f ca="1">IFERROR(__xludf.DUMMYFUNCTION("""COMPUTED_VALUE"""),"1/12/2025	Price change	$9,100-39.3%
1/10/2025	Price change	$15,000+11.1%
1/8/2025	Price change	$13,500+22.7%
12/16/2024	Price change	$11,000+20.9%")</f>
        <v>1/12/2025	Price change	$9,100-39.3%
1/10/2025	Price change	$15,000+11.1%
1/8/2025	Price change	$13,500+22.7%
12/16/2024	Price change	$11,000+20.9%</v>
      </c>
      <c r="N303" s="26" t="str">
        <f ca="1">IFERROR(__xludf.DUMMYFUNCTION("""COMPUTED_VALUE"""),"https://drive.google.com/open?id=1if9-R9HXJvapmlRaWUOW7IG3W041Glmf")</f>
        <v>https://drive.google.com/open?id=1if9-R9HXJvapmlRaWUOW7IG3W041Glmf</v>
      </c>
      <c r="O303" s="5">
        <f ca="1">IFERROR(__xludf.DUMMYFUNCTION("""COMPUTED_VALUE"""),4286009124)</f>
        <v>4286009124</v>
      </c>
      <c r="P303" s="5" t="str">
        <f ca="1">IFERROR(__xludf.DUMMYFUNCTION("""COMPUTED_VALUE"""),"(610) 563-8866")</f>
        <v>(610) 563-8866</v>
      </c>
      <c r="Q303" s="5"/>
      <c r="R303" s="5"/>
      <c r="S303" s="5"/>
      <c r="T303" s="5"/>
    </row>
    <row r="304" spans="1:20" ht="12.75">
      <c r="A304" s="24">
        <f ca="1">IFERROR(__xludf.DUMMYFUNCTION("""COMPUTED_VALUE"""),45669.8405877083)</f>
        <v>45669.840587708299</v>
      </c>
      <c r="B304" s="5" t="str">
        <f ca="1">IFERROR(__xludf.DUMMYFUNCTION("""COMPUTED_VALUE"""),"823 S Sierra Bonita Ave")</f>
        <v>823 S Sierra Bonita Ave</v>
      </c>
      <c r="C304" s="5" t="str">
        <f ca="1">IFERROR(__xludf.DUMMYFUNCTION("""COMPUTED_VALUE"""),"Los Angeles")</f>
        <v>Los Angeles</v>
      </c>
      <c r="D304" s="5" t="str">
        <f ca="1">IFERROR(__xludf.DUMMYFUNCTION("""COMPUTED_VALUE"""),"CA")</f>
        <v>CA</v>
      </c>
      <c r="E304" s="5">
        <f ca="1">IFERROR(__xludf.DUMMYFUNCTION("""COMPUTED_VALUE"""),90036)</f>
        <v>90036</v>
      </c>
      <c r="F304" s="19">
        <f ca="1">IFERROR(__xludf.DUMMYFUNCTION("""COMPUTED_VALUE"""),17995)</f>
        <v>17995</v>
      </c>
      <c r="G304" s="19">
        <f ca="1">IFERROR(__xludf.DUMMYFUNCTION("""COMPUTED_VALUE"""),19950)</f>
        <v>19950</v>
      </c>
      <c r="H304" s="18">
        <f ca="1">IFERROR(__xludf.DUMMYFUNCTION("""COMPUTED_VALUE"""),45667)</f>
        <v>45667</v>
      </c>
      <c r="I304" s="5" t="str">
        <f ca="1">IFERROR(__xludf.DUMMYFUNCTION("""COMPUTED_VALUE"""),"Zillow")</f>
        <v>Zillow</v>
      </c>
      <c r="J304" s="25" t="str">
        <f ca="1">IFERROR(__xludf.DUMMYFUNCTION("""COMPUTED_VALUE"""),"https://www.zillow.com/homedetails/823-S-Sierra-Bonita-Ave-Los-Angeles-CA-90036/20610339_zpid/")</f>
        <v>https://www.zillow.com/homedetails/823-S-Sierra-Bonita-Ave-Los-Angeles-CA-90036/20610339_zpid/</v>
      </c>
      <c r="K304" s="5" t="str">
        <f ca="1">IFERROR(__xludf.DUMMYFUNCTION("""COMPUTED_VALUE"""),"Bryan Danna, The Collective Realty (mgmt company)")</f>
        <v>Bryan Danna, The Collective Realty (mgmt company)</v>
      </c>
      <c r="L304" s="5"/>
      <c r="M304" s="5"/>
      <c r="N304" s="5" t="str">
        <f ca="1">IFERROR(__xludf.DUMMYFUNCTION("""COMPUTED_VALUE"""),"https://drive.google.com/open?id=16hCxQpZBpg8TW2sH6sTdCEhQQG7Q3JOj, https://drive.google.com/open?id=1aEponYCsNf0llHV7dp9bGINleT-_jyMK")</f>
        <v>https://drive.google.com/open?id=16hCxQpZBpg8TW2sH6sTdCEhQQG7Q3JOj, https://drive.google.com/open?id=1aEponYCsNf0llHV7dp9bGINleT-_jyMK</v>
      </c>
      <c r="O304" s="5">
        <f ca="1">IFERROR(__xludf.DUMMYFUNCTION("""COMPUTED_VALUE"""),5089016026)</f>
        <v>5089016026</v>
      </c>
      <c r="P304" s="5" t="str">
        <f ca="1">IFERROR(__xludf.DUMMYFUNCTION("""COMPUTED_VALUE"""),"(323) 250-8789")</f>
        <v>(323) 250-8789</v>
      </c>
      <c r="Q304" s="5"/>
      <c r="R304" s="5"/>
      <c r="S304" s="5"/>
      <c r="T304" s="5"/>
    </row>
    <row r="305" spans="1:20" ht="12.75">
      <c r="A305" s="24">
        <f ca="1">IFERROR(__xludf.DUMMYFUNCTION("""COMPUTED_VALUE"""),45669.8420964351)</f>
        <v>45669.842096435103</v>
      </c>
      <c r="B305" s="5" t="str">
        <f ca="1">IFERROR(__xludf.DUMMYFUNCTION("""COMPUTED_VALUE"""),"241 Rees St")</f>
        <v>241 Rees St</v>
      </c>
      <c r="C305" s="5" t="str">
        <f ca="1">IFERROR(__xludf.DUMMYFUNCTION("""COMPUTED_VALUE"""),"Playa Del Rey")</f>
        <v>Playa Del Rey</v>
      </c>
      <c r="D305" s="5" t="str">
        <f ca="1">IFERROR(__xludf.DUMMYFUNCTION("""COMPUTED_VALUE"""),"CA")</f>
        <v>CA</v>
      </c>
      <c r="E305" s="5">
        <f ca="1">IFERROR(__xludf.DUMMYFUNCTION("""COMPUTED_VALUE"""),90293)</f>
        <v>90293</v>
      </c>
      <c r="F305" s="19">
        <f ca="1">IFERROR(__xludf.DUMMYFUNCTION("""COMPUTED_VALUE"""),2795)</f>
        <v>2795</v>
      </c>
      <c r="G305" s="19">
        <f ca="1">IFERROR(__xludf.DUMMYFUNCTION("""COMPUTED_VALUE"""),12000)</f>
        <v>12000</v>
      </c>
      <c r="H305" s="18">
        <f ca="1">IFERROR(__xludf.DUMMYFUNCTION("""COMPUTED_VALUE"""),45668)</f>
        <v>45668</v>
      </c>
      <c r="I305" s="5" t="str">
        <f ca="1">IFERROR(__xludf.DUMMYFUNCTION("""COMPUTED_VALUE"""),"Zillow")</f>
        <v>Zillow</v>
      </c>
      <c r="J305" s="25" t="str">
        <f ca="1">IFERROR(__xludf.DUMMYFUNCTION("""COMPUTED_VALUE"""),"https://www.zillow.com/homedetails/241-Rees-St-Playa-Del-Rey-CA-90293/20386149_zpid/")</f>
        <v>https://www.zillow.com/homedetails/241-Rees-St-Playa-Del-Rey-CA-90293/20386149_zpid/</v>
      </c>
      <c r="K305" s="5" t="str">
        <f ca="1">IFERROR(__xludf.DUMMYFUNCTION("""COMPUTED_VALUE"""),"Kimberly Kessler")</f>
        <v>Kimberly Kessler</v>
      </c>
      <c r="L305" s="5"/>
      <c r="M305" s="26" t="str">
        <f ca="1">IFERROR(__xludf.DUMMYFUNCTION("""COMPUTED_VALUE"""),"https://www.instagram.com/kimkesslerhomes/?hl=en")</f>
        <v>https://www.instagram.com/kimkesslerhomes/?hl=en</v>
      </c>
      <c r="N305" s="26" t="str">
        <f ca="1">IFERROR(__xludf.DUMMYFUNCTION("""COMPUTED_VALUE"""),"https://drive.google.com/open?id=1UynTGmtnnXwQOVC5fMieZUL_cLYCtQnG")</f>
        <v>https://drive.google.com/open?id=1UynTGmtnnXwQOVC5fMieZUL_cLYCtQnG</v>
      </c>
      <c r="O305" s="5">
        <f ca="1">IFERROR(__xludf.DUMMYFUNCTION("""COMPUTED_VALUE"""),4116014007)</f>
        <v>4116014007</v>
      </c>
      <c r="P305" s="5" t="str">
        <f ca="1">IFERROR(__xludf.DUMMYFUNCTION("""COMPUTED_VALUE"""),"(310) 922-4626")</f>
        <v>(310) 922-4626</v>
      </c>
      <c r="Q305" s="5" t="str">
        <f ca="1">IFERROR(__xludf.DUMMYFUNCTION("""COMPUTED_VALUE"""),"kimkesslerhomes@gmail.com")</f>
        <v>kimkesslerhomes@gmail.com</v>
      </c>
      <c r="R305" s="5"/>
      <c r="S305" s="5"/>
      <c r="T305" s="5"/>
    </row>
    <row r="306" spans="1:20" ht="12.75">
      <c r="A306" s="24">
        <f ca="1">IFERROR(__xludf.DUMMYFUNCTION("""COMPUTED_VALUE"""),45669.8474979282)</f>
        <v>45669.847497928196</v>
      </c>
      <c r="B306" s="5" t="str">
        <f ca="1">IFERROR(__xludf.DUMMYFUNCTION("""COMPUTED_VALUE"""),"518 Rialto Ave #A")</f>
        <v>518 Rialto Ave #A</v>
      </c>
      <c r="C306" s="5" t="str">
        <f ca="1">IFERROR(__xludf.DUMMYFUNCTION("""COMPUTED_VALUE"""),"Venice")</f>
        <v>Venice</v>
      </c>
      <c r="D306" s="5" t="str">
        <f ca="1">IFERROR(__xludf.DUMMYFUNCTION("""COMPUTED_VALUE"""),"CA")</f>
        <v>CA</v>
      </c>
      <c r="E306" s="5">
        <f ca="1">IFERROR(__xludf.DUMMYFUNCTION("""COMPUTED_VALUE"""),90291)</f>
        <v>90291</v>
      </c>
      <c r="F306" s="19">
        <f ca="1">IFERROR(__xludf.DUMMYFUNCTION("""COMPUTED_VALUE"""),4500)</f>
        <v>4500</v>
      </c>
      <c r="G306" s="19">
        <f ca="1">IFERROR(__xludf.DUMMYFUNCTION("""COMPUTED_VALUE"""),5100)</f>
        <v>5100</v>
      </c>
      <c r="H306" s="18">
        <f ca="1">IFERROR(__xludf.DUMMYFUNCTION("""COMPUTED_VALUE"""),45667)</f>
        <v>45667</v>
      </c>
      <c r="I306" s="5" t="str">
        <f ca="1">IFERROR(__xludf.DUMMYFUNCTION("""COMPUTED_VALUE"""),"Zillow")</f>
        <v>Zillow</v>
      </c>
      <c r="J306" s="25" t="str">
        <f ca="1">IFERROR(__xludf.DUMMYFUNCTION("""COMPUTED_VALUE"""),"https://www.zillow.com/homedetails/518-Rialto-Ave-A-Venice-CA-90291/440956450_zpid/")</f>
        <v>https://www.zillow.com/homedetails/518-Rialto-Ave-A-Venice-CA-90291/440956450_zpid/</v>
      </c>
      <c r="K306" s="5"/>
      <c r="L306" s="5"/>
      <c r="M306" s="5"/>
      <c r="N306" s="5" t="str">
        <f ca="1">IFERROR(__xludf.DUMMYFUNCTION("""COMPUTED_VALUE"""),"https://drive.google.com/open?id=1ZfvmETC2TfxMbO_BjUu6n1k01xBPOe7j, https://drive.google.com/open?id=18nPE9B9dH9f1zT3deVedGiVSJFQSyDQv")</f>
        <v>https://drive.google.com/open?id=1ZfvmETC2TfxMbO_BjUu6n1k01xBPOe7j, https://drive.google.com/open?id=18nPE9B9dH9f1zT3deVedGiVSJFQSyDQv</v>
      </c>
      <c r="O306" s="5">
        <f ca="1">IFERROR(__xludf.DUMMYFUNCTION("""COMPUTED_VALUE"""),4238016019)</f>
        <v>4238016019</v>
      </c>
      <c r="P306" s="5"/>
      <c r="Q306" s="5"/>
      <c r="R306" s="5"/>
      <c r="S306" s="5"/>
      <c r="T306" s="5"/>
    </row>
    <row r="307" spans="1:20" ht="12.75">
      <c r="A307" s="24">
        <f ca="1">IFERROR(__xludf.DUMMYFUNCTION("""COMPUTED_VALUE"""),45669.8501510879)</f>
        <v>45669.8501510879</v>
      </c>
      <c r="B307" s="5" t="str">
        <f ca="1">IFERROR(__xludf.DUMMYFUNCTION("""COMPUTED_VALUE"""),"927 N Fairview St")</f>
        <v>927 N Fairview St</v>
      </c>
      <c r="C307" s="5" t="str">
        <f ca="1">IFERROR(__xludf.DUMMYFUNCTION("""COMPUTED_VALUE"""),"Burbank")</f>
        <v>Burbank</v>
      </c>
      <c r="D307" s="5" t="str">
        <f ca="1">IFERROR(__xludf.DUMMYFUNCTION("""COMPUTED_VALUE"""),"CA")</f>
        <v>CA</v>
      </c>
      <c r="E307" s="5">
        <f ca="1">IFERROR(__xludf.DUMMYFUNCTION("""COMPUTED_VALUE"""),91505)</f>
        <v>91505</v>
      </c>
      <c r="F307" s="19">
        <f ca="1">IFERROR(__xludf.DUMMYFUNCTION("""COMPUTED_VALUE"""),14950)</f>
        <v>14950</v>
      </c>
      <c r="G307" s="19">
        <f ca="1">IFERROR(__xludf.DUMMYFUNCTION("""COMPUTED_VALUE"""),19750)</f>
        <v>19750</v>
      </c>
      <c r="H307" s="18">
        <f ca="1">IFERROR(__xludf.DUMMYFUNCTION("""COMPUTED_VALUE"""),45665)</f>
        <v>45665</v>
      </c>
      <c r="I307" s="5" t="str">
        <f ca="1">IFERROR(__xludf.DUMMYFUNCTION("""COMPUTED_VALUE"""),"Zillow")</f>
        <v>Zillow</v>
      </c>
      <c r="J307" s="25" t="str">
        <f ca="1">IFERROR(__xludf.DUMMYFUNCTION("""COMPUTED_VALUE"""),"https://www.zillow.com/homedetails/Burbank-CA-91505/20062811_zpid/")</f>
        <v>https://www.zillow.com/homedetails/Burbank-CA-91505/20062811_zpid/</v>
      </c>
      <c r="K307" s="5"/>
      <c r="L307" s="5"/>
      <c r="M307" s="5"/>
      <c r="N307" s="26" t="str">
        <f ca="1">IFERROR(__xludf.DUMMYFUNCTION("""COMPUTED_VALUE"""),"https://drive.google.com/open?id=18DUVbGXqcPf8qMcGuNClLaFdHEC3xGow")</f>
        <v>https://drive.google.com/open?id=18DUVbGXqcPf8qMcGuNClLaFdHEC3xGow</v>
      </c>
      <c r="O307" s="5" t="str">
        <f ca="1">IFERROR(__xludf.DUMMYFUNCTION("""COMPUTED_VALUE"""),"NA")</f>
        <v>NA</v>
      </c>
      <c r="P307" s="5"/>
      <c r="Q307" s="5"/>
      <c r="R307" s="5"/>
      <c r="S307" s="5"/>
      <c r="T307" s="5"/>
    </row>
    <row r="308" spans="1:20" ht="12.75">
      <c r="A308" s="24">
        <f ca="1">IFERROR(__xludf.DUMMYFUNCTION("""COMPUTED_VALUE"""),45669.8524191782)</f>
        <v>45669.852419178198</v>
      </c>
      <c r="B308" s="5" t="str">
        <f ca="1">IFERROR(__xludf.DUMMYFUNCTION("""COMPUTED_VALUE"""),"12318 W Sunset Blvd")</f>
        <v>12318 W Sunset Blvd</v>
      </c>
      <c r="C308" s="5" t="str">
        <f ca="1">IFERROR(__xludf.DUMMYFUNCTION("""COMPUTED_VALUE"""),"Los Angeles")</f>
        <v>Los Angeles</v>
      </c>
      <c r="D308" s="5" t="str">
        <f ca="1">IFERROR(__xludf.DUMMYFUNCTION("""COMPUTED_VALUE"""),"CA")</f>
        <v>CA</v>
      </c>
      <c r="E308" s="5">
        <f ca="1">IFERROR(__xludf.DUMMYFUNCTION("""COMPUTED_VALUE"""),90049)</f>
        <v>90049</v>
      </c>
      <c r="F308" s="19">
        <f ca="1">IFERROR(__xludf.DUMMYFUNCTION("""COMPUTED_VALUE"""),29500)</f>
        <v>29500</v>
      </c>
      <c r="G308" s="19">
        <f ca="1">IFERROR(__xludf.DUMMYFUNCTION("""COMPUTED_VALUE"""),30000)</f>
        <v>30000</v>
      </c>
      <c r="H308" s="18">
        <f ca="1">IFERROR(__xludf.DUMMYFUNCTION("""COMPUTED_VALUE"""),45667)</f>
        <v>45667</v>
      </c>
      <c r="I308" s="5" t="str">
        <f ca="1">IFERROR(__xludf.DUMMYFUNCTION("""COMPUTED_VALUE"""),"Zillow")</f>
        <v>Zillow</v>
      </c>
      <c r="J308" s="25" t="str">
        <f ca="1">IFERROR(__xludf.DUMMYFUNCTION("""COMPUTED_VALUE"""),"https://www.zillow.com/homedetails/12318-W-Sunset-Blvd-Los-Angeles-CA-90049/20538275_zpid/")</f>
        <v>https://www.zillow.com/homedetails/12318-W-Sunset-Blvd-Los-Angeles-CA-90049/20538275_zpid/</v>
      </c>
      <c r="K308" s="5" t="str">
        <f ca="1">IFERROR(__xludf.DUMMYFUNCTION("""COMPUTED_VALUE"""),"Mehrnoosh Moosh Bahri, Coldwell Banker Realty")</f>
        <v>Mehrnoosh Moosh Bahri, Coldwell Banker Realty</v>
      </c>
      <c r="L308" s="5"/>
      <c r="M308" s="5"/>
      <c r="N308" s="26" t="str">
        <f ca="1">IFERROR(__xludf.DUMMYFUNCTION("""COMPUTED_VALUE"""),"https://drive.google.com/open?id=13tcOPwOJWU9Bd9sjpJYD3GiFP0SB0cHA")</f>
        <v>https://drive.google.com/open?id=13tcOPwOJWU9Bd9sjpJYD3GiFP0SB0cHA</v>
      </c>
      <c r="O308" s="5">
        <f ca="1">IFERROR(__xludf.DUMMYFUNCTION("""COMPUTED_VALUE"""),4405042019)</f>
        <v>4405042019</v>
      </c>
      <c r="P308" s="5" t="str">
        <f ca="1">IFERROR(__xludf.DUMMYFUNCTION("""COMPUTED_VALUE"""),"(310) 433-1807")</f>
        <v>(310) 433-1807</v>
      </c>
      <c r="Q308" s="5"/>
      <c r="R308" s="5"/>
      <c r="S308" s="5"/>
      <c r="T308" s="5"/>
    </row>
    <row r="309" spans="1:20" ht="12.75">
      <c r="A309" s="24">
        <f ca="1">IFERROR(__xludf.DUMMYFUNCTION("""COMPUTED_VALUE"""),45669.8534897222)</f>
        <v>45669.853489722198</v>
      </c>
      <c r="B309" s="5" t="str">
        <f ca="1">IFERROR(__xludf.DUMMYFUNCTION("""COMPUTED_VALUE"""),"1444 Beverwil Dr ")</f>
        <v xml:space="preserve">1444 Beverwil Dr </v>
      </c>
      <c r="C309" s="5" t="str">
        <f ca="1">IFERROR(__xludf.DUMMYFUNCTION("""COMPUTED_VALUE"""),"LA")</f>
        <v>LA</v>
      </c>
      <c r="D309" s="5" t="str">
        <f ca="1">IFERROR(__xludf.DUMMYFUNCTION("""COMPUTED_VALUE"""),"CA")</f>
        <v>CA</v>
      </c>
      <c r="E309" s="5">
        <f ca="1">IFERROR(__xludf.DUMMYFUNCTION("""COMPUTED_VALUE"""),90035)</f>
        <v>90035</v>
      </c>
      <c r="F309" s="19">
        <f ca="1">IFERROR(__xludf.DUMMYFUNCTION("""COMPUTED_VALUE"""),19950)</f>
        <v>19950</v>
      </c>
      <c r="G309" s="19">
        <f ca="1">IFERROR(__xludf.DUMMYFUNCTION("""COMPUTED_VALUE"""),38000)</f>
        <v>38000</v>
      </c>
      <c r="H309" s="18">
        <f ca="1">IFERROR(__xludf.DUMMYFUNCTION("""COMPUTED_VALUE"""),45669)</f>
        <v>45669</v>
      </c>
      <c r="I309" s="5" t="str">
        <f ca="1">IFERROR(__xludf.DUMMYFUNCTION("""COMPUTED_VALUE"""),"Zillow")</f>
        <v>Zillow</v>
      </c>
      <c r="J309" s="25" t="str">
        <f ca="1">IFERROR(__xludf.DUMMYFUNCTION("""COMPUTED_VALUE"""),"https://www.zillow.com/homedetails/1444-Beverwil-Dr-Los-Angeles-CA-90035/20492978_zpid/")</f>
        <v>https://www.zillow.com/homedetails/1444-Beverwil-Dr-Los-Angeles-CA-90035/20492978_zpid/</v>
      </c>
      <c r="K309" s="5" t="str">
        <f ca="1">IFERROR(__xludf.DUMMYFUNCTION("""COMPUTED_VALUE"""),"Meran Solamany of Keller Williams Realty Westside (LA State License 01301571) Listing posted by Leasing Office (310) 331-8883. [REALLYO ID 4102599 01122025]")</f>
        <v>Meran Solamany of Keller Williams Realty Westside (LA State License 01301571) Listing posted by Leasing Office (310) 331-8883. [REALLYO ID 4102599 01122025]</v>
      </c>
      <c r="L309" s="5"/>
      <c r="M309" s="5" t="str">
        <f ca="1">IFERROR(__xludf.DUMMYFUNCTION("""COMPUTED_VALUE"""),"Zillow listing has been removed but retained rental history; Redfin listing is still live: https://www.redfin.com/CA/Los-Angeles/1444-Beverwil-Dr-90035/home/6788982")</f>
        <v>Zillow listing has been removed but retained rental history; Redfin listing is still live: https://www.redfin.com/CA/Los-Angeles/1444-Beverwil-Dr-90035/home/6788982</v>
      </c>
      <c r="N309" s="26" t="str">
        <f ca="1">IFERROR(__xludf.DUMMYFUNCTION("""COMPUTED_VALUE"""),"https://drive.google.com/open?id=12U1-IB7p_nUs12B7f6r2ZhUxgPoZ6Y1U")</f>
        <v>https://drive.google.com/open?id=12U1-IB7p_nUs12B7f6r2ZhUxgPoZ6Y1U</v>
      </c>
      <c r="O309" s="5">
        <f ca="1">IFERROR(__xludf.DUMMYFUNCTION("""COMPUTED_VALUE"""),4306001030)</f>
        <v>4306001030</v>
      </c>
      <c r="P309" s="5" t="str">
        <f ca="1">IFERROR(__xludf.DUMMYFUNCTION("""COMPUTED_VALUE"""),"(310) 331-8883")</f>
        <v>(310) 331-8883</v>
      </c>
      <c r="Q309" s="5" t="str">
        <f ca="1">IFERROR(__xludf.DUMMYFUNCTION("""COMPUTED_VALUE"""),"newhomeinlanewhomeinla@gmail.com")</f>
        <v>newhomeinlanewhomeinla@gmail.com</v>
      </c>
      <c r="R309" s="5"/>
      <c r="S309" s="5"/>
      <c r="T309" s="5"/>
    </row>
    <row r="310" spans="1:20" ht="12.75">
      <c r="A310" s="24">
        <f ca="1">IFERROR(__xludf.DUMMYFUNCTION("""COMPUTED_VALUE"""),45669.8537207986)</f>
        <v>45669.853720798601</v>
      </c>
      <c r="B310" s="5" t="str">
        <f ca="1">IFERROR(__xludf.DUMMYFUNCTION("""COMPUTED_VALUE"""),"8666 Hollywood Blvd")</f>
        <v>8666 Hollywood Blvd</v>
      </c>
      <c r="C310" s="5" t="str">
        <f ca="1">IFERROR(__xludf.DUMMYFUNCTION("""COMPUTED_VALUE"""),"Los Angeles")</f>
        <v>Los Angeles</v>
      </c>
      <c r="D310" s="5" t="str">
        <f ca="1">IFERROR(__xludf.DUMMYFUNCTION("""COMPUTED_VALUE"""),"CA")</f>
        <v>CA</v>
      </c>
      <c r="E310" s="5">
        <f ca="1">IFERROR(__xludf.DUMMYFUNCTION("""COMPUTED_VALUE"""),90069)</f>
        <v>90069</v>
      </c>
      <c r="F310" s="19">
        <f ca="1">IFERROR(__xludf.DUMMYFUNCTION("""COMPUTED_VALUE"""),14995)</f>
        <v>14995</v>
      </c>
      <c r="G310" s="19">
        <f ca="1">IFERROR(__xludf.DUMMYFUNCTION("""COMPUTED_VALUE"""),17500)</f>
        <v>17500</v>
      </c>
      <c r="H310" s="18">
        <f ca="1">IFERROR(__xludf.DUMMYFUNCTION("""COMPUTED_VALUE"""),45670)</f>
        <v>45670</v>
      </c>
      <c r="I310" s="5" t="str">
        <f ca="1">IFERROR(__xludf.DUMMYFUNCTION("""COMPUTED_VALUE"""),"Zillow")</f>
        <v>Zillow</v>
      </c>
      <c r="J310" s="25" t="str">
        <f ca="1">IFERROR(__xludf.DUMMYFUNCTION("""COMPUTED_VALUE"""),"https://www.zillow.com/homedetails/8666-Hollywood-Blvd-Los-Angeles-CA-90069/20799046_zpid/")</f>
        <v>https://www.zillow.com/homedetails/8666-Hollywood-Blvd-Los-Angeles-CA-90069/20799046_zpid/</v>
      </c>
      <c r="K310" s="5" t="str">
        <f ca="1">IFERROR(__xludf.DUMMYFUNCTION("""COMPUTED_VALUE"""),"Sherel Levi, Nightfall Realty INC, Management company")</f>
        <v>Sherel Levi, Nightfall Realty INC, Management company</v>
      </c>
      <c r="L310" s="5"/>
      <c r="M310" s="5"/>
      <c r="N310" s="5" t="str">
        <f ca="1">IFERROR(__xludf.DUMMYFUNCTION("""COMPUTED_VALUE"""),"https://drive.google.com/open?id=1_lqWyc33c04Dxe_KDuz0uPis8e2ztwr8, https://drive.google.com/open?id=1DnolizOj3WwTwyzmeQGV2GE6YuVHXYvd")</f>
        <v>https://drive.google.com/open?id=1_lqWyc33c04Dxe_KDuz0uPis8e2ztwr8, https://drive.google.com/open?id=1DnolizOj3WwTwyzmeQGV2GE6YuVHXYvd</v>
      </c>
      <c r="O310" s="5">
        <f ca="1">IFERROR(__xludf.DUMMYFUNCTION("""COMPUTED_VALUE"""),5559015004)</f>
        <v>5559015004</v>
      </c>
      <c r="P310" s="5" t="str">
        <f ca="1">IFERROR(__xludf.DUMMYFUNCTION("""COMPUTED_VALUE"""),"(323) 893-2637")</f>
        <v>(323) 893-2637</v>
      </c>
      <c r="Q310" s="5"/>
      <c r="R310" s="5"/>
      <c r="S310" s="5"/>
      <c r="T310" s="5"/>
    </row>
    <row r="311" spans="1:20" ht="12.75">
      <c r="A311" s="24">
        <f ca="1">IFERROR(__xludf.DUMMYFUNCTION("""COMPUTED_VALUE"""),45669.8547027893)</f>
        <v>45669.8547027893</v>
      </c>
      <c r="B311" s="5" t="str">
        <f ca="1">IFERROR(__xludf.DUMMYFUNCTION("""COMPUTED_VALUE"""),"4418 S Slauson Ave #402")</f>
        <v>4418 S Slauson Ave #402</v>
      </c>
      <c r="C311" s="5" t="str">
        <f ca="1">IFERROR(__xludf.DUMMYFUNCTION("""COMPUTED_VALUE"""),"Culver City")</f>
        <v>Culver City</v>
      </c>
      <c r="D311" s="5" t="str">
        <f ca="1">IFERROR(__xludf.DUMMYFUNCTION("""COMPUTED_VALUE"""),"CA")</f>
        <v>CA</v>
      </c>
      <c r="E311" s="5">
        <f ca="1">IFERROR(__xludf.DUMMYFUNCTION("""COMPUTED_VALUE"""),90230)</f>
        <v>90230</v>
      </c>
      <c r="F311" s="19">
        <f ca="1">IFERROR(__xludf.DUMMYFUNCTION("""COMPUTED_VALUE"""),4350)</f>
        <v>4350</v>
      </c>
      <c r="G311" s="19">
        <f ca="1">IFERROR(__xludf.DUMMYFUNCTION("""COMPUTED_VALUE"""),4950)</f>
        <v>4950</v>
      </c>
      <c r="H311" s="18">
        <f ca="1">IFERROR(__xludf.DUMMYFUNCTION("""COMPUTED_VALUE"""),45669)</f>
        <v>45669</v>
      </c>
      <c r="I311" s="5" t="str">
        <f ca="1">IFERROR(__xludf.DUMMYFUNCTION("""COMPUTED_VALUE"""),"Zillow")</f>
        <v>Zillow</v>
      </c>
      <c r="J311" s="25" t="str">
        <f ca="1">IFERROR(__xludf.DUMMYFUNCTION("""COMPUTED_VALUE"""),"https://www.zillow.com/homedetails/4418-S-Slauson-Ave-402-Culver-City-CA-90230/440875021_zpid/")</f>
        <v>https://www.zillow.com/homedetails/4418-S-Slauson-Ave-402-Culver-City-CA-90230/440875021_zpid/</v>
      </c>
      <c r="K311" s="5" t="str">
        <f ca="1">IFERROR(__xludf.DUMMYFUNCTION("""COMPUTED_VALUE"""),"Daniel Hicks ")</f>
        <v xml:space="preserve">Daniel Hicks </v>
      </c>
      <c r="L311" s="5"/>
      <c r="M311" s="5"/>
      <c r="N311" s="5" t="str">
        <f ca="1">IFERROR(__xludf.DUMMYFUNCTION("""COMPUTED_VALUE"""),"https://drive.google.com/open?id=1pZGoqhoczJJWtN5Rcfmx_B50r_QQem6i, https://drive.google.com/open?id=1F8wg0LmRO0EQ_q0g-u0AjRAzab9CHmi5")</f>
        <v>https://drive.google.com/open?id=1pZGoqhoczJJWtN5Rcfmx_B50r_QQem6i, https://drive.google.com/open?id=1F8wg0LmRO0EQ_q0g-u0AjRAzab9CHmi5</v>
      </c>
      <c r="O311" s="5" t="str">
        <f ca="1">IFERROR(__xludf.DUMMYFUNCTION("""COMPUTED_VALUE"""),"NA")</f>
        <v>NA</v>
      </c>
      <c r="P311" s="5" t="str">
        <f ca="1">IFERROR(__xludf.DUMMYFUNCTION("""COMPUTED_VALUE"""),"(310) 466-6919")</f>
        <v>(310) 466-6919</v>
      </c>
      <c r="Q311" s="5"/>
      <c r="R311" s="5"/>
      <c r="S311" s="5"/>
      <c r="T311" s="5"/>
    </row>
    <row r="312" spans="1:20" ht="12.75">
      <c r="A312" s="24">
        <f ca="1">IFERROR(__xludf.DUMMYFUNCTION("""COMPUTED_VALUE"""),45669.8552536574)</f>
        <v>45669.855253657399</v>
      </c>
      <c r="B312" s="5" t="str">
        <f ca="1">IFERROR(__xludf.DUMMYFUNCTION("""COMPUTED_VALUE"""),"8666 Hollywood Blvd, Los Angeles, CA 90069")</f>
        <v>8666 Hollywood Blvd, Los Angeles, CA 90069</v>
      </c>
      <c r="C312" s="5" t="str">
        <f ca="1">IFERROR(__xludf.DUMMYFUNCTION("""COMPUTED_VALUE"""),"Los Angeles")</f>
        <v>Los Angeles</v>
      </c>
      <c r="D312" s="5" t="str">
        <f ca="1">IFERROR(__xludf.DUMMYFUNCTION("""COMPUTED_VALUE"""),"CA")</f>
        <v>CA</v>
      </c>
      <c r="E312" s="5">
        <f ca="1">IFERROR(__xludf.DUMMYFUNCTION("""COMPUTED_VALUE"""),90069)</f>
        <v>90069</v>
      </c>
      <c r="F312" s="19">
        <f ca="1">IFERROR(__xludf.DUMMYFUNCTION("""COMPUTED_VALUE"""),14995)</f>
        <v>14995</v>
      </c>
      <c r="G312" s="19">
        <f ca="1">IFERROR(__xludf.DUMMYFUNCTION("""COMPUTED_VALUE"""),17500)</f>
        <v>17500</v>
      </c>
      <c r="H312" s="18">
        <f ca="1">IFERROR(__xludf.DUMMYFUNCTION("""COMPUTED_VALUE"""),45670)</f>
        <v>45670</v>
      </c>
      <c r="I312" s="5" t="str">
        <f ca="1">IFERROR(__xludf.DUMMYFUNCTION("""COMPUTED_VALUE"""),"Zillow")</f>
        <v>Zillow</v>
      </c>
      <c r="J312" s="25" t="str">
        <f ca="1">IFERROR(__xludf.DUMMYFUNCTION("""COMPUTED_VALUE"""),"https://www.zillow.com/homedetails/8666-Hollywood-Blvd-Los-Angeles-CA-90069/20799046_zpid/")</f>
        <v>https://www.zillow.com/homedetails/8666-Hollywood-Blvd-Los-Angeles-CA-90069/20799046_zpid/</v>
      </c>
      <c r="K312" s="5" t="str">
        <f ca="1">IFERROR(__xludf.DUMMYFUNCTION("""COMPUTED_VALUE"""),"Sherel Levi")</f>
        <v>Sherel Levi</v>
      </c>
      <c r="L312" s="5"/>
      <c r="M312" s="5"/>
      <c r="N312" s="5" t="str">
        <f ca="1">IFERROR(__xludf.DUMMYFUNCTION("""COMPUTED_VALUE"""),"https://drive.google.com/open?id=1x7b6a34B56HakErWtjF6kUqp5BfoONCe, https://drive.google.com/open?id=1rNQaWcz5HQoUx4Be1sSaEhPRVHSQRbtm")</f>
        <v>https://drive.google.com/open?id=1x7b6a34B56HakErWtjF6kUqp5BfoONCe, https://drive.google.com/open?id=1rNQaWcz5HQoUx4Be1sSaEhPRVHSQRbtm</v>
      </c>
      <c r="O312" s="5">
        <f ca="1">IFERROR(__xludf.DUMMYFUNCTION("""COMPUTED_VALUE"""),5559015004)</f>
        <v>5559015004</v>
      </c>
      <c r="P312" s="5" t="str">
        <f ca="1">IFERROR(__xludf.DUMMYFUNCTION("""COMPUTED_VALUE"""),"(323) 893-2637")</f>
        <v>(323) 893-2637</v>
      </c>
      <c r="Q312" s="5"/>
      <c r="R312" s="5"/>
      <c r="S312" s="5"/>
      <c r="T312" s="5"/>
    </row>
    <row r="313" spans="1:20" ht="12.75">
      <c r="A313" s="24">
        <f ca="1">IFERROR(__xludf.DUMMYFUNCTION("""COMPUTED_VALUE"""),45669.8565212384)</f>
        <v>45669.856521238398</v>
      </c>
      <c r="B313" s="5" t="str">
        <f ca="1">IFERROR(__xludf.DUMMYFUNCTION("""COMPUTED_VALUE"""),"5516 Willowcrest Ave, North Hollywood, CA 91601")</f>
        <v>5516 Willowcrest Ave, North Hollywood, CA 91601</v>
      </c>
      <c r="C313" s="5" t="str">
        <f ca="1">IFERROR(__xludf.DUMMYFUNCTION("""COMPUTED_VALUE"""),"north hollywood")</f>
        <v>north hollywood</v>
      </c>
      <c r="D313" s="5" t="str">
        <f ca="1">IFERROR(__xludf.DUMMYFUNCTION("""COMPUTED_VALUE"""),"CA")</f>
        <v>CA</v>
      </c>
      <c r="E313" s="5">
        <f ca="1">IFERROR(__xludf.DUMMYFUNCTION("""COMPUTED_VALUE"""),91601)</f>
        <v>91601</v>
      </c>
      <c r="F313" s="19">
        <f ca="1">IFERROR(__xludf.DUMMYFUNCTION("""COMPUTED_VALUE"""),4500)</f>
        <v>4500</v>
      </c>
      <c r="G313" s="19">
        <f ca="1">IFERROR(__xludf.DUMMYFUNCTION("""COMPUTED_VALUE"""),7000)</f>
        <v>7000</v>
      </c>
      <c r="H313" s="18">
        <f ca="1">IFERROR(__xludf.DUMMYFUNCTION("""COMPUTED_VALUE"""),45665)</f>
        <v>45665</v>
      </c>
      <c r="I313" s="5" t="str">
        <f ca="1">IFERROR(__xludf.DUMMYFUNCTION("""COMPUTED_VALUE"""),"Zillow")</f>
        <v>Zillow</v>
      </c>
      <c r="J313" s="25" t="str">
        <f ca="1">IFERROR(__xludf.DUMMYFUNCTION("""COMPUTED_VALUE"""),"https://www.zillow.com/homedetails/5516-Willowcrest-Ave-North-Hollywood-CA-91601/20040950_zpid/")</f>
        <v>https://www.zillow.com/homedetails/5516-Willowcrest-Ave-North-Hollywood-CA-91601/20040950_zpid/</v>
      </c>
      <c r="K313" s="5" t="str">
        <f ca="1">IFERROR(__xludf.DUMMYFUNCTION("""COMPUTED_VALUE"""),"Camila Banus")</f>
        <v>Camila Banus</v>
      </c>
      <c r="L313" s="5"/>
      <c r="M313" s="5"/>
      <c r="N313" s="26" t="str">
        <f ca="1">IFERROR(__xludf.DUMMYFUNCTION("""COMPUTED_VALUE"""),"https://drive.google.com/open?id=1ax9-PyAODayii8KqROn3Wp5GcrdUIawN")</f>
        <v>https://drive.google.com/open?id=1ax9-PyAODayii8KqROn3Wp5GcrdUIawN</v>
      </c>
      <c r="O313" s="5">
        <f ca="1">IFERROR(__xludf.DUMMYFUNCTION("""COMPUTED_VALUE"""),2416020015)</f>
        <v>2416020015</v>
      </c>
      <c r="P313" s="5" t="str">
        <f ca="1">IFERROR(__xludf.DUMMYFUNCTION("""COMPUTED_VALUE"""),"(786) 282-1518")</f>
        <v>(786) 282-1518</v>
      </c>
      <c r="Q313" s="5"/>
      <c r="R313" s="5"/>
      <c r="S313" s="5"/>
      <c r="T313" s="5"/>
    </row>
    <row r="314" spans="1:20" ht="12.75">
      <c r="A314" s="24">
        <f ca="1">IFERROR(__xludf.DUMMYFUNCTION("""COMPUTED_VALUE"""),45669.8571499768)</f>
        <v>45669.8571499768</v>
      </c>
      <c r="B314" s="5" t="str">
        <f ca="1">IFERROR(__xludf.DUMMYFUNCTION("""COMPUTED_VALUE"""),"22809 Del Valle St APT 10")</f>
        <v>22809 Del Valle St APT 10</v>
      </c>
      <c r="C314" s="5" t="str">
        <f ca="1">IFERROR(__xludf.DUMMYFUNCTION("""COMPUTED_VALUE"""),"Woodland Hills")</f>
        <v>Woodland Hills</v>
      </c>
      <c r="D314" s="5" t="str">
        <f ca="1">IFERROR(__xludf.DUMMYFUNCTION("""COMPUTED_VALUE"""),"CA")</f>
        <v>CA</v>
      </c>
      <c r="E314" s="5">
        <f ca="1">IFERROR(__xludf.DUMMYFUNCTION("""COMPUTED_VALUE"""),91364)</f>
        <v>91364</v>
      </c>
      <c r="F314" s="19">
        <f ca="1">IFERROR(__xludf.DUMMYFUNCTION("""COMPUTED_VALUE"""),2800)</f>
        <v>2800</v>
      </c>
      <c r="G314" s="19">
        <f ca="1">IFERROR(__xludf.DUMMYFUNCTION("""COMPUTED_VALUE"""),3200)</f>
        <v>3200</v>
      </c>
      <c r="H314" s="18">
        <f ca="1">IFERROR(__xludf.DUMMYFUNCTION("""COMPUTED_VALUE"""),45665)</f>
        <v>45665</v>
      </c>
      <c r="I314" s="5" t="str">
        <f ca="1">IFERROR(__xludf.DUMMYFUNCTION("""COMPUTED_VALUE"""),"Zillow")</f>
        <v>Zillow</v>
      </c>
      <c r="J314" s="25" t="str">
        <f ca="1">IFERROR(__xludf.DUMMYFUNCTION("""COMPUTED_VALUE"""),"https://www.zillow.com/homedetails/22809-Del-Valle-St-APT-10-Woodland-Hills-CA-91364/89145149_zpid/")</f>
        <v>https://www.zillow.com/homedetails/22809-Del-Valle-St-APT-10-Woodland-Hills-CA-91364/89145149_zpid/</v>
      </c>
      <c r="K314" s="5" t="str">
        <f ca="1">IFERROR(__xludf.DUMMYFUNCTION("""COMPUTED_VALUE"""),"Adrian Padilla Landlord Property Management")</f>
        <v>Adrian Padilla Landlord Property Management</v>
      </c>
      <c r="L314" s="5"/>
      <c r="M314" s="5"/>
      <c r="N314" s="5" t="str">
        <f ca="1">IFERROR(__xludf.DUMMYFUNCTION("""COMPUTED_VALUE"""),"https://drive.google.com/open?id=1P5zttO3Tu8CF0mrf5oHE64LVnjeY1o1I, https://drive.google.com/open?id=1NFee46odk4N70VKk5Z8IQsP22BngwEPa")</f>
        <v>https://drive.google.com/open?id=1P5zttO3Tu8CF0mrf5oHE64LVnjeY1o1I, https://drive.google.com/open?id=1NFee46odk4N70VKk5Z8IQsP22BngwEPa</v>
      </c>
      <c r="O314" s="5">
        <f ca="1">IFERROR(__xludf.DUMMYFUNCTION("""COMPUTED_VALUE"""),2042005102)</f>
        <v>2042005102</v>
      </c>
      <c r="P314" s="5" t="str">
        <f ca="1">IFERROR(__xludf.DUMMYFUNCTION("""COMPUTED_VALUE"""),"(818) 275-2529")</f>
        <v>(818) 275-2529</v>
      </c>
      <c r="Q314" s="5"/>
      <c r="R314" s="5"/>
      <c r="S314" s="5"/>
      <c r="T314" s="5"/>
    </row>
    <row r="315" spans="1:20" ht="12.75">
      <c r="A315" s="24">
        <f ca="1">IFERROR(__xludf.DUMMYFUNCTION("""COMPUTED_VALUE"""),45669.858347824)</f>
        <v>45669.858347824003</v>
      </c>
      <c r="B315" s="5" t="str">
        <f ca="1">IFERROR(__xludf.DUMMYFUNCTION("""COMPUTED_VALUE"""),"9892 Beverly Grove Dr")</f>
        <v>9892 Beverly Grove Dr</v>
      </c>
      <c r="C315" s="5" t="str">
        <f ca="1">IFERROR(__xludf.DUMMYFUNCTION("""COMPUTED_VALUE"""),"Beverly hills")</f>
        <v>Beverly hills</v>
      </c>
      <c r="D315" s="5" t="str">
        <f ca="1">IFERROR(__xludf.DUMMYFUNCTION("""COMPUTED_VALUE"""),"CA")</f>
        <v>CA</v>
      </c>
      <c r="E315" s="5">
        <f ca="1">IFERROR(__xludf.DUMMYFUNCTION("""COMPUTED_VALUE"""),90210)</f>
        <v>90210</v>
      </c>
      <c r="F315" s="19">
        <f ca="1">IFERROR(__xludf.DUMMYFUNCTION("""COMPUTED_VALUE"""),25000)</f>
        <v>25000</v>
      </c>
      <c r="G315" s="19">
        <f ca="1">IFERROR(__xludf.DUMMYFUNCTION("""COMPUTED_VALUE"""),33000)</f>
        <v>33000</v>
      </c>
      <c r="H315" s="18">
        <f ca="1">IFERROR(__xludf.DUMMYFUNCTION("""COMPUTED_VALUE"""),45668)</f>
        <v>45668</v>
      </c>
      <c r="I315" s="5" t="str">
        <f ca="1">IFERROR(__xludf.DUMMYFUNCTION("""COMPUTED_VALUE"""),"Zillow")</f>
        <v>Zillow</v>
      </c>
      <c r="J315" s="25" t="str">
        <f ca="1">IFERROR(__xludf.DUMMYFUNCTION("""COMPUTED_VALUE"""),"https://www.zillow.com/homedetails/9892-Beverly-Grove-Dr-Beverly-Hills-CA-90210/20523641_zpid/")</f>
        <v>https://www.zillow.com/homedetails/9892-Beverly-Grove-Dr-Beverly-Hills-CA-90210/20523641_zpid/</v>
      </c>
      <c r="K315" s="5" t="str">
        <f ca="1">IFERROR(__xludf.DUMMYFUNCTION("""COMPUTED_VALUE"""),"Merrie Kung")</f>
        <v>Merrie Kung</v>
      </c>
      <c r="L315" s="5"/>
      <c r="M315" s="26" t="str">
        <f ca="1">IFERROR(__xludf.DUMMYFUNCTION("""COMPUTED_VALUE"""),"https://www.instagram.com/realtor_mer/")</f>
        <v>https://www.instagram.com/realtor_mer/</v>
      </c>
      <c r="N315" s="26" t="str">
        <f ca="1">IFERROR(__xludf.DUMMYFUNCTION("""COMPUTED_VALUE"""),"https://drive.google.com/open?id=1zc_rXe5eY-HEevQ93IBNS_xpdjiquv3R")</f>
        <v>https://drive.google.com/open?id=1zc_rXe5eY-HEevQ93IBNS_xpdjiquv3R</v>
      </c>
      <c r="O315" s="5">
        <f ca="1">IFERROR(__xludf.DUMMYFUNCTION("""COMPUTED_VALUE"""),4356023014)</f>
        <v>4356023014</v>
      </c>
      <c r="P315" s="5" t="str">
        <f ca="1">IFERROR(__xludf.DUMMYFUNCTION("""COMPUTED_VALUE"""),"(310) 736-5599")</f>
        <v>(310) 736-5599</v>
      </c>
      <c r="Q315" s="5" t="str">
        <f ca="1">IFERROR(__xludf.DUMMYFUNCTION("""COMPUTED_VALUE"""),"MERRIEKUNG@GMAIL.COM")</f>
        <v>MERRIEKUNG@GMAIL.COM</v>
      </c>
      <c r="R315" s="5"/>
      <c r="S315" s="5"/>
      <c r="T315" s="5"/>
    </row>
    <row r="316" spans="1:20" ht="12.75">
      <c r="A316" s="24">
        <f ca="1">IFERROR(__xludf.DUMMYFUNCTION("""COMPUTED_VALUE"""),45669.8589668287)</f>
        <v>45669.858966828702</v>
      </c>
      <c r="B316" s="5" t="str">
        <f ca="1">IFERROR(__xludf.DUMMYFUNCTION("""COMPUTED_VALUE"""),"17841 Tarzana St, Encino, CA 91316")</f>
        <v>17841 Tarzana St, Encino, CA 91316</v>
      </c>
      <c r="C316" s="5" t="str">
        <f ca="1">IFERROR(__xludf.DUMMYFUNCTION("""COMPUTED_VALUE"""),"Encino")</f>
        <v>Encino</v>
      </c>
      <c r="D316" s="5" t="str">
        <f ca="1">IFERROR(__xludf.DUMMYFUNCTION("""COMPUTED_VALUE"""),"CA")</f>
        <v>CA</v>
      </c>
      <c r="E316" s="5">
        <f ca="1">IFERROR(__xludf.DUMMYFUNCTION("""COMPUTED_VALUE"""),91316)</f>
        <v>91316</v>
      </c>
      <c r="F316" s="19">
        <f ca="1">IFERROR(__xludf.DUMMYFUNCTION("""COMPUTED_VALUE"""),6750)</f>
        <v>6750</v>
      </c>
      <c r="G316" s="19">
        <f ca="1">IFERROR(__xludf.DUMMYFUNCTION("""COMPUTED_VALUE"""),18480)</f>
        <v>18480</v>
      </c>
      <c r="H316" s="18">
        <f ca="1">IFERROR(__xludf.DUMMYFUNCTION("""COMPUTED_VALUE"""),45670)</f>
        <v>45670</v>
      </c>
      <c r="I316" s="5" t="str">
        <f ca="1">IFERROR(__xludf.DUMMYFUNCTION("""COMPUTED_VALUE"""),"Zillow")</f>
        <v>Zillow</v>
      </c>
      <c r="J316" s="25" t="str">
        <f ca="1">IFERROR(__xludf.DUMMYFUNCTION("""COMPUTED_VALUE"""),"https://www.zillow.com/homedetails/17841-Tarzana-St-Encino-CA-91316/19950053_zpid/")</f>
        <v>https://www.zillow.com/homedetails/17841-Tarzana-St-Encino-CA-91316/19950053_zpid/</v>
      </c>
      <c r="K316" s="5" t="str">
        <f ca="1">IFERROR(__xludf.DUMMYFUNCTION("""COMPUTED_VALUE"""),"Juan Jay Martinez")</f>
        <v>Juan Jay Martinez</v>
      </c>
      <c r="L316" s="5"/>
      <c r="M316" s="5"/>
      <c r="N316" s="5" t="str">
        <f ca="1">IFERROR(__xludf.DUMMYFUNCTION("""COMPUTED_VALUE"""),"https://drive.google.com/open?id=1aT6yXhDCdjV_BU9gbqgEx96KcKpSpMT7, https://drive.google.com/open?id=1Mi1uVuZSNqCHcb77jiju40z3e8-YRJrM")</f>
        <v>https://drive.google.com/open?id=1aT6yXhDCdjV_BU9gbqgEx96KcKpSpMT7, https://drive.google.com/open?id=1Mi1uVuZSNqCHcb77jiju40z3e8-YRJrM</v>
      </c>
      <c r="O316" s="5">
        <f ca="1">IFERROR(__xludf.DUMMYFUNCTION("""COMPUTED_VALUE"""),2182007006)</f>
        <v>2182007006</v>
      </c>
      <c r="P316" s="5" t="str">
        <f ca="1">IFERROR(__xludf.DUMMYFUNCTION("""COMPUTED_VALUE"""),"(818) 212-3057")</f>
        <v>(818) 212-3057</v>
      </c>
      <c r="Q316" s="5"/>
      <c r="R316" s="5"/>
      <c r="S316" s="5"/>
      <c r="T316" s="5"/>
    </row>
    <row r="317" spans="1:20" ht="12.75">
      <c r="A317" s="24">
        <f ca="1">IFERROR(__xludf.DUMMYFUNCTION("""COMPUTED_VALUE"""),45669.8598331134)</f>
        <v>45669.859833113398</v>
      </c>
      <c r="B317" s="5" t="str">
        <f ca="1">IFERROR(__xludf.DUMMYFUNCTION("""COMPUTED_VALUE"""),"20 28th Ave APT C")</f>
        <v>20 28th Ave APT C</v>
      </c>
      <c r="C317" s="5" t="str">
        <f ca="1">IFERROR(__xludf.DUMMYFUNCTION("""COMPUTED_VALUE"""),"Venice")</f>
        <v>Venice</v>
      </c>
      <c r="D317" s="5" t="str">
        <f ca="1">IFERROR(__xludf.DUMMYFUNCTION("""COMPUTED_VALUE"""),"CA")</f>
        <v>CA</v>
      </c>
      <c r="E317" s="5">
        <f ca="1">IFERROR(__xludf.DUMMYFUNCTION("""COMPUTED_VALUE"""),90291)</f>
        <v>90291</v>
      </c>
      <c r="F317" s="19">
        <f ca="1">IFERROR(__xludf.DUMMYFUNCTION("""COMPUTED_VALUE"""),3500)</f>
        <v>3500</v>
      </c>
      <c r="G317" s="19">
        <f ca="1">IFERROR(__xludf.DUMMYFUNCTION("""COMPUTED_VALUE"""),4000)</f>
        <v>4000</v>
      </c>
      <c r="H317" s="18">
        <f ca="1">IFERROR(__xludf.DUMMYFUNCTION("""COMPUTED_VALUE"""),45666)</f>
        <v>45666</v>
      </c>
      <c r="I317" s="5" t="str">
        <f ca="1">IFERROR(__xludf.DUMMYFUNCTION("""COMPUTED_VALUE"""),"Zillow")</f>
        <v>Zillow</v>
      </c>
      <c r="J317" s="25" t="str">
        <f ca="1">IFERROR(__xludf.DUMMYFUNCTION("""COMPUTED_VALUE"""),"https://www.zillow.com/homedetails/20-28th-Ave-APT-C-Venice-CA-90291/2092186923_zpid/")</f>
        <v>https://www.zillow.com/homedetails/20-28th-Ave-APT-C-Venice-CA-90291/2092186923_zpid/</v>
      </c>
      <c r="K317" s="5" t="str">
        <f ca="1">IFERROR(__xludf.DUMMYFUNCTION("""COMPUTED_VALUE"""),"Eli Mashiach MGB Realty Group")</f>
        <v>Eli Mashiach MGB Realty Group</v>
      </c>
      <c r="L317" s="5"/>
      <c r="M317" s="5"/>
      <c r="N317" s="5" t="str">
        <f ca="1">IFERROR(__xludf.DUMMYFUNCTION("""COMPUTED_VALUE"""),"https://drive.google.com/open?id=1kE0Z4iwpP0hA0OBCWbs0jXwUI6dtBdry, https://drive.google.com/open?id=1jmJmzgXx5cDBOotfu0X99e5UfCBt3-JL")</f>
        <v>https://drive.google.com/open?id=1kE0Z4iwpP0hA0OBCWbs0jXwUI6dtBdry, https://drive.google.com/open?id=1jmJmzgXx5cDBOotfu0X99e5UfCBt3-JL</v>
      </c>
      <c r="O317" s="5" t="str">
        <f ca="1">IFERROR(__xludf.DUMMYFUNCTION("""COMPUTED_VALUE"""),"NA")</f>
        <v>NA</v>
      </c>
      <c r="P317" s="5" t="str">
        <f ca="1">IFERROR(__xludf.DUMMYFUNCTION("""COMPUTED_VALUE"""),"(818) 850-2757")</f>
        <v>(818) 850-2757</v>
      </c>
      <c r="Q317" s="5"/>
      <c r="R317" s="5"/>
      <c r="S317" s="5"/>
      <c r="T317" s="5"/>
    </row>
    <row r="318" spans="1:20" ht="12.75">
      <c r="A318" s="24">
        <f ca="1">IFERROR(__xludf.DUMMYFUNCTION("""COMPUTED_VALUE"""),45669.8625046874)</f>
        <v>45669.8625046874</v>
      </c>
      <c r="B318" s="5" t="str">
        <f ca="1">IFERROR(__xludf.DUMMYFUNCTION("""COMPUTED_VALUE"""),"22527 Cass Ave #1")</f>
        <v>22527 Cass Ave #1</v>
      </c>
      <c r="C318" s="5" t="str">
        <f ca="1">IFERROR(__xludf.DUMMYFUNCTION("""COMPUTED_VALUE"""),"Woodland Hills")</f>
        <v>Woodland Hills</v>
      </c>
      <c r="D318" s="5" t="str">
        <f ca="1">IFERROR(__xludf.DUMMYFUNCTION("""COMPUTED_VALUE"""),"CA")</f>
        <v>CA</v>
      </c>
      <c r="E318" s="5">
        <f ca="1">IFERROR(__xludf.DUMMYFUNCTION("""COMPUTED_VALUE"""),91364)</f>
        <v>91364</v>
      </c>
      <c r="F318" s="19">
        <f ca="1">IFERROR(__xludf.DUMMYFUNCTION("""COMPUTED_VALUE"""),14000)</f>
        <v>14000</v>
      </c>
      <c r="G318" s="19">
        <f ca="1">IFERROR(__xludf.DUMMYFUNCTION("""COMPUTED_VALUE"""),17000)</f>
        <v>17000</v>
      </c>
      <c r="H318" s="18">
        <f ca="1">IFERROR(__xludf.DUMMYFUNCTION("""COMPUTED_VALUE"""),45665)</f>
        <v>45665</v>
      </c>
      <c r="I318" s="5" t="str">
        <f ca="1">IFERROR(__xludf.DUMMYFUNCTION("""COMPUTED_VALUE"""),"Zillow")</f>
        <v>Zillow</v>
      </c>
      <c r="J318" s="25" t="str">
        <f ca="1">IFERROR(__xludf.DUMMYFUNCTION("""COMPUTED_VALUE"""),"https://www.zillow.com/homedetails/22527-Cass-Ave-1-Woodland-Hills-CA-91364/443629345_zpid/")</f>
        <v>https://www.zillow.com/homedetails/22527-Cass-Ave-1-Woodland-Hills-CA-91364/443629345_zpid/</v>
      </c>
      <c r="K318" s="5"/>
      <c r="L318" s="5"/>
      <c r="M318" s="5"/>
      <c r="N318" s="5" t="str">
        <f ca="1">IFERROR(__xludf.DUMMYFUNCTION("""COMPUTED_VALUE"""),"https://drive.google.com/open?id=1Pam-ErmjRte0pLzDCSBSJMmsEwVabFSt, https://drive.google.com/open?id=1z7D2Ts7w-5OmZRUj8ExeUg9YvocBRIdT")</f>
        <v>https://drive.google.com/open?id=1Pam-ErmjRte0pLzDCSBSJMmsEwVabFSt, https://drive.google.com/open?id=1z7D2Ts7w-5OmZRUj8ExeUg9YvocBRIdT</v>
      </c>
      <c r="O318" s="5" t="str">
        <f ca="1">IFERROR(__xludf.DUMMYFUNCTION("""COMPUTED_VALUE"""),"NA")</f>
        <v>NA</v>
      </c>
      <c r="P318" s="5"/>
      <c r="Q318" s="5"/>
      <c r="R318" s="5"/>
      <c r="S318" s="5"/>
      <c r="T318" s="5"/>
    </row>
    <row r="319" spans="1:20" ht="12.75">
      <c r="A319" s="24">
        <f ca="1">IFERROR(__xludf.DUMMYFUNCTION("""COMPUTED_VALUE"""),45669.8637348379)</f>
        <v>45669.863734837898</v>
      </c>
      <c r="B319" s="5" t="str">
        <f ca="1">IFERROR(__xludf.DUMMYFUNCTION("""COMPUTED_VALUE"""),"13318 Mulholland Dr")</f>
        <v>13318 Mulholland Dr</v>
      </c>
      <c r="C319" s="5" t="str">
        <f ca="1">IFERROR(__xludf.DUMMYFUNCTION("""COMPUTED_VALUE"""),"Beverly Hills")</f>
        <v>Beverly Hills</v>
      </c>
      <c r="D319" s="5" t="str">
        <f ca="1">IFERROR(__xludf.DUMMYFUNCTION("""COMPUTED_VALUE"""),"CA")</f>
        <v>CA</v>
      </c>
      <c r="E319" s="5">
        <f ca="1">IFERROR(__xludf.DUMMYFUNCTION("""COMPUTED_VALUE"""),90210)</f>
        <v>90210</v>
      </c>
      <c r="F319" s="19">
        <f ca="1">IFERROR(__xludf.DUMMYFUNCTION("""COMPUTED_VALUE"""),49850)</f>
        <v>49850</v>
      </c>
      <c r="G319" s="19">
        <f ca="1">IFERROR(__xludf.DUMMYFUNCTION("""COMPUTED_VALUE"""),59850)</f>
        <v>59850</v>
      </c>
      <c r="H319" s="18">
        <f ca="1">IFERROR(__xludf.DUMMYFUNCTION("""COMPUTED_VALUE"""),45670)</f>
        <v>45670</v>
      </c>
      <c r="I319" s="5" t="str">
        <f ca="1">IFERROR(__xludf.DUMMYFUNCTION("""COMPUTED_VALUE"""),"Zillow")</f>
        <v>Zillow</v>
      </c>
      <c r="J319" s="25" t="str">
        <f ca="1">IFERROR(__xludf.DUMMYFUNCTION("""COMPUTED_VALUE"""),"https://www.zillow.com/homedetails/13318-Mulholland-Dr-Beverly-Hills-CA-90210/20533184_zpid/")</f>
        <v>https://www.zillow.com/homedetails/13318-Mulholland-Dr-Beverly-Hills-CA-90210/20533184_zpid/</v>
      </c>
      <c r="K319" s="5" t="str">
        <f ca="1">IFERROR(__xludf.DUMMYFUNCTION("""COMPUTED_VALUE"""),"listed by property owner")</f>
        <v>listed by property owner</v>
      </c>
      <c r="L319" s="5" t="str">
        <f ca="1">IFERROR(__xludf.DUMMYFUNCTION("""COMPUTED_VALUE"""),"Michael Owner (appears to be psudonym)")</f>
        <v>Michael Owner (appears to be psudonym)</v>
      </c>
      <c r="M319" s="5" t="str">
        <f ca="1">IFERROR(__xludf.DUMMYFUNCTION("""COMPUTED_VALUE"""),"the property has its own website: https://13318mulhollanddr.com/ ")</f>
        <v xml:space="preserve">the property has its own website: https://13318mulhollanddr.com/ </v>
      </c>
      <c r="N319" s="26" t="str">
        <f ca="1">IFERROR(__xludf.DUMMYFUNCTION("""COMPUTED_VALUE"""),"https://drive.google.com/open?id=1DKcoRKoeAm2r6kU91LsmY9FUaLganslw")</f>
        <v>https://drive.google.com/open?id=1DKcoRKoeAm2r6kU91LsmY9FUaLganslw</v>
      </c>
      <c r="O319" s="5">
        <f ca="1">IFERROR(__xludf.DUMMYFUNCTION("""COMPUTED_VALUE"""),4385004019)</f>
        <v>4385004019</v>
      </c>
      <c r="P319" s="5"/>
      <c r="Q319" s="5"/>
      <c r="R319" s="5" t="str">
        <f ca="1">IFERROR(__xludf.DUMMYFUNCTION("""COMPUTED_VALUE"""),"(310) 569-0490")</f>
        <v>(310) 569-0490</v>
      </c>
      <c r="S319" s="5" t="str">
        <f ca="1">IFERROR(__xludf.DUMMYFUNCTION("""COMPUTED_VALUE"""),"showbizwizard@aol.com")</f>
        <v>showbizwizard@aol.com</v>
      </c>
      <c r="T319" s="5"/>
    </row>
    <row r="320" spans="1:20" ht="12.75">
      <c r="A320" s="24">
        <f ca="1">IFERROR(__xludf.DUMMYFUNCTION("""COMPUTED_VALUE"""),45669.8661488194)</f>
        <v>45669.866148819397</v>
      </c>
      <c r="B320" s="5" t="str">
        <f ca="1">IFERROR(__xludf.DUMMYFUNCTION("""COMPUTED_VALUE"""),"20500 Ventura Blvd FLOOR 3-ID681")</f>
        <v>20500 Ventura Blvd FLOOR 3-ID681</v>
      </c>
      <c r="C320" s="5" t="str">
        <f ca="1">IFERROR(__xludf.DUMMYFUNCTION("""COMPUTED_VALUE"""),"Woodland Hills")</f>
        <v>Woodland Hills</v>
      </c>
      <c r="D320" s="5" t="str">
        <f ca="1">IFERROR(__xludf.DUMMYFUNCTION("""COMPUTED_VALUE"""),"CA")</f>
        <v>CA</v>
      </c>
      <c r="E320" s="5">
        <f ca="1">IFERROR(__xludf.DUMMYFUNCTION("""COMPUTED_VALUE"""),91364)</f>
        <v>91364</v>
      </c>
      <c r="F320" s="19">
        <f ca="1">IFERROR(__xludf.DUMMYFUNCTION("""COMPUTED_VALUE"""),2320)</f>
        <v>2320</v>
      </c>
      <c r="G320" s="19">
        <f ca="1">IFERROR(__xludf.DUMMYFUNCTION("""COMPUTED_VALUE"""),2730)</f>
        <v>2730</v>
      </c>
      <c r="H320" s="18">
        <f ca="1">IFERROR(__xludf.DUMMYFUNCTION("""COMPUTED_VALUE"""),45667)</f>
        <v>45667</v>
      </c>
      <c r="I320" s="5" t="str">
        <f ca="1">IFERROR(__xludf.DUMMYFUNCTION("""COMPUTED_VALUE"""),"Zillow")</f>
        <v>Zillow</v>
      </c>
      <c r="J320" s="25" t="str">
        <f ca="1">IFERROR(__xludf.DUMMYFUNCTION("""COMPUTED_VALUE"""),"https://www.zillow.com/homedetails/20500-Ventura-Blvd-FLOOR-3-ID681-Woodland-Hills-CA-91364/2065471166_zpid/")</f>
        <v>https://www.zillow.com/homedetails/20500-Ventura-Blvd-FLOOR-3-ID681-Woodland-Hills-CA-91364/2065471166_zpid/</v>
      </c>
      <c r="K320" s="5" t="str">
        <f ca="1">IFERROR(__xludf.DUMMYFUNCTION("""COMPUTED_VALUE"""),"Blueground US BLUEGROUND")</f>
        <v>Blueground US BLUEGROUND</v>
      </c>
      <c r="L320" s="5"/>
      <c r="M320" s="5"/>
      <c r="N320" s="26" t="str">
        <f ca="1">IFERROR(__xludf.DUMMYFUNCTION("""COMPUTED_VALUE"""),"https://drive.google.com/open?id=1CZrlT5S4kBxjIQjDbc_TdUzgvBNQY_gt")</f>
        <v>https://drive.google.com/open?id=1CZrlT5S4kBxjIQjDbc_TdUzgvBNQY_gt</v>
      </c>
      <c r="O320" s="5" t="str">
        <f ca="1">IFERROR(__xludf.DUMMYFUNCTION("""COMPUTED_VALUE"""),"NA")</f>
        <v>NA</v>
      </c>
      <c r="P320" s="5" t="str">
        <f ca="1">IFERROR(__xludf.DUMMYFUNCTION("""COMPUTED_VALUE"""),"(323) 433-5570")</f>
        <v>(323) 433-5570</v>
      </c>
      <c r="Q320" s="5"/>
      <c r="R320" s="5"/>
      <c r="S320" s="5"/>
      <c r="T320" s="5"/>
    </row>
    <row r="321" spans="1:20" ht="12.75">
      <c r="A321" s="24">
        <f ca="1">IFERROR(__xludf.DUMMYFUNCTION("""COMPUTED_VALUE"""),45669.8664331134)</f>
        <v>45669.866433113399</v>
      </c>
      <c r="B321" s="5" t="str">
        <f ca="1">IFERROR(__xludf.DUMMYFUNCTION("""COMPUTED_VALUE"""),"11361 Ovada Pl Apt 2")</f>
        <v>11361 Ovada Pl Apt 2</v>
      </c>
      <c r="C321" s="5" t="str">
        <f ca="1">IFERROR(__xludf.DUMMYFUNCTION("""COMPUTED_VALUE"""),"Los Angeles")</f>
        <v>Los Angeles</v>
      </c>
      <c r="D321" s="5" t="str">
        <f ca="1">IFERROR(__xludf.DUMMYFUNCTION("""COMPUTED_VALUE"""),"CA")</f>
        <v>CA</v>
      </c>
      <c r="E321" s="5">
        <f ca="1">IFERROR(__xludf.DUMMYFUNCTION("""COMPUTED_VALUE"""),90049)</f>
        <v>90049</v>
      </c>
      <c r="F321" s="19">
        <f ca="1">IFERROR(__xludf.DUMMYFUNCTION("""COMPUTED_VALUE"""),3100)</f>
        <v>3100</v>
      </c>
      <c r="G321" s="19">
        <f ca="1">IFERROR(__xludf.DUMMYFUNCTION("""COMPUTED_VALUE"""),3600)</f>
        <v>3600</v>
      </c>
      <c r="H321" s="18">
        <f ca="1">IFERROR(__xludf.DUMMYFUNCTION("""COMPUTED_VALUE"""),45667)</f>
        <v>45667</v>
      </c>
      <c r="I321" s="5" t="str">
        <f ca="1">IFERROR(__xludf.DUMMYFUNCTION("""COMPUTED_VALUE"""),"Zillow")</f>
        <v>Zillow</v>
      </c>
      <c r="J321" s="25" t="str">
        <f ca="1">IFERROR(__xludf.DUMMYFUNCTION("""COMPUTED_VALUE"""),"https://www.zillow.com/homedetails/11361-Ovada-Pl-APT-2-Los-Angeles-CA-90049/2111162635_zpid/")</f>
        <v>https://www.zillow.com/homedetails/11361-Ovada-Pl-APT-2-Los-Angeles-CA-90049/2111162635_zpid/</v>
      </c>
      <c r="K321" s="5" t="str">
        <f ca="1">IFERROR(__xludf.DUMMYFUNCTION("""COMPUTED_VALUE"""),"The InterGroup Corporation")</f>
        <v>The InterGroup Corporation</v>
      </c>
      <c r="L321" s="5"/>
      <c r="M321" s="5"/>
      <c r="N321" s="5" t="str">
        <f ca="1">IFERROR(__xludf.DUMMYFUNCTION("""COMPUTED_VALUE"""),"https://drive.google.com/open?id=1EJQgEvtr3MhFPsV2GIyOcR6emhq2EdNW, https://drive.google.com/open?id=1orFgoN7GK9viRvnmpG1WmKEKmyZ9c3LV")</f>
        <v>https://drive.google.com/open?id=1EJQgEvtr3MhFPsV2GIyOcR6emhq2EdNW, https://drive.google.com/open?id=1orFgoN7GK9viRvnmpG1WmKEKmyZ9c3LV</v>
      </c>
      <c r="O321" s="5" t="str">
        <f ca="1">IFERROR(__xludf.DUMMYFUNCTION("""COMPUTED_VALUE"""),"4368-016-049")</f>
        <v>4368-016-049</v>
      </c>
      <c r="P321" s="5" t="str">
        <f ca="1">IFERROR(__xludf.DUMMYFUNCTION("""COMPUTED_VALUE"""),"(213) 510-2874")</f>
        <v>(213) 510-2874</v>
      </c>
      <c r="Q321" s="5"/>
      <c r="R321" s="5"/>
      <c r="S321" s="5"/>
      <c r="T321" s="5"/>
    </row>
    <row r="322" spans="1:20" ht="12.75">
      <c r="A322" s="24">
        <f ca="1">IFERROR(__xludf.DUMMYFUNCTION("""COMPUTED_VALUE"""),45669.8672991435)</f>
        <v>45669.867299143501</v>
      </c>
      <c r="B322" s="5" t="str">
        <f ca="1">IFERROR(__xludf.DUMMYFUNCTION("""COMPUTED_VALUE"""),"8147 Mulholland Ter")</f>
        <v>8147 Mulholland Ter</v>
      </c>
      <c r="C322" s="5" t="str">
        <f ca="1">IFERROR(__xludf.DUMMYFUNCTION("""COMPUTED_VALUE"""),"Los Angeles ")</f>
        <v xml:space="preserve">Los Angeles </v>
      </c>
      <c r="D322" s="5" t="str">
        <f ca="1">IFERROR(__xludf.DUMMYFUNCTION("""COMPUTED_VALUE"""),"CA")</f>
        <v>CA</v>
      </c>
      <c r="E322" s="5">
        <f ca="1">IFERROR(__xludf.DUMMYFUNCTION("""COMPUTED_VALUE"""),90046)</f>
        <v>90046</v>
      </c>
      <c r="F322" s="19">
        <f ca="1">IFERROR(__xludf.DUMMYFUNCTION("""COMPUTED_VALUE"""),15900)</f>
        <v>15900</v>
      </c>
      <c r="G322" s="19">
        <f ca="1">IFERROR(__xludf.DUMMYFUNCTION("""COMPUTED_VALUE"""),20000)</f>
        <v>20000</v>
      </c>
      <c r="H322" s="18">
        <f ca="1">IFERROR(__xludf.DUMMYFUNCTION("""COMPUTED_VALUE"""),45670)</f>
        <v>45670</v>
      </c>
      <c r="I322" s="5" t="str">
        <f ca="1">IFERROR(__xludf.DUMMYFUNCTION("""COMPUTED_VALUE"""),"Zillow")</f>
        <v>Zillow</v>
      </c>
      <c r="J322" s="25" t="str">
        <f ca="1">IFERROR(__xludf.DUMMYFUNCTION("""COMPUTED_VALUE"""),"https://www.zillow.com/homedetails/8147-Mulholland-Ter-Los-Angeles-CA-90046/20031972_zpid/?utm_campaign=iosappmessage&amp;utm_medium=referral&amp;utm_source=txtshare")</f>
        <v>https://www.zillow.com/homedetails/8147-Mulholland-Ter-Los-Angeles-CA-90046/20031972_zpid/?utm_campaign=iosappmessage&amp;utm_medium=referral&amp;utm_source=txtshare</v>
      </c>
      <c r="K322" s="5"/>
      <c r="L322" s="5" t="str">
        <f ca="1">IFERROR(__xludf.DUMMYFUNCTION("""COMPUTED_VALUE"""),"Lyndall")</f>
        <v>Lyndall</v>
      </c>
      <c r="M322" s="5"/>
      <c r="N322" s="5" t="str">
        <f ca="1">IFERROR(__xludf.DUMMYFUNCTION("""COMPUTED_VALUE"""),"https://drive.google.com/open?id=1cVudyyVsXmhj-fPKwLM9agA2OTDf-KRa, https://drive.google.com/open?id=1TqwpyxxHNJ7hI42lgVENCwQeInnP_U5F")</f>
        <v>https://drive.google.com/open?id=1cVudyyVsXmhj-fPKwLM9agA2OTDf-KRa, https://drive.google.com/open?id=1TqwpyxxHNJ7hI42lgVENCwQeInnP_U5F</v>
      </c>
      <c r="O322" s="5" t="str">
        <f ca="1">IFERROR(__xludf.DUMMYFUNCTION("""COMPUTED_VALUE"""),"Parcel number: 2381029002")</f>
        <v>Parcel number: 2381029002</v>
      </c>
      <c r="P322" s="5"/>
      <c r="Q322" s="5"/>
      <c r="R322" s="5" t="str">
        <f ca="1">IFERROR(__xludf.DUMMYFUNCTION("""COMPUTED_VALUE"""),"424 233 1575")</f>
        <v>424 233 1575</v>
      </c>
      <c r="S322" s="5"/>
      <c r="T322" s="5"/>
    </row>
    <row r="323" spans="1:20" ht="12.75">
      <c r="A323" s="24">
        <f ca="1">IFERROR(__xludf.DUMMYFUNCTION("""COMPUTED_VALUE"""),45669.8690221643)</f>
        <v>45669.869022164297</v>
      </c>
      <c r="B323" s="5" t="str">
        <f ca="1">IFERROR(__xludf.DUMMYFUNCTION("""COMPUTED_VALUE"""),"4521 Alla Rd")</f>
        <v>4521 Alla Rd</v>
      </c>
      <c r="C323" s="5" t="str">
        <f ca="1">IFERROR(__xludf.DUMMYFUNCTION("""COMPUTED_VALUE"""),"Marina Del Rey ")</f>
        <v xml:space="preserve">Marina Del Rey </v>
      </c>
      <c r="D323" s="5" t="str">
        <f ca="1">IFERROR(__xludf.DUMMYFUNCTION("""COMPUTED_VALUE"""),"CA")</f>
        <v>CA</v>
      </c>
      <c r="E323" s="5">
        <f ca="1">IFERROR(__xludf.DUMMYFUNCTION("""COMPUTED_VALUE"""),90292)</f>
        <v>90292</v>
      </c>
      <c r="F323" s="19">
        <f ca="1">IFERROR(__xludf.DUMMYFUNCTION("""COMPUTED_VALUE"""),6250)</f>
        <v>6250</v>
      </c>
      <c r="G323" s="19">
        <f ca="1">IFERROR(__xludf.DUMMYFUNCTION("""COMPUTED_VALUE"""),7000)</f>
        <v>7000</v>
      </c>
      <c r="H323" s="18">
        <f ca="1">IFERROR(__xludf.DUMMYFUNCTION("""COMPUTED_VALUE"""),45668)</f>
        <v>45668</v>
      </c>
      <c r="I323" s="5" t="str">
        <f ca="1">IFERROR(__xludf.DUMMYFUNCTION("""COMPUTED_VALUE"""),"Zillow")</f>
        <v>Zillow</v>
      </c>
      <c r="J323" s="25" t="str">
        <f ca="1">IFERROR(__xludf.DUMMYFUNCTION("""COMPUTED_VALUE"""),"https://www.zillow.com/homedetails/4521-Alla-Rd-Marina-Del-Rey-CA-90292/441836699_zpid/")</f>
        <v>https://www.zillow.com/homedetails/4521-Alla-Rd-Marina-Del-Rey-CA-90292/441836699_zpid/</v>
      </c>
      <c r="K323" s="5"/>
      <c r="L323" s="5" t="str">
        <f ca="1">IFERROR(__xludf.DUMMYFUNCTION("""COMPUTED_VALUE"""),"Rafael Baron")</f>
        <v>Rafael Baron</v>
      </c>
      <c r="M323" s="5"/>
      <c r="N323" s="5" t="str">
        <f ca="1">IFERROR(__xludf.DUMMYFUNCTION("""COMPUTED_VALUE"""),"https://drive.google.com/open?id=1QdryXCxjZPOnT6lGj79GyhvLM7z9z5wu, https://drive.google.com/open?id=1-rzSB3r9Pd4dJZWBRm6SXAQjP77Gf66P")</f>
        <v>https://drive.google.com/open?id=1QdryXCxjZPOnT6lGj79GyhvLM7z9z5wu, https://drive.google.com/open?id=1-rzSB3r9Pd4dJZWBRm6SXAQjP77Gf66P</v>
      </c>
      <c r="O323" s="5" t="str">
        <f ca="1">IFERROR(__xludf.DUMMYFUNCTION("""COMPUTED_VALUE"""),"NA")</f>
        <v>NA</v>
      </c>
      <c r="P323" s="5"/>
      <c r="Q323" s="5"/>
      <c r="R323" s="5"/>
      <c r="S323" s="5"/>
      <c r="T323" s="5"/>
    </row>
    <row r="324" spans="1:20" ht="12.75">
      <c r="A324" s="24">
        <f ca="1">IFERROR(__xludf.DUMMYFUNCTION("""COMPUTED_VALUE"""),45669.8690431597)</f>
        <v>45669.869043159699</v>
      </c>
      <c r="B324" s="5" t="str">
        <f ca="1">IFERROR(__xludf.DUMMYFUNCTION("""COMPUTED_VALUE"""),"22731 Burbank Blvd")</f>
        <v>22731 Burbank Blvd</v>
      </c>
      <c r="C324" s="5" t="str">
        <f ca="1">IFERROR(__xludf.DUMMYFUNCTION("""COMPUTED_VALUE"""),"Los Angeles")</f>
        <v>Los Angeles</v>
      </c>
      <c r="D324" s="5" t="str">
        <f ca="1">IFERROR(__xludf.DUMMYFUNCTION("""COMPUTED_VALUE"""),"CA")</f>
        <v>CA</v>
      </c>
      <c r="E324" s="5">
        <f ca="1">IFERROR(__xludf.DUMMYFUNCTION("""COMPUTED_VALUE"""),91367)</f>
        <v>91367</v>
      </c>
      <c r="F324" s="19">
        <f ca="1">IFERROR(__xludf.DUMMYFUNCTION("""COMPUTED_VALUE"""),1625)</f>
        <v>1625</v>
      </c>
      <c r="G324" s="19">
        <f ca="1">IFERROR(__xludf.DUMMYFUNCTION("""COMPUTED_VALUE"""),1895)</f>
        <v>1895</v>
      </c>
      <c r="H324" s="18">
        <f ca="1">IFERROR(__xludf.DUMMYFUNCTION("""COMPUTED_VALUE"""),-684817)</f>
        <v>-684817</v>
      </c>
      <c r="I324" s="5" t="str">
        <f ca="1">IFERROR(__xludf.DUMMYFUNCTION("""COMPUTED_VALUE"""),"Zillow")</f>
        <v>Zillow</v>
      </c>
      <c r="J324" s="25" t="str">
        <f ca="1">IFERROR(__xludf.DUMMYFUNCTION("""COMPUTED_VALUE"""),"https://www.zillow.com/homedetails/22731-Burbank-Blvd-Woodland-Hills-CA-91367/19878010_zpid/")</f>
        <v>https://www.zillow.com/homedetails/22731-Burbank-Blvd-Woodland-Hills-CA-91367/19878010_zpid/</v>
      </c>
      <c r="K324" s="5" t="str">
        <f ca="1">IFERROR(__xludf.DUMMYFUNCTION("""COMPUTED_VALUE"""),"Judith Saban Coldwell Banker")</f>
        <v>Judith Saban Coldwell Banker</v>
      </c>
      <c r="L324" s="5"/>
      <c r="M324" s="5"/>
      <c r="N324" s="5" t="str">
        <f ca="1">IFERROR(__xludf.DUMMYFUNCTION("""COMPUTED_VALUE"""),"https://drive.google.com/open?id=1fRm856KXoalSA-xSqu9OqncAUPHw71NK, https://drive.google.com/open?id=1WSeZmGnHUldAZG1doed_vzl_O1e9AiEM")</f>
        <v>https://drive.google.com/open?id=1fRm856KXoalSA-xSqu9OqncAUPHw71NK, https://drive.google.com/open?id=1WSeZmGnHUldAZG1doed_vzl_O1e9AiEM</v>
      </c>
      <c r="O324" s="5" t="str">
        <f ca="1">IFERROR(__xludf.DUMMYFUNCTION("""COMPUTED_VALUE"""),"2040-011-011")</f>
        <v>2040-011-011</v>
      </c>
      <c r="P324" s="5" t="str">
        <f ca="1">IFERROR(__xludf.DUMMYFUNCTION("""COMPUTED_VALUE"""),"(818) 915-0465")</f>
        <v>(818) 915-0465</v>
      </c>
      <c r="Q324" s="5"/>
      <c r="R324" s="5"/>
      <c r="S324" s="5"/>
      <c r="T324" s="5"/>
    </row>
    <row r="325" spans="1:20" ht="12.75">
      <c r="A325" s="24">
        <f ca="1">IFERROR(__xludf.DUMMYFUNCTION("""COMPUTED_VALUE"""),45669.8699154629)</f>
        <v>45669.869915462899</v>
      </c>
      <c r="B325" s="5" t="str">
        <f ca="1">IFERROR(__xludf.DUMMYFUNCTION("""COMPUTED_VALUE"""),"9031 Alto Cedro Dr")</f>
        <v>9031 Alto Cedro Dr</v>
      </c>
      <c r="C325" s="5" t="str">
        <f ca="1">IFERROR(__xludf.DUMMYFUNCTION("""COMPUTED_VALUE"""),"Beverly Hills")</f>
        <v>Beverly Hills</v>
      </c>
      <c r="D325" s="5" t="str">
        <f ca="1">IFERROR(__xludf.DUMMYFUNCTION("""COMPUTED_VALUE"""),"CA")</f>
        <v>CA</v>
      </c>
      <c r="E325" s="5">
        <f ca="1">IFERROR(__xludf.DUMMYFUNCTION("""COMPUTED_VALUE"""),90210)</f>
        <v>90210</v>
      </c>
      <c r="F325" s="19">
        <f ca="1">IFERROR(__xludf.DUMMYFUNCTION("""COMPUTED_VALUE"""),42000)</f>
        <v>42000</v>
      </c>
      <c r="G325" s="19">
        <f ca="1">IFERROR(__xludf.DUMMYFUNCTION("""COMPUTED_VALUE"""),50000)</f>
        <v>50000</v>
      </c>
      <c r="H325" s="18">
        <f ca="1">IFERROR(__xludf.DUMMYFUNCTION("""COMPUTED_VALUE"""),45667)</f>
        <v>45667</v>
      </c>
      <c r="I325" s="5" t="str">
        <f ca="1">IFERROR(__xludf.DUMMYFUNCTION("""COMPUTED_VALUE"""),"Zillow")</f>
        <v>Zillow</v>
      </c>
      <c r="J325" s="25" t="str">
        <f ca="1">IFERROR(__xludf.DUMMYFUNCTION("""COMPUTED_VALUE"""),"https://www.zillow.com/homedetails/9031-Alto-Cedro-Dr-Beverly-Hills-CA-90210/20534161_zpid/")</f>
        <v>https://www.zillow.com/homedetails/9031-Alto-Cedro-Dr-Beverly-Hills-CA-90210/20534161_zpid/</v>
      </c>
      <c r="K325" s="5" t="str">
        <f ca="1">IFERROR(__xludf.DUMMYFUNCTION("""COMPUTED_VALUE"""),"Monika Lis")</f>
        <v>Monika Lis</v>
      </c>
      <c r="L325" s="5"/>
      <c r="M325" s="5"/>
      <c r="N325" s="5" t="str">
        <f ca="1">IFERROR(__xludf.DUMMYFUNCTION("""COMPUTED_VALUE"""),"https://drive.google.com/open?id=1fvox9OVsX6_LVi0HxfI93D5vCleSz-c-, https://drive.google.com/open?id=1WrGh09m2-ucK9kuaMPCkd-u8FuXGszHY")</f>
        <v>https://drive.google.com/open?id=1fvox9OVsX6_LVi0HxfI93D5vCleSz-c-, https://drive.google.com/open?id=1WrGh09m2-ucK9kuaMPCkd-u8FuXGszHY</v>
      </c>
      <c r="O325" s="5">
        <f ca="1">IFERROR(__xludf.DUMMYFUNCTION("""COMPUTED_VALUE"""),4388016030)</f>
        <v>4388016030</v>
      </c>
      <c r="P325" s="5" t="str">
        <f ca="1">IFERROR(__xludf.DUMMYFUNCTION("""COMPUTED_VALUE"""),"(310) 994-7906")</f>
        <v>(310) 994-7906</v>
      </c>
      <c r="Q325" s="5" t="str">
        <f ca="1">IFERROR(__xludf.DUMMYFUNCTION("""COMPUTED_VALUE"""),"Monikabeverlyhills@gmail.com")</f>
        <v>Monikabeverlyhills@gmail.com</v>
      </c>
      <c r="R325" s="5"/>
      <c r="S325" s="5"/>
      <c r="T325" s="5"/>
    </row>
    <row r="326" spans="1:20" ht="12.75">
      <c r="A326" s="24">
        <f ca="1">IFERROR(__xludf.DUMMYFUNCTION("""COMPUTED_VALUE"""),45669.8706163194)</f>
        <v>45669.8706163194</v>
      </c>
      <c r="B326" s="5" t="str">
        <f ca="1">IFERROR(__xludf.DUMMYFUNCTION("""COMPUTED_VALUE"""),"3731 W 59th Pl")</f>
        <v>3731 W 59th Pl</v>
      </c>
      <c r="C326" s="5" t="str">
        <f ca="1">IFERROR(__xludf.DUMMYFUNCTION("""COMPUTED_VALUE"""),"Los Angeles")</f>
        <v>Los Angeles</v>
      </c>
      <c r="D326" s="5" t="str">
        <f ca="1">IFERROR(__xludf.DUMMYFUNCTION("""COMPUTED_VALUE"""),"CA")</f>
        <v>CA</v>
      </c>
      <c r="E326" s="5">
        <f ca="1">IFERROR(__xludf.DUMMYFUNCTION("""COMPUTED_VALUE"""),90043)</f>
        <v>90043</v>
      </c>
      <c r="F326" s="19">
        <f ca="1">IFERROR(__xludf.DUMMYFUNCTION("""COMPUTED_VALUE"""),1)</f>
        <v>1</v>
      </c>
      <c r="G326" s="19">
        <f ca="1">IFERROR(__xludf.DUMMYFUNCTION("""COMPUTED_VALUE"""),13000)</f>
        <v>13000</v>
      </c>
      <c r="H326" s="18">
        <f ca="1">IFERROR(__xludf.DUMMYFUNCTION("""COMPUTED_VALUE"""),45667)</f>
        <v>45667</v>
      </c>
      <c r="I326" s="5" t="str">
        <f ca="1">IFERROR(__xludf.DUMMYFUNCTION("""COMPUTED_VALUE"""),"Zillow")</f>
        <v>Zillow</v>
      </c>
      <c r="J326" s="25" t="str">
        <f ca="1">IFERROR(__xludf.DUMMYFUNCTION("""COMPUTED_VALUE"""),"https://www.zillow.com/homedetails/3731-W-59th-Pl-Los-Angeles-CA-90043/20325270_zpid/")</f>
        <v>https://www.zillow.com/homedetails/3731-W-59th-Pl-Los-Angeles-CA-90043/20325270_zpid/</v>
      </c>
      <c r="K326" s="5" t="str">
        <f ca="1">IFERROR(__xludf.DUMMYFUNCTION("""COMPUTED_VALUE"""),"Bespoke Selection LLC")</f>
        <v>Bespoke Selection LLC</v>
      </c>
      <c r="L326" s="5"/>
      <c r="M326" s="5"/>
      <c r="N326" s="26" t="str">
        <f ca="1">IFERROR(__xludf.DUMMYFUNCTION("""COMPUTED_VALUE"""),"https://drive.google.com/open?id=1i_ALZuHmfPo1tfSSeeNz4ym95dJw7su9")</f>
        <v>https://drive.google.com/open?id=1i_ALZuHmfPo1tfSSeeNz4ym95dJw7su9</v>
      </c>
      <c r="O326" s="5">
        <f ca="1">IFERROR(__xludf.DUMMYFUNCTION("""COMPUTED_VALUE"""),4004013018)</f>
        <v>4004013018</v>
      </c>
      <c r="P326" s="5" t="str">
        <f ca="1">IFERROR(__xludf.DUMMYFUNCTION("""COMPUTED_VALUE"""),"949) 508-5453")</f>
        <v>949) 508-5453</v>
      </c>
      <c r="Q326" s="5"/>
      <c r="R326" s="5"/>
      <c r="S326" s="5"/>
      <c r="T326" s="5"/>
    </row>
    <row r="327" spans="1:20" ht="12.75">
      <c r="A327" s="24">
        <f ca="1">IFERROR(__xludf.DUMMYFUNCTION("""COMPUTED_VALUE"""),45669.8712309953)</f>
        <v>45669.871230995297</v>
      </c>
      <c r="B327" s="5" t="str">
        <f ca="1">IFERROR(__xludf.DUMMYFUNCTION("""COMPUTED_VALUE"""),"22731 Burbank Blvd")</f>
        <v>22731 Burbank Blvd</v>
      </c>
      <c r="C327" s="5" t="str">
        <f ca="1">IFERROR(__xludf.DUMMYFUNCTION("""COMPUTED_VALUE"""),"Woodland Hills")</f>
        <v>Woodland Hills</v>
      </c>
      <c r="D327" s="5" t="str">
        <f ca="1">IFERROR(__xludf.DUMMYFUNCTION("""COMPUTED_VALUE"""),"CA")</f>
        <v>CA</v>
      </c>
      <c r="E327" s="5">
        <f ca="1">IFERROR(__xludf.DUMMYFUNCTION("""COMPUTED_VALUE"""),91367)</f>
        <v>91367</v>
      </c>
      <c r="F327" s="19">
        <f ca="1">IFERROR(__xludf.DUMMYFUNCTION("""COMPUTED_VALUE"""),1625)</f>
        <v>1625</v>
      </c>
      <c r="G327" s="19">
        <f ca="1">IFERROR(__xludf.DUMMYFUNCTION("""COMPUTED_VALUE"""),1895)</f>
        <v>1895</v>
      </c>
      <c r="H327" s="18">
        <f ca="1">IFERROR(__xludf.DUMMYFUNCTION("""COMPUTED_VALUE"""),45668)</f>
        <v>45668</v>
      </c>
      <c r="I327" s="5" t="str">
        <f ca="1">IFERROR(__xludf.DUMMYFUNCTION("""COMPUTED_VALUE"""),"Zillow")</f>
        <v>Zillow</v>
      </c>
      <c r="J327" s="25" t="str">
        <f ca="1">IFERROR(__xludf.DUMMYFUNCTION("""COMPUTED_VALUE"""),"https://www.zillow.com/homedetails/22731-Burbank-Blvd-Woodland-Hills-CA-91367/19878010_zpid/")</f>
        <v>https://www.zillow.com/homedetails/22731-Burbank-Blvd-Woodland-Hills-CA-91367/19878010_zpid/</v>
      </c>
      <c r="K327" s="5" t="str">
        <f ca="1">IFERROR(__xludf.DUMMYFUNCTION("""COMPUTED_VALUE"""),"Judith Saban, Coldwell Banker ")</f>
        <v xml:space="preserve">Judith Saban, Coldwell Banker </v>
      </c>
      <c r="L327" s="5"/>
      <c r="M327" s="5"/>
      <c r="N327" s="26" t="str">
        <f ca="1">IFERROR(__xludf.DUMMYFUNCTION("""COMPUTED_VALUE"""),"https://drive.google.com/open?id=1sHeEw2G7cdqY5Fk7pHlZbqlY18O-pmt_")</f>
        <v>https://drive.google.com/open?id=1sHeEw2G7cdqY5Fk7pHlZbqlY18O-pmt_</v>
      </c>
      <c r="O327" s="5">
        <f ca="1">IFERROR(__xludf.DUMMYFUNCTION("""COMPUTED_VALUE"""),2040011011)</f>
        <v>2040011011</v>
      </c>
      <c r="P327" s="5" t="str">
        <f ca="1">IFERROR(__xludf.DUMMYFUNCTION("""COMPUTED_VALUE"""),"818) 915-0465")</f>
        <v>818) 915-0465</v>
      </c>
      <c r="Q327" s="5"/>
      <c r="R327" s="5"/>
      <c r="S327" s="5"/>
      <c r="T327" s="5"/>
    </row>
    <row r="328" spans="1:20" ht="12.75">
      <c r="A328" s="24">
        <f ca="1">IFERROR(__xludf.DUMMYFUNCTION("""COMPUTED_VALUE"""),45669.8723983796)</f>
        <v>45669.872398379601</v>
      </c>
      <c r="B328" s="5" t="str">
        <f ca="1">IFERROR(__xludf.DUMMYFUNCTION("""COMPUTED_VALUE"""),"20500 Ventura Blvd")</f>
        <v>20500 Ventura Blvd</v>
      </c>
      <c r="C328" s="5" t="str">
        <f ca="1">IFERROR(__xludf.DUMMYFUNCTION("""COMPUTED_VALUE"""),"Los Angeles")</f>
        <v>Los Angeles</v>
      </c>
      <c r="D328" s="5" t="str">
        <f ca="1">IFERROR(__xludf.DUMMYFUNCTION("""COMPUTED_VALUE"""),"CA")</f>
        <v>CA</v>
      </c>
      <c r="E328" s="5">
        <f ca="1">IFERROR(__xludf.DUMMYFUNCTION("""COMPUTED_VALUE"""),91364)</f>
        <v>91364</v>
      </c>
      <c r="F328" s="19">
        <f ca="1">IFERROR(__xludf.DUMMYFUNCTION("""COMPUTED_VALUE"""),2320)</f>
        <v>2320</v>
      </c>
      <c r="G328" s="19">
        <f ca="1">IFERROR(__xludf.DUMMYFUNCTION("""COMPUTED_VALUE"""),2730)</f>
        <v>2730</v>
      </c>
      <c r="H328" s="18">
        <f ca="1">IFERROR(__xludf.DUMMYFUNCTION("""COMPUTED_VALUE"""),-684818)</f>
        <v>-684818</v>
      </c>
      <c r="I328" s="5" t="str">
        <f ca="1">IFERROR(__xludf.DUMMYFUNCTION("""COMPUTED_VALUE"""),"Zillow")</f>
        <v>Zillow</v>
      </c>
      <c r="J328" s="25" t="str">
        <f ca="1">IFERROR(__xludf.DUMMYFUNCTION("""COMPUTED_VALUE"""),"https://www.zillow.com/homedetails/20500-Ventura-Blvd-FLOOR-3-ID681-Woodland-Hills-CA-91364/2065471166_zpid/")</f>
        <v>https://www.zillow.com/homedetails/20500-Ventura-Blvd-FLOOR-3-ID681-Woodland-Hills-CA-91364/2065471166_zpid/</v>
      </c>
      <c r="K328" s="5" t="str">
        <f ca="1">IFERROR(__xludf.DUMMYFUNCTION("""COMPUTED_VALUE"""),"Blueground US")</f>
        <v>Blueground US</v>
      </c>
      <c r="L328" s="5"/>
      <c r="M328" s="5"/>
      <c r="N328" s="5" t="str">
        <f ca="1">IFERROR(__xludf.DUMMYFUNCTION("""COMPUTED_VALUE"""),"https://drive.google.com/open?id=1_eFoohOtOJtYea1j_yXyJWZQL8ocyJx7, https://drive.google.com/open?id=1g2iZYxEGQfWzWdc2rwTLzlwD0CXlojj6, https://drive.google.com/open?id=1KT9yteG3h8Q2D4wddyrQcNyEuNJ_Ly_S")</f>
        <v>https://drive.google.com/open?id=1_eFoohOtOJtYea1j_yXyJWZQL8ocyJx7, https://drive.google.com/open?id=1g2iZYxEGQfWzWdc2rwTLzlwD0CXlojj6, https://drive.google.com/open?id=1KT9yteG3h8Q2D4wddyrQcNyEuNJ_Ly_S</v>
      </c>
      <c r="O328" s="5" t="str">
        <f ca="1">IFERROR(__xludf.DUMMYFUNCTION("""COMPUTED_VALUE"""),"2166-012-006")</f>
        <v>2166-012-006</v>
      </c>
      <c r="P328" s="5" t="str">
        <f ca="1">IFERROR(__xludf.DUMMYFUNCTION("""COMPUTED_VALUE"""),"(323) 433-5570")</f>
        <v>(323) 433-5570</v>
      </c>
      <c r="Q328" s="5"/>
      <c r="R328" s="5"/>
      <c r="S328" s="5"/>
      <c r="T328" s="5"/>
    </row>
    <row r="329" spans="1:20" ht="12.75">
      <c r="A329" s="24">
        <f ca="1">IFERROR(__xludf.DUMMYFUNCTION("""COMPUTED_VALUE"""),45669.8740156597)</f>
        <v>45669.874015659698</v>
      </c>
      <c r="B329" s="5" t="str">
        <f ca="1">IFERROR(__xludf.DUMMYFUNCTION("""COMPUTED_VALUE"""),"5709 Calvin Ave, Tarzana, CA 91356")</f>
        <v>5709 Calvin Ave, Tarzana, CA 91356</v>
      </c>
      <c r="C329" s="5" t="str">
        <f ca="1">IFERROR(__xludf.DUMMYFUNCTION("""COMPUTED_VALUE"""),"Tarzana")</f>
        <v>Tarzana</v>
      </c>
      <c r="D329" s="5" t="str">
        <f ca="1">IFERROR(__xludf.DUMMYFUNCTION("""COMPUTED_VALUE"""),"CA")</f>
        <v>CA</v>
      </c>
      <c r="E329" s="5">
        <f ca="1">IFERROR(__xludf.DUMMYFUNCTION("""COMPUTED_VALUE"""),91356)</f>
        <v>91356</v>
      </c>
      <c r="F329" s="19">
        <f ca="1">IFERROR(__xludf.DUMMYFUNCTION("""COMPUTED_VALUE"""),4800)</f>
        <v>4800</v>
      </c>
      <c r="G329" s="19">
        <f ca="1">IFERROR(__xludf.DUMMYFUNCTION("""COMPUTED_VALUE"""),26000)</f>
        <v>26000</v>
      </c>
      <c r="H329" s="18">
        <f ca="1">IFERROR(__xludf.DUMMYFUNCTION("""COMPUTED_VALUE"""),45669)</f>
        <v>45669</v>
      </c>
      <c r="I329" s="5" t="str">
        <f ca="1">IFERROR(__xludf.DUMMYFUNCTION("""COMPUTED_VALUE"""),"Zillow")</f>
        <v>Zillow</v>
      </c>
      <c r="J329" s="25" t="str">
        <f ca="1">IFERROR(__xludf.DUMMYFUNCTION("""COMPUTED_VALUE"""),"https://www.zillow.com/homedetails/5709-Calvin-Ave-Tarzana-CA-91356/19932890_zpid/")</f>
        <v>https://www.zillow.com/homedetails/5709-Calvin-Ave-Tarzana-CA-91356/19932890_zpid/</v>
      </c>
      <c r="K329" s="5" t="str">
        <f ca="1">IFERROR(__xludf.DUMMYFUNCTION("""COMPUTED_VALUE"""),"Ron Bahat")</f>
        <v>Ron Bahat</v>
      </c>
      <c r="L329" s="5"/>
      <c r="M329" s="5"/>
      <c r="N329" s="5" t="str">
        <f ca="1">IFERROR(__xludf.DUMMYFUNCTION("""COMPUTED_VALUE"""),"https://drive.google.com/open?id=1oj_DrtOsZnQL5MDgTS8jWMpY46qXFpK8, https://drive.google.com/open?id=15xygeYPFjFRNzgB4Kk34bET1QHBESEDn")</f>
        <v>https://drive.google.com/open?id=1oj_DrtOsZnQL5MDgTS8jWMpY46qXFpK8, https://drive.google.com/open?id=15xygeYPFjFRNzgB4Kk34bET1QHBESEDn</v>
      </c>
      <c r="O329" s="5">
        <f ca="1">IFERROR(__xludf.DUMMYFUNCTION("""COMPUTED_VALUE"""),2153032002)</f>
        <v>2153032002</v>
      </c>
      <c r="P329" s="5" t="str">
        <f ca="1">IFERROR(__xludf.DUMMYFUNCTION("""COMPUTED_VALUE"""),"(310) 497-5438")</f>
        <v>(310) 497-5438</v>
      </c>
      <c r="Q329" s="5"/>
      <c r="R329" s="5"/>
      <c r="S329" s="5"/>
      <c r="T329" s="5"/>
    </row>
    <row r="330" spans="1:20" ht="12.75">
      <c r="A330" s="24">
        <f ca="1">IFERROR(__xludf.DUMMYFUNCTION("""COMPUTED_VALUE"""),45669.8749568634)</f>
        <v>45669.874956863401</v>
      </c>
      <c r="B330" s="5" t="str">
        <f ca="1">IFERROR(__xludf.DUMMYFUNCTION("""COMPUTED_VALUE"""),"22527 Cass Ave Apt 1")</f>
        <v>22527 Cass Ave Apt 1</v>
      </c>
      <c r="C330" s="5" t="str">
        <f ca="1">IFERROR(__xludf.DUMMYFUNCTION("""COMPUTED_VALUE"""),"Los Angeles")</f>
        <v>Los Angeles</v>
      </c>
      <c r="D330" s="5" t="str">
        <f ca="1">IFERROR(__xludf.DUMMYFUNCTION("""COMPUTED_VALUE"""),"CA")</f>
        <v>CA</v>
      </c>
      <c r="E330" s="5">
        <f ca="1">IFERROR(__xludf.DUMMYFUNCTION("""COMPUTED_VALUE"""),91364)</f>
        <v>91364</v>
      </c>
      <c r="F330" s="19">
        <f ca="1">IFERROR(__xludf.DUMMYFUNCTION("""COMPUTED_VALUE"""),14000)</f>
        <v>14000</v>
      </c>
      <c r="G330" s="19">
        <f ca="1">IFERROR(__xludf.DUMMYFUNCTION("""COMPUTED_VALUE"""),17000)</f>
        <v>17000</v>
      </c>
      <c r="H330" s="18">
        <f ca="1">IFERROR(__xludf.DUMMYFUNCTION("""COMPUTED_VALUE"""),45665)</f>
        <v>45665</v>
      </c>
      <c r="I330" s="5" t="str">
        <f ca="1">IFERROR(__xludf.DUMMYFUNCTION("""COMPUTED_VALUE"""),"Zillow")</f>
        <v>Zillow</v>
      </c>
      <c r="J330" s="25" t="str">
        <f ca="1">IFERROR(__xludf.DUMMYFUNCTION("""COMPUTED_VALUE"""),"https://www.zillow.com/homedetails/22527-Cass-Ave-1-Woodland-Hills-CA-91364/443629345_zpid/")</f>
        <v>https://www.zillow.com/homedetails/22527-Cass-Ave-1-Woodland-Hills-CA-91364/443629345_zpid/</v>
      </c>
      <c r="K330" s="5"/>
      <c r="L330" s="5"/>
      <c r="M330" s="5"/>
      <c r="N330" s="5" t="str">
        <f ca="1">IFERROR(__xludf.DUMMYFUNCTION("""COMPUTED_VALUE"""),"https://drive.google.com/open?id=1PcbzkkvmJImQPZ1ty8L6eTyUOmMwGBpN, https://drive.google.com/open?id=1vUrz3suQQzvdj5JaA1PLn94mwl1YHVAL")</f>
        <v>https://drive.google.com/open?id=1PcbzkkvmJImQPZ1ty8L6eTyUOmMwGBpN, https://drive.google.com/open?id=1vUrz3suQQzvdj5JaA1PLn94mwl1YHVAL</v>
      </c>
      <c r="O330" s="5" t="str">
        <f ca="1">IFERROR(__xludf.DUMMYFUNCTION("""COMPUTED_VALUE"""),"2075-011-021")</f>
        <v>2075-011-021</v>
      </c>
      <c r="P330" s="5"/>
      <c r="Q330" s="5"/>
      <c r="R330" s="5"/>
      <c r="S330" s="5"/>
      <c r="T330" s="5"/>
    </row>
    <row r="331" spans="1:20" ht="12.75">
      <c r="A331" s="24">
        <f ca="1">IFERROR(__xludf.DUMMYFUNCTION("""COMPUTED_VALUE"""),45669.8759941435)</f>
        <v>45669.875994143498</v>
      </c>
      <c r="B331" s="5" t="str">
        <f ca="1">IFERROR(__xludf.DUMMYFUNCTION("""COMPUTED_VALUE"""),"Undisclosed")</f>
        <v>Undisclosed</v>
      </c>
      <c r="C331" s="5" t="str">
        <f ca="1">IFERROR(__xludf.DUMMYFUNCTION("""COMPUTED_VALUE"""),"Culver City")</f>
        <v>Culver City</v>
      </c>
      <c r="D331" s="5" t="str">
        <f ca="1">IFERROR(__xludf.DUMMYFUNCTION("""COMPUTED_VALUE"""),"CA")</f>
        <v>CA</v>
      </c>
      <c r="E331" s="5">
        <f ca="1">IFERROR(__xludf.DUMMYFUNCTION("""COMPUTED_VALUE"""),90232)</f>
        <v>90232</v>
      </c>
      <c r="F331" s="19">
        <f ca="1">IFERROR(__xludf.DUMMYFUNCTION("""COMPUTED_VALUE"""),5950)</f>
        <v>5950</v>
      </c>
      <c r="G331" s="19">
        <f ca="1">IFERROR(__xludf.DUMMYFUNCTION("""COMPUTED_VALUE"""),8950)</f>
        <v>8950</v>
      </c>
      <c r="H331" s="18">
        <f ca="1">IFERROR(__xludf.DUMMYFUNCTION("""COMPUTED_VALUE"""),45668)</f>
        <v>45668</v>
      </c>
      <c r="I331" s="5" t="str">
        <f ca="1">IFERROR(__xludf.DUMMYFUNCTION("""COMPUTED_VALUE"""),"Zillow")</f>
        <v>Zillow</v>
      </c>
      <c r="J331" s="25" t="str">
        <f ca="1">IFERROR(__xludf.DUMMYFUNCTION("""COMPUTED_VALUE"""),"https://www.zillow.com/homedetails/Culver-City-CA-90232/20432486_zpid/")</f>
        <v>https://www.zillow.com/homedetails/Culver-City-CA-90232/20432486_zpid/</v>
      </c>
      <c r="K331" s="5" t="str">
        <f ca="1">IFERROR(__xludf.DUMMYFUNCTION("""COMPUTED_VALUE"""),"Alex Shirazi")</f>
        <v>Alex Shirazi</v>
      </c>
      <c r="L331" s="5"/>
      <c r="M331" s="5" t="str">
        <f ca="1">IFERROR(__xludf.DUMMYFUNCTION("""COMPUTED_VALUE"""),"2/1 999 sq ft")</f>
        <v>2/1 999 sq ft</v>
      </c>
      <c r="N331" s="5" t="str">
        <f ca="1">IFERROR(__xludf.DUMMYFUNCTION("""COMPUTED_VALUE"""),"https://drive.google.com/open?id=1J9EoPLu4glghACRFU1NrGHAgUMFW0zlU, https://drive.google.com/open?id=1f3YmDR96368TEOn-WxxP6AbD0VHCSAns")</f>
        <v>https://drive.google.com/open?id=1J9EoPLu4glghACRFU1NrGHAgUMFW0zlU, https://drive.google.com/open?id=1f3YmDR96368TEOn-WxxP6AbD0VHCSAns</v>
      </c>
      <c r="O331" s="5" t="str">
        <f ca="1">IFERROR(__xludf.DUMMYFUNCTION("""COMPUTED_VALUE"""),"Na")</f>
        <v>Na</v>
      </c>
      <c r="P331" s="5" t="str">
        <f ca="1">IFERROR(__xludf.DUMMYFUNCTION("""COMPUTED_VALUE"""),"310-910-3410")</f>
        <v>310-910-3410</v>
      </c>
      <c r="Q331" s="5" t="str">
        <f ca="1">IFERROR(__xludf.DUMMYFUNCTION("""COMPUTED_VALUE"""),"alirezashirazi@gmail.com")</f>
        <v>alirezashirazi@gmail.com</v>
      </c>
      <c r="R331" s="5"/>
      <c r="S331" s="5"/>
      <c r="T331" s="5"/>
    </row>
    <row r="332" spans="1:20" ht="12.75">
      <c r="A332" s="24">
        <f ca="1">IFERROR(__xludf.DUMMYFUNCTION("""COMPUTED_VALUE"""),45669.8769224537)</f>
        <v>45669.876922453703</v>
      </c>
      <c r="B332" s="5" t="str">
        <f ca="1">IFERROR(__xludf.DUMMYFUNCTION("""COMPUTED_VALUE"""),"3310 Coy Dr.")</f>
        <v>3310 Coy Dr.</v>
      </c>
      <c r="C332" s="5" t="str">
        <f ca="1">IFERROR(__xludf.DUMMYFUNCTION("""COMPUTED_VALUE"""),"Sherman Oaks")</f>
        <v>Sherman Oaks</v>
      </c>
      <c r="D332" s="5" t="str">
        <f ca="1">IFERROR(__xludf.DUMMYFUNCTION("""COMPUTED_VALUE"""),"CA")</f>
        <v>CA</v>
      </c>
      <c r="E332" s="5">
        <f ca="1">IFERROR(__xludf.DUMMYFUNCTION("""COMPUTED_VALUE"""),91423)</f>
        <v>91423</v>
      </c>
      <c r="F332" s="19">
        <f ca="1">IFERROR(__xludf.DUMMYFUNCTION("""COMPUTED_VALUE"""),11000)</f>
        <v>11000</v>
      </c>
      <c r="G332" s="19">
        <f ca="1">IFERROR(__xludf.DUMMYFUNCTION("""COMPUTED_VALUE"""),12000)</f>
        <v>12000</v>
      </c>
      <c r="H332" s="18">
        <f ca="1">IFERROR(__xludf.DUMMYFUNCTION("""COMPUTED_VALUE"""),45668)</f>
        <v>45668</v>
      </c>
      <c r="I332" s="5" t="str">
        <f ca="1">IFERROR(__xludf.DUMMYFUNCTION("""COMPUTED_VALUE"""),"Zillow")</f>
        <v>Zillow</v>
      </c>
      <c r="J332" s="25" t="str">
        <f ca="1">IFERROR(__xludf.DUMMYFUNCTION("""COMPUTED_VALUE"""),"https://www.zillow.com/homedetails/3310-Coy-Dr-Sherman-Oaks-CA-91423/19987597_zpid/")</f>
        <v>https://www.zillow.com/homedetails/3310-Coy-Dr-Sherman-Oaks-CA-91423/19987597_zpid/</v>
      </c>
      <c r="K332" s="5" t="str">
        <f ca="1">IFERROR(__xludf.DUMMYFUNCTION("""COMPUTED_VALUE"""),"Brent Ander")</f>
        <v>Brent Ander</v>
      </c>
      <c r="L332" s="5"/>
      <c r="M332" s="5"/>
      <c r="N332" s="26" t="str">
        <f ca="1">IFERROR(__xludf.DUMMYFUNCTION("""COMPUTED_VALUE"""),"https://drive.google.com/open?id=1u_JxoGrBb23ezSiNO4W_F-QIRduVpuSx")</f>
        <v>https://drive.google.com/open?id=1u_JxoGrBb23ezSiNO4W_F-QIRduVpuSx</v>
      </c>
      <c r="O332" s="5">
        <f ca="1">IFERROR(__xludf.DUMMYFUNCTION("""COMPUTED_VALUE"""),2274022013)</f>
        <v>2274022013</v>
      </c>
      <c r="P332" s="5" t="str">
        <f ca="1">IFERROR(__xludf.DUMMYFUNCTION("""COMPUTED_VALUE"""),"(323) 369-9202")</f>
        <v>(323) 369-9202</v>
      </c>
      <c r="Q332" s="5"/>
      <c r="R332" s="5"/>
      <c r="S332" s="5"/>
      <c r="T332" s="5"/>
    </row>
    <row r="333" spans="1:20" ht="12.75">
      <c r="A333" s="24">
        <f ca="1">IFERROR(__xludf.DUMMYFUNCTION("""COMPUTED_VALUE"""),45669.8777356365)</f>
        <v>45669.877735636503</v>
      </c>
      <c r="B333" s="5" t="str">
        <f ca="1">IFERROR(__xludf.DUMMYFUNCTION("""COMPUTED_VALUE"""),"8680 Franklin Ave")</f>
        <v>8680 Franklin Ave</v>
      </c>
      <c r="C333" s="5" t="str">
        <f ca="1">IFERROR(__xludf.DUMMYFUNCTION("""COMPUTED_VALUE"""),"Los Angeles")</f>
        <v>Los Angeles</v>
      </c>
      <c r="D333" s="5" t="str">
        <f ca="1">IFERROR(__xludf.DUMMYFUNCTION("""COMPUTED_VALUE"""),"CA")</f>
        <v>CA</v>
      </c>
      <c r="E333" s="5">
        <f ca="1">IFERROR(__xludf.DUMMYFUNCTION("""COMPUTED_VALUE"""),90069)</f>
        <v>90069</v>
      </c>
      <c r="F333" s="19">
        <f ca="1">IFERROR(__xludf.DUMMYFUNCTION("""COMPUTED_VALUE"""),20000)</f>
        <v>20000</v>
      </c>
      <c r="G333" s="19">
        <f ca="1">IFERROR(__xludf.DUMMYFUNCTION("""COMPUTED_VALUE"""),26000)</f>
        <v>26000</v>
      </c>
      <c r="H333" s="18">
        <f ca="1">IFERROR(__xludf.DUMMYFUNCTION("""COMPUTED_VALUE"""),45665)</f>
        <v>45665</v>
      </c>
      <c r="I333" s="5" t="str">
        <f ca="1">IFERROR(__xludf.DUMMYFUNCTION("""COMPUTED_VALUE"""),"Zillow")</f>
        <v>Zillow</v>
      </c>
      <c r="J333" s="25" t="str">
        <f ca="1">IFERROR(__xludf.DUMMYFUNCTION("""COMPUTED_VALUE"""),"https://www.zillow.com/homedetails/8680-Franklin-Ave-Los-Angeles-CA-90069/20798318_zpid/")</f>
        <v>https://www.zillow.com/homedetails/8680-Franklin-Ave-Los-Angeles-CA-90069/20798318_zpid/</v>
      </c>
      <c r="K333" s="5" t="str">
        <f ca="1">IFERROR(__xludf.DUMMYFUNCTION("""COMPUTED_VALUE"""),"Rhiannon Genov - LA Estate Brokerage")</f>
        <v>Rhiannon Genov - LA Estate Brokerage</v>
      </c>
      <c r="L333" s="5"/>
      <c r="M333" s="5" t="str">
        <f ca="1">IFERROR(__xludf.DUMMYFUNCTION("""COMPUTED_VALUE"""),"Listed on 8/2/23 for rent for $20k, price increase after the fires by 30% on 1/8/25 to $26K.")</f>
        <v>Listed on 8/2/23 for rent for $20k, price increase after the fires by 30% on 1/8/25 to $26K.</v>
      </c>
      <c r="N333" s="26" t="str">
        <f ca="1">IFERROR(__xludf.DUMMYFUNCTION("""COMPUTED_VALUE"""),"https://drive.google.com/open?id=1sh-mc_J_t-V5wtXhrmoFJ1gR1xbCNqjR")</f>
        <v>https://drive.google.com/open?id=1sh-mc_J_t-V5wtXhrmoFJ1gR1xbCNqjR</v>
      </c>
      <c r="O333" s="5">
        <f ca="1">IFERROR(__xludf.DUMMYFUNCTION("""COMPUTED_VALUE"""),5558019012)</f>
        <v>5558019012</v>
      </c>
      <c r="P333" s="5" t="str">
        <f ca="1">IFERROR(__xludf.DUMMYFUNCTION("""COMPUTED_VALUE"""),"(408) 829-3693")</f>
        <v>(408) 829-3693</v>
      </c>
      <c r="Q333" s="5"/>
      <c r="R333" s="5"/>
      <c r="S333" s="5"/>
      <c r="T333" s="5"/>
    </row>
    <row r="334" spans="1:20" ht="12.75">
      <c r="A334" s="24">
        <f ca="1">IFERROR(__xludf.DUMMYFUNCTION("""COMPUTED_VALUE"""),45669.88073)</f>
        <v>45669.880729999997</v>
      </c>
      <c r="B334" s="5" t="str">
        <f ca="1">IFERROR(__xludf.DUMMYFUNCTION("""COMPUTED_VALUE"""),"748 S Cloverdale Ave")</f>
        <v>748 S Cloverdale Ave</v>
      </c>
      <c r="C334" s="5" t="str">
        <f ca="1">IFERROR(__xludf.DUMMYFUNCTION("""COMPUTED_VALUE"""),"Los Angeles")</f>
        <v>Los Angeles</v>
      </c>
      <c r="D334" s="5" t="str">
        <f ca="1">IFERROR(__xludf.DUMMYFUNCTION("""COMPUTED_VALUE"""),"CA")</f>
        <v>CA</v>
      </c>
      <c r="E334" s="5">
        <f ca="1">IFERROR(__xludf.DUMMYFUNCTION("""COMPUTED_VALUE"""),90036)</f>
        <v>90036</v>
      </c>
      <c r="F334" s="19">
        <f ca="1">IFERROR(__xludf.DUMMYFUNCTION("""COMPUTED_VALUE"""),19500)</f>
        <v>19500</v>
      </c>
      <c r="G334" s="19">
        <f ca="1">IFERROR(__xludf.DUMMYFUNCTION("""COMPUTED_VALUE"""),26000)</f>
        <v>26000</v>
      </c>
      <c r="H334" s="18">
        <f ca="1">IFERROR(__xludf.DUMMYFUNCTION("""COMPUTED_VALUE"""),45669)</f>
        <v>45669</v>
      </c>
      <c r="I334" s="5" t="str">
        <f ca="1">IFERROR(__xludf.DUMMYFUNCTION("""COMPUTED_VALUE"""),"Zillow")</f>
        <v>Zillow</v>
      </c>
      <c r="J334" s="25" t="str">
        <f ca="1">IFERROR(__xludf.DUMMYFUNCTION("""COMPUTED_VALUE"""),"https://www.zillow.com/homedetails/748-S-Cloverdale-Ave-Los-Angeles-CA-90036/20610066_zpid/")</f>
        <v>https://www.zillow.com/homedetails/748-S-Cloverdale-Ave-Los-Angeles-CA-90036/20610066_zpid/</v>
      </c>
      <c r="K334" s="5"/>
      <c r="L334" s="5" t="str">
        <f ca="1">IFERROR(__xludf.DUMMYFUNCTION("""COMPUTED_VALUE"""),"Daniel Dangoor")</f>
        <v>Daniel Dangoor</v>
      </c>
      <c r="M334" s="5" t="str">
        <f ca="1">IFERROR(__xludf.DUMMYFUNCTION("""COMPUTED_VALUE"""),"Was last on the market for $19,500 and removed on 5/7/24. Relisted on 1/12/25 after the fires at a 33.3% increase to $26k.")</f>
        <v>Was last on the market for $19,500 and removed on 5/7/24. Relisted on 1/12/25 after the fires at a 33.3% increase to $26k.</v>
      </c>
      <c r="N334" s="26" t="str">
        <f ca="1">IFERROR(__xludf.DUMMYFUNCTION("""COMPUTED_VALUE"""),"https://drive.google.com/open?id=1YymzgMHTKpPjauuzvDRJdqSQcVzNDSAX")</f>
        <v>https://drive.google.com/open?id=1YymzgMHTKpPjauuzvDRJdqSQcVzNDSAX</v>
      </c>
      <c r="O334" s="5">
        <f ca="1">IFERROR(__xludf.DUMMYFUNCTION("""COMPUTED_VALUE"""),5089002014)</f>
        <v>5089002014</v>
      </c>
      <c r="P334" s="5"/>
      <c r="Q334" s="5"/>
      <c r="R334" s="5" t="str">
        <f ca="1">IFERROR(__xludf.DUMMYFUNCTION("""COMPUTED_VALUE"""),"(424) 444-0084")</f>
        <v>(424) 444-0084</v>
      </c>
      <c r="S334" s="5"/>
      <c r="T334" s="5"/>
    </row>
    <row r="335" spans="1:20" ht="12.75">
      <c r="A335" s="24">
        <f ca="1">IFERROR(__xludf.DUMMYFUNCTION("""COMPUTED_VALUE"""),45669.8814154976)</f>
        <v>45669.881415497599</v>
      </c>
      <c r="B335" s="5" t="str">
        <f ca="1">IFERROR(__xludf.DUMMYFUNCTION("""COMPUTED_VALUE"""),"543 Rialto Ave")</f>
        <v>543 Rialto Ave</v>
      </c>
      <c r="C335" s="5" t="str">
        <f ca="1">IFERROR(__xludf.DUMMYFUNCTION("""COMPUTED_VALUE"""),"Venice")</f>
        <v>Venice</v>
      </c>
      <c r="D335" s="5" t="str">
        <f ca="1">IFERROR(__xludf.DUMMYFUNCTION("""COMPUTED_VALUE"""),"CA")</f>
        <v>CA</v>
      </c>
      <c r="E335" s="5">
        <f ca="1">IFERROR(__xludf.DUMMYFUNCTION("""COMPUTED_VALUE"""),90291)</f>
        <v>90291</v>
      </c>
      <c r="F335" s="19">
        <f ca="1">IFERROR(__xludf.DUMMYFUNCTION("""COMPUTED_VALUE"""),22500)</f>
        <v>22500</v>
      </c>
      <c r="G335" s="19">
        <f ca="1">IFERROR(__xludf.DUMMYFUNCTION("""COMPUTED_VALUE"""),27500)</f>
        <v>27500</v>
      </c>
      <c r="H335" s="18">
        <f ca="1">IFERROR(__xludf.DUMMYFUNCTION("""COMPUTED_VALUE"""),45667)</f>
        <v>45667</v>
      </c>
      <c r="I335" s="5" t="str">
        <f ca="1">IFERROR(__xludf.DUMMYFUNCTION("""COMPUTED_VALUE"""),"Zillow")</f>
        <v>Zillow</v>
      </c>
      <c r="J335" s="25" t="str">
        <f ca="1">IFERROR(__xludf.DUMMYFUNCTION("""COMPUTED_VALUE"""),"https://www.compass.com/listing/543-rialto-avenue-venice-ca-90291/1751008032018693513/")</f>
        <v>https://www.compass.com/listing/543-rialto-avenue-venice-ca-90291/1751008032018693513/</v>
      </c>
      <c r="K335" s="5" t="str">
        <f ca="1">IFERROR(__xludf.DUMMYFUNCTION("""COMPUTED_VALUE"""),"James Owens, Coldwell Banker Realty")</f>
        <v>James Owens, Coldwell Banker Realty</v>
      </c>
      <c r="L335" s="5"/>
      <c r="M335" s="5" t="str">
        <f ca="1">IFERROR(__xludf.DUMMYFUNCTION("""COMPUTED_VALUE"""),"Zillow listing removed; still live on Compass https://www.compass.com/listing/543-rialto-avenue-venice-ca-90291/1751008032018693513/")</f>
        <v>Zillow listing removed; still live on Compass https://www.compass.com/listing/543-rialto-avenue-venice-ca-90291/1751008032018693513/</v>
      </c>
      <c r="N335" s="26" t="str">
        <f ca="1">IFERROR(__xludf.DUMMYFUNCTION("""COMPUTED_VALUE"""),"https://drive.google.com/open?id=15JYbs31tkYPJNxdgwMoqa9a1HtCmDbkO")</f>
        <v>https://drive.google.com/open?id=15JYbs31tkYPJNxdgwMoqa9a1HtCmDbkO</v>
      </c>
      <c r="O335" s="5">
        <f ca="1">IFERROR(__xludf.DUMMYFUNCTION("""COMPUTED_VALUE"""),4238006015)</f>
        <v>4238006015</v>
      </c>
      <c r="P335" s="5" t="str">
        <f ca="1">IFERROR(__xludf.DUMMYFUNCTION("""COMPUTED_VALUE"""),"(518)-275-9865")</f>
        <v>(518)-275-9865</v>
      </c>
      <c r="Q335" s="5" t="str">
        <f ca="1">IFERROR(__xludf.DUMMYFUNCTION("""COMPUTED_VALUE"""),"james@jamesowenshomesla.com")</f>
        <v>james@jamesowenshomesla.com</v>
      </c>
      <c r="R335" s="5"/>
      <c r="S335" s="5"/>
      <c r="T335" s="5"/>
    </row>
    <row r="336" spans="1:20" ht="12.75">
      <c r="A336" s="24">
        <f ca="1">IFERROR(__xludf.DUMMYFUNCTION("""COMPUTED_VALUE"""),45669.8836622106)</f>
        <v>45669.883662210603</v>
      </c>
      <c r="B336" s="5" t="str">
        <f ca="1">IFERROR(__xludf.DUMMYFUNCTION("""COMPUTED_VALUE"""),"2461 Jupiter Dr")</f>
        <v>2461 Jupiter Dr</v>
      </c>
      <c r="C336" s="5" t="str">
        <f ca="1">IFERROR(__xludf.DUMMYFUNCTION("""COMPUTED_VALUE"""),"Los Angeles")</f>
        <v>Los Angeles</v>
      </c>
      <c r="D336" s="5" t="str">
        <f ca="1">IFERROR(__xludf.DUMMYFUNCTION("""COMPUTED_VALUE"""),"CA")</f>
        <v>CA</v>
      </c>
      <c r="E336" s="5">
        <f ca="1">IFERROR(__xludf.DUMMYFUNCTION("""COMPUTED_VALUE"""),90046)</f>
        <v>90046</v>
      </c>
      <c r="F336" s="19">
        <f ca="1">IFERROR(__xludf.DUMMYFUNCTION("""COMPUTED_VALUE"""),20000)</f>
        <v>20000</v>
      </c>
      <c r="G336" s="19">
        <f ca="1">IFERROR(__xludf.DUMMYFUNCTION("""COMPUTED_VALUE"""),26000)</f>
        <v>26000</v>
      </c>
      <c r="H336" s="18">
        <f ca="1">IFERROR(__xludf.DUMMYFUNCTION("""COMPUTED_VALUE"""),45665)</f>
        <v>45665</v>
      </c>
      <c r="I336" s="5" t="str">
        <f ca="1">IFERROR(__xludf.DUMMYFUNCTION("""COMPUTED_VALUE"""),"Zillow")</f>
        <v>Zillow</v>
      </c>
      <c r="J336" s="25" t="str">
        <f ca="1">IFERROR(__xludf.DUMMYFUNCTION("""COMPUTED_VALUE"""),"https://www.zillow.com/homedetails/2461-Jupiter-Dr-Los-Angeles-CA-90046/20802089_zpid/")</f>
        <v>https://www.zillow.com/homedetails/2461-Jupiter-Dr-Los-Angeles-CA-90046/20802089_zpid/</v>
      </c>
      <c r="K336" s="5" t="str">
        <f ca="1">IFERROR(__xludf.DUMMYFUNCTION("""COMPUTED_VALUE"""),"Amy Yang - Compass")</f>
        <v>Amy Yang - Compass</v>
      </c>
      <c r="L336" s="5"/>
      <c r="M336" s="5" t="str">
        <f ca="1">IFERROR(__xludf.DUMMYFUNCTION("""COMPUTED_VALUE"""),"Price was lowered in Oct 2024 and removed from market on 12/19/24 at $20K. Relisted after the fires on 1/8/25 at a 30% increase for $26k.")</f>
        <v>Price was lowered in Oct 2024 and removed from market on 12/19/24 at $20K. Relisted after the fires on 1/8/25 at a 30% increase for $26k.</v>
      </c>
      <c r="N336" s="26" t="str">
        <f ca="1">IFERROR(__xludf.DUMMYFUNCTION("""COMPUTED_VALUE"""),"https://drive.google.com/open?id=1PWp7PllOi1Rub3Tl7Z2EZWi8m_J1F7K8")</f>
        <v>https://drive.google.com/open?id=1PWp7PllOi1Rub3Tl7Z2EZWi8m_J1F7K8</v>
      </c>
      <c r="O336" s="5">
        <f ca="1">IFERROR(__xludf.DUMMYFUNCTION("""COMPUTED_VALUE"""),5569015062)</f>
        <v>5569015062</v>
      </c>
      <c r="P336" s="5" t="str">
        <f ca="1">IFERROR(__xludf.DUMMYFUNCTION("""COMPUTED_VALUE"""),"(310) 625-2206")</f>
        <v>(310) 625-2206</v>
      </c>
      <c r="Q336" s="5"/>
      <c r="R336" s="5"/>
      <c r="S336" s="5"/>
      <c r="T336" s="5"/>
    </row>
    <row r="337" spans="1:20" ht="12.75">
      <c r="A337" s="24">
        <f ca="1">IFERROR(__xludf.DUMMYFUNCTION("""COMPUTED_VALUE"""),45669.8849267013)</f>
        <v>45669.884926701299</v>
      </c>
      <c r="B337" s="5" t="str">
        <f ca="1">IFERROR(__xludf.DUMMYFUNCTION("""COMPUTED_VALUE"""),"4045 Jackson Ave")</f>
        <v>4045 Jackson Ave</v>
      </c>
      <c r="C337" s="5" t="str">
        <f ca="1">IFERROR(__xludf.DUMMYFUNCTION("""COMPUTED_VALUE"""),"Culver City")</f>
        <v>Culver City</v>
      </c>
      <c r="D337" s="5" t="str">
        <f ca="1">IFERROR(__xludf.DUMMYFUNCTION("""COMPUTED_VALUE"""),"CA")</f>
        <v>CA</v>
      </c>
      <c r="E337" s="5">
        <f ca="1">IFERROR(__xludf.DUMMYFUNCTION("""COMPUTED_VALUE"""),90232)</f>
        <v>90232</v>
      </c>
      <c r="F337" s="19">
        <f ca="1">IFERROR(__xludf.DUMMYFUNCTION("""COMPUTED_VALUE"""),7450)</f>
        <v>7450</v>
      </c>
      <c r="G337" s="19">
        <f ca="1">IFERROR(__xludf.DUMMYFUNCTION("""COMPUTED_VALUE"""),14500)</f>
        <v>14500</v>
      </c>
      <c r="H337" s="18">
        <f ca="1">IFERROR(__xludf.DUMMYFUNCTION("""COMPUTED_VALUE"""),45669)</f>
        <v>45669</v>
      </c>
      <c r="I337" s="5" t="str">
        <f ca="1">IFERROR(__xludf.DUMMYFUNCTION("""COMPUTED_VALUE"""),"Zillow")</f>
        <v>Zillow</v>
      </c>
      <c r="J337" s="25" t="str">
        <f ca="1">IFERROR(__xludf.DUMMYFUNCTION("""COMPUTED_VALUE"""),"https://www.zillow.com/homedetails/4045-Jackson-Ave-Culver-City-CA-90232/20433150_zpid/")</f>
        <v>https://www.zillow.com/homedetails/4045-Jackson-Ave-Culver-City-CA-90232/20433150_zpid/</v>
      </c>
      <c r="K337" s="5" t="str">
        <f ca="1">IFERROR(__xludf.DUMMYFUNCTION("""COMPUTED_VALUE"""),"Hamid Reza Dehghan")</f>
        <v>Hamid Reza Dehghan</v>
      </c>
      <c r="L337" s="5"/>
      <c r="M337" s="5" t="str">
        <f ca="1">IFERROR(__xludf.DUMMYFUNCTION("""COMPUTED_VALUE"""),"Was an Air B and B until today. 2/1 1146 sq ft")</f>
        <v>Was an Air B and B until today. 2/1 1146 sq ft</v>
      </c>
      <c r="N337" s="5" t="str">
        <f ca="1">IFERROR(__xludf.DUMMYFUNCTION("""COMPUTED_VALUE"""),"https://drive.google.com/open?id=1iGpEA_jBt0FD8i2-G9JKpF4HCWVWYrZe, https://drive.google.com/open?id=1x5oSG8kSMhuyGsEXQNr1p2JEcdoDT0DQ, https://drive.google.com/open?id=11iGdKW2BYmIIyVTyOqdobmpYB7yWwg6z")</f>
        <v>https://drive.google.com/open?id=1iGpEA_jBt0FD8i2-G9JKpF4HCWVWYrZe, https://drive.google.com/open?id=1x5oSG8kSMhuyGsEXQNr1p2JEcdoDT0DQ, https://drive.google.com/open?id=11iGdKW2BYmIIyVTyOqdobmpYB7yWwg6z</v>
      </c>
      <c r="O337" s="5">
        <f ca="1">IFERROR(__xludf.DUMMYFUNCTION("""COMPUTED_VALUE"""),4208001009)</f>
        <v>4208001009</v>
      </c>
      <c r="P337" s="5" t="str">
        <f ca="1">IFERROR(__xludf.DUMMYFUNCTION("""COMPUTED_VALUE"""),"424-333-0389")</f>
        <v>424-333-0389</v>
      </c>
      <c r="Q337" s="5"/>
      <c r="R337" s="5"/>
      <c r="S337" s="5" t="str">
        <f ca="1">IFERROR(__xludf.DUMMYFUNCTION("""COMPUTED_VALUE"""),"dehghan.hr@gmail.com")</f>
        <v>dehghan.hr@gmail.com</v>
      </c>
      <c r="T337" s="5"/>
    </row>
    <row r="338" spans="1:20" ht="12.75">
      <c r="A338" s="24">
        <f ca="1">IFERROR(__xludf.DUMMYFUNCTION("""COMPUTED_VALUE"""),45669.885760787)</f>
        <v>45669.885760787001</v>
      </c>
      <c r="B338" s="5" t="str">
        <f ca="1">IFERROR(__xludf.DUMMYFUNCTION("""COMPUTED_VALUE"""),"710 Westbourne Dr")</f>
        <v>710 Westbourne Dr</v>
      </c>
      <c r="C338" s="5" t="str">
        <f ca="1">IFERROR(__xludf.DUMMYFUNCTION("""COMPUTED_VALUE"""),"West Hollywood")</f>
        <v>West Hollywood</v>
      </c>
      <c r="D338" s="5" t="str">
        <f ca="1">IFERROR(__xludf.DUMMYFUNCTION("""COMPUTED_VALUE"""),"CA")</f>
        <v>CA</v>
      </c>
      <c r="E338" s="5">
        <f ca="1">IFERROR(__xludf.DUMMYFUNCTION("""COMPUTED_VALUE"""),90069)</f>
        <v>90069</v>
      </c>
      <c r="F338" s="19">
        <f ca="1">IFERROR(__xludf.DUMMYFUNCTION("""COMPUTED_VALUE"""),9500)</f>
        <v>9500</v>
      </c>
      <c r="G338" s="19">
        <f ca="1">IFERROR(__xludf.DUMMYFUNCTION("""COMPUTED_VALUE"""),11995)</f>
        <v>11995</v>
      </c>
      <c r="H338" s="18">
        <f ca="1">IFERROR(__xludf.DUMMYFUNCTION("""COMPUTED_VALUE"""),45668)</f>
        <v>45668</v>
      </c>
      <c r="I338" s="5" t="str">
        <f ca="1">IFERROR(__xludf.DUMMYFUNCTION("""COMPUTED_VALUE"""),"Zillow")</f>
        <v>Zillow</v>
      </c>
      <c r="J338" s="25" t="str">
        <f ca="1">IFERROR(__xludf.DUMMYFUNCTION("""COMPUTED_VALUE"""),"https://www.zillow.com/homedetails/710-Westbourne-Dr-West-Hollywood-CA-90069/2098186436_zpid/")</f>
        <v>https://www.zillow.com/homedetails/710-Westbourne-Dr-West-Hollywood-CA-90069/2098186436_zpid/</v>
      </c>
      <c r="K338" s="5" t="str">
        <f ca="1">IFERROR(__xludf.DUMMYFUNCTION("""COMPUTED_VALUE"""),"Sabrina Herman, Gussman Czako Estates (Management company)")</f>
        <v>Sabrina Herman, Gussman Czako Estates (Management company)</v>
      </c>
      <c r="L338" s="5"/>
      <c r="M338" s="5" t="str">
        <f ca="1">IFERROR(__xludf.DUMMYFUNCTION("""COMPUTED_VALUE"""),"$19,000 security deposit")</f>
        <v>$19,000 security deposit</v>
      </c>
      <c r="N338" s="5" t="str">
        <f ca="1">IFERROR(__xludf.DUMMYFUNCTION("""COMPUTED_VALUE"""),"https://drive.google.com/open?id=1CoErf6aGo78GAe54H5VBx0CoqD3izOCJ, https://drive.google.com/open?id=1WyjjR-c0OsC1Ekoz537GcIMsJfFmolED")</f>
        <v>https://drive.google.com/open?id=1CoErf6aGo78GAe54H5VBx0CoqD3izOCJ, https://drive.google.com/open?id=1WyjjR-c0OsC1Ekoz537GcIMsJfFmolED</v>
      </c>
      <c r="O338" s="5" t="str">
        <f ca="1">IFERROR(__xludf.DUMMYFUNCTION("""COMPUTED_VALUE"""),"NA")</f>
        <v>NA</v>
      </c>
      <c r="P338" s="5" t="str">
        <f ca="1">IFERROR(__xludf.DUMMYFUNCTION("""COMPUTED_VALUE"""),"(805) 455-9494")</f>
        <v>(805) 455-9494</v>
      </c>
      <c r="Q338" s="5"/>
      <c r="R338" s="5"/>
      <c r="S338" s="5"/>
      <c r="T338" s="5"/>
    </row>
    <row r="339" spans="1:20" ht="12.75">
      <c r="A339" s="24">
        <f ca="1">IFERROR(__xludf.DUMMYFUNCTION("""COMPUTED_VALUE"""),45669.8866201504)</f>
        <v>45669.886620150399</v>
      </c>
      <c r="B339" s="5" t="str">
        <f ca="1">IFERROR(__xludf.DUMMYFUNCTION("""COMPUTED_VALUE"""),"Undisclosed Address")</f>
        <v>Undisclosed Address</v>
      </c>
      <c r="C339" s="5" t="str">
        <f ca="1">IFERROR(__xludf.DUMMYFUNCTION("""COMPUTED_VALUE"""),"Sherman Oaks")</f>
        <v>Sherman Oaks</v>
      </c>
      <c r="D339" s="5" t="str">
        <f ca="1">IFERROR(__xludf.DUMMYFUNCTION("""COMPUTED_VALUE"""),"CA")</f>
        <v>CA</v>
      </c>
      <c r="E339" s="5">
        <f ca="1">IFERROR(__xludf.DUMMYFUNCTION("""COMPUTED_VALUE"""),91423)</f>
        <v>91423</v>
      </c>
      <c r="F339" s="19">
        <f ca="1">IFERROR(__xludf.DUMMYFUNCTION("""COMPUTED_VALUE"""),18500)</f>
        <v>18500</v>
      </c>
      <c r="G339" s="19">
        <f ca="1">IFERROR(__xludf.DUMMYFUNCTION("""COMPUTED_VALUE"""),25000)</f>
        <v>25000</v>
      </c>
      <c r="H339" s="18">
        <f ca="1">IFERROR(__xludf.DUMMYFUNCTION("""COMPUTED_VALUE"""),45668)</f>
        <v>45668</v>
      </c>
      <c r="I339" s="5" t="str">
        <f ca="1">IFERROR(__xludf.DUMMYFUNCTION("""COMPUTED_VALUE"""),"Zillow")</f>
        <v>Zillow</v>
      </c>
      <c r="J339" s="25" t="str">
        <f ca="1">IFERROR(__xludf.DUMMYFUNCTION("""COMPUTED_VALUE"""),"https://www.zillow.com/homedetails/Sherman-Oaks-CA-91423/2061731923_zpid/")</f>
        <v>https://www.zillow.com/homedetails/Sherman-Oaks-CA-91423/2061731923_zpid/</v>
      </c>
      <c r="K339" s="5" t="str">
        <f ca="1">IFERROR(__xludf.DUMMYFUNCTION("""COMPUTED_VALUE"""),"Claire D")</f>
        <v>Claire D</v>
      </c>
      <c r="L339" s="5"/>
      <c r="M339" s="5" t="str">
        <f ca="1">IFERROR(__xludf.DUMMYFUNCTION("""COMPUTED_VALUE"""),"Last listed on the market for $18,500 and removed on 3/1/23. Relisted after the fires on 1/11/25 at a 35.1% increase to $25K. 
In description: Short and Long term, Filming and Insurance claims welcome")</f>
        <v>Last listed on the market for $18,500 and removed on 3/1/23. Relisted after the fires on 1/11/25 at a 35.1% increase to $25K. 
In description: Short and Long term, Filming and Insurance claims welcome</v>
      </c>
      <c r="N339" s="26" t="str">
        <f ca="1">IFERROR(__xludf.DUMMYFUNCTION("""COMPUTED_VALUE"""),"https://drive.google.com/open?id=1zRZufXef6ZvR_o2IbNZa3dn-f3AxFKEj")</f>
        <v>https://drive.google.com/open?id=1zRZufXef6ZvR_o2IbNZa3dn-f3AxFKEj</v>
      </c>
      <c r="O339" s="5" t="str">
        <f ca="1">IFERROR(__xludf.DUMMYFUNCTION("""COMPUTED_VALUE"""),"NA")</f>
        <v>NA</v>
      </c>
      <c r="P339" s="5" t="str">
        <f ca="1">IFERROR(__xludf.DUMMYFUNCTION("""COMPUTED_VALUE"""),"(310) 622-5838")</f>
        <v>(310) 622-5838</v>
      </c>
      <c r="Q339" s="5"/>
      <c r="R339" s="5"/>
      <c r="S339" s="5"/>
      <c r="T339" s="5"/>
    </row>
    <row r="340" spans="1:20" ht="12.75">
      <c r="A340" s="24">
        <f ca="1">IFERROR(__xludf.DUMMYFUNCTION("""COMPUTED_VALUE"""),45669.8885680787)</f>
        <v>45669.888568078699</v>
      </c>
      <c r="B340" s="5" t="str">
        <f ca="1">IFERROR(__xludf.DUMMYFUNCTION("""COMPUTED_VALUE"""),"2242 Jeffersonia Way")</f>
        <v>2242 Jeffersonia Way</v>
      </c>
      <c r="C340" s="5" t="str">
        <f ca="1">IFERROR(__xludf.DUMMYFUNCTION("""COMPUTED_VALUE"""),"Los Angeles")</f>
        <v>Los Angeles</v>
      </c>
      <c r="D340" s="5" t="str">
        <f ca="1">IFERROR(__xludf.DUMMYFUNCTION("""COMPUTED_VALUE"""),"CA")</f>
        <v>CA</v>
      </c>
      <c r="E340" s="5">
        <f ca="1">IFERROR(__xludf.DUMMYFUNCTION("""COMPUTED_VALUE"""),90049)</f>
        <v>90049</v>
      </c>
      <c r="F340" s="19">
        <f ca="1">IFERROR(__xludf.DUMMYFUNCTION("""COMPUTED_VALUE"""),16950)</f>
        <v>16950</v>
      </c>
      <c r="G340" s="19">
        <f ca="1">IFERROR(__xludf.DUMMYFUNCTION("""COMPUTED_VALUE"""),24995)</f>
        <v>24995</v>
      </c>
      <c r="H340" s="18">
        <f ca="1">IFERROR(__xludf.DUMMYFUNCTION("""COMPUTED_VALUE"""),45668)</f>
        <v>45668</v>
      </c>
      <c r="I340" s="5" t="str">
        <f ca="1">IFERROR(__xludf.DUMMYFUNCTION("""COMPUTED_VALUE"""),"Zillow")</f>
        <v>Zillow</v>
      </c>
      <c r="J340" s="25" t="str">
        <f ca="1">IFERROR(__xludf.DUMMYFUNCTION("""COMPUTED_VALUE"""),"https://www.zillow.com/homedetails/2242-Jeffersonia-Way-Los-Angeles-CA-90049/89149575_zpid/")</f>
        <v>https://www.zillow.com/homedetails/2242-Jeffersonia-Way-Los-Angeles-CA-90049/89149575_zpid/</v>
      </c>
      <c r="K340" s="5" t="str">
        <f ca="1">IFERROR(__xludf.DUMMYFUNCTION("""COMPUTED_VALUE"""),"Kelsey ")</f>
        <v xml:space="preserve">Kelsey </v>
      </c>
      <c r="L340" s="5"/>
      <c r="M340" s="5" t="str">
        <f ca="1">IFERROR(__xludf.DUMMYFUNCTION("""COMPUTED_VALUE"""),"Listing removed; screenshots from Google show price change")</f>
        <v>Listing removed; screenshots from Google show price change</v>
      </c>
      <c r="N340" s="5" t="str">
        <f ca="1">IFERROR(__xludf.DUMMYFUNCTION("""COMPUTED_VALUE"""),"https://drive.google.com/open?id=1Vgd6BF3qjZ150JmXCMhqF_pdhOk0Kz3q, https://drive.google.com/open?id=1CthpeWvxpG558hAi-Hh_n6Af5bKxhDZF")</f>
        <v>https://drive.google.com/open?id=1Vgd6BF3qjZ150JmXCMhqF_pdhOk0Kz3q, https://drive.google.com/open?id=1CthpeWvxpG558hAi-Hh_n6Af5bKxhDZF</v>
      </c>
      <c r="O340" s="5">
        <f ca="1">IFERROR(__xludf.DUMMYFUNCTION("""COMPUTED_VALUE"""),4492009037)</f>
        <v>4492009037</v>
      </c>
      <c r="P340" s="5"/>
      <c r="Q340" s="5"/>
      <c r="R340" s="5"/>
      <c r="S340" s="5"/>
      <c r="T340" s="5"/>
    </row>
    <row r="341" spans="1:20" ht="12.75">
      <c r="A341" s="24">
        <f ca="1">IFERROR(__xludf.DUMMYFUNCTION("""COMPUTED_VALUE"""),45669.8894052893)</f>
        <v>45669.889405289301</v>
      </c>
      <c r="B341" s="5" t="str">
        <f ca="1">IFERROR(__xludf.DUMMYFUNCTION("""COMPUTED_VALUE"""),"1807 San Ysidro Dr")</f>
        <v>1807 San Ysidro Dr</v>
      </c>
      <c r="C341" s="5" t="str">
        <f ca="1">IFERROR(__xludf.DUMMYFUNCTION("""COMPUTED_VALUE"""),"Beverly Hills")</f>
        <v>Beverly Hills</v>
      </c>
      <c r="D341" s="5" t="str">
        <f ca="1">IFERROR(__xludf.DUMMYFUNCTION("""COMPUTED_VALUE"""),"CA")</f>
        <v>CA</v>
      </c>
      <c r="E341" s="5">
        <f ca="1">IFERROR(__xludf.DUMMYFUNCTION("""COMPUTED_VALUE"""),90210)</f>
        <v>90210</v>
      </c>
      <c r="F341" s="19">
        <f ca="1">IFERROR(__xludf.DUMMYFUNCTION("""COMPUTED_VALUE"""),19500)</f>
        <v>19500</v>
      </c>
      <c r="G341" s="19">
        <f ca="1">IFERROR(__xludf.DUMMYFUNCTION("""COMPUTED_VALUE"""),25000)</f>
        <v>25000</v>
      </c>
      <c r="H341" s="18">
        <f ca="1">IFERROR(__xludf.DUMMYFUNCTION("""COMPUTED_VALUE"""),45666)</f>
        <v>45666</v>
      </c>
      <c r="I341" s="5" t="str">
        <f ca="1">IFERROR(__xludf.DUMMYFUNCTION("""COMPUTED_VALUE"""),"Zillow")</f>
        <v>Zillow</v>
      </c>
      <c r="J341" s="25" t="str">
        <f ca="1">IFERROR(__xludf.DUMMYFUNCTION("""COMPUTED_VALUE"""),"https://www.zillow.com/homedetails/1807-San-Ysidro-Dr-Beverly-Hills-CA-90210/20523504_zpid/")</f>
        <v>https://www.zillow.com/homedetails/1807-San-Ysidro-Dr-Beverly-Hills-CA-90210/20523504_zpid/</v>
      </c>
      <c r="K341" s="5" t="str">
        <f ca="1">IFERROR(__xludf.DUMMYFUNCTION("""COMPUTED_VALUE"""),"Monty Abramov - The Beverly Hills Estates")</f>
        <v>Monty Abramov - The Beverly Hills Estates</v>
      </c>
      <c r="L341" s="5"/>
      <c r="M341" s="5" t="str">
        <f ca="1">IFERROR(__xludf.DUMMYFUNCTION("""COMPUTED_VALUE"""),"Previously on the market for $19,500 and removed on 12/25/24. Relisted after the fires on 1/9/25 with a 28.2% increase to $25K. ")</f>
        <v xml:space="preserve">Previously on the market for $19,500 and removed on 12/25/24. Relisted after the fires on 1/9/25 with a 28.2% increase to $25K. </v>
      </c>
      <c r="N341" s="26" t="str">
        <f ca="1">IFERROR(__xludf.DUMMYFUNCTION("""COMPUTED_VALUE"""),"https://drive.google.com/open?id=1cDi20Egfm1CzPUZHE-YX4Ih3Y-92PCL2")</f>
        <v>https://drive.google.com/open?id=1cDi20Egfm1CzPUZHE-YX4Ih3Y-92PCL2</v>
      </c>
      <c r="O341" s="5">
        <f ca="1">IFERROR(__xludf.DUMMYFUNCTION("""COMPUTED_VALUE"""),4356009006)</f>
        <v>4356009006</v>
      </c>
      <c r="P341" s="5" t="str">
        <f ca="1">IFERROR(__xludf.DUMMYFUNCTION("""COMPUTED_VALUE"""),"(310) 989-2217")</f>
        <v>(310) 989-2217</v>
      </c>
      <c r="Q341" s="5"/>
      <c r="R341" s="5"/>
      <c r="S341" s="5"/>
      <c r="T341" s="5"/>
    </row>
    <row r="342" spans="1:20" ht="12.75">
      <c r="A342" s="24">
        <f ca="1">IFERROR(__xludf.DUMMYFUNCTION("""COMPUTED_VALUE"""),45669.8897810416)</f>
        <v>45669.889781041602</v>
      </c>
      <c r="B342" s="5" t="str">
        <f ca="1">IFERROR(__xludf.DUMMYFUNCTION("""COMPUTED_VALUE"""),"8517 Valley Flores Dr #B, West Hills, CA 91304")</f>
        <v>8517 Valley Flores Dr #B, West Hills, CA 91304</v>
      </c>
      <c r="C342" s="5" t="str">
        <f ca="1">IFERROR(__xludf.DUMMYFUNCTION("""COMPUTED_VALUE"""),"West Hills")</f>
        <v>West Hills</v>
      </c>
      <c r="D342" s="5" t="str">
        <f ca="1">IFERROR(__xludf.DUMMYFUNCTION("""COMPUTED_VALUE"""),"CA")</f>
        <v>CA</v>
      </c>
      <c r="E342" s="5">
        <f ca="1">IFERROR(__xludf.DUMMYFUNCTION("""COMPUTED_VALUE"""),91304)</f>
        <v>91304</v>
      </c>
      <c r="F342" s="19">
        <f ca="1">IFERROR(__xludf.DUMMYFUNCTION("""COMPUTED_VALUE"""),1650)</f>
        <v>1650</v>
      </c>
      <c r="G342" s="19">
        <f ca="1">IFERROR(__xludf.DUMMYFUNCTION("""COMPUTED_VALUE"""),7000)</f>
        <v>7000</v>
      </c>
      <c r="H342" s="18">
        <f ca="1">IFERROR(__xludf.DUMMYFUNCTION("""COMPUTED_VALUE"""),45666)</f>
        <v>45666</v>
      </c>
      <c r="I342" s="5" t="str">
        <f ca="1">IFERROR(__xludf.DUMMYFUNCTION("""COMPUTED_VALUE"""),"Zillow")</f>
        <v>Zillow</v>
      </c>
      <c r="J342" s="25" t="str">
        <f ca="1">IFERROR(__xludf.DUMMYFUNCTION("""COMPUTED_VALUE"""),"https://www.zillow.com/homedetails/8517-Valley-Flores-Dr-B-West-Hills-CA-91304/2088281090_zpid/")</f>
        <v>https://www.zillow.com/homedetails/8517-Valley-Flores-Dr-B-West-Hills-CA-91304/2088281090_zpid/</v>
      </c>
      <c r="K342" s="5"/>
      <c r="L342" s="5" t="str">
        <f ca="1">IFERROR(__xludf.DUMMYFUNCTION("""COMPUTED_VALUE"""),"Lail S")</f>
        <v>Lail S</v>
      </c>
      <c r="M342" s="5" t="str">
        <f ca="1">IFERROR(__xludf.DUMMYFUNCTION("""COMPUTED_VALUE"""),"2BR, last listed in '18 for $1,650, now listed for $7,000 as of last Thursday, a 324% increase.")</f>
        <v>2BR, last listed in '18 for $1,650, now listed for $7,000 as of last Thursday, a 324% increase.</v>
      </c>
      <c r="N342" s="5" t="str">
        <f ca="1">IFERROR(__xludf.DUMMYFUNCTION("""COMPUTED_VALUE"""),"https://drive.google.com/open?id=1-qezEk5fj2pF5NGG_rte5uDN013M8jwX, https://drive.google.com/open?id=1ffYH_Qw5pnuRAHWfy7lPmn94-G66pAmO")</f>
        <v>https://drive.google.com/open?id=1-qezEk5fj2pF5NGG_rte5uDN013M8jwX, https://drive.google.com/open?id=1ffYH_Qw5pnuRAHWfy7lPmn94-G66pAmO</v>
      </c>
      <c r="O342" s="5" t="str">
        <f ca="1">IFERROR(__xludf.DUMMYFUNCTION("""COMPUTED_VALUE"""),"NA")</f>
        <v>NA</v>
      </c>
      <c r="P342" s="5"/>
      <c r="Q342" s="5"/>
      <c r="R342" s="5" t="str">
        <f ca="1">IFERROR(__xludf.DUMMYFUNCTION("""COMPUTED_VALUE"""),"(818) 307-7935")</f>
        <v>(818) 307-7935</v>
      </c>
      <c r="S342" s="5"/>
      <c r="T342" s="5"/>
    </row>
    <row r="343" spans="1:20" ht="12.75">
      <c r="A343" s="24">
        <f ca="1">IFERROR(__xludf.DUMMYFUNCTION("""COMPUTED_VALUE"""),45669.8921500231)</f>
        <v>45669.892150023101</v>
      </c>
      <c r="B343" s="5" t="str">
        <f ca="1">IFERROR(__xludf.DUMMYFUNCTION("""COMPUTED_VALUE"""),"15541 Aqua Verde Dr")</f>
        <v>15541 Aqua Verde Dr</v>
      </c>
      <c r="C343" s="5" t="str">
        <f ca="1">IFERROR(__xludf.DUMMYFUNCTION("""COMPUTED_VALUE"""),"Los Angeles")</f>
        <v>Los Angeles</v>
      </c>
      <c r="D343" s="5" t="str">
        <f ca="1">IFERROR(__xludf.DUMMYFUNCTION("""COMPUTED_VALUE"""),"CA")</f>
        <v>CA</v>
      </c>
      <c r="E343" s="5">
        <f ca="1">IFERROR(__xludf.DUMMYFUNCTION("""COMPUTED_VALUE"""),90077)</f>
        <v>90077</v>
      </c>
      <c r="F343" s="19">
        <f ca="1">IFERROR(__xludf.DUMMYFUNCTION("""COMPUTED_VALUE"""),19000)</f>
        <v>19000</v>
      </c>
      <c r="G343" s="19">
        <f ca="1">IFERROR(__xludf.DUMMYFUNCTION("""COMPUTED_VALUE"""),25000)</f>
        <v>25000</v>
      </c>
      <c r="H343" s="18">
        <f ca="1">IFERROR(__xludf.DUMMYFUNCTION("""COMPUTED_VALUE"""),45669)</f>
        <v>45669</v>
      </c>
      <c r="I343" s="5" t="str">
        <f ca="1">IFERROR(__xludf.DUMMYFUNCTION("""COMPUTED_VALUE"""),"Zillow")</f>
        <v>Zillow</v>
      </c>
      <c r="J343" s="25" t="str">
        <f ca="1">IFERROR(__xludf.DUMMYFUNCTION("""COMPUTED_VALUE"""),"https://www.zillow.com/homedetails/15541-Aqua-Verde-Dr-Los-Angeles-CA-90077/20531173_zpid/")</f>
        <v>https://www.zillow.com/homedetails/15541-Aqua-Verde-Dr-Los-Angeles-CA-90077/20531173_zpid/</v>
      </c>
      <c r="K343" s="5" t="str">
        <f ca="1">IFERROR(__xludf.DUMMYFUNCTION("""COMPUTED_VALUE"""),"Simon Mills - Mills Realty")</f>
        <v>Simon Mills - Mills Realty</v>
      </c>
      <c r="L343" s="5"/>
      <c r="M343" s="5" t="str">
        <f ca="1">IFERROR(__xludf.DUMMYFUNCTION("""COMPUTED_VALUE"""),"Previously listed for $19k and removed on 12/4/24. Relisted after the fires on 1/12/25 with a 31.6% increase to $25k. ")</f>
        <v xml:space="preserve">Previously listed for $19k and removed on 12/4/24. Relisted after the fires on 1/12/25 with a 31.6% increase to $25k. </v>
      </c>
      <c r="N343" s="26" t="str">
        <f ca="1">IFERROR(__xludf.DUMMYFUNCTION("""COMPUTED_VALUE"""),"https://drive.google.com/open?id=1XIWAmEMheuJtE6JHUCdlaJIJid8go9m1")</f>
        <v>https://drive.google.com/open?id=1XIWAmEMheuJtE6JHUCdlaJIJid8go9m1</v>
      </c>
      <c r="O343" s="5">
        <f ca="1">IFERROR(__xludf.DUMMYFUNCTION("""COMPUTED_VALUE"""),4378032012)</f>
        <v>4378032012</v>
      </c>
      <c r="P343" s="5" t="str">
        <f ca="1">IFERROR(__xludf.DUMMYFUNCTION("""COMPUTED_VALUE"""),"(818) 763-4462")</f>
        <v>(818) 763-4462</v>
      </c>
      <c r="Q343" s="5"/>
      <c r="R343" s="5"/>
      <c r="S343" s="5"/>
      <c r="T343" s="5"/>
    </row>
    <row r="344" spans="1:20" ht="12.75">
      <c r="A344" s="24">
        <f ca="1">IFERROR(__xludf.DUMMYFUNCTION("""COMPUTED_VALUE"""),45669.8941145138)</f>
        <v>45669.894114513801</v>
      </c>
      <c r="B344" s="5" t="str">
        <f ca="1">IFERROR(__xludf.DUMMYFUNCTION("""COMPUTED_VALUE"""),"11964 Brentwood Grove Dr")</f>
        <v>11964 Brentwood Grove Dr</v>
      </c>
      <c r="C344" s="5" t="str">
        <f ca="1">IFERROR(__xludf.DUMMYFUNCTION("""COMPUTED_VALUE"""),"LA")</f>
        <v>LA</v>
      </c>
      <c r="D344" s="5" t="str">
        <f ca="1">IFERROR(__xludf.DUMMYFUNCTION("""COMPUTED_VALUE"""),"CA")</f>
        <v>CA</v>
      </c>
      <c r="E344" s="5">
        <f ca="1">IFERROR(__xludf.DUMMYFUNCTION("""COMPUTED_VALUE"""),90049)</f>
        <v>90049</v>
      </c>
      <c r="F344" s="19">
        <f ca="1">IFERROR(__xludf.DUMMYFUNCTION("""COMPUTED_VALUE"""),9500)</f>
        <v>9500</v>
      </c>
      <c r="G344" s="19">
        <f ca="1">IFERROR(__xludf.DUMMYFUNCTION("""COMPUTED_VALUE"""),50000)</f>
        <v>50000</v>
      </c>
      <c r="H344" s="18">
        <f ca="1">IFERROR(__xludf.DUMMYFUNCTION("""COMPUTED_VALUE"""),45668)</f>
        <v>45668</v>
      </c>
      <c r="I344" s="5" t="str">
        <f ca="1">IFERROR(__xludf.DUMMYFUNCTION("""COMPUTED_VALUE"""),"Zillow")</f>
        <v>Zillow</v>
      </c>
      <c r="J344" s="25" t="str">
        <f ca="1">IFERROR(__xludf.DUMMYFUNCTION("""COMPUTED_VALUE"""),"https://www.zillow.com/homedetails/11964-Brentwood-Grove-Dr-Los-Angeles-CA-90049/20547052_zpid/")</f>
        <v>https://www.zillow.com/homedetails/11964-Brentwood-Grove-Dr-Los-Angeles-CA-90049/20547052_zpid/</v>
      </c>
      <c r="K344" s="5" t="str">
        <f ca="1">IFERROR(__xludf.DUMMYFUNCTION("""COMPUTED_VALUE"""),"Lily Vosough")</f>
        <v>Lily Vosough</v>
      </c>
      <c r="L344" s="5"/>
      <c r="M344" s="5" t="str">
        <f ca="1">IFERROR(__xludf.DUMMYFUNCTION("""COMPUTED_VALUE"""),"Listing removed")</f>
        <v>Listing removed</v>
      </c>
      <c r="N344" s="26" t="str">
        <f ca="1">IFERROR(__xludf.DUMMYFUNCTION("""COMPUTED_VALUE"""),"https://drive.google.com/open?id=1iC3YDc9sAw5kQF7xd8RQmqgwgK-Kxydf")</f>
        <v>https://drive.google.com/open?id=1iC3YDc9sAw5kQF7xd8RQmqgwgK-Kxydf</v>
      </c>
      <c r="O344" s="5">
        <f ca="1">IFERROR(__xludf.DUMMYFUNCTION("""COMPUTED_VALUE"""),4429011034)</f>
        <v>4429011034</v>
      </c>
      <c r="P344" s="5" t="str">
        <f ca="1">IFERROR(__xludf.DUMMYFUNCTION("""COMPUTED_VALUE"""),"(310) 626-5630")</f>
        <v>(310) 626-5630</v>
      </c>
      <c r="Q344" s="5" t="str">
        <f ca="1">IFERROR(__xludf.DUMMYFUNCTION("""COMPUTED_VALUE"""),"lily.vosough@camoves.com")</f>
        <v>lily.vosough@camoves.com</v>
      </c>
      <c r="R344" s="5"/>
      <c r="S344" s="5"/>
      <c r="T344" s="5"/>
    </row>
    <row r="345" spans="1:20" ht="12.75">
      <c r="A345" s="24">
        <f ca="1">IFERROR(__xludf.DUMMYFUNCTION("""COMPUTED_VALUE"""),45669.8942632407)</f>
        <v>45669.894263240698</v>
      </c>
      <c r="B345" s="5" t="str">
        <f ca="1">IFERROR(__xludf.DUMMYFUNCTION("""COMPUTED_VALUE"""),"802 N Edinburgh Ave")</f>
        <v>802 N Edinburgh Ave</v>
      </c>
      <c r="C345" s="5" t="str">
        <f ca="1">IFERROR(__xludf.DUMMYFUNCTION("""COMPUTED_VALUE"""),"Los Angeles")</f>
        <v>Los Angeles</v>
      </c>
      <c r="D345" s="5" t="str">
        <f ca="1">IFERROR(__xludf.DUMMYFUNCTION("""COMPUTED_VALUE"""),"CA")</f>
        <v>CA</v>
      </c>
      <c r="E345" s="5">
        <f ca="1">IFERROR(__xludf.DUMMYFUNCTION("""COMPUTED_VALUE"""),90046)</f>
        <v>90046</v>
      </c>
      <c r="F345" s="19">
        <f ca="1">IFERROR(__xludf.DUMMYFUNCTION("""COMPUTED_VALUE"""),4500)</f>
        <v>4500</v>
      </c>
      <c r="G345" s="19">
        <f ca="1">IFERROR(__xludf.DUMMYFUNCTION("""COMPUTED_VALUE"""),4999)</f>
        <v>4999</v>
      </c>
      <c r="H345" s="18">
        <f ca="1">IFERROR(__xludf.DUMMYFUNCTION("""COMPUTED_VALUE"""),45667)</f>
        <v>45667</v>
      </c>
      <c r="I345" s="5" t="str">
        <f ca="1">IFERROR(__xludf.DUMMYFUNCTION("""COMPUTED_VALUE"""),"Zillow")</f>
        <v>Zillow</v>
      </c>
      <c r="J345" s="25" t="str">
        <f ca="1">IFERROR(__xludf.DUMMYFUNCTION("""COMPUTED_VALUE"""),"https://www.zillow.com/homedetails/802-N-Edinburgh-Ave-Los-Angeles-CA-90046/441737128_zpid/")</f>
        <v>https://www.zillow.com/homedetails/802-N-Edinburgh-Ave-Los-Angeles-CA-90046/441737128_zpid/</v>
      </c>
      <c r="K345" s="5" t="str">
        <f ca="1">IFERROR(__xludf.DUMMYFUNCTION("""COMPUTED_VALUE"""),"Dylan Mantay, Management company")</f>
        <v>Dylan Mantay, Management company</v>
      </c>
      <c r="L345" s="5"/>
      <c r="M345" s="5"/>
      <c r="N345" s="5" t="str">
        <f ca="1">IFERROR(__xludf.DUMMYFUNCTION("""COMPUTED_VALUE"""),"https://drive.google.com/open?id=1dKbQ2NInStjgTIGW0lo0KNIjBFiC47Hw, https://drive.google.com/open?id=1f6_721wlRQr4_QD38HEydstyg1mZre9F")</f>
        <v>https://drive.google.com/open?id=1dKbQ2NInStjgTIGW0lo0KNIjBFiC47Hw, https://drive.google.com/open?id=1f6_721wlRQr4_QD38HEydstyg1mZre9F</v>
      </c>
      <c r="O345" s="5" t="str">
        <f ca="1">IFERROR(__xludf.DUMMYFUNCTION("""COMPUTED_VALUE"""),"NA")</f>
        <v>NA</v>
      </c>
      <c r="P345" s="5" t="str">
        <f ca="1">IFERROR(__xludf.DUMMYFUNCTION("""COMPUTED_VALUE"""),"(310) 634-1751")</f>
        <v>(310) 634-1751</v>
      </c>
      <c r="Q345" s="5"/>
      <c r="R345" s="5"/>
      <c r="S345" s="5"/>
      <c r="T345" s="5"/>
    </row>
    <row r="346" spans="1:20" ht="12.75">
      <c r="A346" s="24">
        <f ca="1">IFERROR(__xludf.DUMMYFUNCTION("""COMPUTED_VALUE"""),45669.89698)</f>
        <v>45669.896979999998</v>
      </c>
      <c r="B346" s="5" t="str">
        <f ca="1">IFERROR(__xludf.DUMMYFUNCTION("""COMPUTED_VALUE"""),"1881 Mount Olympus Dr")</f>
        <v>1881 Mount Olympus Dr</v>
      </c>
      <c r="C346" s="5" t="str">
        <f ca="1">IFERROR(__xludf.DUMMYFUNCTION("""COMPUTED_VALUE"""),"Los Angeles")</f>
        <v>Los Angeles</v>
      </c>
      <c r="D346" s="5" t="str">
        <f ca="1">IFERROR(__xludf.DUMMYFUNCTION("""COMPUTED_VALUE"""),"CA")</f>
        <v>CA</v>
      </c>
      <c r="E346" s="5">
        <f ca="1">IFERROR(__xludf.DUMMYFUNCTION("""COMPUTED_VALUE"""),90046)</f>
        <v>90046</v>
      </c>
      <c r="F346" s="19">
        <f ca="1">IFERROR(__xludf.DUMMYFUNCTION("""COMPUTED_VALUE"""),14500)</f>
        <v>14500</v>
      </c>
      <c r="G346" s="19">
        <f ca="1">IFERROR(__xludf.DUMMYFUNCTION("""COMPUTED_VALUE"""),25000)</f>
        <v>25000</v>
      </c>
      <c r="H346" s="18">
        <f ca="1">IFERROR(__xludf.DUMMYFUNCTION("""COMPUTED_VALUE"""),45668)</f>
        <v>45668</v>
      </c>
      <c r="I346" s="5" t="str">
        <f ca="1">IFERROR(__xludf.DUMMYFUNCTION("""COMPUTED_VALUE"""),"Zillow")</f>
        <v>Zillow</v>
      </c>
      <c r="J346" s="25" t="str">
        <f ca="1">IFERROR(__xludf.DUMMYFUNCTION("""COMPUTED_VALUE"""),"https://www.zillow.com/homedetails/1881-Mount-Olympus-Dr-Los-Angeles-CA-90046/20802451_zpid/")</f>
        <v>https://www.zillow.com/homedetails/1881-Mount-Olympus-Dr-Los-Angeles-CA-90046/20802451_zpid/</v>
      </c>
      <c r="K346" s="5"/>
      <c r="L346" s="5" t="str">
        <f ca="1">IFERROR(__xludf.DUMMYFUNCTION("""COMPUTED_VALUE"""),"Ryan")</f>
        <v>Ryan</v>
      </c>
      <c r="M346" s="5" t="str">
        <f ca="1">IFERROR(__xludf.DUMMYFUNCTION("""COMPUTED_VALUE"""),"Previously on the market for $14,500 before the listing was removed on 9/29/23. This was relisted after the fires initiall on 1/8/25 at a 106.9% price increaase to $30k, then 3 days later on 1/11 the price was reduced to $25k...still an overall increase o"&amp;"f 72% from previous listing.
The description also notes:
For lease, short or long term completely furnished!
Black on black Ford Explorer available for an additional monthly fee! 
Open to any type of lease needed
Open to 1-6 month lease terms")</f>
        <v>Previously on the market for $14,500 before the listing was removed on 9/29/23. This was relisted after the fires initiall on 1/8/25 at a 106.9% price increaase to $30k, then 3 days later on 1/11 the price was reduced to $25k...still an overall increase of 72% from previous listing.
The description also notes:
For lease, short or long term completely furnished!
Black on black Ford Explorer available for an additional monthly fee! 
Open to any type of lease needed
Open to 1-6 month lease terms</v>
      </c>
      <c r="N346" s="26" t="str">
        <f ca="1">IFERROR(__xludf.DUMMYFUNCTION("""COMPUTED_VALUE"""),"https://drive.google.com/open?id=1FVRTLoOLw_BqABqxhw724xqWFtPgFyV8")</f>
        <v>https://drive.google.com/open?id=1FVRTLoOLw_BqABqxhw724xqWFtPgFyV8</v>
      </c>
      <c r="O346" s="5">
        <f ca="1">IFERROR(__xludf.DUMMYFUNCTION("""COMPUTED_VALUE"""),5569034027)</f>
        <v>5569034027</v>
      </c>
      <c r="P346" s="5"/>
      <c r="Q346" s="5"/>
      <c r="R346" s="5" t="str">
        <f ca="1">IFERROR(__xludf.DUMMYFUNCTION("""COMPUTED_VALUE"""),"(760) 232-6945")</f>
        <v>(760) 232-6945</v>
      </c>
      <c r="S346" s="5"/>
      <c r="T346" s="5"/>
    </row>
    <row r="347" spans="1:20" ht="12.75">
      <c r="A347" s="24">
        <f ca="1">IFERROR(__xludf.DUMMYFUNCTION("""COMPUTED_VALUE"""),45669.899560243)</f>
        <v>45669.899560243</v>
      </c>
      <c r="B347" s="5" t="str">
        <f ca="1">IFERROR(__xludf.DUMMYFUNCTION("""COMPUTED_VALUE"""),"1106 Oakwood Ave")</f>
        <v>1106 Oakwood Ave</v>
      </c>
      <c r="C347" s="5" t="str">
        <f ca="1">IFERROR(__xludf.DUMMYFUNCTION("""COMPUTED_VALUE"""),"Venice")</f>
        <v>Venice</v>
      </c>
      <c r="D347" s="5" t="str">
        <f ca="1">IFERROR(__xludf.DUMMYFUNCTION("""COMPUTED_VALUE"""),"CA")</f>
        <v>CA</v>
      </c>
      <c r="E347" s="5">
        <f ca="1">IFERROR(__xludf.DUMMYFUNCTION("""COMPUTED_VALUE"""),90291)</f>
        <v>90291</v>
      </c>
      <c r="F347" s="19">
        <f ca="1">IFERROR(__xludf.DUMMYFUNCTION("""COMPUTED_VALUE"""),8459)</f>
        <v>8459</v>
      </c>
      <c r="G347" s="19">
        <f ca="1">IFERROR(__xludf.DUMMYFUNCTION("""COMPUTED_VALUE"""),11000)</f>
        <v>11000</v>
      </c>
      <c r="H347" s="18">
        <f ca="1">IFERROR(__xludf.DUMMYFUNCTION("""COMPUTED_VALUE"""),45669)</f>
        <v>45669</v>
      </c>
      <c r="I347" s="5" t="str">
        <f ca="1">IFERROR(__xludf.DUMMYFUNCTION("""COMPUTED_VALUE"""),"Zillow")</f>
        <v>Zillow</v>
      </c>
      <c r="J347" s="25" t="str">
        <f ca="1">IFERROR(__xludf.DUMMYFUNCTION("""COMPUTED_VALUE"""),"https://www.zillow.com/homedetails/1106-Oakwood-Ave-Venice-CA-90291/20450981_zpid/")</f>
        <v>https://www.zillow.com/homedetails/1106-Oakwood-Ave-Venice-CA-90291/20450981_zpid/</v>
      </c>
      <c r="K347" s="5" t="str">
        <f ca="1">IFERROR(__xludf.DUMMYFUNCTION("""COMPUTED_VALUE"""),"Megan Raney Aarons")</f>
        <v>Megan Raney Aarons</v>
      </c>
      <c r="L347" s="5"/>
      <c r="M347" s="5" t="str">
        <f ca="1">IFERROR(__xludf.DUMMYFUNCTION("""COMPUTED_VALUE"""),"Listing removed ")</f>
        <v xml:space="preserve">Listing removed </v>
      </c>
      <c r="N347" s="26" t="str">
        <f ca="1">IFERROR(__xludf.DUMMYFUNCTION("""COMPUTED_VALUE"""),"https://drive.google.com/open?id=103BLSYoIgGN6zJqNX5aO86D_qqOHQEa5")</f>
        <v>https://drive.google.com/open?id=103BLSYoIgGN6zJqNX5aO86D_qqOHQEa5</v>
      </c>
      <c r="O347" s="5">
        <f ca="1">IFERROR(__xludf.DUMMYFUNCTION("""COMPUTED_VALUE"""),4239017002)</f>
        <v>4239017002</v>
      </c>
      <c r="P347" s="5" t="str">
        <f ca="1">IFERROR(__xludf.DUMMYFUNCTION("""COMPUTED_VALUE"""),"(310) 266-1611")</f>
        <v>(310) 266-1611</v>
      </c>
      <c r="Q347" s="5"/>
      <c r="R347" s="5"/>
      <c r="S347" s="5"/>
      <c r="T347" s="5"/>
    </row>
    <row r="348" spans="1:20" ht="12.75">
      <c r="A348" s="24">
        <f ca="1">IFERROR(__xludf.DUMMYFUNCTION("""COMPUTED_VALUE"""),45669.9016423379)</f>
        <v>45669.9016423379</v>
      </c>
      <c r="B348" s="5" t="str">
        <f ca="1">IFERROR(__xludf.DUMMYFUNCTION("""COMPUTED_VALUE"""),"774 N Kenter Ave")</f>
        <v>774 N Kenter Ave</v>
      </c>
      <c r="C348" s="5" t="str">
        <f ca="1">IFERROR(__xludf.DUMMYFUNCTION("""COMPUTED_VALUE"""),"Los Angeles")</f>
        <v>Los Angeles</v>
      </c>
      <c r="D348" s="5" t="str">
        <f ca="1">IFERROR(__xludf.DUMMYFUNCTION("""COMPUTED_VALUE"""),"CA")</f>
        <v>CA</v>
      </c>
      <c r="E348" s="5">
        <f ca="1">IFERROR(__xludf.DUMMYFUNCTION("""COMPUTED_VALUE"""),90049)</f>
        <v>90049</v>
      </c>
      <c r="F348" s="19">
        <f ca="1">IFERROR(__xludf.DUMMYFUNCTION("""COMPUTED_VALUE"""),20970)</f>
        <v>20970</v>
      </c>
      <c r="G348" s="19">
        <f ca="1">IFERROR(__xludf.DUMMYFUNCTION("""COMPUTED_VALUE"""),24995)</f>
        <v>24995</v>
      </c>
      <c r="H348" s="18">
        <f ca="1">IFERROR(__xludf.DUMMYFUNCTION("""COMPUTED_VALUE"""),45670)</f>
        <v>45670</v>
      </c>
      <c r="I348" s="5" t="str">
        <f ca="1">IFERROR(__xludf.DUMMYFUNCTION("""COMPUTED_VALUE"""),"Zillow")</f>
        <v>Zillow</v>
      </c>
      <c r="J348" s="25" t="str">
        <f ca="1">IFERROR(__xludf.DUMMYFUNCTION("""COMPUTED_VALUE"""),"https://www.zillow.com/homedetails/774-N-Kenter-Ave-Los-Angeles-CA-90049/20560441_zpid/")</f>
        <v>https://www.zillow.com/homedetails/774-N-Kenter-Ave-Los-Angeles-CA-90049/20560441_zpid/</v>
      </c>
      <c r="K348" s="5" t="str">
        <f ca="1">IFERROR(__xludf.DUMMYFUNCTION("""COMPUTED_VALUE""")," Benjamin Donel - Sootheby's International Realty")</f>
        <v xml:space="preserve"> Benjamin Donel - Sootheby's International Realty</v>
      </c>
      <c r="L348" s="5"/>
      <c r="M348" s="5" t="str">
        <f ca="1">IFERROR(__xludf.DUMMYFUNCTION("""COMPUTED_VALUE"""),"This listing was previously listed at a reduced rate of $20,970 on 11/4/24. It was removed after the fires on 1/12/25 and readded the next day at a 19.2% increase to $24,995.
Description also states:
FULLY FURNISHED SHORT TERM OR LONG TERM RENTAL AVAILA"&amp;"BLE")</f>
        <v>This listing was previously listed at a reduced rate of $20,970 on 11/4/24. It was removed after the fires on 1/12/25 and readded the next day at a 19.2% increase to $24,995.
Description also states:
FULLY FURNISHED SHORT TERM OR LONG TERM RENTAL AVAILABLE</v>
      </c>
      <c r="N348" s="26" t="str">
        <f ca="1">IFERROR(__xludf.DUMMYFUNCTION("""COMPUTED_VALUE"""),"https://drive.google.com/open?id=1eQpDcw_omE99_VuokbxMSps7-SH1bogE")</f>
        <v>https://drive.google.com/open?id=1eQpDcw_omE99_VuokbxMSps7-SH1bogE</v>
      </c>
      <c r="O348" s="5">
        <f ca="1">IFERROR(__xludf.DUMMYFUNCTION("""COMPUTED_VALUE"""),4494022015)</f>
        <v>4494022015</v>
      </c>
      <c r="P348" s="5" t="str">
        <f ca="1">IFERROR(__xludf.DUMMYFUNCTION("""COMPUTED_VALUE"""),"(310) 721-4071")</f>
        <v>(310) 721-4071</v>
      </c>
      <c r="Q348" s="5"/>
      <c r="R348" s="5"/>
      <c r="S348" s="5"/>
      <c r="T348" s="5"/>
    </row>
    <row r="349" spans="1:20" ht="12.75">
      <c r="A349" s="24">
        <f ca="1">IFERROR(__xludf.DUMMYFUNCTION("""COMPUTED_VALUE"""),45669.9037989351)</f>
        <v>45669.903798935098</v>
      </c>
      <c r="B349" s="5" t="str">
        <f ca="1">IFERROR(__xludf.DUMMYFUNCTION("""COMPUTED_VALUE"""),"4260 Revere Pl")</f>
        <v>4260 Revere Pl</v>
      </c>
      <c r="C349" s="5" t="str">
        <f ca="1">IFERROR(__xludf.DUMMYFUNCTION("""COMPUTED_VALUE"""),"Culver City")</f>
        <v>Culver City</v>
      </c>
      <c r="D349" s="5" t="str">
        <f ca="1">IFERROR(__xludf.DUMMYFUNCTION("""COMPUTED_VALUE"""),"CA")</f>
        <v>CA</v>
      </c>
      <c r="E349" s="5">
        <f ca="1">IFERROR(__xludf.DUMMYFUNCTION("""COMPUTED_VALUE"""),90232)</f>
        <v>90232</v>
      </c>
      <c r="F349" s="19">
        <f ca="1">IFERROR(__xludf.DUMMYFUNCTION("""COMPUTED_VALUE"""),6500)</f>
        <v>6500</v>
      </c>
      <c r="G349" s="19">
        <f ca="1">IFERROR(__xludf.DUMMYFUNCTION("""COMPUTED_VALUE"""),8500)</f>
        <v>8500</v>
      </c>
      <c r="H349" s="18">
        <f ca="1">IFERROR(__xludf.DUMMYFUNCTION("""COMPUTED_VALUE"""),45667)</f>
        <v>45667</v>
      </c>
      <c r="I349" s="5" t="str">
        <f ca="1">IFERROR(__xludf.DUMMYFUNCTION("""COMPUTED_VALUE"""),"Zillow")</f>
        <v>Zillow</v>
      </c>
      <c r="J349" s="25" t="str">
        <f ca="1">IFERROR(__xludf.DUMMYFUNCTION("""COMPUTED_VALUE"""),"https://www.zillow.com/homedetails/4260-Revere-Pl-Culver-City-CA-90232/20432601_zpid/")</f>
        <v>https://www.zillow.com/homedetails/4260-Revere-Pl-Culver-City-CA-90232/20432601_zpid/</v>
      </c>
      <c r="K349" s="5" t="str">
        <f ca="1">IFERROR(__xludf.DUMMYFUNCTION("""COMPUTED_VALUE"""),"Midhun John")</f>
        <v>Midhun John</v>
      </c>
      <c r="L349" s="5"/>
      <c r="M349" s="5" t="str">
        <f ca="1">IFERROR(__xludf.DUMMYFUNCTION("""COMPUTED_VALUE"""),"Listing removed; price history can be seen in screenshots of Zillow and Google search ")</f>
        <v xml:space="preserve">Listing removed; price history can be seen in screenshots of Zillow and Google search </v>
      </c>
      <c r="N349" s="5" t="str">
        <f ca="1">IFERROR(__xludf.DUMMYFUNCTION("""COMPUTED_VALUE"""),"https://drive.google.com/open?id=1V6J_rn5VhcQvwsHF1whfKZRWL7B6pG9K, https://drive.google.com/open?id=1w_BoxS3VxJoUz3S2x6a3uJQdXVbKunoq")</f>
        <v>https://drive.google.com/open?id=1V6J_rn5VhcQvwsHF1whfKZRWL7B6pG9K, https://drive.google.com/open?id=1w_BoxS3VxJoUz3S2x6a3uJQdXVbKunoq</v>
      </c>
      <c r="O349" s="5">
        <f ca="1">IFERROR(__xludf.DUMMYFUNCTION("""COMPUTED_VALUE"""),4207026028)</f>
        <v>4207026028</v>
      </c>
      <c r="P349" s="5" t="str">
        <f ca="1">IFERROR(__xludf.DUMMYFUNCTION("""COMPUTED_VALUE"""),"(310) 259-3044")</f>
        <v>(310) 259-3044</v>
      </c>
      <c r="Q349" s="5" t="str">
        <f ca="1">IFERROR(__xludf.DUMMYFUNCTION("""COMPUTED_VALUE"""),"Midhun@westshoresrealty.com")</f>
        <v>Midhun@westshoresrealty.com</v>
      </c>
      <c r="R349" s="5"/>
      <c r="S349" s="5"/>
      <c r="T349" s="5"/>
    </row>
    <row r="350" spans="1:20" ht="12.75">
      <c r="A350" s="24">
        <f ca="1">IFERROR(__xludf.DUMMYFUNCTION("""COMPUTED_VALUE"""),45669.9058438541)</f>
        <v>45669.905843854103</v>
      </c>
      <c r="B350" s="5" t="str">
        <f ca="1">IFERROR(__xludf.DUMMYFUNCTION("""COMPUTED_VALUE"""),"2369 Jupiter Dr")</f>
        <v>2369 Jupiter Dr</v>
      </c>
      <c r="C350" s="5" t="str">
        <f ca="1">IFERROR(__xludf.DUMMYFUNCTION("""COMPUTED_VALUE"""),"Los Angeles")</f>
        <v>Los Angeles</v>
      </c>
      <c r="D350" s="5" t="str">
        <f ca="1">IFERROR(__xludf.DUMMYFUNCTION("""COMPUTED_VALUE"""),"CA")</f>
        <v>CA</v>
      </c>
      <c r="E350" s="5">
        <f ca="1">IFERROR(__xludf.DUMMYFUNCTION("""COMPUTED_VALUE"""),90046)</f>
        <v>90046</v>
      </c>
      <c r="F350" s="19">
        <f ca="1">IFERROR(__xludf.DUMMYFUNCTION("""COMPUTED_VALUE"""),18500)</f>
        <v>18500</v>
      </c>
      <c r="G350" s="19">
        <f ca="1">IFERROR(__xludf.DUMMYFUNCTION("""COMPUTED_VALUE"""),23500)</f>
        <v>23500</v>
      </c>
      <c r="H350" s="18">
        <f ca="1">IFERROR(__xludf.DUMMYFUNCTION("""COMPUTED_VALUE"""),45669)</f>
        <v>45669</v>
      </c>
      <c r="I350" s="5" t="str">
        <f ca="1">IFERROR(__xludf.DUMMYFUNCTION("""COMPUTED_VALUE"""),"Zillow")</f>
        <v>Zillow</v>
      </c>
      <c r="J350" s="25" t="str">
        <f ca="1">IFERROR(__xludf.DUMMYFUNCTION("""COMPUTED_VALUE"""),"https://www.zillow.com/homedetails/2369-Jupiter-Dr-Los-Angeles-CA-90046/20801934_zpid/")</f>
        <v>https://www.zillow.com/homedetails/2369-Jupiter-Dr-Los-Angeles-CA-90046/20801934_zpid/</v>
      </c>
      <c r="K350" s="5" t="str">
        <f ca="1">IFERROR(__xludf.DUMMYFUNCTION("""COMPUTED_VALUE"""),"Patrick Michael - LA Estate Brokerage")</f>
        <v>Patrick Michael - LA Estate Brokerage</v>
      </c>
      <c r="L350" s="5"/>
      <c r="M350" s="5" t="str">
        <f ca="1">IFERROR(__xludf.DUMMYFUNCTION("""COMPUTED_VALUE"""),"Previously listed for $18,500 and removed on 12/31/24. Relisted on 1/12/25 at a 27% increase after the fires at $23,500.
Description also states:
This home and all our listings are available immediately to assist displaced victims from the fires. Availab"&amp;"le full-furnished and turnkey for short or long-term rentals.")</f>
        <v>Previously listed for $18,500 and removed on 12/31/24. Relisted on 1/12/25 at a 27% increase after the fires at $23,500.
Description also states:
This home and all our listings are available immediately to assist displaced victims from the fires. Available full-furnished and turnkey for short or long-term rentals.</v>
      </c>
      <c r="N350" s="26" t="str">
        <f ca="1">IFERROR(__xludf.DUMMYFUNCTION("""COMPUTED_VALUE"""),"https://drive.google.com/open?id=1dB8163Gv8GJ2_JkaamKPYUJRnwaQoNqj")</f>
        <v>https://drive.google.com/open?id=1dB8163Gv8GJ2_JkaamKPYUJRnwaQoNqj</v>
      </c>
      <c r="O350" s="5">
        <f ca="1">IFERROR(__xludf.DUMMYFUNCTION("""COMPUTED_VALUE"""),5569008011)</f>
        <v>5569008011</v>
      </c>
      <c r="P350" s="5" t="str">
        <f ca="1">IFERROR(__xludf.DUMMYFUNCTION("""COMPUTED_VALUE"""),"(310) 776-5170")</f>
        <v>(310) 776-5170</v>
      </c>
      <c r="Q350" s="5"/>
      <c r="R350" s="5"/>
      <c r="S350" s="5"/>
      <c r="T350" s="5"/>
    </row>
    <row r="351" spans="1:20" ht="12.75">
      <c r="A351" s="24">
        <f ca="1">IFERROR(__xludf.DUMMYFUNCTION("""COMPUTED_VALUE"""),45669.9065693981)</f>
        <v>45669.906569398103</v>
      </c>
      <c r="B351" s="5" t="str">
        <f ca="1">IFERROR(__xludf.DUMMYFUNCTION("""COMPUTED_VALUE"""),"1540 Marlay Dr")</f>
        <v>1540 Marlay Dr</v>
      </c>
      <c r="C351" s="5" t="str">
        <f ca="1">IFERROR(__xludf.DUMMYFUNCTION("""COMPUTED_VALUE"""),"LA")</f>
        <v>LA</v>
      </c>
      <c r="D351" s="5" t="str">
        <f ca="1">IFERROR(__xludf.DUMMYFUNCTION("""COMPUTED_VALUE"""),"CA")</f>
        <v>CA</v>
      </c>
      <c r="E351" s="5">
        <f ca="1">IFERROR(__xludf.DUMMYFUNCTION("""COMPUTED_VALUE"""),90069)</f>
        <v>90069</v>
      </c>
      <c r="F351" s="19">
        <f ca="1">IFERROR(__xludf.DUMMYFUNCTION("""COMPUTED_VALUE"""),7000)</f>
        <v>7000</v>
      </c>
      <c r="G351" s="19">
        <f ca="1">IFERROR(__xludf.DUMMYFUNCTION("""COMPUTED_VALUE"""),12000)</f>
        <v>12000</v>
      </c>
      <c r="H351" s="18">
        <f ca="1">IFERROR(__xludf.DUMMYFUNCTION("""COMPUTED_VALUE"""),45670)</f>
        <v>45670</v>
      </c>
      <c r="I351" s="5" t="str">
        <f ca="1">IFERROR(__xludf.DUMMYFUNCTION("""COMPUTED_VALUE"""),"Zillow")</f>
        <v>Zillow</v>
      </c>
      <c r="J351" s="25" t="str">
        <f ca="1">IFERROR(__xludf.DUMMYFUNCTION("""COMPUTED_VALUE"""),"https://www.zillow.com/homedetails/1540-Marlay-Dr-Los-Angeles-CA-90069/20798020_zpid/")</f>
        <v>https://www.zillow.com/homedetails/1540-Marlay-Dr-Los-Angeles-CA-90069/20798020_zpid/</v>
      </c>
      <c r="K351" s="5"/>
      <c r="L351" s="5"/>
      <c r="M351" s="5"/>
      <c r="N351" s="26" t="str">
        <f ca="1">IFERROR(__xludf.DUMMYFUNCTION("""COMPUTED_VALUE"""),"https://drive.google.com/open?id=1yuzb9kS34TA4vdMTaZMNNQTxg6nP--IZ")</f>
        <v>https://drive.google.com/open?id=1yuzb9kS34TA4vdMTaZMNNQTxg6nP--IZ</v>
      </c>
      <c r="O351" s="5">
        <f ca="1">IFERROR(__xludf.DUMMYFUNCTION("""COMPUTED_VALUE"""),5556030012)</f>
        <v>5556030012</v>
      </c>
      <c r="P351" s="5"/>
      <c r="Q351" s="5"/>
      <c r="R351" s="5"/>
      <c r="S351" s="5"/>
      <c r="T351" s="5"/>
    </row>
    <row r="352" spans="1:20" ht="12.75">
      <c r="A352" s="24">
        <f ca="1">IFERROR(__xludf.DUMMYFUNCTION("""COMPUTED_VALUE"""),45669.9069465856)</f>
        <v>45669.906946585601</v>
      </c>
      <c r="B352" s="5" t="str">
        <f ca="1">IFERROR(__xludf.DUMMYFUNCTION("""COMPUTED_VALUE"""),"634 W California Ave")</f>
        <v>634 W California Ave</v>
      </c>
      <c r="C352" s="5" t="str">
        <f ca="1">IFERROR(__xludf.DUMMYFUNCTION("""COMPUTED_VALUE"""),"Glendale")</f>
        <v>Glendale</v>
      </c>
      <c r="D352" s="5" t="str">
        <f ca="1">IFERROR(__xludf.DUMMYFUNCTION("""COMPUTED_VALUE"""),"CA")</f>
        <v>CA</v>
      </c>
      <c r="E352" s="5">
        <f ca="1">IFERROR(__xludf.DUMMYFUNCTION("""COMPUTED_VALUE"""),91203)</f>
        <v>91203</v>
      </c>
      <c r="F352" s="19">
        <f ca="1">IFERROR(__xludf.DUMMYFUNCTION("""COMPUTED_VALUE"""),3200)</f>
        <v>3200</v>
      </c>
      <c r="G352" s="19">
        <f ca="1">IFERROR(__xludf.DUMMYFUNCTION("""COMPUTED_VALUE"""),5500)</f>
        <v>5500</v>
      </c>
      <c r="H352" s="18">
        <f ca="1">IFERROR(__xludf.DUMMYFUNCTION("""COMPUTED_VALUE"""),45665)</f>
        <v>45665</v>
      </c>
      <c r="I352" s="5" t="str">
        <f ca="1">IFERROR(__xludf.DUMMYFUNCTION("""COMPUTED_VALUE"""),"Zillow")</f>
        <v>Zillow</v>
      </c>
      <c r="J352" s="25" t="str">
        <f ca="1">IFERROR(__xludf.DUMMYFUNCTION("""COMPUTED_VALUE"""),"https://www.zillow.com/homedetails/634-W-California-Ave-Glendale-CA-91203/20832386_zpid/")</f>
        <v>https://www.zillow.com/homedetails/634-W-California-Ave-Glendale-CA-91203/20832386_zpid/</v>
      </c>
      <c r="K352" s="5" t="str">
        <f ca="1">IFERROR(__xludf.DUMMYFUNCTION("""COMPUTED_VALUE"""),"Zanoza Home Rentals (mgmt company)")</f>
        <v>Zanoza Home Rentals (mgmt company)</v>
      </c>
      <c r="L352" s="5"/>
      <c r="M352" s="5" t="str">
        <f ca="1">IFERROR(__xludf.DUMMYFUNCTION("""COMPUTED_VALUE"""),"Price was $3200 as of November 2024; unit is being advertised as for short-term monthly rental, in addition to long-term ")</f>
        <v xml:space="preserve">Price was $3200 as of November 2024; unit is being advertised as for short-term monthly rental, in addition to long-term </v>
      </c>
      <c r="N352" s="5" t="str">
        <f ca="1">IFERROR(__xludf.DUMMYFUNCTION("""COMPUTED_VALUE"""),"https://drive.google.com/open?id=1yqekWwa3IDLBLZmQ6iEwBUnHbN8OggAt, https://drive.google.com/open?id=1twkQGMCjToXebslnnBvcqUYiklBi1OF2")</f>
        <v>https://drive.google.com/open?id=1yqekWwa3IDLBLZmQ6iEwBUnHbN8OggAt, https://drive.google.com/open?id=1twkQGMCjToXebslnnBvcqUYiklBi1OF2</v>
      </c>
      <c r="O352" s="5">
        <f ca="1">IFERROR(__xludf.DUMMYFUNCTION("""COMPUTED_VALUE"""),5638019021)</f>
        <v>5638019021</v>
      </c>
      <c r="P352" s="5" t="str">
        <f ca="1">IFERROR(__xludf.DUMMYFUNCTION("""COMPUTED_VALUE"""),"(310) 923-9779")</f>
        <v>(310) 923-9779</v>
      </c>
      <c r="Q352" s="5"/>
      <c r="R352" s="5"/>
      <c r="S352" s="5"/>
      <c r="T352" s="5"/>
    </row>
    <row r="353" spans="1:20" ht="12.75">
      <c r="A353" s="24">
        <f ca="1">IFERROR(__xludf.DUMMYFUNCTION("""COMPUTED_VALUE"""),45669.9094595601)</f>
        <v>45669.909459560098</v>
      </c>
      <c r="B353" s="5" t="str">
        <f ca="1">IFERROR(__xludf.DUMMYFUNCTION("""COMPUTED_VALUE"""),"920 N Beverly Glen Blvd")</f>
        <v>920 N Beverly Glen Blvd</v>
      </c>
      <c r="C353" s="5" t="str">
        <f ca="1">IFERROR(__xludf.DUMMYFUNCTION("""COMPUTED_VALUE"""),"LA")</f>
        <v>LA</v>
      </c>
      <c r="D353" s="5" t="str">
        <f ca="1">IFERROR(__xludf.DUMMYFUNCTION("""COMPUTED_VALUE"""),"CA")</f>
        <v>CA</v>
      </c>
      <c r="E353" s="5">
        <f ca="1">IFERROR(__xludf.DUMMYFUNCTION("""COMPUTED_VALUE"""),90077)</f>
        <v>90077</v>
      </c>
      <c r="F353" s="19">
        <f ca="1">IFERROR(__xludf.DUMMYFUNCTION("""COMPUTED_VALUE"""),10000)</f>
        <v>10000</v>
      </c>
      <c r="G353" s="19">
        <f ca="1">IFERROR(__xludf.DUMMYFUNCTION("""COMPUTED_VALUE"""),12000)</f>
        <v>12000</v>
      </c>
      <c r="H353" s="18">
        <f ca="1">IFERROR(__xludf.DUMMYFUNCTION("""COMPUTED_VALUE"""),45667)</f>
        <v>45667</v>
      </c>
      <c r="I353" s="5" t="str">
        <f ca="1">IFERROR(__xludf.DUMMYFUNCTION("""COMPUTED_VALUE"""),"Zillow")</f>
        <v>Zillow</v>
      </c>
      <c r="J353" s="25" t="str">
        <f ca="1">IFERROR(__xludf.DUMMYFUNCTION("""COMPUTED_VALUE"""),"https://www.zillow.com/homedetails/920-N-Beverly-Glen-Blvd-Los-Angeles-CA-90077/20529879_zpid/")</f>
        <v>https://www.zillow.com/homedetails/920-N-Beverly-Glen-Blvd-Los-Angeles-CA-90077/20529879_zpid/</v>
      </c>
      <c r="K353" s="5" t="str">
        <f ca="1">IFERROR(__xludf.DUMMYFUNCTION("""COMPUTED_VALUE"""),"Ophelie Maskanian")</f>
        <v>Ophelie Maskanian</v>
      </c>
      <c r="L353" s="5"/>
      <c r="M353" s="5"/>
      <c r="N353" s="26" t="str">
        <f ca="1">IFERROR(__xludf.DUMMYFUNCTION("""COMPUTED_VALUE"""),"https://drive.google.com/open?id=1kpfKb97MszzifZqTIjx4K42NsnfqcfEV")</f>
        <v>https://drive.google.com/open?id=1kpfKb97MszzifZqTIjx4K42NsnfqcfEV</v>
      </c>
      <c r="O353" s="5">
        <f ca="1">IFERROR(__xludf.DUMMYFUNCTION("""COMPUTED_VALUE"""),4371024018)</f>
        <v>4371024018</v>
      </c>
      <c r="P353" s="5" t="str">
        <f ca="1">IFERROR(__xludf.DUMMYFUNCTION("""COMPUTED_VALUE"""),"(818) 402-4547")</f>
        <v>(818) 402-4547</v>
      </c>
      <c r="Q353" s="5"/>
      <c r="R353" s="5"/>
      <c r="S353" s="5"/>
      <c r="T353" s="5"/>
    </row>
    <row r="354" spans="1:20" ht="12.75">
      <c r="A354" s="24">
        <f ca="1">IFERROR(__xludf.DUMMYFUNCTION("""COMPUTED_VALUE"""),45669.909615625)</f>
        <v>45669.909615625002</v>
      </c>
      <c r="B354" s="5" t="str">
        <f ca="1">IFERROR(__xludf.DUMMYFUNCTION("""COMPUTED_VALUE"""),"16754 Armstead St")</f>
        <v>16754 Armstead St</v>
      </c>
      <c r="C354" s="5" t="str">
        <f ca="1">IFERROR(__xludf.DUMMYFUNCTION("""COMPUTED_VALUE"""),"Granada Hills")</f>
        <v>Granada Hills</v>
      </c>
      <c r="D354" s="5" t="str">
        <f ca="1">IFERROR(__xludf.DUMMYFUNCTION("""COMPUTED_VALUE"""),"CA")</f>
        <v>CA</v>
      </c>
      <c r="E354" s="5">
        <f ca="1">IFERROR(__xludf.DUMMYFUNCTION("""COMPUTED_VALUE"""),91344)</f>
        <v>91344</v>
      </c>
      <c r="F354" s="19">
        <f ca="1">IFERROR(__xludf.DUMMYFUNCTION("""COMPUTED_VALUE"""),6000)</f>
        <v>6000</v>
      </c>
      <c r="G354" s="19">
        <f ca="1">IFERROR(__xludf.DUMMYFUNCTION("""COMPUTED_VALUE"""),7000)</f>
        <v>7000</v>
      </c>
      <c r="H354" s="18">
        <f ca="1">IFERROR(__xludf.DUMMYFUNCTION("""COMPUTED_VALUE"""),45669)</f>
        <v>45669</v>
      </c>
      <c r="I354" s="5" t="str">
        <f ca="1">IFERROR(__xludf.DUMMYFUNCTION("""COMPUTED_VALUE"""),"Zillow")</f>
        <v>Zillow</v>
      </c>
      <c r="J354" s="25" t="str">
        <f ca="1">IFERROR(__xludf.DUMMYFUNCTION("""COMPUTED_VALUE"""),"https://www.zillow.com/homedetails/16754-Armstead-St-Granada-Hills-CA-91344/20110441_zpid/")</f>
        <v>https://www.zillow.com/homedetails/16754-Armstead-St-Granada-Hills-CA-91344/20110441_zpid/</v>
      </c>
      <c r="K354" s="5" t="str">
        <f ca="1">IFERROR(__xludf.DUMMYFUNCTION("""COMPUTED_VALUE"""),"Lana")</f>
        <v>Lana</v>
      </c>
      <c r="L354" s="5"/>
      <c r="M354" s="5"/>
      <c r="N354" s="5" t="str">
        <f ca="1">IFERROR(__xludf.DUMMYFUNCTION("""COMPUTED_VALUE"""),"https://drive.google.com/open?id=1sQR6SlNNLIKFwzjVEM84UcqO1tiw-nZd, https://drive.google.com/open?id=1xJnXlwf24yQQ0NDOamzlDExLvIv_WPXV")</f>
        <v>https://drive.google.com/open?id=1sQR6SlNNLIKFwzjVEM84UcqO1tiw-nZd, https://drive.google.com/open?id=1xJnXlwf24yQQ0NDOamzlDExLvIv_WPXV</v>
      </c>
      <c r="O354" s="5">
        <f ca="1">IFERROR(__xludf.DUMMYFUNCTION("""COMPUTED_VALUE"""),2610012002)</f>
        <v>2610012002</v>
      </c>
      <c r="P354" s="5" t="str">
        <f ca="1">IFERROR(__xludf.DUMMYFUNCTION("""COMPUTED_VALUE"""),"(213) 715-4914")</f>
        <v>(213) 715-4914</v>
      </c>
      <c r="Q354" s="5"/>
      <c r="R354" s="5"/>
      <c r="S354" s="5"/>
      <c r="T354" s="5"/>
    </row>
    <row r="355" spans="1:20" ht="12.75">
      <c r="A355" s="24">
        <f ca="1">IFERROR(__xludf.DUMMYFUNCTION("""COMPUTED_VALUE"""),45669.9108646527)</f>
        <v>45669.910864652702</v>
      </c>
      <c r="B355" s="5" t="str">
        <f ca="1">IFERROR(__xludf.DUMMYFUNCTION("""COMPUTED_VALUE"""),"1416 Pandora Ave")</f>
        <v>1416 Pandora Ave</v>
      </c>
      <c r="C355" s="5" t="str">
        <f ca="1">IFERROR(__xludf.DUMMYFUNCTION("""COMPUTED_VALUE"""),"Los Angeles")</f>
        <v>Los Angeles</v>
      </c>
      <c r="D355" s="5" t="str">
        <f ca="1">IFERROR(__xludf.DUMMYFUNCTION("""COMPUTED_VALUE"""),"CA")</f>
        <v>CA</v>
      </c>
      <c r="E355" s="5">
        <f ca="1">IFERROR(__xludf.DUMMYFUNCTION("""COMPUTED_VALUE"""),90024)</f>
        <v>90024</v>
      </c>
      <c r="F355" s="19">
        <f ca="1">IFERROR(__xludf.DUMMYFUNCTION("""COMPUTED_VALUE"""),12000)</f>
        <v>12000</v>
      </c>
      <c r="G355" s="19">
        <f ca="1">IFERROR(__xludf.DUMMYFUNCTION("""COMPUTED_VALUE"""),22000)</f>
        <v>22000</v>
      </c>
      <c r="H355" s="18">
        <f ca="1">IFERROR(__xludf.DUMMYFUNCTION("""COMPUTED_VALUE"""),45666)</f>
        <v>45666</v>
      </c>
      <c r="I355" s="5" t="str">
        <f ca="1">IFERROR(__xludf.DUMMYFUNCTION("""COMPUTED_VALUE"""),"Zillow")</f>
        <v>Zillow</v>
      </c>
      <c r="J355" s="25" t="str">
        <f ca="1">IFERROR(__xludf.DUMMYFUNCTION("""COMPUTED_VALUE"""),"https://www.zillow.com/homedetails/1416-Pandora-Ave-Los-Angeles-CA-90024/20507742_zpid/")</f>
        <v>https://www.zillow.com/homedetails/1416-Pandora-Ave-Los-Angeles-CA-90024/20507742_zpid/</v>
      </c>
      <c r="K355" s="5" t="str">
        <f ca="1">IFERROR(__xludf.DUMMYFUNCTION("""COMPUTED_VALUE"""),"Dezireh Haghayeghi")</f>
        <v>Dezireh Haghayeghi</v>
      </c>
      <c r="L355" s="5"/>
      <c r="M355" s="5" t="str">
        <f ca="1">IFERROR(__xludf.DUMMYFUNCTION("""COMPUTED_VALUE"""),"Was last listed at $12k and removed on 12/7/23. Relisted after the fires on 1/9/25 at $22k for a 83.3% increase in a little over a year.
Description also states:
Available for SHORT RENTAL &amp; MONTH TO MONTH")</f>
        <v>Was last listed at $12k and removed on 12/7/23. Relisted after the fires on 1/9/25 at $22k for a 83.3% increase in a little over a year.
Description also states:
Available for SHORT RENTAL &amp; MONTH TO MONTH</v>
      </c>
      <c r="N355" s="26" t="str">
        <f ca="1">IFERROR(__xludf.DUMMYFUNCTION("""COMPUTED_VALUE"""),"https://drive.google.com/open?id=1A8nEpPZ8CUjNFA4JjlXkOZUWTjWsBXyN")</f>
        <v>https://drive.google.com/open?id=1A8nEpPZ8CUjNFA4JjlXkOZUWTjWsBXyN</v>
      </c>
      <c r="O355" s="5">
        <f ca="1">IFERROR(__xludf.DUMMYFUNCTION("""COMPUTED_VALUE"""),4327004003)</f>
        <v>4327004003</v>
      </c>
      <c r="P355" s="5" t="str">
        <f ca="1">IFERROR(__xludf.DUMMYFUNCTION("""COMPUTED_VALUE"""),"(310) 626-2096")</f>
        <v>(310) 626-2096</v>
      </c>
      <c r="Q355" s="5"/>
      <c r="R355" s="5"/>
      <c r="S355" s="5"/>
      <c r="T355" s="5"/>
    </row>
    <row r="356" spans="1:20" ht="12.75">
      <c r="A356" s="24">
        <f ca="1">IFERROR(__xludf.DUMMYFUNCTION("""COMPUTED_VALUE"""),45669.9128456828)</f>
        <v>45669.912845682797</v>
      </c>
      <c r="B356" s="5" t="str">
        <f ca="1">IFERROR(__xludf.DUMMYFUNCTION("""COMPUTED_VALUE"""),"354 S Spring St FLOOR 10-ID1208")</f>
        <v>354 S Spring St FLOOR 10-ID1208</v>
      </c>
      <c r="C356" s="5" t="str">
        <f ca="1">IFERROR(__xludf.DUMMYFUNCTION("""COMPUTED_VALUE"""),"Los Angeles")</f>
        <v>Los Angeles</v>
      </c>
      <c r="D356" s="5" t="str">
        <f ca="1">IFERROR(__xludf.DUMMYFUNCTION("""COMPUTED_VALUE"""),"CA")</f>
        <v>CA</v>
      </c>
      <c r="E356" s="5">
        <f ca="1">IFERROR(__xludf.DUMMYFUNCTION("""COMPUTED_VALUE"""),90013)</f>
        <v>90013</v>
      </c>
      <c r="F356" s="19">
        <f ca="1">IFERROR(__xludf.DUMMYFUNCTION("""COMPUTED_VALUE"""),4140)</f>
        <v>4140</v>
      </c>
      <c r="G356" s="19">
        <f ca="1">IFERROR(__xludf.DUMMYFUNCTION("""COMPUTED_VALUE"""),5400)</f>
        <v>5400</v>
      </c>
      <c r="H356" s="18">
        <f ca="1">IFERROR(__xludf.DUMMYFUNCTION("""COMPUTED_VALUE"""),45667)</f>
        <v>45667</v>
      </c>
      <c r="I356" s="5" t="str">
        <f ca="1">IFERROR(__xludf.DUMMYFUNCTION("""COMPUTED_VALUE"""),"Zillow")</f>
        <v>Zillow</v>
      </c>
      <c r="J356" s="25" t="str">
        <f ca="1">IFERROR(__xludf.DUMMYFUNCTION("""COMPUTED_VALUE"""),"https://www.zillow.com/homedetails/354-S-Spring-St-FLOOR-10-ID1208-Los-Angeles-CA-90013/442289384_zpid/")</f>
        <v>https://www.zillow.com/homedetails/354-S-Spring-St-FLOOR-10-ID1208-Los-Angeles-CA-90013/442289384_zpid/</v>
      </c>
      <c r="K356" s="5" t="str">
        <f ca="1">IFERROR(__xludf.DUMMYFUNCTION("""COMPUTED_VALUE"""),"BLUEGROUND  Management company")</f>
        <v>BLUEGROUND  Management company</v>
      </c>
      <c r="L356" s="5"/>
      <c r="M356" s="5" t="str">
        <f ca="1">IFERROR(__xludf.DUMMYFUNCTION("""COMPUTED_VALUE"""),"Price lowered twice in Dec. 2024, most recently to $4140 on 12/24/24; raised to $5400 on 1/10/25; offers short-term leases ")</f>
        <v xml:space="preserve">Price lowered twice in Dec. 2024, most recently to $4140 on 12/24/24; raised to $5400 on 1/10/25; offers short-term leases </v>
      </c>
      <c r="N356" s="5" t="str">
        <f ca="1">IFERROR(__xludf.DUMMYFUNCTION("""COMPUTED_VALUE"""),"https://drive.google.com/open?id=1hF3njAxY5uA7YxQ5yf9Pooci7lzmSfUd, https://drive.google.com/open?id=1wExV2veeUIzCd3YcxKbpgkPsnb1WRHqL")</f>
        <v>https://drive.google.com/open?id=1hF3njAxY5uA7YxQ5yf9Pooci7lzmSfUd, https://drive.google.com/open?id=1wExV2veeUIzCd3YcxKbpgkPsnb1WRHqL</v>
      </c>
      <c r="O356" s="5" t="str">
        <f ca="1">IFERROR(__xludf.DUMMYFUNCTION("""COMPUTED_VALUE"""),"NA")</f>
        <v>NA</v>
      </c>
      <c r="P356" s="5" t="str">
        <f ca="1">IFERROR(__xludf.DUMMYFUNCTION("""COMPUTED_VALUE"""),"(213) 660-4841")</f>
        <v>(213) 660-4841</v>
      </c>
      <c r="Q356" s="5"/>
      <c r="R356" s="5"/>
      <c r="S356" s="5"/>
      <c r="T356" s="5"/>
    </row>
    <row r="357" spans="1:20" ht="12.75">
      <c r="A357" s="24">
        <f ca="1">IFERROR(__xludf.DUMMYFUNCTION("""COMPUTED_VALUE"""),45669.9132675115)</f>
        <v>45669.913267511503</v>
      </c>
      <c r="B357" s="5" t="str">
        <f ca="1">IFERROR(__xludf.DUMMYFUNCTION("""COMPUTED_VALUE"""),"929 Marco Pl")</f>
        <v>929 Marco Pl</v>
      </c>
      <c r="C357" s="5" t="str">
        <f ca="1">IFERROR(__xludf.DUMMYFUNCTION("""COMPUTED_VALUE"""),"Venice")</f>
        <v>Venice</v>
      </c>
      <c r="D357" s="5" t="str">
        <f ca="1">IFERROR(__xludf.DUMMYFUNCTION("""COMPUTED_VALUE"""),"CA")</f>
        <v>CA</v>
      </c>
      <c r="E357" s="5">
        <f ca="1">IFERROR(__xludf.DUMMYFUNCTION("""COMPUTED_VALUE"""),90291)</f>
        <v>90291</v>
      </c>
      <c r="F357" s="19">
        <f ca="1">IFERROR(__xludf.DUMMYFUNCTION("""COMPUTED_VALUE"""),17995)</f>
        <v>17995</v>
      </c>
      <c r="G357" s="19">
        <f ca="1">IFERROR(__xludf.DUMMYFUNCTION("""COMPUTED_VALUE"""),26500)</f>
        <v>26500</v>
      </c>
      <c r="H357" s="18">
        <f ca="1">IFERROR(__xludf.DUMMYFUNCTION("""COMPUTED_VALUE"""),45669)</f>
        <v>45669</v>
      </c>
      <c r="I357" s="5" t="str">
        <f ca="1">IFERROR(__xludf.DUMMYFUNCTION("""COMPUTED_VALUE"""),"Zillow")</f>
        <v>Zillow</v>
      </c>
      <c r="J357" s="25" t="str">
        <f ca="1">IFERROR(__xludf.DUMMYFUNCTION("""COMPUTED_VALUE"""),"https://www.zillow.com/homedetails/929-Marco-Pl-Venice-CA-90291/2071334027_zpid/")</f>
        <v>https://www.zillow.com/homedetails/929-Marco-Pl-Venice-CA-90291/2071334027_zpid/</v>
      </c>
      <c r="K357" s="5" t="str">
        <f ca="1">IFERROR(__xludf.DUMMYFUNCTION("""COMPUTED_VALUE"""),"Penny Muck")</f>
        <v>Penny Muck</v>
      </c>
      <c r="L357" s="5"/>
      <c r="M357" s="5" t="str">
        <f ca="1">IFERROR(__xludf.DUMMYFUNCTION("""COMPUTED_VALUE"""),"listing removed")</f>
        <v>listing removed</v>
      </c>
      <c r="N357" s="5" t="str">
        <f ca="1">IFERROR(__xludf.DUMMYFUNCTION("""COMPUTED_VALUE"""),"https://drive.google.com/open?id=1GutkeLSrphQtlFLUYwX3X-8QVxhFUYUR, https://drive.google.com/open?id=1__wQzKCMxCzot_pibwMifMjXyl7zfB04")</f>
        <v>https://drive.google.com/open?id=1GutkeLSrphQtlFLUYwX3X-8QVxhFUYUR, https://drive.google.com/open?id=1__wQzKCMxCzot_pibwMifMjXyl7zfB04</v>
      </c>
      <c r="O357" s="5" t="str">
        <f ca="1">IFERROR(__xludf.DUMMYFUNCTION("""COMPUTED_VALUE"""),"NA")</f>
        <v>NA</v>
      </c>
      <c r="P357" s="5" t="str">
        <f ca="1">IFERROR(__xludf.DUMMYFUNCTION("""COMPUTED_VALUE"""),"(310)-266-9946")</f>
        <v>(310)-266-9946</v>
      </c>
      <c r="Q357" s="5" t="str">
        <f ca="1">IFERROR(__xludf.DUMMYFUNCTION("""COMPUTED_VALUE"""),"penny@pardeeproperties.com")</f>
        <v>penny@pardeeproperties.com</v>
      </c>
      <c r="R357" s="5"/>
      <c r="S357" s="5"/>
      <c r="T357" s="5"/>
    </row>
    <row r="358" spans="1:20" ht="12.75">
      <c r="A358" s="24">
        <f ca="1">IFERROR(__xludf.DUMMYFUNCTION("""COMPUTED_VALUE"""),45669.9137216203)</f>
        <v>45669.913721620302</v>
      </c>
      <c r="B358" s="5" t="str">
        <f ca="1">IFERROR(__xludf.DUMMYFUNCTION("""COMPUTED_VALUE"""),"17841 Tarzana St")</f>
        <v>17841 Tarzana St</v>
      </c>
      <c r="C358" s="5" t="str">
        <f ca="1">IFERROR(__xludf.DUMMYFUNCTION("""COMPUTED_VALUE"""),"Encino")</f>
        <v>Encino</v>
      </c>
      <c r="D358" s="5" t="str">
        <f ca="1">IFERROR(__xludf.DUMMYFUNCTION("""COMPUTED_VALUE"""),"CA")</f>
        <v>CA</v>
      </c>
      <c r="E358" s="5">
        <f ca="1">IFERROR(__xludf.DUMMYFUNCTION("""COMPUTED_VALUE"""),91316)</f>
        <v>91316</v>
      </c>
      <c r="F358" s="19">
        <f ca="1">IFERROR(__xludf.DUMMYFUNCTION("""COMPUTED_VALUE"""),6750)</f>
        <v>6750</v>
      </c>
      <c r="G358" s="19">
        <f ca="1">IFERROR(__xludf.DUMMYFUNCTION("""COMPUTED_VALUE"""),18480)</f>
        <v>18480</v>
      </c>
      <c r="H358" s="18">
        <f ca="1">IFERROR(__xludf.DUMMYFUNCTION("""COMPUTED_VALUE"""),45670)</f>
        <v>45670</v>
      </c>
      <c r="I358" s="5" t="str">
        <f ca="1">IFERROR(__xludf.DUMMYFUNCTION("""COMPUTED_VALUE"""),"Zillow")</f>
        <v>Zillow</v>
      </c>
      <c r="J358" s="25" t="str">
        <f ca="1">IFERROR(__xludf.DUMMYFUNCTION("""COMPUTED_VALUE"""),"https://www.zillow.com/homedetails/17841-Tarzana-St-Encino-CA-91316/19950053_zpid/")</f>
        <v>https://www.zillow.com/homedetails/17841-Tarzana-St-Encino-CA-91316/19950053_zpid/</v>
      </c>
      <c r="K358" s="5" t="str">
        <f ca="1">IFERROR(__xludf.DUMMYFUNCTION("""COMPUTED_VALUE"""),"Juan Jay Martinez  Kidder Mathews of California, Inc.  Management company")</f>
        <v>Juan Jay Martinez  Kidder Mathews of California, Inc.  Management company</v>
      </c>
      <c r="L358" s="5"/>
      <c r="M358" s="5"/>
      <c r="N358" s="5" t="str">
        <f ca="1">IFERROR(__xludf.DUMMYFUNCTION("""COMPUTED_VALUE"""),"https://drive.google.com/open?id=1Nsy1MV9n2YUDgJGA1yBw4fIbPCQuflXd, https://drive.google.com/open?id=1usLlbmcrt1C-IoTmRfRY4YB_ftp-dw7h")</f>
        <v>https://drive.google.com/open?id=1Nsy1MV9n2YUDgJGA1yBw4fIbPCQuflXd, https://drive.google.com/open?id=1usLlbmcrt1C-IoTmRfRY4YB_ftp-dw7h</v>
      </c>
      <c r="O358" s="5">
        <f ca="1">IFERROR(__xludf.DUMMYFUNCTION("""COMPUTED_VALUE"""),2182007006)</f>
        <v>2182007006</v>
      </c>
      <c r="P358" s="5" t="str">
        <f ca="1">IFERROR(__xludf.DUMMYFUNCTION("""COMPUTED_VALUE"""),"(818) 212-3057")</f>
        <v>(818) 212-3057</v>
      </c>
      <c r="Q358" s="5"/>
      <c r="R358" s="5"/>
      <c r="S358" s="5"/>
      <c r="T358" s="5"/>
    </row>
    <row r="359" spans="1:20" ht="12.75">
      <c r="A359" s="24">
        <f ca="1">IFERROR(__xludf.DUMMYFUNCTION("""COMPUTED_VALUE"""),45669.9141066319)</f>
        <v>45669.914106631899</v>
      </c>
      <c r="B359" s="5" t="str">
        <f ca="1">IFERROR(__xludf.DUMMYFUNCTION("""COMPUTED_VALUE"""),"4906 Rubio Ave")</f>
        <v>4906 Rubio Ave</v>
      </c>
      <c r="C359" s="5" t="str">
        <f ca="1">IFERROR(__xludf.DUMMYFUNCTION("""COMPUTED_VALUE"""),"Encino")</f>
        <v>Encino</v>
      </c>
      <c r="D359" s="5" t="str">
        <f ca="1">IFERROR(__xludf.DUMMYFUNCTION("""COMPUTED_VALUE"""),"CA")</f>
        <v>CA</v>
      </c>
      <c r="E359" s="5">
        <f ca="1">IFERROR(__xludf.DUMMYFUNCTION("""COMPUTED_VALUE"""),91436)</f>
        <v>91436</v>
      </c>
      <c r="F359" s="19">
        <f ca="1">IFERROR(__xludf.DUMMYFUNCTION("""COMPUTED_VALUE"""),19500)</f>
        <v>19500</v>
      </c>
      <c r="G359" s="19">
        <f ca="1">IFERROR(__xludf.DUMMYFUNCTION("""COMPUTED_VALUE"""),21500)</f>
        <v>21500</v>
      </c>
      <c r="H359" s="18">
        <f ca="1">IFERROR(__xludf.DUMMYFUNCTION("""COMPUTED_VALUE"""),45667)</f>
        <v>45667</v>
      </c>
      <c r="I359" s="5" t="str">
        <f ca="1">IFERROR(__xludf.DUMMYFUNCTION("""COMPUTED_VALUE"""),"Zillow")</f>
        <v>Zillow</v>
      </c>
      <c r="J359" s="25" t="str">
        <f ca="1">IFERROR(__xludf.DUMMYFUNCTION("""COMPUTED_VALUE"""),"https://www.zillow.com/homedetails/4906-Rubio-Ave-Encino-CA-91436/19980319_zpid/")</f>
        <v>https://www.zillow.com/homedetails/4906-Rubio-Ave-Encino-CA-91436/19980319_zpid/</v>
      </c>
      <c r="K359" s="5" t="str">
        <f ca="1">IFERROR(__xludf.DUMMYFUNCTION("""COMPUTED_VALUE"""),"LVVR LLC Noelle L.")</f>
        <v>LVVR LLC Noelle L.</v>
      </c>
      <c r="L359" s="5"/>
      <c r="M359" s="5" t="str">
        <f ca="1">IFERROR(__xludf.DUMMYFUNCTION("""COMPUTED_VALUE"""),"Listing was removed on 12/3/24 at $17,760. Relisted on 1/6/25 at a 9.8% increase to $19,500 and then increased again  a few days later on 1/10/25 another 10.3% to $21,500. 
Description also states it's furnished and move in ready.")</f>
        <v>Listing was removed on 12/3/24 at $17,760. Relisted on 1/6/25 at a 9.8% increase to $19,500 and then increased again  a few days later on 1/10/25 another 10.3% to $21,500. 
Description also states it's furnished and move in ready.</v>
      </c>
      <c r="N359" s="26" t="str">
        <f ca="1">IFERROR(__xludf.DUMMYFUNCTION("""COMPUTED_VALUE"""),"https://drive.google.com/open?id=187V0Zgo0ps-ua8lrDoBWXvh2jWL8-qrT")</f>
        <v>https://drive.google.com/open?id=187V0Zgo0ps-ua8lrDoBWXvh2jWL8-qrT</v>
      </c>
      <c r="O359" s="5">
        <f ca="1">IFERROR(__xludf.DUMMYFUNCTION("""COMPUTED_VALUE"""),2259018011)</f>
        <v>2259018011</v>
      </c>
      <c r="P359" s="5" t="str">
        <f ca="1">IFERROR(__xludf.DUMMYFUNCTION("""COMPUTED_VALUE"""),"(714) 822-0661")</f>
        <v>(714) 822-0661</v>
      </c>
      <c r="Q359" s="5"/>
      <c r="R359" s="5"/>
      <c r="S359" s="5"/>
      <c r="T359" s="5"/>
    </row>
    <row r="360" spans="1:20" ht="12.75">
      <c r="A360" s="24">
        <f ca="1">IFERROR(__xludf.DUMMYFUNCTION("""COMPUTED_VALUE"""),45669.9157322453)</f>
        <v>45669.915732245303</v>
      </c>
      <c r="B360" s="5" t="str">
        <f ca="1">IFERROR(__xludf.DUMMYFUNCTION("""COMPUTED_VALUE"""),"4707 Libbit Ave")</f>
        <v>4707 Libbit Ave</v>
      </c>
      <c r="C360" s="5" t="str">
        <f ca="1">IFERROR(__xludf.DUMMYFUNCTION("""COMPUTED_VALUE"""),"Encino")</f>
        <v>Encino</v>
      </c>
      <c r="D360" s="5" t="str">
        <f ca="1">IFERROR(__xludf.DUMMYFUNCTION("""COMPUTED_VALUE"""),"CA")</f>
        <v>CA</v>
      </c>
      <c r="E360" s="5">
        <f ca="1">IFERROR(__xludf.DUMMYFUNCTION("""COMPUTED_VALUE"""),91436)</f>
        <v>91436</v>
      </c>
      <c r="F360" s="19">
        <f ca="1">IFERROR(__xludf.DUMMYFUNCTION("""COMPUTED_VALUE"""),20000)</f>
        <v>20000</v>
      </c>
      <c r="G360" s="19">
        <f ca="1">IFERROR(__xludf.DUMMYFUNCTION("""COMPUTED_VALUE"""),32000)</f>
        <v>32000</v>
      </c>
      <c r="H360" s="18">
        <f ca="1">IFERROR(__xludf.DUMMYFUNCTION("""COMPUTED_VALUE"""),45669)</f>
        <v>45669</v>
      </c>
      <c r="I360" s="5" t="str">
        <f ca="1">IFERROR(__xludf.DUMMYFUNCTION("""COMPUTED_VALUE"""),"Zillow")</f>
        <v>Zillow</v>
      </c>
      <c r="J360" s="25" t="str">
        <f ca="1">IFERROR(__xludf.DUMMYFUNCTION("""COMPUTED_VALUE"""),"https://www.zillow.com/homedetails/4707-Libbit-Ave-Encino-CA-91436/19991540_zpid/")</f>
        <v>https://www.zillow.com/homedetails/4707-Libbit-Ave-Encino-CA-91436/19991540_zpid/</v>
      </c>
      <c r="K360" s="5"/>
      <c r="L360" s="5" t="str">
        <f ca="1">IFERROR(__xludf.DUMMYFUNCTION("""COMPUTED_VALUE"""),"Allen Dahan")</f>
        <v>Allen Dahan</v>
      </c>
      <c r="M360" s="5"/>
      <c r="N360" s="5" t="str">
        <f ca="1">IFERROR(__xludf.DUMMYFUNCTION("""COMPUTED_VALUE"""),"https://drive.google.com/open?id=1IEEieDabMSE3Un1WW9xY1RgFiXkr6JlR, https://drive.google.com/open?id=1nOlWHnXGisvhhJdVIyKmq19JhaPPAZG8")</f>
        <v>https://drive.google.com/open?id=1IEEieDabMSE3Un1WW9xY1RgFiXkr6JlR, https://drive.google.com/open?id=1nOlWHnXGisvhhJdVIyKmq19JhaPPAZG8</v>
      </c>
      <c r="O360" s="5">
        <f ca="1">IFERROR(__xludf.DUMMYFUNCTION("""COMPUTED_VALUE"""),2284001021)</f>
        <v>2284001021</v>
      </c>
      <c r="P360" s="5"/>
      <c r="Q360" s="5"/>
      <c r="R360" s="5" t="str">
        <f ca="1">IFERROR(__xludf.DUMMYFUNCTION("""COMPUTED_VALUE"""),"(323) 747-7705")</f>
        <v>(323) 747-7705</v>
      </c>
      <c r="S360" s="5"/>
      <c r="T360" s="5"/>
    </row>
    <row r="361" spans="1:20" ht="12.75">
      <c r="A361" s="24">
        <f ca="1">IFERROR(__xludf.DUMMYFUNCTION("""COMPUTED_VALUE"""),45669.9180893171)</f>
        <v>45669.9180893171</v>
      </c>
      <c r="B361" s="5" t="str">
        <f ca="1">IFERROR(__xludf.DUMMYFUNCTION("""COMPUTED_VALUE"""),"8147 Mulholland Ter")</f>
        <v>8147 Mulholland Ter</v>
      </c>
      <c r="C361" s="5" t="str">
        <f ca="1">IFERROR(__xludf.DUMMYFUNCTION("""COMPUTED_VALUE"""),"Los Angeles")</f>
        <v>Los Angeles</v>
      </c>
      <c r="D361" s="5" t="str">
        <f ca="1">IFERROR(__xludf.DUMMYFUNCTION("""COMPUTED_VALUE"""),"CA")</f>
        <v>CA</v>
      </c>
      <c r="E361" s="5">
        <f ca="1">IFERROR(__xludf.DUMMYFUNCTION("""COMPUTED_VALUE"""),90046)</f>
        <v>90046</v>
      </c>
      <c r="F361" s="19">
        <f ca="1">IFERROR(__xludf.DUMMYFUNCTION("""COMPUTED_VALUE"""),15900)</f>
        <v>15900</v>
      </c>
      <c r="G361" s="19">
        <f ca="1">IFERROR(__xludf.DUMMYFUNCTION("""COMPUTED_VALUE"""),20000)</f>
        <v>20000</v>
      </c>
      <c r="H361" s="18">
        <f ca="1">IFERROR(__xludf.DUMMYFUNCTION("""COMPUTED_VALUE"""),45670)</f>
        <v>45670</v>
      </c>
      <c r="I361" s="5" t="str">
        <f ca="1">IFERROR(__xludf.DUMMYFUNCTION("""COMPUTED_VALUE"""),"Zillow")</f>
        <v>Zillow</v>
      </c>
      <c r="J361" s="25" t="str">
        <f ca="1">IFERROR(__xludf.DUMMYFUNCTION("""COMPUTED_VALUE"""),"https://www.zillow.com/homedetails/8147-Mulholland-Ter-Los-Angeles-CA-90046/20031972_zpid/")</f>
        <v>https://www.zillow.com/homedetails/8147-Mulholland-Ter-Los-Angeles-CA-90046/20031972_zpid/</v>
      </c>
      <c r="K361" s="5"/>
      <c r="L361" s="5" t="str">
        <f ca="1">IFERROR(__xludf.DUMMYFUNCTION("""COMPUTED_VALUE"""),"Lyndall")</f>
        <v>Lyndall</v>
      </c>
      <c r="M361" s="5" t="str">
        <f ca="1">IFERROR(__xludf.DUMMYFUNCTION("""COMPUTED_VALUE"""),"Listed on 1/7/25 for $15,900 and removed on 1/10/25 then relisted on 1/13 at an increase of 25.8% to $20k.
Description also states:
NOTE lease can be anything from one month to 12 months but short term lease under 6 months may be more ")</f>
        <v xml:space="preserve">Listed on 1/7/25 for $15,900 and removed on 1/10/25 then relisted on 1/13 at an increase of 25.8% to $20k.
Description also states:
NOTE lease can be anything from one month to 12 months but short term lease under 6 months may be more </v>
      </c>
      <c r="N361" s="26" t="str">
        <f ca="1">IFERROR(__xludf.DUMMYFUNCTION("""COMPUTED_VALUE"""),"https://drive.google.com/open?id=19q6U4HoiXZyk9zBbO64owBXk3sOYKuuU")</f>
        <v>https://drive.google.com/open?id=19q6U4HoiXZyk9zBbO64owBXk3sOYKuuU</v>
      </c>
      <c r="O361" s="5">
        <f ca="1">IFERROR(__xludf.DUMMYFUNCTION("""COMPUTED_VALUE"""),2381029002)</f>
        <v>2381029002</v>
      </c>
      <c r="P361" s="5"/>
      <c r="Q361" s="5"/>
      <c r="R361" s="5" t="str">
        <f ca="1">IFERROR(__xludf.DUMMYFUNCTION("""COMPUTED_VALUE"""),"(424) 233-1575")</f>
        <v>(424) 233-1575</v>
      </c>
      <c r="S361" s="5"/>
      <c r="T361" s="5"/>
    </row>
    <row r="362" spans="1:20" ht="12.75">
      <c r="A362" s="24">
        <f ca="1">IFERROR(__xludf.DUMMYFUNCTION("""COMPUTED_VALUE"""),45669.9186710763)</f>
        <v>45669.918671076302</v>
      </c>
      <c r="B362" s="5" t="str">
        <f ca="1">IFERROR(__xludf.DUMMYFUNCTION("""COMPUTED_VALUE"""),"5709 Calvin Ave")</f>
        <v>5709 Calvin Ave</v>
      </c>
      <c r="C362" s="5" t="str">
        <f ca="1">IFERROR(__xludf.DUMMYFUNCTION("""COMPUTED_VALUE"""),"Tarzana")</f>
        <v>Tarzana</v>
      </c>
      <c r="D362" s="5" t="str">
        <f ca="1">IFERROR(__xludf.DUMMYFUNCTION("""COMPUTED_VALUE"""),"CA")</f>
        <v>CA</v>
      </c>
      <c r="E362" s="5">
        <f ca="1">IFERROR(__xludf.DUMMYFUNCTION("""COMPUTED_VALUE"""),91356)</f>
        <v>91356</v>
      </c>
      <c r="F362" s="19">
        <f ca="1">IFERROR(__xludf.DUMMYFUNCTION("""COMPUTED_VALUE"""),4800)</f>
        <v>4800</v>
      </c>
      <c r="G362" s="19">
        <f ca="1">IFERROR(__xludf.DUMMYFUNCTION("""COMPUTED_VALUE"""),26000)</f>
        <v>26000</v>
      </c>
      <c r="H362" s="18">
        <f ca="1">IFERROR(__xludf.DUMMYFUNCTION("""COMPUTED_VALUE"""),45669)</f>
        <v>45669</v>
      </c>
      <c r="I362" s="5" t="str">
        <f ca="1">IFERROR(__xludf.DUMMYFUNCTION("""COMPUTED_VALUE"""),"Zillow")</f>
        <v>Zillow</v>
      </c>
      <c r="J362" s="25" t="str">
        <f ca="1">IFERROR(__xludf.DUMMYFUNCTION("""COMPUTED_VALUE"""),"https://www.zillow.com/homedetails/5709-Calvin-Ave-Tarzana-CA-91356/19932890_zpid/")</f>
        <v>https://www.zillow.com/homedetails/5709-Calvin-Ave-Tarzana-CA-91356/19932890_zpid/</v>
      </c>
      <c r="K362" s="5"/>
      <c r="L362" s="5" t="str">
        <f ca="1">IFERROR(__xludf.DUMMYFUNCTION("""COMPUTED_VALUE"""),"Ron Bahat")</f>
        <v>Ron Bahat</v>
      </c>
      <c r="M362" s="5"/>
      <c r="N362" s="5" t="str">
        <f ca="1">IFERROR(__xludf.DUMMYFUNCTION("""COMPUTED_VALUE"""),"https://drive.google.com/open?id=16Je00LjpDLkVEXx_TMpTeP3Oz_pTXy3G, https://drive.google.com/open?id=1k5NA-CXXvVrnBNrMivZQ7qTvZoy1ESix")</f>
        <v>https://drive.google.com/open?id=16Je00LjpDLkVEXx_TMpTeP3Oz_pTXy3G, https://drive.google.com/open?id=1k5NA-CXXvVrnBNrMivZQ7qTvZoy1ESix</v>
      </c>
      <c r="O362" s="5">
        <f ca="1">IFERROR(__xludf.DUMMYFUNCTION("""COMPUTED_VALUE"""),2153032002)</f>
        <v>2153032002</v>
      </c>
      <c r="P362" s="5"/>
      <c r="Q362" s="5"/>
      <c r="R362" s="5" t="str">
        <f ca="1">IFERROR(__xludf.DUMMYFUNCTION("""COMPUTED_VALUE"""),"(310) 497-5438")</f>
        <v>(310) 497-5438</v>
      </c>
      <c r="S362" s="5"/>
      <c r="T362" s="5"/>
    </row>
    <row r="363" spans="1:20" ht="12.75">
      <c r="A363" s="24">
        <f ca="1">IFERROR(__xludf.DUMMYFUNCTION("""COMPUTED_VALUE"""),45669.9223712847)</f>
        <v>45669.922371284702</v>
      </c>
      <c r="B363" s="5" t="str">
        <f ca="1">IFERROR(__xludf.DUMMYFUNCTION("""COMPUTED_VALUE"""),"1723 S Durango Ave")</f>
        <v>1723 S Durango Ave</v>
      </c>
      <c r="C363" s="5" t="str">
        <f ca="1">IFERROR(__xludf.DUMMYFUNCTION("""COMPUTED_VALUE"""),"Los Angeles")</f>
        <v>Los Angeles</v>
      </c>
      <c r="D363" s="5" t="str">
        <f ca="1">IFERROR(__xludf.DUMMYFUNCTION("""COMPUTED_VALUE"""),"CA")</f>
        <v>CA</v>
      </c>
      <c r="E363" s="5">
        <f ca="1">IFERROR(__xludf.DUMMYFUNCTION("""COMPUTED_VALUE"""),90035)</f>
        <v>90035</v>
      </c>
      <c r="F363" s="19">
        <f ca="1">IFERROR(__xludf.DUMMYFUNCTION("""COMPUTED_VALUE"""),17995)</f>
        <v>17995</v>
      </c>
      <c r="G363" s="19">
        <f ca="1">IFERROR(__xludf.DUMMYFUNCTION("""COMPUTED_VALUE"""),19995)</f>
        <v>19995</v>
      </c>
      <c r="H363" s="18">
        <f ca="1">IFERROR(__xludf.DUMMYFUNCTION("""COMPUTED_VALUE"""),45667)</f>
        <v>45667</v>
      </c>
      <c r="I363" s="5" t="str">
        <f ca="1">IFERROR(__xludf.DUMMYFUNCTION("""COMPUTED_VALUE"""),"Zillow")</f>
        <v>Zillow</v>
      </c>
      <c r="J363" s="25" t="str">
        <f ca="1">IFERROR(__xludf.DUMMYFUNCTION("""COMPUTED_VALUE"""),"https://www.zillow.com/homedetails/1723-S-Durango-Ave-Los-Angeles-CA-90035/20492797_zpid/")</f>
        <v>https://www.zillow.com/homedetails/1723-S-Durango-Ave-Los-Angeles-CA-90035/20492797_zpid/</v>
      </c>
      <c r="K363" s="5" t="str">
        <f ca="1">IFERROR(__xludf.DUMMYFUNCTION("""COMPUTED_VALUE"""),"Margalit Bensimon - Nourmand &amp; Associates Realtors")</f>
        <v>Margalit Bensimon - Nourmand &amp; Associates Realtors</v>
      </c>
      <c r="L363" s="5"/>
      <c r="M363" s="5" t="str">
        <f ca="1">IFERROR(__xludf.DUMMYFUNCTION("""COMPUTED_VALUE"""),"Previously listed and reduced multile times in 2024 before being removed on 12/14/24 at $17,995. Relisted after the fires on 1/10/25 at an 11.1% increase to $19,995.")</f>
        <v>Previously listed and reduced multile times in 2024 before being removed on 12/14/24 at $17,995. Relisted after the fires on 1/10/25 at an 11.1% increase to $19,995.</v>
      </c>
      <c r="N363" s="26" t="str">
        <f ca="1">IFERROR(__xludf.DUMMYFUNCTION("""COMPUTED_VALUE"""),"https://drive.google.com/open?id=1FgYG8OLfMOD62HvtBpRodseuS1AXp0HE")</f>
        <v>https://drive.google.com/open?id=1FgYG8OLfMOD62HvtBpRodseuS1AXp0HE</v>
      </c>
      <c r="O363" s="5">
        <f ca="1">IFERROR(__xludf.DUMMYFUNCTION("""COMPUTED_VALUE"""),4305024009)</f>
        <v>4305024009</v>
      </c>
      <c r="P363" s="5" t="str">
        <f ca="1">IFERROR(__xludf.DUMMYFUNCTION("""COMPUTED_VALUE"""),"(310) 925-9193")</f>
        <v>(310) 925-9193</v>
      </c>
      <c r="Q363" s="5"/>
      <c r="R363" s="5"/>
      <c r="S363" s="5"/>
      <c r="T363" s="5"/>
    </row>
    <row r="364" spans="1:20" ht="12.75">
      <c r="A364" s="24">
        <f ca="1">IFERROR(__xludf.DUMMYFUNCTION("""COMPUTED_VALUE"""),45669.9241159143)</f>
        <v>45669.924115914298</v>
      </c>
      <c r="B364" s="5" t="str">
        <f ca="1">IFERROR(__xludf.DUMMYFUNCTION("""COMPUTED_VALUE"""),"1916 W Court St")</f>
        <v>1916 W Court St</v>
      </c>
      <c r="C364" s="5" t="str">
        <f ca="1">IFERROR(__xludf.DUMMYFUNCTION("""COMPUTED_VALUE"""),"Los Angeles ")</f>
        <v xml:space="preserve">Los Angeles </v>
      </c>
      <c r="D364" s="5" t="str">
        <f ca="1">IFERROR(__xludf.DUMMYFUNCTION("""COMPUTED_VALUE"""),"CA")</f>
        <v>CA</v>
      </c>
      <c r="E364" s="5">
        <f ca="1">IFERROR(__xludf.DUMMYFUNCTION("""COMPUTED_VALUE"""),90026)</f>
        <v>90026</v>
      </c>
      <c r="F364" s="19">
        <f ca="1">IFERROR(__xludf.DUMMYFUNCTION("""COMPUTED_VALUE"""),9995)</f>
        <v>9995</v>
      </c>
      <c r="G364" s="19">
        <f ca="1">IFERROR(__xludf.DUMMYFUNCTION("""COMPUTED_VALUE"""),14500)</f>
        <v>14500</v>
      </c>
      <c r="H364" s="18">
        <f ca="1">IFERROR(__xludf.DUMMYFUNCTION("""COMPUTED_VALUE"""),45669)</f>
        <v>45669</v>
      </c>
      <c r="I364" s="5" t="str">
        <f ca="1">IFERROR(__xludf.DUMMYFUNCTION("""COMPUTED_VALUE"""),"Zillow")</f>
        <v>Zillow</v>
      </c>
      <c r="J364" s="25" t="str">
        <f ca="1">IFERROR(__xludf.DUMMYFUNCTION("""COMPUTED_VALUE"""),"https://www.zillow.com/homedetails/1916-W-Court-St-Los-Angeles-CA-90026/20627817_zpid/")</f>
        <v>https://www.zillow.com/homedetails/1916-W-Court-St-Los-Angeles-CA-90026/20627817_zpid/</v>
      </c>
      <c r="K364" s="5" t="str">
        <f ca="1">IFERROR(__xludf.DUMMYFUNCTION("""COMPUTED_VALUE"""),"Ofir Malul")</f>
        <v>Ofir Malul</v>
      </c>
      <c r="L364" s="5"/>
      <c r="M364" s="5" t="str">
        <f ca="1">IFERROR(__xludf.DUMMYFUNCTION("""COMPUTED_VALUE"""),"They increased the rent a few days after the fire, I think they removed the listing as a rental though. It is now listed as a house for sale. ")</f>
        <v xml:space="preserve">They increased the rent a few days after the fire, I think they removed the listing as a rental though. It is now listed as a house for sale. </v>
      </c>
      <c r="N364" s="5" t="str">
        <f ca="1">IFERROR(__xludf.DUMMYFUNCTION("""COMPUTED_VALUE"""),"https://drive.google.com/open?id=1goNY654C3da15nFQhJPynRk_MNCL5lLI, https://drive.google.com/open?id=1IlS4EGVFdCJ0qbv9ewu2Xhcxu7WCLaqK, https://drive.google.com/open?id=1pNwTBMznzazQ_C1eTyGJcxqUYs_9Ujbk")</f>
        <v>https://drive.google.com/open?id=1goNY654C3da15nFQhJPynRk_MNCL5lLI, https://drive.google.com/open?id=1IlS4EGVFdCJ0qbv9ewu2Xhcxu7WCLaqK, https://drive.google.com/open?id=1pNwTBMznzazQ_C1eTyGJcxqUYs_9Ujbk</v>
      </c>
      <c r="O364" s="5">
        <f ca="1">IFERROR(__xludf.DUMMYFUNCTION("""COMPUTED_VALUE"""),5157027044)</f>
        <v>5157027044</v>
      </c>
      <c r="P364" s="5">
        <f ca="1">IFERROR(__xludf.DUMMYFUNCTION("""COMPUTED_VALUE"""),8182202703)</f>
        <v>8182202703</v>
      </c>
      <c r="Q364" s="5"/>
      <c r="R364" s="5"/>
      <c r="S364" s="5"/>
      <c r="T364" s="5"/>
    </row>
    <row r="365" spans="1:20" ht="12.75">
      <c r="A365" s="24">
        <f ca="1">IFERROR(__xludf.DUMMYFUNCTION("""COMPUTED_VALUE"""),45669.9250103935)</f>
        <v>45669.925010393497</v>
      </c>
      <c r="B365" s="5" t="str">
        <f ca="1">IFERROR(__xludf.DUMMYFUNCTION("""COMPUTED_VALUE"""),"1445 S Ogden Dr")</f>
        <v>1445 S Ogden Dr</v>
      </c>
      <c r="C365" s="5" t="str">
        <f ca="1">IFERROR(__xludf.DUMMYFUNCTION("""COMPUTED_VALUE"""),"Los Angeles")</f>
        <v>Los Angeles</v>
      </c>
      <c r="D365" s="5" t="str">
        <f ca="1">IFERROR(__xludf.DUMMYFUNCTION("""COMPUTED_VALUE"""),"CA")</f>
        <v>CA</v>
      </c>
      <c r="E365" s="5">
        <f ca="1">IFERROR(__xludf.DUMMYFUNCTION("""COMPUTED_VALUE"""),90019)</f>
        <v>90019</v>
      </c>
      <c r="F365" s="19">
        <f ca="1">IFERROR(__xludf.DUMMYFUNCTION("""COMPUTED_VALUE"""),15000)</f>
        <v>15000</v>
      </c>
      <c r="G365" s="19">
        <f ca="1">IFERROR(__xludf.DUMMYFUNCTION("""COMPUTED_VALUE"""),19995)</f>
        <v>19995</v>
      </c>
      <c r="H365" s="18">
        <f ca="1">IFERROR(__xludf.DUMMYFUNCTION("""COMPUTED_VALUE"""),45666)</f>
        <v>45666</v>
      </c>
      <c r="I365" s="5" t="str">
        <f ca="1">IFERROR(__xludf.DUMMYFUNCTION("""COMPUTED_VALUE"""),"Zillow")</f>
        <v>Zillow</v>
      </c>
      <c r="J365" s="25" t="str">
        <f ca="1">IFERROR(__xludf.DUMMYFUNCTION("""COMPUTED_VALUE"""),"https://www.zillow.com/homedetails/1445-S-Ogden-Dr-Los-Angeles-CA-90019/20599990_zpid/")</f>
        <v>https://www.zillow.com/homedetails/1445-S-Ogden-Dr-Los-Angeles-CA-90019/20599990_zpid/</v>
      </c>
      <c r="K365" s="5" t="str">
        <f ca="1">IFERROR(__xludf.DUMMYFUNCTION("""COMPUTED_VALUE"""),"Olivier Pomedio")</f>
        <v>Olivier Pomedio</v>
      </c>
      <c r="L365" s="5"/>
      <c r="M365" s="5" t="str">
        <f ca="1">IFERROR(__xludf.DUMMYFUNCTION("""COMPUTED_VALUE"""),"Listed for rent on 12/2/24 at $15k, rent increase by 33.3% to $19,995 after the fires on 1/9/25.
Available starting Jan 26th 2025
Description also states:
Fully Furnished with flexible lease terms.")</f>
        <v>Listed for rent on 12/2/24 at $15k, rent increase by 33.3% to $19,995 after the fires on 1/9/25.
Available starting Jan 26th 2025
Description also states:
Fully Furnished with flexible lease terms.</v>
      </c>
      <c r="N365" s="26" t="str">
        <f ca="1">IFERROR(__xludf.DUMMYFUNCTION("""COMPUTED_VALUE"""),"https://drive.google.com/open?id=1hsVL0s6p3nQ9hXzZKMIzvMnCEfloERIm")</f>
        <v>https://drive.google.com/open?id=1hsVL0s6p3nQ9hXzZKMIzvMnCEfloERIm</v>
      </c>
      <c r="O365" s="5">
        <f ca="1">IFERROR(__xludf.DUMMYFUNCTION("""COMPUTED_VALUE"""),5068022035)</f>
        <v>5068022035</v>
      </c>
      <c r="P365" s="5" t="str">
        <f ca="1">IFERROR(__xludf.DUMMYFUNCTION("""COMPUTED_VALUE"""),"(917) 216-9745")</f>
        <v>(917) 216-9745</v>
      </c>
      <c r="Q365" s="5"/>
      <c r="R365" s="5"/>
      <c r="S365" s="5"/>
      <c r="T365" s="5"/>
    </row>
    <row r="366" spans="1:20" ht="12.75">
      <c r="A366" s="24">
        <f ca="1">IFERROR(__xludf.DUMMYFUNCTION("""COMPUTED_VALUE"""),45669.9259383333)</f>
        <v>45669.925938333297</v>
      </c>
      <c r="B366" s="5" t="str">
        <f ca="1">IFERROR(__xludf.DUMMYFUNCTION("""COMPUTED_VALUE"""),"11361 Ovada Pl APT 2")</f>
        <v>11361 Ovada Pl APT 2</v>
      </c>
      <c r="C366" s="5" t="str">
        <f ca="1">IFERROR(__xludf.DUMMYFUNCTION("""COMPUTED_VALUE"""),"Los Angeles")</f>
        <v>Los Angeles</v>
      </c>
      <c r="D366" s="5" t="str">
        <f ca="1">IFERROR(__xludf.DUMMYFUNCTION("""COMPUTED_VALUE"""),"CA")</f>
        <v>CA</v>
      </c>
      <c r="E366" s="5">
        <f ca="1">IFERROR(__xludf.DUMMYFUNCTION("""COMPUTED_VALUE"""),90049)</f>
        <v>90049</v>
      </c>
      <c r="F366" s="19">
        <f ca="1">IFERROR(__xludf.DUMMYFUNCTION("""COMPUTED_VALUE"""),3100)</f>
        <v>3100</v>
      </c>
      <c r="G366" s="19">
        <f ca="1">IFERROR(__xludf.DUMMYFUNCTION("""COMPUTED_VALUE"""),3600)</f>
        <v>3600</v>
      </c>
      <c r="H366" s="18">
        <f ca="1">IFERROR(__xludf.DUMMYFUNCTION("""COMPUTED_VALUE"""),45669)</f>
        <v>45669</v>
      </c>
      <c r="I366" s="5" t="str">
        <f ca="1">IFERROR(__xludf.DUMMYFUNCTION("""COMPUTED_VALUE"""),"Zillow")</f>
        <v>Zillow</v>
      </c>
      <c r="J366" s="25" t="str">
        <f ca="1">IFERROR(__xludf.DUMMYFUNCTION("""COMPUTED_VALUE"""),"https://www.zillow.com/homedetails/11361-Ovada-Pl-APT-2-Los-Angeles-CA-90049/2111162635_zpid/")</f>
        <v>https://www.zillow.com/homedetails/11361-Ovada-Pl-APT-2-Los-Angeles-CA-90049/2111162635_zpid/</v>
      </c>
      <c r="K366" s="5" t="str">
        <f ca="1">IFERROR(__xludf.DUMMYFUNCTION("""COMPUTED_VALUE"""),"Leasing Agent The InterGroup Corporation")</f>
        <v>Leasing Agent The InterGroup Corporation</v>
      </c>
      <c r="L366" s="5"/>
      <c r="M366" s="5"/>
      <c r="N366" s="26" t="str">
        <f ca="1">IFERROR(__xludf.DUMMYFUNCTION("""COMPUTED_VALUE"""),"https://drive.google.com/open?id=1VPQwGXo1jWxgkw6403xNgw9Ud7psstY5")</f>
        <v>https://drive.google.com/open?id=1VPQwGXo1jWxgkw6403xNgw9Ud7psstY5</v>
      </c>
      <c r="O366" s="5" t="str">
        <f ca="1">IFERROR(__xludf.DUMMYFUNCTION("""COMPUTED_VALUE"""),"NA")</f>
        <v>NA</v>
      </c>
      <c r="P366" s="5" t="str">
        <f ca="1">IFERROR(__xludf.DUMMYFUNCTION("""COMPUTED_VALUE"""),"(213) 510-2874")</f>
        <v>(213) 510-2874</v>
      </c>
      <c r="Q366" s="5"/>
      <c r="R366" s="5"/>
      <c r="S366" s="5"/>
      <c r="T366" s="5"/>
    </row>
    <row r="367" spans="1:20" ht="12.75">
      <c r="A367" s="24">
        <f ca="1">IFERROR(__xludf.DUMMYFUNCTION("""COMPUTED_VALUE"""),45669.9275099537)</f>
        <v>45669.927509953697</v>
      </c>
      <c r="B367" s="5" t="str">
        <f ca="1">IFERROR(__xludf.DUMMYFUNCTION("""COMPUTED_VALUE"""),"1637 S Sherbourne Dr")</f>
        <v>1637 S Sherbourne Dr</v>
      </c>
      <c r="C367" s="5" t="str">
        <f ca="1">IFERROR(__xludf.DUMMYFUNCTION("""COMPUTED_VALUE"""),"Los Angeles")</f>
        <v>Los Angeles</v>
      </c>
      <c r="D367" s="5" t="str">
        <f ca="1">IFERROR(__xludf.DUMMYFUNCTION("""COMPUTED_VALUE"""),"CA")</f>
        <v>CA</v>
      </c>
      <c r="E367" s="5">
        <f ca="1">IFERROR(__xludf.DUMMYFUNCTION("""COMPUTED_VALUE"""),90035)</f>
        <v>90035</v>
      </c>
      <c r="F367" s="19">
        <f ca="1">IFERROR(__xludf.DUMMYFUNCTION("""COMPUTED_VALUE"""),14995)</f>
        <v>14995</v>
      </c>
      <c r="G367" s="19">
        <f ca="1">IFERROR(__xludf.DUMMYFUNCTION("""COMPUTED_VALUE"""),19995)</f>
        <v>19995</v>
      </c>
      <c r="H367" s="18">
        <f ca="1">IFERROR(__xludf.DUMMYFUNCTION("""COMPUTED_VALUE"""),45665)</f>
        <v>45665</v>
      </c>
      <c r="I367" s="5" t="str">
        <f ca="1">IFERROR(__xludf.DUMMYFUNCTION("""COMPUTED_VALUE"""),"Zillow")</f>
        <v>Zillow</v>
      </c>
      <c r="J367" s="25" t="str">
        <f ca="1">IFERROR(__xludf.DUMMYFUNCTION("""COMPUTED_VALUE"""),"https://www.zillow.com/homedetails/1637-S-Sherbourne-Dr-Los-Angeles-CA-90035/20491861_zpid/")</f>
        <v>https://www.zillow.com/homedetails/1637-S-Sherbourne-Dr-Los-Angeles-CA-90035/20491861_zpid/</v>
      </c>
      <c r="K367" s="5" t="str">
        <f ca="1">IFERROR(__xludf.DUMMYFUNCTION("""COMPUTED_VALUE"""),"Micah Hiller - The RFC Group")</f>
        <v>Micah Hiller - The RFC Group</v>
      </c>
      <c r="L367" s="5"/>
      <c r="M367" s="5" t="str">
        <f ca="1">IFERROR(__xludf.DUMMYFUNCTION("""COMPUTED_VALUE"""),"Previously listed and price reduced to $14,995 on 10/1/24. Price increased after the fires on 1/8/25 to $19,995 fir a 33.3% increase.")</f>
        <v>Previously listed and price reduced to $14,995 on 10/1/24. Price increased after the fires on 1/8/25 to $19,995 fir a 33.3% increase.</v>
      </c>
      <c r="N367" s="26" t="str">
        <f ca="1">IFERROR(__xludf.DUMMYFUNCTION("""COMPUTED_VALUE"""),"https://drive.google.com/open?id=16t9TH_P5VbagmL3RUUqwgWBvTrYOQ5Tp")</f>
        <v>https://drive.google.com/open?id=16t9TH_P5VbagmL3RUUqwgWBvTrYOQ5Tp</v>
      </c>
      <c r="O367" s="5">
        <f ca="1">IFERROR(__xludf.DUMMYFUNCTION("""COMPUTED_VALUE"""),4303013046)</f>
        <v>4303013046</v>
      </c>
      <c r="P367" s="5" t="str">
        <f ca="1">IFERROR(__xludf.DUMMYFUNCTION("""COMPUTED_VALUE"""),"(310) 280-6417")</f>
        <v>(310) 280-6417</v>
      </c>
      <c r="Q367" s="5"/>
      <c r="R367" s="5"/>
      <c r="S367" s="5"/>
      <c r="T367" s="5"/>
    </row>
    <row r="368" spans="1:20" ht="12.75">
      <c r="A368" s="24">
        <f ca="1">IFERROR(__xludf.DUMMYFUNCTION("""COMPUTED_VALUE"""),45669.9282116319)</f>
        <v>45669.928211631901</v>
      </c>
      <c r="B368" s="5" t="str">
        <f ca="1">IFERROR(__xludf.DUMMYFUNCTION("""COMPUTED_VALUE"""),"3512 Crestmont Ave")</f>
        <v>3512 Crestmont Ave</v>
      </c>
      <c r="C368" s="5" t="str">
        <f ca="1">IFERROR(__xludf.DUMMYFUNCTION("""COMPUTED_VALUE"""),"Los Angeles")</f>
        <v>Los Angeles</v>
      </c>
      <c r="D368" s="5" t="str">
        <f ca="1">IFERROR(__xludf.DUMMYFUNCTION("""COMPUTED_VALUE"""),"CA")</f>
        <v>CA</v>
      </c>
      <c r="E368" s="5">
        <f ca="1">IFERROR(__xludf.DUMMYFUNCTION("""COMPUTED_VALUE"""),90026)</f>
        <v>90026</v>
      </c>
      <c r="F368" s="19">
        <f ca="1">IFERROR(__xludf.DUMMYFUNCTION("""COMPUTED_VALUE"""),9000)</f>
        <v>9000</v>
      </c>
      <c r="G368" s="19">
        <f ca="1">IFERROR(__xludf.DUMMYFUNCTION("""COMPUTED_VALUE"""),11000)</f>
        <v>11000</v>
      </c>
      <c r="H368" s="18">
        <f ca="1">IFERROR(__xludf.DUMMYFUNCTION("""COMPUTED_VALUE"""),45668)</f>
        <v>45668</v>
      </c>
      <c r="I368" s="5" t="str">
        <f ca="1">IFERROR(__xludf.DUMMYFUNCTION("""COMPUTED_VALUE"""),"Zillow")</f>
        <v>Zillow</v>
      </c>
      <c r="J368" s="25" t="str">
        <f ca="1">IFERROR(__xludf.DUMMYFUNCTION("""COMPUTED_VALUE"""),"https://www.zillow.com/los-angeles-ca/rentals/?searchQueryState=%7B%22pagination%22%3A%7B%7D%2C%22isMapVisible%22%3Atrue%2C%22mapBounds%22%3A%7B%22west%22%3A-118.49452988525391%2C%22east%22%3A-118.0543901147461%2C%22south%22%3A33.954100149236645%2C%22nort"&amp;"h%22%3A34.23045662689283%7D%2C%22regionSelection%22%3A%5B%7B%22regionId%22%3A12447%2C%22regionType%22%3A6%7D%5D%2C%22filterState%22%3A%7B%22fr%22%3A%7B%22value%22%3Atrue%7D%2C%22fsba%22%3A%7B%22value%22%3Afalse%7D%2C%22fsbo%22%3A%7B%22value%22%3Afalse%7D%"&amp;"2C%22nc%22%3A%7B%22value%22%3Afalse%7D%2C%22cmsn%22%3A%7B%22value%22%3Afalse%7D%2C%22auc%22%3A%7B%22value%22%3Afalse%7D%2C%22fore%22%3A%7B%22value%22%3Afalse%7D%2C%22tow%22%3A%7B%22value%22%3Afalse%7D%2C%22con%22%3A%7B%22value%22%3Afalse%7D%2C%22apa%22%3A"&amp;"%7B%22value%22%3Afalse%7D%2C%22apco%22%3A%7B%22value%22%3Afalse%7D%7D%2C%22isListVisible%22%3Atrue%2C%22mapZoom%22%3A11%7D")</f>
        <v>https://www.zillow.com/los-angeles-ca/rentals/?searchQueryState=%7B%22pagination%22%3A%7B%7D%2C%22isMapVisible%22%3Atrue%2C%22mapBounds%22%3A%7B%22west%22%3A-118.49452988525391%2C%22east%22%3A-118.0543901147461%2C%22south%22%3A33.954100149236645%2C%22north%22%3A34.23045662689283%7D%2C%22regionSelection%22%3A%5B%7B%22regionId%22%3A12447%2C%22regionType%22%3A6%7D%5D%2C%22filterState%22%3A%7B%22fr%22%3A%7B%22value%22%3Atrue%7D%2C%22fsba%22%3A%7B%22value%22%3Afalse%7D%2C%22fsbo%22%3A%7B%22value%22%3Afalse%7D%2C%22nc%22%3A%7B%22value%22%3Afalse%7D%2C%22cmsn%22%3A%7B%22value%22%3Afalse%7D%2C%22auc%22%3A%7B%22value%22%3Afalse%7D%2C%22fore%22%3A%7B%22value%22%3Afalse%7D%2C%22tow%22%3A%7B%22value%22%3Afalse%7D%2C%22con%22%3A%7B%22value%22%3Afalse%7D%2C%22apa%22%3A%7B%22value%22%3Afalse%7D%2C%22apco%22%3A%7B%22value%22%3Afalse%7D%7D%2C%22isListVisible%22%3Atrue%2C%22mapZoom%22%3A11%7D</v>
      </c>
      <c r="K368" s="5" t="str">
        <f ca="1">IFERROR(__xludf.DUMMYFUNCTION("""COMPUTED_VALUE"""),"Edward Kay")</f>
        <v>Edward Kay</v>
      </c>
      <c r="L368" s="5"/>
      <c r="M368" s="5" t="str">
        <f ca="1">IFERROR(__xludf.DUMMYFUNCTION("""COMPUTED_VALUE"""),"I thin they removed the listing as a rental ")</f>
        <v xml:space="preserve">I thin they removed the listing as a rental </v>
      </c>
      <c r="N368" s="5" t="str">
        <f ca="1">IFERROR(__xludf.DUMMYFUNCTION("""COMPUTED_VALUE"""),"https://drive.google.com/open?id=1_anY07b46bP2B1y5EjUI7r0W_oXlD5Mh, https://drive.google.com/open?id=1aAYm6tHe2ueYVcjMgXMcU2HmPY-0d2Su, https://drive.google.com/open?id=1FHe-wuGQZCA2VFI93cLD48JHUBoQoTFB")</f>
        <v>https://drive.google.com/open?id=1_anY07b46bP2B1y5EjUI7r0W_oXlD5Mh, https://drive.google.com/open?id=1aAYm6tHe2ueYVcjMgXMcU2HmPY-0d2Su, https://drive.google.com/open?id=1FHe-wuGQZCA2VFI93cLD48JHUBoQoTFB</v>
      </c>
      <c r="O368" s="5">
        <f ca="1">IFERROR(__xludf.DUMMYFUNCTION("""COMPUTED_VALUE"""),5429020022)</f>
        <v>5429020022</v>
      </c>
      <c r="P368" s="5" t="str">
        <f ca="1">IFERROR(__xludf.DUMMYFUNCTION("""COMPUTED_VALUE"""),"(818) 401-8719")</f>
        <v>(818) 401-8719</v>
      </c>
      <c r="Q368" s="5"/>
      <c r="R368" s="5"/>
      <c r="S368" s="5"/>
      <c r="T368" s="5"/>
    </row>
    <row r="369" spans="1:20" ht="12.75">
      <c r="A369" s="24">
        <f ca="1">IFERROR(__xludf.DUMMYFUNCTION("""COMPUTED_VALUE"""),45669.928553993)</f>
        <v>45669.928553992999</v>
      </c>
      <c r="B369" s="5" t="str">
        <f ca="1">IFERROR(__xludf.DUMMYFUNCTION("""COMPUTED_VALUE"""),"1533 Marlay Dr")</f>
        <v>1533 Marlay Dr</v>
      </c>
      <c r="C369" s="5" t="str">
        <f ca="1">IFERROR(__xludf.DUMMYFUNCTION("""COMPUTED_VALUE"""),"West Hollywood")</f>
        <v>West Hollywood</v>
      </c>
      <c r="D369" s="5" t="str">
        <f ca="1">IFERROR(__xludf.DUMMYFUNCTION("""COMPUTED_VALUE"""),"CA")</f>
        <v>CA</v>
      </c>
      <c r="E369" s="5">
        <f ca="1">IFERROR(__xludf.DUMMYFUNCTION("""COMPUTED_VALUE"""),90069)</f>
        <v>90069</v>
      </c>
      <c r="F369" s="19">
        <f ca="1">IFERROR(__xludf.DUMMYFUNCTION("""COMPUTED_VALUE"""),26000)</f>
        <v>26000</v>
      </c>
      <c r="G369" s="19">
        <f ca="1">IFERROR(__xludf.DUMMYFUNCTION("""COMPUTED_VALUE"""),30000)</f>
        <v>30000</v>
      </c>
      <c r="H369" s="18">
        <f ca="1">IFERROR(__xludf.DUMMYFUNCTION("""COMPUTED_VALUE"""),45666)</f>
        <v>45666</v>
      </c>
      <c r="I369" s="5" t="str">
        <f ca="1">IFERROR(__xludf.DUMMYFUNCTION("""COMPUTED_VALUE"""),"Zillow")</f>
        <v>Zillow</v>
      </c>
      <c r="J369" s="25" t="str">
        <f ca="1">IFERROR(__xludf.DUMMYFUNCTION("""COMPUTED_VALUE"""),"https://www.zillow.com/homedetails/1533-Marlay-Dr-West-Hollywood-CA-90069/20798034_zpid/")</f>
        <v>https://www.zillow.com/homedetails/1533-Marlay-Dr-West-Hollywood-CA-90069/20798034_zpid/</v>
      </c>
      <c r="K369" s="5" t="str">
        <f ca="1">IFERROR(__xludf.DUMMYFUNCTION("""COMPUTED_VALUE"""),"Tracy Tutor, Compass Management company")</f>
        <v>Tracy Tutor, Compass Management company</v>
      </c>
      <c r="L369" s="5"/>
      <c r="M369" s="5" t="str">
        <f ca="1">IFERROR(__xludf.DUMMYFUNCTION("""COMPUTED_VALUE"""),"Rental price was lowered from $29k in 11/24 to $26k on 12/24/24; price raised 15.4% to $30k on 1/9/25")</f>
        <v>Rental price was lowered from $29k in 11/24 to $26k on 12/24/24; price raised 15.4% to $30k on 1/9/25</v>
      </c>
      <c r="N369" s="5" t="str">
        <f ca="1">IFERROR(__xludf.DUMMYFUNCTION("""COMPUTED_VALUE"""),"https://drive.google.com/open?id=1hio2YLj_ehRbWzvn3hYt0Ypg3lGQ73JM, https://drive.google.com/open?id=1G6cwP-uTtk5uH1PF7f6IE13rJGhCwEFt")</f>
        <v>https://drive.google.com/open?id=1hio2YLj_ehRbWzvn3hYt0Ypg3lGQ73JM, https://drive.google.com/open?id=1G6cwP-uTtk5uH1PF7f6IE13rJGhCwEFt</v>
      </c>
      <c r="O369" s="5" t="str">
        <f ca="1">IFERROR(__xludf.DUMMYFUNCTION("""COMPUTED_VALUE"""),"NA")</f>
        <v>NA</v>
      </c>
      <c r="P369" s="5" t="str">
        <f ca="1">IFERROR(__xludf.DUMMYFUNCTION("""COMPUTED_VALUE"""),"(310) 464-2321")</f>
        <v>(310) 464-2321</v>
      </c>
      <c r="Q369" s="5"/>
      <c r="R369" s="5"/>
      <c r="S369" s="5"/>
      <c r="T369" s="5"/>
    </row>
    <row r="370" spans="1:20" ht="12.75">
      <c r="A370" s="24">
        <f ca="1">IFERROR(__xludf.DUMMYFUNCTION("""COMPUTED_VALUE"""),45669.9299152314)</f>
        <v>45669.929915231398</v>
      </c>
      <c r="B370" s="5" t="str">
        <f ca="1">IFERROR(__xludf.DUMMYFUNCTION("""COMPUTED_VALUE"""),"274 S La Fayette Park Pl #2B-2BA")</f>
        <v>274 S La Fayette Park Pl #2B-2BA</v>
      </c>
      <c r="C370" s="5" t="str">
        <f ca="1">IFERROR(__xludf.DUMMYFUNCTION("""COMPUTED_VALUE"""),"los angeles")</f>
        <v>los angeles</v>
      </c>
      <c r="D370" s="5" t="str">
        <f ca="1">IFERROR(__xludf.DUMMYFUNCTION("""COMPUTED_VALUE"""),"CA")</f>
        <v>CA</v>
      </c>
      <c r="E370" s="5">
        <f ca="1">IFERROR(__xludf.DUMMYFUNCTION("""COMPUTED_VALUE"""),90057)</f>
        <v>90057</v>
      </c>
      <c r="F370" s="19">
        <f ca="1">IFERROR(__xludf.DUMMYFUNCTION("""COMPUTED_VALUE"""),2395)</f>
        <v>2395</v>
      </c>
      <c r="G370" s="19">
        <f ca="1">IFERROR(__xludf.DUMMYFUNCTION("""COMPUTED_VALUE"""),3295)</f>
        <v>3295</v>
      </c>
      <c r="H370" s="18">
        <f ca="1">IFERROR(__xludf.DUMMYFUNCTION("""COMPUTED_VALUE"""),45666)</f>
        <v>45666</v>
      </c>
      <c r="I370" s="5" t="str">
        <f ca="1">IFERROR(__xludf.DUMMYFUNCTION("""COMPUTED_VALUE"""),"Zillow")</f>
        <v>Zillow</v>
      </c>
      <c r="J370" s="25" t="str">
        <f ca="1">IFERROR(__xludf.DUMMYFUNCTION("""COMPUTED_VALUE"""),"https://www.zillow.com/homedetails/274-S-La-Fayette-Park-Pl-2B-2BA-Los-Angeles-CA-90057/441951840_zpid/")</f>
        <v>https://www.zillow.com/homedetails/274-S-La-Fayette-Park-Pl-2B-2BA-Los-Angeles-CA-90057/441951840_zpid/</v>
      </c>
      <c r="K370" s="5" t="str">
        <f ca="1">IFERROR(__xludf.DUMMYFUNCTION("""COMPUTED_VALUE"""),"they put in the name as ""leasing agent""")</f>
        <v>they put in the name as "leasing agent"</v>
      </c>
      <c r="L370" s="5" t="str">
        <f ca="1">IFERROR(__xludf.DUMMYFUNCTION("""COMPUTED_VALUE"""),"they put in the name as ""management company""")</f>
        <v>they put in the name as "management company"</v>
      </c>
      <c r="M370" s="5" t="str">
        <f ca="1">IFERROR(__xludf.DUMMYFUNCTION("""COMPUTED_VALUE"""),"no one wanted their shitty apartment for 83 days and they suddenly decided to hike the price by 37% in the middle of a wildfire")</f>
        <v>no one wanted their shitty apartment for 83 days and they suddenly decided to hike the price by 37% in the middle of a wildfire</v>
      </c>
      <c r="N370" s="26" t="str">
        <f ca="1">IFERROR(__xludf.DUMMYFUNCTION("""COMPUTED_VALUE"""),"https://drive.google.com/open?id=15wCIyPX90Q_ljgJCQnCozUgX6tBAVUgZ")</f>
        <v>https://drive.google.com/open?id=15wCIyPX90Q_ljgJCQnCozUgX6tBAVUgZ</v>
      </c>
      <c r="O370" s="5" t="str">
        <f ca="1">IFERROR(__xludf.DUMMYFUNCTION("""COMPUTED_VALUE"""),"na")</f>
        <v>na</v>
      </c>
      <c r="P370" s="5" t="str">
        <f ca="1">IFERROR(__xludf.DUMMYFUNCTION("""COMPUTED_VALUE"""),"(213) 674-2973")</f>
        <v>(213) 674-2973</v>
      </c>
      <c r="Q370" s="5"/>
      <c r="R370" s="5"/>
      <c r="S370" s="5"/>
      <c r="T370" s="5"/>
    </row>
    <row r="371" spans="1:20" ht="12.75">
      <c r="A371" s="24">
        <f ca="1">IFERROR(__xludf.DUMMYFUNCTION("""COMPUTED_VALUE"""),45669.9299530092)</f>
        <v>45669.929953009203</v>
      </c>
      <c r="B371" s="5" t="str">
        <f ca="1">IFERROR(__xludf.DUMMYFUNCTION("""COMPUTED_VALUE"""),"823 S Sierra Bonita Ave")</f>
        <v>823 S Sierra Bonita Ave</v>
      </c>
      <c r="C371" s="5" t="str">
        <f ca="1">IFERROR(__xludf.DUMMYFUNCTION("""COMPUTED_VALUE"""),"Los Angeles ")</f>
        <v xml:space="preserve">Los Angeles </v>
      </c>
      <c r="D371" s="5" t="str">
        <f ca="1">IFERROR(__xludf.DUMMYFUNCTION("""COMPUTED_VALUE"""),"CA")</f>
        <v>CA</v>
      </c>
      <c r="E371" s="5">
        <f ca="1">IFERROR(__xludf.DUMMYFUNCTION("""COMPUTED_VALUE"""),90036)</f>
        <v>90036</v>
      </c>
      <c r="F371" s="19">
        <f ca="1">IFERROR(__xludf.DUMMYFUNCTION("""COMPUTED_VALUE"""),17995)</f>
        <v>17995</v>
      </c>
      <c r="G371" s="19">
        <f ca="1">IFERROR(__xludf.DUMMYFUNCTION("""COMPUTED_VALUE"""),19950)</f>
        <v>19950</v>
      </c>
      <c r="H371" s="18">
        <f ca="1">IFERROR(__xludf.DUMMYFUNCTION("""COMPUTED_VALUE"""),45667)</f>
        <v>45667</v>
      </c>
      <c r="I371" s="5" t="str">
        <f ca="1">IFERROR(__xludf.DUMMYFUNCTION("""COMPUTED_VALUE"""),"Zillow")</f>
        <v>Zillow</v>
      </c>
      <c r="J371" s="25" t="str">
        <f ca="1">IFERROR(__xludf.DUMMYFUNCTION("""COMPUTED_VALUE"""),"https://www.zillow.com/homedetails/823-S-Sierra-Bonita-Ave-Los-Angeles-CA-90036/20610339_zpid/")</f>
        <v>https://www.zillow.com/homedetails/823-S-Sierra-Bonita-Ave-Los-Angeles-CA-90036/20610339_zpid/</v>
      </c>
      <c r="K371" s="5" t="str">
        <f ca="1">IFERROR(__xludf.DUMMYFUNCTION("""COMPUTED_VALUE"""),"Bryan Danna - The Collective Realty")</f>
        <v>Bryan Danna - The Collective Realty</v>
      </c>
      <c r="L371" s="5"/>
      <c r="M371" s="5" t="str">
        <f ca="1">IFERROR(__xludf.DUMMYFUNCTION("""COMPUTED_VALUE"""),"Listed for rent on 11/4/24 for $17,995 + price increased after the fires on 1/10/25 by 10.9%.")</f>
        <v>Listed for rent on 11/4/24 for $17,995 + price increased after the fires on 1/10/25 by 10.9%.</v>
      </c>
      <c r="N371" s="26" t="str">
        <f ca="1">IFERROR(__xludf.DUMMYFUNCTION("""COMPUTED_VALUE"""),"https://drive.google.com/open?id=1YbXlIdZhUx4xqD6o84CZBoCuF8D0ZUh_")</f>
        <v>https://drive.google.com/open?id=1YbXlIdZhUx4xqD6o84CZBoCuF8D0ZUh_</v>
      </c>
      <c r="O371" s="5">
        <f ca="1">IFERROR(__xludf.DUMMYFUNCTION("""COMPUTED_VALUE"""),5089016026)</f>
        <v>5089016026</v>
      </c>
      <c r="P371" s="5"/>
      <c r="Q371" s="5"/>
      <c r="R371" s="5"/>
      <c r="S371" s="5"/>
      <c r="T371" s="5"/>
    </row>
    <row r="372" spans="1:20" ht="12.75">
      <c r="A372" s="24">
        <f ca="1">IFERROR(__xludf.DUMMYFUNCTION("""COMPUTED_VALUE"""),45669.9306891319)</f>
        <v>45669.930689131899</v>
      </c>
      <c r="B372" s="5" t="str">
        <f ca="1">IFERROR(__xludf.DUMMYFUNCTION("""COMPUTED_VALUE"""),"20 28th Ave APT C")</f>
        <v>20 28th Ave APT C</v>
      </c>
      <c r="C372" s="5" t="str">
        <f ca="1">IFERROR(__xludf.DUMMYFUNCTION("""COMPUTED_VALUE"""),"Venice")</f>
        <v>Venice</v>
      </c>
      <c r="D372" s="5" t="str">
        <f ca="1">IFERROR(__xludf.DUMMYFUNCTION("""COMPUTED_VALUE"""),"CA")</f>
        <v>CA</v>
      </c>
      <c r="E372" s="5">
        <f ca="1">IFERROR(__xludf.DUMMYFUNCTION("""COMPUTED_VALUE"""),90291)</f>
        <v>90291</v>
      </c>
      <c r="F372" s="19">
        <f ca="1">IFERROR(__xludf.DUMMYFUNCTION("""COMPUTED_VALUE"""),3500)</f>
        <v>3500</v>
      </c>
      <c r="G372" s="19">
        <f ca="1">IFERROR(__xludf.DUMMYFUNCTION("""COMPUTED_VALUE"""),4000)</f>
        <v>4000</v>
      </c>
      <c r="H372" s="18">
        <f ca="1">IFERROR(__xludf.DUMMYFUNCTION("""COMPUTED_VALUE"""),45666)</f>
        <v>45666</v>
      </c>
      <c r="I372" s="5" t="str">
        <f ca="1">IFERROR(__xludf.DUMMYFUNCTION("""COMPUTED_VALUE"""),"Zillow")</f>
        <v>Zillow</v>
      </c>
      <c r="J372" s="25" t="str">
        <f ca="1">IFERROR(__xludf.DUMMYFUNCTION("""COMPUTED_VALUE"""),"https://www.zillow.com/homedetails/20-28th-Ave-APT-C-Venice-CA-90291/2092186923_zpid/")</f>
        <v>https://www.zillow.com/homedetails/20-28th-Ave-APT-C-Venice-CA-90291/2092186923_zpid/</v>
      </c>
      <c r="K372" s="5" t="str">
        <f ca="1">IFERROR(__xludf.DUMMYFUNCTION("""COMPUTED_VALUE"""),"Eli Mashiach MGB Realty Group")</f>
        <v>Eli Mashiach MGB Realty Group</v>
      </c>
      <c r="L372" s="5"/>
      <c r="M372" s="5"/>
      <c r="N372" s="26" t="str">
        <f ca="1">IFERROR(__xludf.DUMMYFUNCTION("""COMPUTED_VALUE"""),"https://drive.google.com/open?id=1o298dz6zoghusGjUOzrAdxbcFtkJrOQX")</f>
        <v>https://drive.google.com/open?id=1o298dz6zoghusGjUOzrAdxbcFtkJrOQX</v>
      </c>
      <c r="O372" s="5" t="str">
        <f ca="1">IFERROR(__xludf.DUMMYFUNCTION("""COMPUTED_VALUE"""),"NA")</f>
        <v>NA</v>
      </c>
      <c r="P372" s="5" t="str">
        <f ca="1">IFERROR(__xludf.DUMMYFUNCTION("""COMPUTED_VALUE"""),"(818) 850-2757")</f>
        <v>(818) 850-2757</v>
      </c>
      <c r="Q372" s="5"/>
      <c r="R372" s="5"/>
      <c r="S372" s="5"/>
      <c r="T372" s="5"/>
    </row>
    <row r="373" spans="1:20" ht="12.75">
      <c r="A373" s="24">
        <f ca="1">IFERROR(__xludf.DUMMYFUNCTION("""COMPUTED_VALUE"""),45669.9309144213)</f>
        <v>45669.930914421297</v>
      </c>
      <c r="B373" s="5" t="str">
        <f ca="1">IFERROR(__xludf.DUMMYFUNCTION("""COMPUTED_VALUE"""),"8401 Remmet Ave")</f>
        <v>8401 Remmet Ave</v>
      </c>
      <c r="C373" s="5" t="str">
        <f ca="1">IFERROR(__xludf.DUMMYFUNCTION("""COMPUTED_VALUE"""),"Canoga Park")</f>
        <v>Canoga Park</v>
      </c>
      <c r="D373" s="5" t="str">
        <f ca="1">IFERROR(__xludf.DUMMYFUNCTION("""COMPUTED_VALUE"""),"CA")</f>
        <v>CA</v>
      </c>
      <c r="E373" s="5">
        <f ca="1">IFERROR(__xludf.DUMMYFUNCTION("""COMPUTED_VALUE"""),91304)</f>
        <v>91304</v>
      </c>
      <c r="F373" s="19">
        <f ca="1">IFERROR(__xludf.DUMMYFUNCTION("""COMPUTED_VALUE"""),5500)</f>
        <v>5500</v>
      </c>
      <c r="G373" s="19">
        <f ca="1">IFERROR(__xludf.DUMMYFUNCTION("""COMPUTED_VALUE"""),7000)</f>
        <v>7000</v>
      </c>
      <c r="H373" s="18">
        <f ca="1">IFERROR(__xludf.DUMMYFUNCTION("""COMPUTED_VALUE"""),45669)</f>
        <v>45669</v>
      </c>
      <c r="I373" s="5" t="str">
        <f ca="1">IFERROR(__xludf.DUMMYFUNCTION("""COMPUTED_VALUE"""),"Zillow")</f>
        <v>Zillow</v>
      </c>
      <c r="J373" s="25" t="str">
        <f ca="1">IFERROR(__xludf.DUMMYFUNCTION("""COMPUTED_VALUE"""),"https://www.zillow.com/homedetails/8401-Remmet-Ave-Canoga-Park-CA-91304/20179428_zpid/")</f>
        <v>https://www.zillow.com/homedetails/8401-Remmet-Ave-Canoga-Park-CA-91304/20179428_zpid/</v>
      </c>
      <c r="K373" s="5"/>
      <c r="L373" s="5" t="str">
        <f ca="1">IFERROR(__xludf.DUMMYFUNCTION("""COMPUTED_VALUE"""),"Ronit Malamud")</f>
        <v>Ronit Malamud</v>
      </c>
      <c r="M373" s="5"/>
      <c r="N373" s="5" t="str">
        <f ca="1">IFERROR(__xludf.DUMMYFUNCTION("""COMPUTED_VALUE"""),"https://drive.google.com/open?id=1P-3SMENkjAvD6dH6NXxOO9D0UqLAzSt1, https://drive.google.com/open?id=1zFZf4dvH9xrjy-ddf6ZkRDmv5wDK9zKd")</f>
        <v>https://drive.google.com/open?id=1P-3SMENkjAvD6dH6NXxOO9D0UqLAzSt1, https://drive.google.com/open?id=1zFZf4dvH9xrjy-ddf6ZkRDmv5wDK9zKd</v>
      </c>
      <c r="O373" s="5">
        <f ca="1">IFERROR(__xludf.DUMMYFUNCTION("""COMPUTED_VALUE"""),2779034003)</f>
        <v>2779034003</v>
      </c>
      <c r="P373" s="5"/>
      <c r="Q373" s="5"/>
      <c r="R373" s="5" t="str">
        <f ca="1">IFERROR(__xludf.DUMMYFUNCTION("""COMPUTED_VALUE"""),"(213) 722-3944")</f>
        <v>(213) 722-3944</v>
      </c>
      <c r="S373" s="5"/>
      <c r="T373" s="5"/>
    </row>
    <row r="374" spans="1:20" ht="12.75">
      <c r="A374" s="24">
        <f ca="1">IFERROR(__xludf.DUMMYFUNCTION("""COMPUTED_VALUE"""),45669.9324942361)</f>
        <v>45669.932494236098</v>
      </c>
      <c r="B374" s="5" t="str">
        <f ca="1">IFERROR(__xludf.DUMMYFUNCTION("""COMPUTED_VALUE"""),"7901 Limerick Ave #1")</f>
        <v>7901 Limerick Ave #1</v>
      </c>
      <c r="C374" s="5" t="str">
        <f ca="1">IFERROR(__xludf.DUMMYFUNCTION("""COMPUTED_VALUE"""),"Winnetka")</f>
        <v>Winnetka</v>
      </c>
      <c r="D374" s="5" t="str">
        <f ca="1">IFERROR(__xludf.DUMMYFUNCTION("""COMPUTED_VALUE"""),"CA")</f>
        <v>CA</v>
      </c>
      <c r="E374" s="5">
        <f ca="1">IFERROR(__xludf.DUMMYFUNCTION("""COMPUTED_VALUE"""),91306)</f>
        <v>91306</v>
      </c>
      <c r="F374" s="19">
        <f ca="1">IFERROR(__xludf.DUMMYFUNCTION("""COMPUTED_VALUE"""),5500)</f>
        <v>5500</v>
      </c>
      <c r="G374" s="19">
        <f ca="1">IFERROR(__xludf.DUMMYFUNCTION("""COMPUTED_VALUE"""),7500)</f>
        <v>7500</v>
      </c>
      <c r="H374" s="18">
        <f ca="1">IFERROR(__xludf.DUMMYFUNCTION("""COMPUTED_VALUE"""),45669)</f>
        <v>45669</v>
      </c>
      <c r="I374" s="5" t="str">
        <f ca="1">IFERROR(__xludf.DUMMYFUNCTION("""COMPUTED_VALUE"""),"Zillow")</f>
        <v>Zillow</v>
      </c>
      <c r="J374" s="25" t="str">
        <f ca="1">IFERROR(__xludf.DUMMYFUNCTION("""COMPUTED_VALUE"""),"https://www.zillow.com/homedetails/7901-Limerick-Ave-1-Winnetka-CA-91306/2054214691_zpid/")</f>
        <v>https://www.zillow.com/homedetails/7901-Limerick-Ave-1-Winnetka-CA-91306/2054214691_zpid/</v>
      </c>
      <c r="K374" s="5"/>
      <c r="L374" s="5" t="str">
        <f ca="1">IFERROR(__xludf.DUMMYFUNCTION("""COMPUTED_VALUE"""),"David")</f>
        <v>David</v>
      </c>
      <c r="M374" s="5"/>
      <c r="N374" s="5" t="str">
        <f ca="1">IFERROR(__xludf.DUMMYFUNCTION("""COMPUTED_VALUE"""),"https://drive.google.com/open?id=1gIHqDwN00dLrLUuXP46XYfB-jNtw8gFi, https://drive.google.com/open?id=1UKCMpPnkYayTBIR1yquWMc-gBM0GJpTP")</f>
        <v>https://drive.google.com/open?id=1gIHqDwN00dLrLUuXP46XYfB-jNtw8gFi, https://drive.google.com/open?id=1UKCMpPnkYayTBIR1yquWMc-gBM0GJpTP</v>
      </c>
      <c r="O374" s="5" t="str">
        <f ca="1">IFERROR(__xludf.DUMMYFUNCTION("""COMPUTED_VALUE"""),"NA")</f>
        <v>NA</v>
      </c>
      <c r="P374" s="5"/>
      <c r="Q374" s="5"/>
      <c r="R374" s="5" t="str">
        <f ca="1">IFERROR(__xludf.DUMMYFUNCTION("""COMPUTED_VALUE"""),"(805) 568-8470")</f>
        <v>(805) 568-8470</v>
      </c>
      <c r="S374" s="5"/>
      <c r="T374" s="5"/>
    </row>
    <row r="375" spans="1:20" ht="12.75">
      <c r="A375" s="24">
        <f ca="1">IFERROR(__xludf.DUMMYFUNCTION("""COMPUTED_VALUE"""),45669.9325967592)</f>
        <v>45669.932596759201</v>
      </c>
      <c r="B375" s="5" t="str">
        <f ca="1">IFERROR(__xludf.DUMMYFUNCTION("""COMPUTED_VALUE"""),"17808 Sherman Way APT 127")</f>
        <v>17808 Sherman Way APT 127</v>
      </c>
      <c r="C375" s="5" t="str">
        <f ca="1">IFERROR(__xludf.DUMMYFUNCTION("""COMPUTED_VALUE"""),"Reseda")</f>
        <v>Reseda</v>
      </c>
      <c r="D375" s="5" t="str">
        <f ca="1">IFERROR(__xludf.DUMMYFUNCTION("""COMPUTED_VALUE"""),"CA")</f>
        <v>CA</v>
      </c>
      <c r="E375" s="5">
        <f ca="1">IFERROR(__xludf.DUMMYFUNCTION("""COMPUTED_VALUE"""),91335)</f>
        <v>91335</v>
      </c>
      <c r="F375" s="19">
        <f ca="1">IFERROR(__xludf.DUMMYFUNCTION("""COMPUTED_VALUE"""),1675)</f>
        <v>1675</v>
      </c>
      <c r="G375" s="19">
        <f ca="1">IFERROR(__xludf.DUMMYFUNCTION("""COMPUTED_VALUE"""),2078)</f>
        <v>2078</v>
      </c>
      <c r="H375" s="18">
        <f ca="1">IFERROR(__xludf.DUMMYFUNCTION("""COMPUTED_VALUE"""),45669)</f>
        <v>45669</v>
      </c>
      <c r="I375" s="5" t="str">
        <f ca="1">IFERROR(__xludf.DUMMYFUNCTION("""COMPUTED_VALUE"""),"Zillow")</f>
        <v>Zillow</v>
      </c>
      <c r="J375" s="25" t="str">
        <f ca="1">IFERROR(__xludf.DUMMYFUNCTION("""COMPUTED_VALUE"""),"https://www.zillow.com/homedetails/17808-Sherman-Way-APT-127-Reseda-CA-91335/2061798789_zpid/")</f>
        <v>https://www.zillow.com/homedetails/17808-Sherman-Way-APT-127-Reseda-CA-91335/2061798789_zpid/</v>
      </c>
      <c r="K375" s="5" t="str">
        <f ca="1">IFERROR(__xludf.DUMMYFUNCTION("""COMPUTED_VALUE"""),"Shapell Properties")</f>
        <v>Shapell Properties</v>
      </c>
      <c r="L375" s="5"/>
      <c r="M375" s="5" t="str">
        <f ca="1">IFERROR(__xludf.DUMMYFUNCTION("""COMPUTED_VALUE"""),"this one actually feels like a particularly strong case because they listed it on 1/5 for the initial price, then the fires started, and then on 1/12 they hiked it by 24%")</f>
        <v>this one actually feels like a particularly strong case because they listed it on 1/5 for the initial price, then the fires started, and then on 1/12 they hiked it by 24%</v>
      </c>
      <c r="N375" s="26" t="str">
        <f ca="1">IFERROR(__xludf.DUMMYFUNCTION("""COMPUTED_VALUE"""),"https://drive.google.com/open?id=1y1wVtoLvl0ufZ__cKjeBwrPafVlwTKp8")</f>
        <v>https://drive.google.com/open?id=1y1wVtoLvl0ufZ__cKjeBwrPafVlwTKp8</v>
      </c>
      <c r="O375" s="5" t="str">
        <f ca="1">IFERROR(__xludf.DUMMYFUNCTION("""COMPUTED_VALUE"""),"na")</f>
        <v>na</v>
      </c>
      <c r="P375" s="5" t="str">
        <f ca="1">IFERROR(__xludf.DUMMYFUNCTION("""COMPUTED_VALUE"""),"(213) 510-1426")</f>
        <v>(213) 510-1426</v>
      </c>
      <c r="Q375" s="5"/>
      <c r="R375" s="5"/>
      <c r="S375" s="5"/>
      <c r="T375" s="5"/>
    </row>
    <row r="376" spans="1:20" ht="12.75">
      <c r="A376" s="24">
        <f ca="1">IFERROR(__xludf.DUMMYFUNCTION("""COMPUTED_VALUE"""),45669.9336815277)</f>
        <v>45669.933681527698</v>
      </c>
      <c r="B376" s="5" t="str">
        <f ca="1">IFERROR(__xludf.DUMMYFUNCTION("""COMPUTED_VALUE"""),"1636 N Occidental Blvd")</f>
        <v>1636 N Occidental Blvd</v>
      </c>
      <c r="C376" s="5" t="str">
        <f ca="1">IFERROR(__xludf.DUMMYFUNCTION("""COMPUTED_VALUE"""),"Los Angeles")</f>
        <v>Los Angeles</v>
      </c>
      <c r="D376" s="5" t="str">
        <f ca="1">IFERROR(__xludf.DUMMYFUNCTION("""COMPUTED_VALUE"""),"CA")</f>
        <v>CA</v>
      </c>
      <c r="E376" s="5">
        <f ca="1">IFERROR(__xludf.DUMMYFUNCTION("""COMPUTED_VALUE"""),90026)</f>
        <v>90026</v>
      </c>
      <c r="F376" s="19">
        <f ca="1">IFERROR(__xludf.DUMMYFUNCTION("""COMPUTED_VALUE"""),3500)</f>
        <v>3500</v>
      </c>
      <c r="G376" s="19">
        <f ca="1">IFERROR(__xludf.DUMMYFUNCTION("""COMPUTED_VALUE"""),4500)</f>
        <v>4500</v>
      </c>
      <c r="H376" s="18">
        <f ca="1">IFERROR(__xludf.DUMMYFUNCTION("""COMPUTED_VALUE"""),45668)</f>
        <v>45668</v>
      </c>
      <c r="I376" s="5" t="str">
        <f ca="1">IFERROR(__xludf.DUMMYFUNCTION("""COMPUTED_VALUE"""),"Zillow")</f>
        <v>Zillow</v>
      </c>
      <c r="J376" s="25" t="str">
        <f ca="1">IFERROR(__xludf.DUMMYFUNCTION("""COMPUTED_VALUE"""),"https://www.zillow.com/homedetails/1636-N-Occidental-Blvd-Los-Angeles-CA-90026/20743781_zpid/")</f>
        <v>https://www.zillow.com/homedetails/1636-N-Occidental-Blvd-Los-Angeles-CA-90026/20743781_zpid/</v>
      </c>
      <c r="K376" s="5" t="str">
        <f ca="1">IFERROR(__xludf.DUMMYFUNCTION("""COMPUTED_VALUE"""),"Amanda Lee")</f>
        <v>Amanda Lee</v>
      </c>
      <c r="L376" s="5"/>
      <c r="M376" s="5"/>
      <c r="N376" s="5" t="str">
        <f ca="1">IFERROR(__xludf.DUMMYFUNCTION("""COMPUTED_VALUE"""),"https://drive.google.com/open?id=1GKEYyRovOaJ3k2E8_daixmVEDtmeqjMI, https://drive.google.com/open?id=1Bv_GLiNs4yT3f3GMOxdh4XikHIZUMsLz, https://drive.google.com/open?id=1x5lqbXFEt5FMN1sQ9-m1pKDLOozwDKeZ")</f>
        <v>https://drive.google.com/open?id=1GKEYyRovOaJ3k2E8_daixmVEDtmeqjMI, https://drive.google.com/open?id=1Bv_GLiNs4yT3f3GMOxdh4XikHIZUMsLz, https://drive.google.com/open?id=1x5lqbXFEt5FMN1sQ9-m1pKDLOozwDKeZ</v>
      </c>
      <c r="O376" s="5">
        <f ca="1">IFERROR(__xludf.DUMMYFUNCTION("""COMPUTED_VALUE"""),5423021011)</f>
        <v>5423021011</v>
      </c>
      <c r="P376" s="5" t="str">
        <f ca="1">IFERROR(__xludf.DUMMYFUNCTION("""COMPUTED_VALUE"""),"(626) 375-0232")</f>
        <v>(626) 375-0232</v>
      </c>
      <c r="Q376" s="5"/>
      <c r="R376" s="5"/>
      <c r="S376" s="5"/>
      <c r="T376" s="5"/>
    </row>
    <row r="377" spans="1:20" ht="12.75">
      <c r="A377" s="24">
        <f ca="1">IFERROR(__xludf.DUMMYFUNCTION("""COMPUTED_VALUE"""),45669.9337778935)</f>
        <v>45669.933777893501</v>
      </c>
      <c r="B377" s="5" t="str">
        <f ca="1">IFERROR(__xludf.DUMMYFUNCTION("""COMPUTED_VALUE"""),"22809 Del Valle St APT 10")</f>
        <v>22809 Del Valle St APT 10</v>
      </c>
      <c r="C377" s="5" t="str">
        <f ca="1">IFERROR(__xludf.DUMMYFUNCTION("""COMPUTED_VALUE"""),"Woodland Hills")</f>
        <v>Woodland Hills</v>
      </c>
      <c r="D377" s="5" t="str">
        <f ca="1">IFERROR(__xludf.DUMMYFUNCTION("""COMPUTED_VALUE"""),"CA")</f>
        <v>CA</v>
      </c>
      <c r="E377" s="5">
        <f ca="1">IFERROR(__xludf.DUMMYFUNCTION("""COMPUTED_VALUE"""),91364)</f>
        <v>91364</v>
      </c>
      <c r="F377" s="19">
        <f ca="1">IFERROR(__xludf.DUMMYFUNCTION("""COMPUTED_VALUE"""),2800)</f>
        <v>2800</v>
      </c>
      <c r="G377" s="19">
        <f ca="1">IFERROR(__xludf.DUMMYFUNCTION("""COMPUTED_VALUE"""),3200)</f>
        <v>3200</v>
      </c>
      <c r="H377" s="18">
        <f ca="1">IFERROR(__xludf.DUMMYFUNCTION("""COMPUTED_VALUE"""),45665)</f>
        <v>45665</v>
      </c>
      <c r="I377" s="5" t="str">
        <f ca="1">IFERROR(__xludf.DUMMYFUNCTION("""COMPUTED_VALUE"""),"Zillow")</f>
        <v>Zillow</v>
      </c>
      <c r="J377" s="25" t="str">
        <f ca="1">IFERROR(__xludf.DUMMYFUNCTION("""COMPUTED_VALUE"""),"https://www.zillow.com/homedetails/22809-Del-Valle-St-APT-10-Woodland-Hills-CA-91364/89145149_zpid/")</f>
        <v>https://www.zillow.com/homedetails/22809-Del-Valle-St-APT-10-Woodland-Hills-CA-91364/89145149_zpid/</v>
      </c>
      <c r="K377" s="5" t="str">
        <f ca="1">IFERROR(__xludf.DUMMYFUNCTION("""COMPUTED_VALUE"""),"Adrian Padilla Landlord Property Management")</f>
        <v>Adrian Padilla Landlord Property Management</v>
      </c>
      <c r="L377" s="5"/>
      <c r="M377" s="5"/>
      <c r="N377" s="26" t="str">
        <f ca="1">IFERROR(__xludf.DUMMYFUNCTION("""COMPUTED_VALUE"""),"https://drive.google.com/open?id=1nxQ4tEQquVBiu4LCBFN7l-lH-Vo85qlZ")</f>
        <v>https://drive.google.com/open?id=1nxQ4tEQquVBiu4LCBFN7l-lH-Vo85qlZ</v>
      </c>
      <c r="O377" s="5">
        <f ca="1">IFERROR(__xludf.DUMMYFUNCTION("""COMPUTED_VALUE"""),2042005102)</f>
        <v>2042005102</v>
      </c>
      <c r="P377" s="5" t="str">
        <f ca="1">IFERROR(__xludf.DUMMYFUNCTION("""COMPUTED_VALUE"""),"(818) 275-2529")</f>
        <v>(818) 275-2529</v>
      </c>
      <c r="Q377" s="5"/>
      <c r="R377" s="5"/>
      <c r="S377" s="5"/>
      <c r="T377" s="5"/>
    </row>
    <row r="378" spans="1:20" ht="12.75">
      <c r="A378" s="24">
        <f ca="1">IFERROR(__xludf.DUMMYFUNCTION("""COMPUTED_VALUE"""),45669.9353631134)</f>
        <v>45669.9353631134</v>
      </c>
      <c r="B378" s="5" t="str">
        <f ca="1">IFERROR(__xludf.DUMMYFUNCTION("""COMPUTED_VALUE"""),"5535 Carlton Way #1B-1BA")</f>
        <v>5535 Carlton Way #1B-1BA</v>
      </c>
      <c r="C378" s="5" t="str">
        <f ca="1">IFERROR(__xludf.DUMMYFUNCTION("""COMPUTED_VALUE"""),"los angeles")</f>
        <v>los angeles</v>
      </c>
      <c r="D378" s="5" t="str">
        <f ca="1">IFERROR(__xludf.DUMMYFUNCTION("""COMPUTED_VALUE"""),"CA")</f>
        <v>CA</v>
      </c>
      <c r="E378" s="5">
        <f ca="1">IFERROR(__xludf.DUMMYFUNCTION("""COMPUTED_VALUE"""),90028)</f>
        <v>90028</v>
      </c>
      <c r="F378" s="19">
        <f ca="1">IFERROR(__xludf.DUMMYFUNCTION("""COMPUTED_VALUE"""),1850)</f>
        <v>1850</v>
      </c>
      <c r="G378" s="19">
        <f ca="1">IFERROR(__xludf.DUMMYFUNCTION("""COMPUTED_VALUE"""),2095)</f>
        <v>2095</v>
      </c>
      <c r="H378" s="18">
        <f ca="1">IFERROR(__xludf.DUMMYFUNCTION("""COMPUTED_VALUE"""),45667)</f>
        <v>45667</v>
      </c>
      <c r="I378" s="5" t="str">
        <f ca="1">IFERROR(__xludf.DUMMYFUNCTION("""COMPUTED_VALUE"""),"Zillow")</f>
        <v>Zillow</v>
      </c>
      <c r="J378" s="25" t="str">
        <f ca="1">IFERROR(__xludf.DUMMYFUNCTION("""COMPUTED_VALUE"""),"https://www.zillow.com/homedetails/5535-Carlton-Way-1B-1BA-Los-Angeles-CA-90028/443351112_zpid/")</f>
        <v>https://www.zillow.com/homedetails/5535-Carlton-Way-1B-1BA-Los-Angeles-CA-90028/443351112_zpid/</v>
      </c>
      <c r="K378" s="5" t="str">
        <f ca="1">IFERROR(__xludf.DUMMYFUNCTION("""COMPUTED_VALUE"""),"melissa")</f>
        <v>melissa</v>
      </c>
      <c r="L378" s="5"/>
      <c r="M378" s="5" t="str">
        <f ca="1">IFERROR(__xludf.DUMMYFUNCTION("""COMPUTED_VALUE"""),"it's been listed since early december with (relatively) little interest, suddenly price increased by 10.6%")</f>
        <v>it's been listed since early december with (relatively) little interest, suddenly price increased by 10.6%</v>
      </c>
      <c r="N378" s="26" t="str">
        <f ca="1">IFERROR(__xludf.DUMMYFUNCTION("""COMPUTED_VALUE"""),"https://drive.google.com/open?id=1UEvkwHSoV1xWMhiBpvmzjjni_wtQz5Dk")</f>
        <v>https://drive.google.com/open?id=1UEvkwHSoV1xWMhiBpvmzjjni_wtQz5Dk</v>
      </c>
      <c r="O378" s="5" t="str">
        <f ca="1">IFERROR(__xludf.DUMMYFUNCTION("""COMPUTED_VALUE"""),"na")</f>
        <v>na</v>
      </c>
      <c r="P378" s="5" t="str">
        <f ca="1">IFERROR(__xludf.DUMMYFUNCTION("""COMPUTED_VALUE"""),"(747) 836-3663")</f>
        <v>(747) 836-3663</v>
      </c>
      <c r="Q378" s="5"/>
      <c r="R378" s="5"/>
      <c r="S378" s="5"/>
      <c r="T378" s="5"/>
    </row>
    <row r="379" spans="1:20" ht="12.75">
      <c r="A379" s="24">
        <f ca="1">IFERROR(__xludf.DUMMYFUNCTION("""COMPUTED_VALUE"""),45669.9372490162)</f>
        <v>45669.937249016199</v>
      </c>
      <c r="B379" s="5" t="str">
        <f ca="1">IFERROR(__xludf.DUMMYFUNCTION("""COMPUTED_VALUE"""),"2369 Jupiter Dr")</f>
        <v>2369 Jupiter Dr</v>
      </c>
      <c r="C379" s="5" t="str">
        <f ca="1">IFERROR(__xludf.DUMMYFUNCTION("""COMPUTED_VALUE"""),"Los Angeles")</f>
        <v>Los Angeles</v>
      </c>
      <c r="D379" s="5" t="str">
        <f ca="1">IFERROR(__xludf.DUMMYFUNCTION("""COMPUTED_VALUE"""),"CA")</f>
        <v>CA</v>
      </c>
      <c r="E379" s="5">
        <f ca="1">IFERROR(__xludf.DUMMYFUNCTION("""COMPUTED_VALUE"""),90046)</f>
        <v>90046</v>
      </c>
      <c r="F379" s="19">
        <f ca="1">IFERROR(__xludf.DUMMYFUNCTION("""COMPUTED_VALUE"""),18500)</f>
        <v>18500</v>
      </c>
      <c r="G379" s="19">
        <f ca="1">IFERROR(__xludf.DUMMYFUNCTION("""COMPUTED_VALUE"""),23500)</f>
        <v>23500</v>
      </c>
      <c r="H379" s="18">
        <f ca="1">IFERROR(__xludf.DUMMYFUNCTION("""COMPUTED_VALUE"""),45669)</f>
        <v>45669</v>
      </c>
      <c r="I379" s="5" t="str">
        <f ca="1">IFERROR(__xludf.DUMMYFUNCTION("""COMPUTED_VALUE"""),"Zillow")</f>
        <v>Zillow</v>
      </c>
      <c r="J379" s="25" t="str">
        <f ca="1">IFERROR(__xludf.DUMMYFUNCTION("""COMPUTED_VALUE"""),"https://www.zillow.com/homedetails/2369-Jupiter-Dr-Los-Angeles-CA-90046/20801934_zpid/")</f>
        <v>https://www.zillow.com/homedetails/2369-Jupiter-Dr-Los-Angeles-CA-90046/20801934_zpid/</v>
      </c>
      <c r="K379" s="5" t="str">
        <f ca="1">IFERROR(__xludf.DUMMYFUNCTION("""COMPUTED_VALUE"""),"Patrick Michael  LA Estate Brokerage")</f>
        <v>Patrick Michael  LA Estate Brokerage</v>
      </c>
      <c r="L379" s="5"/>
      <c r="M379" s="5"/>
      <c r="N379" s="5" t="str">
        <f ca="1">IFERROR(__xludf.DUMMYFUNCTION("""COMPUTED_VALUE"""),"https://drive.google.com/open?id=1N7gBFcQU-861R7nh4kTOP9lopNitaPbT, https://drive.google.com/open?id=1S1QpKpkRf63jZlXkVTbOxKhFrQ0gxHV9")</f>
        <v>https://drive.google.com/open?id=1N7gBFcQU-861R7nh4kTOP9lopNitaPbT, https://drive.google.com/open?id=1S1QpKpkRf63jZlXkVTbOxKhFrQ0gxHV9</v>
      </c>
      <c r="O379" s="5">
        <f ca="1">IFERROR(__xludf.DUMMYFUNCTION("""COMPUTED_VALUE"""),5569008011)</f>
        <v>5569008011</v>
      </c>
      <c r="P379" s="5" t="str">
        <f ca="1">IFERROR(__xludf.DUMMYFUNCTION("""COMPUTED_VALUE"""),"(310) 776-5170")</f>
        <v>(310) 776-5170</v>
      </c>
      <c r="Q379" s="5"/>
      <c r="R379" s="5"/>
      <c r="S379" s="5"/>
      <c r="T379" s="5"/>
    </row>
    <row r="380" spans="1:20" ht="12.75">
      <c r="A380" s="24">
        <f ca="1">IFERROR(__xludf.DUMMYFUNCTION("""COMPUTED_VALUE"""),45669.9384633101)</f>
        <v>45669.9384633101</v>
      </c>
      <c r="B380" s="5" t="str">
        <f ca="1">IFERROR(__xludf.DUMMYFUNCTION("""COMPUTED_VALUE"""),"3055 Landa St")</f>
        <v>3055 Landa St</v>
      </c>
      <c r="C380" s="5" t="str">
        <f ca="1">IFERROR(__xludf.DUMMYFUNCTION("""COMPUTED_VALUE"""),"Los Angeles")</f>
        <v>Los Angeles</v>
      </c>
      <c r="D380" s="5" t="str">
        <f ca="1">IFERROR(__xludf.DUMMYFUNCTION("""COMPUTED_VALUE"""),"CA")</f>
        <v>CA</v>
      </c>
      <c r="E380" s="5">
        <f ca="1">IFERROR(__xludf.DUMMYFUNCTION("""COMPUTED_VALUE"""),90039)</f>
        <v>90039</v>
      </c>
      <c r="F380" s="19">
        <f ca="1">IFERROR(__xludf.DUMMYFUNCTION("""COMPUTED_VALUE"""),9000)</f>
        <v>9000</v>
      </c>
      <c r="G380" s="19">
        <f ca="1">IFERROR(__xludf.DUMMYFUNCTION("""COMPUTED_VALUE"""),12000)</f>
        <v>12000</v>
      </c>
      <c r="H380" s="18">
        <f ca="1">IFERROR(__xludf.DUMMYFUNCTION("""COMPUTED_VALUE"""),45668)</f>
        <v>45668</v>
      </c>
      <c r="I380" s="5" t="str">
        <f ca="1">IFERROR(__xludf.DUMMYFUNCTION("""COMPUTED_VALUE"""),"Zillow")</f>
        <v>Zillow</v>
      </c>
      <c r="J380" s="25" t="str">
        <f ca="1">IFERROR(__xludf.DUMMYFUNCTION("""COMPUTED_VALUE"""),"https://www.zillow.com/homedetails/3055-Landa-St-Los-Angeles-CA-90039/20747666_zpid/")</f>
        <v>https://www.zillow.com/homedetails/3055-Landa-St-Los-Angeles-CA-90039/20747666_zpid/</v>
      </c>
      <c r="K380" s="5" t="str">
        <f ca="1">IFERROR(__xludf.DUMMYFUNCTION("""COMPUTED_VALUE"""),"Edward Kay")</f>
        <v>Edward Kay</v>
      </c>
      <c r="L380" s="5"/>
      <c r="M380" s="5"/>
      <c r="N380" s="5" t="str">
        <f ca="1">IFERROR(__xludf.DUMMYFUNCTION("""COMPUTED_VALUE"""),"https://drive.google.com/open?id=18TsMYSylat7a-atB4R_6YF3J_yaNjR6c, https://drive.google.com/open?id=14gk2pRMLoCOUUHCK8fYBQsVlpNq11oQl, https://drive.google.com/open?id=1lI4YhdSfSg7R0rdfk7uuIZ_OHGyeyTAE")</f>
        <v>https://drive.google.com/open?id=18TsMYSylat7a-atB4R_6YF3J_yaNjR6c, https://drive.google.com/open?id=14gk2pRMLoCOUUHCK8fYBQsVlpNq11oQl, https://drive.google.com/open?id=1lI4YhdSfSg7R0rdfk7uuIZ_OHGyeyTAE</v>
      </c>
      <c r="O380" s="5">
        <f ca="1">IFERROR(__xludf.DUMMYFUNCTION("""COMPUTED_VALUE"""),5431021002)</f>
        <v>5431021002</v>
      </c>
      <c r="P380" s="5" t="str">
        <f ca="1">IFERROR(__xludf.DUMMYFUNCTION("""COMPUTED_VALUE"""),"(818) 401-8719")</f>
        <v>(818) 401-8719</v>
      </c>
      <c r="Q380" s="5"/>
      <c r="R380" s="5"/>
      <c r="S380" s="5"/>
      <c r="T380" s="5"/>
    </row>
    <row r="381" spans="1:20" ht="12.75">
      <c r="A381" s="24">
        <f ca="1">IFERROR(__xludf.DUMMYFUNCTION("""COMPUTED_VALUE"""),45669.93895603)</f>
        <v>45669.938956029997</v>
      </c>
      <c r="B381" s="5" t="str">
        <f ca="1">IFERROR(__xludf.DUMMYFUNCTION("""COMPUTED_VALUE"""),"2559 Hutton Dr")</f>
        <v>2559 Hutton Dr</v>
      </c>
      <c r="C381" s="5" t="str">
        <f ca="1">IFERROR(__xludf.DUMMYFUNCTION("""COMPUTED_VALUE"""),"Beverly Hills")</f>
        <v>Beverly Hills</v>
      </c>
      <c r="D381" s="5" t="str">
        <f ca="1">IFERROR(__xludf.DUMMYFUNCTION("""COMPUTED_VALUE"""),"CA")</f>
        <v>CA</v>
      </c>
      <c r="E381" s="5">
        <f ca="1">IFERROR(__xludf.DUMMYFUNCTION("""COMPUTED_VALUE"""),90210)</f>
        <v>90210</v>
      </c>
      <c r="F381" s="19">
        <f ca="1">IFERROR(__xludf.DUMMYFUNCTION("""COMPUTED_VALUE"""),7999)</f>
        <v>7999</v>
      </c>
      <c r="G381" s="19">
        <f ca="1">IFERROR(__xludf.DUMMYFUNCTION("""COMPUTED_VALUE"""),10500)</f>
        <v>10500</v>
      </c>
      <c r="H381" s="18">
        <f ca="1">IFERROR(__xludf.DUMMYFUNCTION("""COMPUTED_VALUE"""),45669)</f>
        <v>45669</v>
      </c>
      <c r="I381" s="5" t="str">
        <f ca="1">IFERROR(__xludf.DUMMYFUNCTION("""COMPUTED_VALUE"""),"Zillow")</f>
        <v>Zillow</v>
      </c>
      <c r="J381" s="25" t="str">
        <f ca="1">IFERROR(__xludf.DUMMYFUNCTION("""COMPUTED_VALUE"""),"https://www.zillow.com/homedetails/2559-Hutton-Dr-Beverly-Hills-CA-90210/20532078_zpid/")</f>
        <v>https://www.zillow.com/homedetails/2559-Hutton-Dr-Beverly-Hills-CA-90210/20532078_zpid/</v>
      </c>
      <c r="K381" s="5" t="str">
        <f ca="1">IFERROR(__xludf.DUMMYFUNCTION("""COMPUTED_VALUE"""),"Roger Perry  Rodeo Realty Inc. - Beverly Hills  Management company")</f>
        <v>Roger Perry  Rodeo Realty Inc. - Beverly Hills  Management company</v>
      </c>
      <c r="L381" s="5"/>
      <c r="M381" s="5"/>
      <c r="N381" s="5" t="str">
        <f ca="1">IFERROR(__xludf.DUMMYFUNCTION("""COMPUTED_VALUE"""),"https://drive.google.com/open?id=1v60Na77aZaq6a8kICYesUHFgtkGng7qU, https://drive.google.com/open?id=1rj_ZDVVXi3nK3AjOa4g_n_JoFB6IdcBP")</f>
        <v>https://drive.google.com/open?id=1v60Na77aZaq6a8kICYesUHFgtkGng7qU, https://drive.google.com/open?id=1rj_ZDVVXi3nK3AjOa4g_n_JoFB6IdcBP</v>
      </c>
      <c r="O381" s="5">
        <f ca="1">IFERROR(__xludf.DUMMYFUNCTION("""COMPUTED_VALUE"""),4382011014)</f>
        <v>4382011014</v>
      </c>
      <c r="P381" s="5" t="str">
        <f ca="1">IFERROR(__xludf.DUMMYFUNCTION("""COMPUTED_VALUE"""),"(310) 740-4029")</f>
        <v>(310) 740-4029</v>
      </c>
      <c r="Q381" s="5"/>
      <c r="R381" s="5"/>
      <c r="S381" s="5"/>
      <c r="T381" s="5"/>
    </row>
    <row r="382" spans="1:20" ht="12.75">
      <c r="A382" s="24">
        <f ca="1">IFERROR(__xludf.DUMMYFUNCTION("""COMPUTED_VALUE"""),45669.940658206)</f>
        <v>45669.940658205996</v>
      </c>
      <c r="B382" s="5" t="str">
        <f ca="1">IFERROR(__xludf.DUMMYFUNCTION("""COMPUTED_VALUE"""),"4418 S Slauson Ave #402")</f>
        <v>4418 S Slauson Ave #402</v>
      </c>
      <c r="C382" s="5" t="str">
        <f ca="1">IFERROR(__xludf.DUMMYFUNCTION("""COMPUTED_VALUE"""),"Culver City")</f>
        <v>Culver City</v>
      </c>
      <c r="D382" s="5" t="str">
        <f ca="1">IFERROR(__xludf.DUMMYFUNCTION("""COMPUTED_VALUE"""),"CA")</f>
        <v>CA</v>
      </c>
      <c r="E382" s="5">
        <f ca="1">IFERROR(__xludf.DUMMYFUNCTION("""COMPUTED_VALUE"""),90230)</f>
        <v>90230</v>
      </c>
      <c r="F382" s="19">
        <f ca="1">IFERROR(__xludf.DUMMYFUNCTION("""COMPUTED_VALUE"""),4350)</f>
        <v>4350</v>
      </c>
      <c r="G382" s="19">
        <f ca="1">IFERROR(__xludf.DUMMYFUNCTION("""COMPUTED_VALUE"""),4950)</f>
        <v>4950</v>
      </c>
      <c r="H382" s="18">
        <f ca="1">IFERROR(__xludf.DUMMYFUNCTION("""COMPUTED_VALUE"""),45669)</f>
        <v>45669</v>
      </c>
      <c r="I382" s="5" t="str">
        <f ca="1">IFERROR(__xludf.DUMMYFUNCTION("""COMPUTED_VALUE"""),"Zillow")</f>
        <v>Zillow</v>
      </c>
      <c r="J382" s="25" t="str">
        <f ca="1">IFERROR(__xludf.DUMMYFUNCTION("""COMPUTED_VALUE"""),"https://www.zillow.com/homedetails/4418-S-Slauson-Ave-402-Culver-City-CA-90230/440875021_zpid/")</f>
        <v>https://www.zillow.com/homedetails/4418-S-Slauson-Ave-402-Culver-City-CA-90230/440875021_zpid/</v>
      </c>
      <c r="K382" s="5" t="str">
        <f ca="1">IFERROR(__xludf.DUMMYFUNCTION("""COMPUTED_VALUE"""),"Daniel Hicks, Compass")</f>
        <v>Daniel Hicks, Compass</v>
      </c>
      <c r="L382" s="5"/>
      <c r="M382" s="5"/>
      <c r="N382" s="26" t="str">
        <f ca="1">IFERROR(__xludf.DUMMYFUNCTION("""COMPUTED_VALUE"""),"https://drive.google.com/open?id=1sy5r2nrciBx9xxmiBDmhg3Zu4FZ8PHX6")</f>
        <v>https://drive.google.com/open?id=1sy5r2nrciBx9xxmiBDmhg3Zu4FZ8PHX6</v>
      </c>
      <c r="O382" s="5" t="str">
        <f ca="1">IFERROR(__xludf.DUMMYFUNCTION("""COMPUTED_VALUE"""),"NA")</f>
        <v>NA</v>
      </c>
      <c r="P382" s="5" t="str">
        <f ca="1">IFERROR(__xludf.DUMMYFUNCTION("""COMPUTED_VALUE"""),"(310) 466-6919")</f>
        <v>(310) 466-6919</v>
      </c>
      <c r="Q382" s="5"/>
      <c r="R382" s="5"/>
      <c r="S382" s="5"/>
      <c r="T382" s="5"/>
    </row>
    <row r="383" spans="1:20" ht="12.75">
      <c r="A383" s="24">
        <f ca="1">IFERROR(__xludf.DUMMYFUNCTION("""COMPUTED_VALUE"""),45669.9408791666)</f>
        <v>45669.940879166599</v>
      </c>
      <c r="B383" s="5" t="str">
        <f ca="1">IFERROR(__xludf.DUMMYFUNCTION("""COMPUTED_VALUE"""),"2390 Nalin Dr")</f>
        <v>2390 Nalin Dr</v>
      </c>
      <c r="C383" s="5" t="str">
        <f ca="1">IFERROR(__xludf.DUMMYFUNCTION("""COMPUTED_VALUE"""),"Los Angeles")</f>
        <v>Los Angeles</v>
      </c>
      <c r="D383" s="5" t="str">
        <f ca="1">IFERROR(__xludf.DUMMYFUNCTION("""COMPUTED_VALUE"""),"CA")</f>
        <v>CA</v>
      </c>
      <c r="E383" s="5">
        <f ca="1">IFERROR(__xludf.DUMMYFUNCTION("""COMPUTED_VALUE"""),90077)</f>
        <v>90077</v>
      </c>
      <c r="F383" s="19">
        <f ca="1">IFERROR(__xludf.DUMMYFUNCTION("""COMPUTED_VALUE"""),8350)</f>
        <v>8350</v>
      </c>
      <c r="G383" s="19">
        <f ca="1">IFERROR(__xludf.DUMMYFUNCTION("""COMPUTED_VALUE"""),9950)</f>
        <v>9950</v>
      </c>
      <c r="H383" s="18">
        <f ca="1">IFERROR(__xludf.DUMMYFUNCTION("""COMPUTED_VALUE"""),45669)</f>
        <v>45669</v>
      </c>
      <c r="I383" s="5" t="str">
        <f ca="1">IFERROR(__xludf.DUMMYFUNCTION("""COMPUTED_VALUE"""),"Zillow")</f>
        <v>Zillow</v>
      </c>
      <c r="J383" s="25" t="str">
        <f ca="1">IFERROR(__xludf.DUMMYFUNCTION("""COMPUTED_VALUE"""),"https://www.zillow.com/homedetails/2390-Nalin-Dr-Los-Angeles-CA-90077/20531088_zpid/")</f>
        <v>https://www.zillow.com/homedetails/2390-Nalin-Dr-Los-Angeles-CA-90077/20531088_zpid/</v>
      </c>
      <c r="K383" s="5" t="str">
        <f ca="1">IFERROR(__xludf.DUMMYFUNCTION("""COMPUTED_VALUE"""),"Scott Saltzman  Homes 4 LA  Management company")</f>
        <v>Scott Saltzman  Homes 4 LA  Management company</v>
      </c>
      <c r="L383" s="5"/>
      <c r="M383" s="5"/>
      <c r="N383" s="5" t="str">
        <f ca="1">IFERROR(__xludf.DUMMYFUNCTION("""COMPUTED_VALUE"""),"https://drive.google.com/open?id=1NPIlnqgPBlhOg6yL3u3VXeCeXXLDZwhC, https://drive.google.com/open?id=1BWICkGA8UzI3rqwAIpQRpe3GJ1P4Qs7i")</f>
        <v>https://drive.google.com/open?id=1NPIlnqgPBlhOg6yL3u3VXeCeXXLDZwhC, https://drive.google.com/open?id=1BWICkGA8UzI3rqwAIpQRpe3GJ1P4Qs7i</v>
      </c>
      <c r="O383" s="5">
        <f ca="1">IFERROR(__xludf.DUMMYFUNCTION("""COMPUTED_VALUE"""),4378028024)</f>
        <v>4378028024</v>
      </c>
      <c r="P383" s="5" t="str">
        <f ca="1">IFERROR(__xludf.DUMMYFUNCTION("""COMPUTED_VALUE"""),"(818) 802-8669")</f>
        <v>(818) 802-8669</v>
      </c>
      <c r="Q383" s="5"/>
      <c r="R383" s="5"/>
      <c r="S383" s="5"/>
      <c r="T383" s="5"/>
    </row>
    <row r="384" spans="1:20" ht="12.75">
      <c r="A384" s="24">
        <f ca="1">IFERROR(__xludf.DUMMYFUNCTION("""COMPUTED_VALUE"""),45669.942465162)</f>
        <v>45669.942465161999</v>
      </c>
      <c r="B384" s="5" t="str">
        <f ca="1">IFERROR(__xludf.DUMMYFUNCTION("""COMPUTED_VALUE"""),"3663 Edenhurst Ave")</f>
        <v>3663 Edenhurst Ave</v>
      </c>
      <c r="C384" s="5" t="str">
        <f ca="1">IFERROR(__xludf.DUMMYFUNCTION("""COMPUTED_VALUE"""),"Los Angeles")</f>
        <v>Los Angeles</v>
      </c>
      <c r="D384" s="5" t="str">
        <f ca="1">IFERROR(__xludf.DUMMYFUNCTION("""COMPUTED_VALUE"""),"CA")</f>
        <v>CA</v>
      </c>
      <c r="E384" s="5">
        <f ca="1">IFERROR(__xludf.DUMMYFUNCTION("""COMPUTED_VALUE"""),90039)</f>
        <v>90039</v>
      </c>
      <c r="F384" s="19">
        <f ca="1">IFERROR(__xludf.DUMMYFUNCTION("""COMPUTED_VALUE"""),8000)</f>
        <v>8000</v>
      </c>
      <c r="G384" s="19">
        <f ca="1">IFERROR(__xludf.DUMMYFUNCTION("""COMPUTED_VALUE"""),9000)</f>
        <v>9000</v>
      </c>
      <c r="H384" s="18">
        <f ca="1">IFERROR(__xludf.DUMMYFUNCTION("""COMPUTED_VALUE"""),45666)</f>
        <v>45666</v>
      </c>
      <c r="I384" s="5" t="str">
        <f ca="1">IFERROR(__xludf.DUMMYFUNCTION("""COMPUTED_VALUE"""),"Zillow")</f>
        <v>Zillow</v>
      </c>
      <c r="J384" s="25" t="str">
        <f ca="1">IFERROR(__xludf.DUMMYFUNCTION("""COMPUTED_VALUE"""),"https://www.zillow.com/homedetails/3663-Edenhurst-Ave-Los-Angeles-CA-90039/20749912_zpid/")</f>
        <v>https://www.zillow.com/homedetails/3663-Edenhurst-Ave-Los-Angeles-CA-90039/20749912_zpid/</v>
      </c>
      <c r="K384" s="5"/>
      <c r="L384" s="5" t="str">
        <f ca="1">IFERROR(__xludf.DUMMYFUNCTION("""COMPUTED_VALUE"""),"Suzie")</f>
        <v>Suzie</v>
      </c>
      <c r="M384" s="5"/>
      <c r="N384" s="5" t="str">
        <f ca="1">IFERROR(__xludf.DUMMYFUNCTION("""COMPUTED_VALUE"""),"https://drive.google.com/open?id=1ue2vdZCFsWbFE_dU4_ZjzGg2Bzm3-XZ1, https://drive.google.com/open?id=1H_jrgExWSmEbq3dBqAeUFc93i2oLRB6a")</f>
        <v>https://drive.google.com/open?id=1ue2vdZCFsWbFE_dU4_ZjzGg2Bzm3-XZ1, https://drive.google.com/open?id=1H_jrgExWSmEbq3dBqAeUFc93i2oLRB6a</v>
      </c>
      <c r="O384" s="5">
        <f ca="1">IFERROR(__xludf.DUMMYFUNCTION("""COMPUTED_VALUE"""),5435014021)</f>
        <v>5435014021</v>
      </c>
      <c r="P384" s="5"/>
      <c r="Q384" s="5"/>
      <c r="R384" s="5" t="str">
        <f ca="1">IFERROR(__xludf.DUMMYFUNCTION("""COMPUTED_VALUE"""),"(310) 909-3276")</f>
        <v>(310) 909-3276</v>
      </c>
      <c r="S384" s="5"/>
      <c r="T384" s="5"/>
    </row>
    <row r="385" spans="1:20" ht="12.75">
      <c r="A385" s="24">
        <f ca="1">IFERROR(__xludf.DUMMYFUNCTION("""COMPUTED_VALUE"""),45669.9438351736)</f>
        <v>45669.943835173603</v>
      </c>
      <c r="B385" s="5" t="str">
        <f ca="1">IFERROR(__xludf.DUMMYFUNCTION("""COMPUTED_VALUE"""),"4045 Jackson Ave")</f>
        <v>4045 Jackson Ave</v>
      </c>
      <c r="C385" s="5" t="str">
        <f ca="1">IFERROR(__xludf.DUMMYFUNCTION("""COMPUTED_VALUE"""),"Culver City")</f>
        <v>Culver City</v>
      </c>
      <c r="D385" s="5" t="str">
        <f ca="1">IFERROR(__xludf.DUMMYFUNCTION("""COMPUTED_VALUE"""),"CA")</f>
        <v>CA</v>
      </c>
      <c r="E385" s="5">
        <f ca="1">IFERROR(__xludf.DUMMYFUNCTION("""COMPUTED_VALUE"""),90232)</f>
        <v>90232</v>
      </c>
      <c r="F385" s="19">
        <f ca="1">IFERROR(__xludf.DUMMYFUNCTION("""COMPUTED_VALUE"""),7450)</f>
        <v>7450</v>
      </c>
      <c r="G385" s="19">
        <f ca="1">IFERROR(__xludf.DUMMYFUNCTION("""COMPUTED_VALUE"""),14500)</f>
        <v>14500</v>
      </c>
      <c r="H385" s="18">
        <f ca="1">IFERROR(__xludf.DUMMYFUNCTION("""COMPUTED_VALUE"""),45669)</f>
        <v>45669</v>
      </c>
      <c r="I385" s="5" t="str">
        <f ca="1">IFERROR(__xludf.DUMMYFUNCTION("""COMPUTED_VALUE"""),"Zillow")</f>
        <v>Zillow</v>
      </c>
      <c r="J385" s="25" t="str">
        <f ca="1">IFERROR(__xludf.DUMMYFUNCTION("""COMPUTED_VALUE"""),"https://www.zillow.com/homedetails/4045-Jackson-Ave-Culver-City-CA-90232/20433150_zpid/")</f>
        <v>https://www.zillow.com/homedetails/4045-Jackson-Ave-Culver-City-CA-90232/20433150_zpid/</v>
      </c>
      <c r="K385" s="5" t="str">
        <f ca="1">IFERROR(__xludf.DUMMYFUNCTION("""COMPUTED_VALUE"""),"Hamid Reza Dehghan  HRD Realty Inc.  Management company")</f>
        <v>Hamid Reza Dehghan  HRD Realty Inc.  Management company</v>
      </c>
      <c r="L385" s="5"/>
      <c r="M385" s="5"/>
      <c r="N385" s="5" t="str">
        <f ca="1">IFERROR(__xludf.DUMMYFUNCTION("""COMPUTED_VALUE"""),"https://drive.google.com/open?id=1l76mAeTf9u6WRmiooqKt6H4s5zy-SCLs, https://drive.google.com/open?id=16GvsOmJdkNN73eZozLV21QDODq9zEzBU")</f>
        <v>https://drive.google.com/open?id=1l76mAeTf9u6WRmiooqKt6H4s5zy-SCLs, https://drive.google.com/open?id=16GvsOmJdkNN73eZozLV21QDODq9zEzBU</v>
      </c>
      <c r="O385" s="5">
        <f ca="1">IFERROR(__xludf.DUMMYFUNCTION("""COMPUTED_VALUE"""),4209001009)</f>
        <v>4209001009</v>
      </c>
      <c r="P385" s="5" t="str">
        <f ca="1">IFERROR(__xludf.DUMMYFUNCTION("""COMPUTED_VALUE"""),"(424) 333-0389")</f>
        <v>(424) 333-0389</v>
      </c>
      <c r="Q385" s="5"/>
      <c r="R385" s="5"/>
      <c r="S385" s="5"/>
      <c r="T385" s="5"/>
    </row>
    <row r="386" spans="1:20" ht="12.75">
      <c r="A386" s="24">
        <f ca="1">IFERROR(__xludf.DUMMYFUNCTION("""COMPUTED_VALUE"""),45669.9476838425)</f>
        <v>45669.947683842503</v>
      </c>
      <c r="B386" s="5" t="str">
        <f ca="1">IFERROR(__xludf.DUMMYFUNCTION("""COMPUTED_VALUE"""),"1941 Glencoe Way")</f>
        <v>1941 Glencoe Way</v>
      </c>
      <c r="C386" s="5" t="str">
        <f ca="1">IFERROR(__xludf.DUMMYFUNCTION("""COMPUTED_VALUE"""),"Los Angeles ")</f>
        <v xml:space="preserve">Los Angeles </v>
      </c>
      <c r="D386" s="5" t="str">
        <f ca="1">IFERROR(__xludf.DUMMYFUNCTION("""COMPUTED_VALUE"""),"CA")</f>
        <v>CA</v>
      </c>
      <c r="E386" s="5">
        <f ca="1">IFERROR(__xludf.DUMMYFUNCTION("""COMPUTED_VALUE"""),90068)</f>
        <v>90068</v>
      </c>
      <c r="F386" s="19">
        <f ca="1">IFERROR(__xludf.DUMMYFUNCTION("""COMPUTED_VALUE"""),8500)</f>
        <v>8500</v>
      </c>
      <c r="G386" s="19">
        <f ca="1">IFERROR(__xludf.DUMMYFUNCTION("""COMPUTED_VALUE"""),12500)</f>
        <v>12500</v>
      </c>
      <c r="H386" s="18">
        <f ca="1">IFERROR(__xludf.DUMMYFUNCTION("""COMPUTED_VALUE"""),45668)</f>
        <v>45668</v>
      </c>
      <c r="I386" s="5" t="str">
        <f ca="1">IFERROR(__xludf.DUMMYFUNCTION("""COMPUTED_VALUE"""),"Zillow")</f>
        <v>Zillow</v>
      </c>
      <c r="J386" s="25" t="str">
        <f ca="1">IFERROR(__xludf.DUMMYFUNCTION("""COMPUTED_VALUE"""),"https://www.zillow.com/homedetails/1941-Glencoe-Way-Los-Angeles-CA-90068/20793801_zpid/")</f>
        <v>https://www.zillow.com/homedetails/1941-Glencoe-Way-Los-Angeles-CA-90068/20793801_zpid/</v>
      </c>
      <c r="K386" s="5"/>
      <c r="L386" s="5" t="str">
        <f ca="1">IFERROR(__xludf.DUMMYFUNCTION("""COMPUTED_VALUE"""),"Shaked and Andrea Berenson")</f>
        <v>Shaked and Andrea Berenson</v>
      </c>
      <c r="M386" s="5"/>
      <c r="N386" s="5" t="str">
        <f ca="1">IFERROR(__xludf.DUMMYFUNCTION("""COMPUTED_VALUE"""),"https://drive.google.com/open?id=1y9_cprrkNk1Yv6ANlsNp4PB1AZajLWB0, https://drive.google.com/open?id=1ROUZ8a7Tr-WtjDvZfz5fdr8JR0J20XdG, https://drive.google.com/open?id=1n9MHCa9TgOV7NUe8jiWexlJeGk7cJ0zO")</f>
        <v>https://drive.google.com/open?id=1y9_cprrkNk1Yv6ANlsNp4PB1AZajLWB0, https://drive.google.com/open?id=1ROUZ8a7Tr-WtjDvZfz5fdr8JR0J20XdG, https://drive.google.com/open?id=1n9MHCa9TgOV7NUe8jiWexlJeGk7cJ0zO</v>
      </c>
      <c r="O386" s="5">
        <f ca="1">IFERROR(__xludf.DUMMYFUNCTION("""COMPUTED_VALUE"""),5549022024)</f>
        <v>5549022024</v>
      </c>
      <c r="P386" s="5"/>
      <c r="Q386" s="5"/>
      <c r="R386" s="5" t="str">
        <f ca="1">IFERROR(__xludf.DUMMYFUNCTION("""COMPUTED_VALUE"""),"(213) 645-2864")</f>
        <v>(213) 645-2864</v>
      </c>
      <c r="S386" s="5"/>
      <c r="T386" s="5"/>
    </row>
    <row r="387" spans="1:20" ht="12.75">
      <c r="A387" s="24">
        <f ca="1">IFERROR(__xludf.DUMMYFUNCTION("""COMPUTED_VALUE"""),45669.948950868)</f>
        <v>45669.948950867998</v>
      </c>
      <c r="B387" s="5" t="str">
        <f ca="1">IFERROR(__xludf.DUMMYFUNCTION("""COMPUTED_VALUE"""),"748 S Cloverdale Ave")</f>
        <v>748 S Cloverdale Ave</v>
      </c>
      <c r="C387" s="5" t="str">
        <f ca="1">IFERROR(__xludf.DUMMYFUNCTION("""COMPUTED_VALUE"""),"Los Angeles")</f>
        <v>Los Angeles</v>
      </c>
      <c r="D387" s="5" t="str">
        <f ca="1">IFERROR(__xludf.DUMMYFUNCTION("""COMPUTED_VALUE"""),"CA")</f>
        <v>CA</v>
      </c>
      <c r="E387" s="5">
        <f ca="1">IFERROR(__xludf.DUMMYFUNCTION("""COMPUTED_VALUE"""),90036)</f>
        <v>90036</v>
      </c>
      <c r="F387" s="19">
        <f ca="1">IFERROR(__xludf.DUMMYFUNCTION("""COMPUTED_VALUE"""),19500)</f>
        <v>19500</v>
      </c>
      <c r="G387" s="19">
        <f ca="1">IFERROR(__xludf.DUMMYFUNCTION("""COMPUTED_VALUE"""),26000)</f>
        <v>26000</v>
      </c>
      <c r="H387" s="18">
        <f ca="1">IFERROR(__xludf.DUMMYFUNCTION("""COMPUTED_VALUE"""),45669)</f>
        <v>45669</v>
      </c>
      <c r="I387" s="5" t="str">
        <f ca="1">IFERROR(__xludf.DUMMYFUNCTION("""COMPUTED_VALUE"""),"Zillow")</f>
        <v>Zillow</v>
      </c>
      <c r="J387" s="25" t="str">
        <f ca="1">IFERROR(__xludf.DUMMYFUNCTION("""COMPUTED_VALUE"""),"https://www.zillow.com/homedetails/748-S-Cloverdale-Ave-Los-Angeles-CA-90036/20610066_zpid/")</f>
        <v>https://www.zillow.com/homedetails/748-S-Cloverdale-Ave-Los-Angeles-CA-90036/20610066_zpid/</v>
      </c>
      <c r="K387" s="5"/>
      <c r="L387" s="5" t="str">
        <f ca="1">IFERROR(__xludf.DUMMYFUNCTION("""COMPUTED_VALUE"""),"Daniel Dangoor")</f>
        <v>Daniel Dangoor</v>
      </c>
      <c r="M387" s="5"/>
      <c r="N387" s="5" t="str">
        <f ca="1">IFERROR(__xludf.DUMMYFUNCTION("""COMPUTED_VALUE"""),"https://drive.google.com/open?id=12mhbZyn-uXciiREwXdIkvEzwruBKmMm9, https://drive.google.com/open?id=1MhinX5500z9J_EIT0Ex9EnQWPZ5Zr5PV")</f>
        <v>https://drive.google.com/open?id=12mhbZyn-uXciiREwXdIkvEzwruBKmMm9, https://drive.google.com/open?id=1MhinX5500z9J_EIT0Ex9EnQWPZ5Zr5PV</v>
      </c>
      <c r="O387" s="5">
        <f ca="1">IFERROR(__xludf.DUMMYFUNCTION("""COMPUTED_VALUE"""),5089002014)</f>
        <v>5089002014</v>
      </c>
      <c r="P387" s="5"/>
      <c r="Q387" s="5"/>
      <c r="R387" s="5" t="str">
        <f ca="1">IFERROR(__xludf.DUMMYFUNCTION("""COMPUTED_VALUE"""),"(424) 444-0084")</f>
        <v>(424) 444-0084</v>
      </c>
      <c r="S387" s="5"/>
      <c r="T387" s="5"/>
    </row>
    <row r="388" spans="1:20" ht="12.75">
      <c r="A388" s="24">
        <f ca="1">IFERROR(__xludf.DUMMYFUNCTION("""COMPUTED_VALUE"""),45669.9525351967)</f>
        <v>45669.952535196702</v>
      </c>
      <c r="B388" s="5" t="str">
        <f ca="1">IFERROR(__xludf.DUMMYFUNCTION("""COMPUTED_VALUE"""),"2229 Willetta St")</f>
        <v>2229 Willetta St</v>
      </c>
      <c r="C388" s="5" t="str">
        <f ca="1">IFERROR(__xludf.DUMMYFUNCTION("""COMPUTED_VALUE"""),"Los Angeles")</f>
        <v>Los Angeles</v>
      </c>
      <c r="D388" s="5" t="str">
        <f ca="1">IFERROR(__xludf.DUMMYFUNCTION("""COMPUTED_VALUE"""),"CA")</f>
        <v>CA</v>
      </c>
      <c r="E388" s="5">
        <f ca="1">IFERROR(__xludf.DUMMYFUNCTION("""COMPUTED_VALUE"""),90068)</f>
        <v>90068</v>
      </c>
      <c r="F388" s="19">
        <f ca="1">IFERROR(__xludf.DUMMYFUNCTION("""COMPUTED_VALUE"""),10500)</f>
        <v>10500</v>
      </c>
      <c r="G388" s="19">
        <f ca="1">IFERROR(__xludf.DUMMYFUNCTION("""COMPUTED_VALUE"""),16500)</f>
        <v>16500</v>
      </c>
      <c r="H388" s="18">
        <f ca="1">IFERROR(__xludf.DUMMYFUNCTION("""COMPUTED_VALUE"""),45669)</f>
        <v>45669</v>
      </c>
      <c r="I388" s="5" t="str">
        <f ca="1">IFERROR(__xludf.DUMMYFUNCTION("""COMPUTED_VALUE"""),"Zillow")</f>
        <v>Zillow</v>
      </c>
      <c r="J388" s="25" t="str">
        <f ca="1">IFERROR(__xludf.DUMMYFUNCTION("""COMPUTED_VALUE"""),"https://www.zillow.com/homedetails/2229-Willetta-St-Los-Angeles-CA-90068/20804418_zpid/")</f>
        <v>https://www.zillow.com/homedetails/2229-Willetta-St-Los-Angeles-CA-90068/20804418_zpid/</v>
      </c>
      <c r="K388" s="5" t="str">
        <f ca="1">IFERROR(__xludf.DUMMYFUNCTION("""COMPUTED_VALUE"""),"Mike Equity Union")</f>
        <v>Mike Equity Union</v>
      </c>
      <c r="L388" s="5"/>
      <c r="M388" s="5" t="str">
        <f ca="1">IFERROR(__xludf.DUMMYFUNCTION("""COMPUTED_VALUE"""),"The rental was listed for 10,500 in October then it was removed, he resisted it on the 11th for 12,500. An increase of 57.1%. ")</f>
        <v xml:space="preserve">The rental was listed for 10,500 in October then it was removed, he resisted it on the 11th for 12,500. An increase of 57.1%. </v>
      </c>
      <c r="N388" s="5" t="str">
        <f ca="1">IFERROR(__xludf.DUMMYFUNCTION("""COMPUTED_VALUE"""),"https://drive.google.com/open?id=1DbFbMP89KKgcoRi4ThIDmyOj9aDQs-pK, https://drive.google.com/open?id=1WfZaVBu_oZYv4tGqSZlhrfyYgs-MjHy5, https://drive.google.com/open?id=1sZNgbd9Ve0eNwp00MfHq4IgyjW2nN40B, https://drive.google.com/open?id=1Z2lg7mikw6OFgnvWH"&amp;"wyZuxCSKfqy4qwc")</f>
        <v>https://drive.google.com/open?id=1DbFbMP89KKgcoRi4ThIDmyOj9aDQs-pK, https://drive.google.com/open?id=1WfZaVBu_oZYv4tGqSZlhrfyYgs-MjHy5, https://drive.google.com/open?id=1sZNgbd9Ve0eNwp00MfHq4IgyjW2nN40B, https://drive.google.com/open?id=1Z2lg7mikw6OFgnvWHwyZuxCSKfqy4qwc</v>
      </c>
      <c r="O388" s="5">
        <f ca="1">IFERROR(__xludf.DUMMYFUNCTION("""COMPUTED_VALUE"""),5576015017)</f>
        <v>5576015017</v>
      </c>
      <c r="P388" s="5" t="str">
        <f ca="1">IFERROR(__xludf.DUMMYFUNCTION("""COMPUTED_VALUE"""),"(213) 466-1186")</f>
        <v>(213) 466-1186</v>
      </c>
      <c r="Q388" s="5"/>
      <c r="R388" s="5"/>
      <c r="S388" s="5"/>
      <c r="T388" s="5"/>
    </row>
    <row r="389" spans="1:20" ht="12.75">
      <c r="A389" s="24">
        <f ca="1">IFERROR(__xludf.DUMMYFUNCTION("""COMPUTED_VALUE"""),45669.9578602662)</f>
        <v>45669.9578602662</v>
      </c>
      <c r="B389" s="5" t="str">
        <f ca="1">IFERROR(__xludf.DUMMYFUNCTION("""COMPUTED_VALUE"""),"110 Bennett Ave")</f>
        <v>110 Bennett Ave</v>
      </c>
      <c r="C389" s="5" t="str">
        <f ca="1">IFERROR(__xludf.DUMMYFUNCTION("""COMPUTED_VALUE"""),"Long Beach")</f>
        <v>Long Beach</v>
      </c>
      <c r="D389" s="5" t="str">
        <f ca="1">IFERROR(__xludf.DUMMYFUNCTION("""COMPUTED_VALUE"""),"CA")</f>
        <v>CA</v>
      </c>
      <c r="E389" s="5">
        <f ca="1">IFERROR(__xludf.DUMMYFUNCTION("""COMPUTED_VALUE"""),90803)</f>
        <v>90803</v>
      </c>
      <c r="F389" s="19">
        <f ca="1">IFERROR(__xludf.DUMMYFUNCTION("""COMPUTED_VALUE"""),3500)</f>
        <v>3500</v>
      </c>
      <c r="G389" s="19">
        <f ca="1">IFERROR(__xludf.DUMMYFUNCTION("""COMPUTED_VALUE"""),7800)</f>
        <v>7800</v>
      </c>
      <c r="H389" s="18">
        <f ca="1">IFERROR(__xludf.DUMMYFUNCTION("""COMPUTED_VALUE"""),45670)</f>
        <v>45670</v>
      </c>
      <c r="I389" s="5" t="str">
        <f ca="1">IFERROR(__xludf.DUMMYFUNCTION("""COMPUTED_VALUE"""),"Zillow")</f>
        <v>Zillow</v>
      </c>
      <c r="J389" s="25" t="str">
        <f ca="1">IFERROR(__xludf.DUMMYFUNCTION("""COMPUTED_VALUE"""),"https://www.zillow.com/homedetails/110-Bennett-Ave-Long-Beach-CA-90803/2054770491_zpid/")</f>
        <v>https://www.zillow.com/homedetails/110-Bennett-Ave-Long-Beach-CA-90803/2054770491_zpid/</v>
      </c>
      <c r="K389" s="5" t="str">
        <f ca="1">IFERROR(__xludf.DUMMYFUNCTION("""COMPUTED_VALUE"""),"Jack Yang  Re/Max Premier Properties  Management company")</f>
        <v>Jack Yang  Re/Max Premier Properties  Management company</v>
      </c>
      <c r="L389" s="5"/>
      <c r="M389" s="5"/>
      <c r="N389" s="5" t="str">
        <f ca="1">IFERROR(__xludf.DUMMYFUNCTION("""COMPUTED_VALUE"""),"https://drive.google.com/open?id=1E5Row2cX8lr-ORLwYzMCXXnmO0AevfS1, https://drive.google.com/open?id=1MWetjWoo0EV2FDefoNyIvAUWk9uRYIdD")</f>
        <v>https://drive.google.com/open?id=1E5Row2cX8lr-ORLwYzMCXXnmO0AevfS1, https://drive.google.com/open?id=1MWetjWoo0EV2FDefoNyIvAUWk9uRYIdD</v>
      </c>
      <c r="O389" s="5" t="str">
        <f ca="1">IFERROR(__xludf.DUMMYFUNCTION("""COMPUTED_VALUE"""),"NA")</f>
        <v>NA</v>
      </c>
      <c r="P389" s="5" t="str">
        <f ca="1">IFERROR(__xludf.DUMMYFUNCTION("""COMPUTED_VALUE"""),"(626) 203-8269")</f>
        <v>(626) 203-8269</v>
      </c>
      <c r="Q389" s="5"/>
      <c r="R389" s="5"/>
      <c r="S389" s="5"/>
      <c r="T389" s="5"/>
    </row>
    <row r="390" spans="1:20" ht="12.75">
      <c r="A390" s="24">
        <f ca="1">IFERROR(__xludf.DUMMYFUNCTION("""COMPUTED_VALUE"""),45669.9608878472)</f>
        <v>45669.960887847199</v>
      </c>
      <c r="B390" s="5" t="str">
        <f ca="1">IFERROR(__xludf.DUMMYFUNCTION("""COMPUTED_VALUE"""),"747 Monterey Blvd")</f>
        <v>747 Monterey Blvd</v>
      </c>
      <c r="C390" s="5" t="str">
        <f ca="1">IFERROR(__xludf.DUMMYFUNCTION("""COMPUTED_VALUE"""),"Hermosa Beach")</f>
        <v>Hermosa Beach</v>
      </c>
      <c r="D390" s="5" t="str">
        <f ca="1">IFERROR(__xludf.DUMMYFUNCTION("""COMPUTED_VALUE"""),"CA")</f>
        <v>CA</v>
      </c>
      <c r="E390" s="5">
        <f ca="1">IFERROR(__xludf.DUMMYFUNCTION("""COMPUTED_VALUE"""),90254)</f>
        <v>90254</v>
      </c>
      <c r="F390" s="19">
        <f ca="1">IFERROR(__xludf.DUMMYFUNCTION("""COMPUTED_VALUE"""),6500)</f>
        <v>6500</v>
      </c>
      <c r="G390" s="19">
        <f ca="1">IFERROR(__xludf.DUMMYFUNCTION("""COMPUTED_VALUE"""),8500)</f>
        <v>8500</v>
      </c>
      <c r="H390" s="18">
        <f ca="1">IFERROR(__xludf.DUMMYFUNCTION("""COMPUTED_VALUE"""),45669)</f>
        <v>45669</v>
      </c>
      <c r="I390" s="5" t="str">
        <f ca="1">IFERROR(__xludf.DUMMYFUNCTION("""COMPUTED_VALUE"""),"Zillow")</f>
        <v>Zillow</v>
      </c>
      <c r="J390" s="25" t="str">
        <f ca="1">IFERROR(__xludf.DUMMYFUNCTION("""COMPUTED_VALUE"""),"https://www.zillow.com/homedetails/747-Monterey-Blvd-Hermosa-Beach-CA-90254/20427731_zpid/")</f>
        <v>https://www.zillow.com/homedetails/747-Monterey-Blvd-Hermosa-Beach-CA-90254/20427731_zpid/</v>
      </c>
      <c r="K390" s="5"/>
      <c r="L390" s="5" t="str">
        <f ca="1">IFERROR(__xludf.DUMMYFUNCTION("""COMPUTED_VALUE"""),"Oliver")</f>
        <v>Oliver</v>
      </c>
      <c r="M390" s="5"/>
      <c r="N390" s="5" t="str">
        <f ca="1">IFERROR(__xludf.DUMMYFUNCTION("""COMPUTED_VALUE"""),"https://drive.google.com/open?id=1MoPlvqAjJyBqghmVdI-EoKiNIkgvFIae, https://drive.google.com/open?id=1yahYJao2_H_2vM0lO9L5-VkDes4pEXcE")</f>
        <v>https://drive.google.com/open?id=1MoPlvqAjJyBqghmVdI-EoKiNIkgvFIae, https://drive.google.com/open?id=1yahYJao2_H_2vM0lO9L5-VkDes4pEXcE</v>
      </c>
      <c r="O390" s="5">
        <f ca="1">IFERROR(__xludf.DUMMYFUNCTION("""COMPUTED_VALUE"""),4187022001)</f>
        <v>4187022001</v>
      </c>
      <c r="P390" s="5"/>
      <c r="Q390" s="5"/>
      <c r="R390" s="5" t="str">
        <f ca="1">IFERROR(__xludf.DUMMYFUNCTION("""COMPUTED_VALUE"""),"(818) 310-8571")</f>
        <v>(818) 310-8571</v>
      </c>
      <c r="S390" s="5"/>
      <c r="T390" s="5"/>
    </row>
    <row r="391" spans="1:20" ht="12.75">
      <c r="A391" s="24">
        <f ca="1">IFERROR(__xludf.DUMMYFUNCTION("""COMPUTED_VALUE"""),45669.96291125)</f>
        <v>45669.962911249997</v>
      </c>
      <c r="B391" s="5" t="str">
        <f ca="1">IFERROR(__xludf.DUMMYFUNCTION("""COMPUTED_VALUE"""),"1211 Goodman Ave")</f>
        <v>1211 Goodman Ave</v>
      </c>
      <c r="C391" s="5" t="str">
        <f ca="1">IFERROR(__xludf.DUMMYFUNCTION("""COMPUTED_VALUE"""),"Redondo Beach")</f>
        <v>Redondo Beach</v>
      </c>
      <c r="D391" s="5" t="str">
        <f ca="1">IFERROR(__xludf.DUMMYFUNCTION("""COMPUTED_VALUE"""),"CA")</f>
        <v>CA</v>
      </c>
      <c r="E391" s="5">
        <f ca="1">IFERROR(__xludf.DUMMYFUNCTION("""COMPUTED_VALUE"""),90278)</f>
        <v>90278</v>
      </c>
      <c r="F391" s="19">
        <f ca="1">IFERROR(__xludf.DUMMYFUNCTION("""COMPUTED_VALUE"""),6550)</f>
        <v>6550</v>
      </c>
      <c r="G391" s="19">
        <f ca="1">IFERROR(__xludf.DUMMYFUNCTION("""COMPUTED_VALUE"""),7050)</f>
        <v>7050</v>
      </c>
      <c r="H391" s="18">
        <f ca="1">IFERROR(__xludf.DUMMYFUNCTION("""COMPUTED_VALUE"""),45669)</f>
        <v>45669</v>
      </c>
      <c r="I391" s="5" t="str">
        <f ca="1">IFERROR(__xludf.DUMMYFUNCTION("""COMPUTED_VALUE"""),"Zillow")</f>
        <v>Zillow</v>
      </c>
      <c r="J391" s="25" t="str">
        <f ca="1">IFERROR(__xludf.DUMMYFUNCTION("""COMPUTED_VALUE"""),"https://www.zillow.com/homedetails/1211-Goodman-Ave-Redondo-Beach-CA-90278/20411015_zpid/?utm_campaign=iosappmessage&amp;utm_medium=referral&amp;utm_source=txtshare")</f>
        <v>https://www.zillow.com/homedetails/1211-Goodman-Ave-Redondo-Beach-CA-90278/20411015_zpid/?utm_campaign=iosappmessage&amp;utm_medium=referral&amp;utm_source=txtshare</v>
      </c>
      <c r="K391" s="5" t="str">
        <f ca="1">IFERROR(__xludf.DUMMYFUNCTION("""COMPUTED_VALUE"""),"Denice Meyer")</f>
        <v>Denice Meyer</v>
      </c>
      <c r="L391" s="5"/>
      <c r="M391" s="5"/>
      <c r="N391" s="26" t="str">
        <f ca="1">IFERROR(__xludf.DUMMYFUNCTION("""COMPUTED_VALUE"""),"https://drive.google.com/open?id=1dtgFlROGaSCoPPIpefAzURSHDY0eEldR")</f>
        <v>https://drive.google.com/open?id=1dtgFlROGaSCoPPIpefAzURSHDY0eEldR</v>
      </c>
      <c r="O391" s="5">
        <f ca="1">IFERROR(__xludf.DUMMYFUNCTION("""COMPUTED_VALUE"""),4161015014)</f>
        <v>4161015014</v>
      </c>
      <c r="P391" s="5" t="str">
        <f ca="1">IFERROR(__xludf.DUMMYFUNCTION("""COMPUTED_VALUE"""),"800-979-3646")</f>
        <v>800-979-3646</v>
      </c>
      <c r="Q391" s="5"/>
      <c r="R391" s="5"/>
      <c r="S391" s="5"/>
      <c r="T391" s="5"/>
    </row>
    <row r="392" spans="1:20" ht="12.75">
      <c r="A392" s="24">
        <f ca="1">IFERROR(__xludf.DUMMYFUNCTION("""COMPUTED_VALUE"""),45669.964441493)</f>
        <v>45669.964441493001</v>
      </c>
      <c r="B392" s="5" t="str">
        <f ca="1">IFERROR(__xludf.DUMMYFUNCTION("""COMPUTED_VALUE"""),"12117 Alberta Dr")</f>
        <v>12117 Alberta Dr</v>
      </c>
      <c r="C392" s="5" t="str">
        <f ca="1">IFERROR(__xludf.DUMMYFUNCTION("""COMPUTED_VALUE"""),"Los Angeles")</f>
        <v>Los Angeles</v>
      </c>
      <c r="D392" s="5" t="str">
        <f ca="1">IFERROR(__xludf.DUMMYFUNCTION("""COMPUTED_VALUE"""),"CA")</f>
        <v>CA</v>
      </c>
      <c r="E392" s="5">
        <f ca="1">IFERROR(__xludf.DUMMYFUNCTION("""COMPUTED_VALUE"""),90230)</f>
        <v>90230</v>
      </c>
      <c r="F392" s="19">
        <f ca="1">IFERROR(__xludf.DUMMYFUNCTION("""COMPUTED_VALUE"""),5200)</f>
        <v>5200</v>
      </c>
      <c r="G392" s="19">
        <f ca="1">IFERROR(__xludf.DUMMYFUNCTION("""COMPUTED_VALUE"""),7200)</f>
        <v>7200</v>
      </c>
      <c r="H392" s="18">
        <f ca="1">IFERROR(__xludf.DUMMYFUNCTION("""COMPUTED_VALUE"""),45669)</f>
        <v>45669</v>
      </c>
      <c r="I392" s="5" t="str">
        <f ca="1">IFERROR(__xludf.DUMMYFUNCTION("""COMPUTED_VALUE"""),"Zillow")</f>
        <v>Zillow</v>
      </c>
      <c r="J392" s="25" t="str">
        <f ca="1">IFERROR(__xludf.DUMMYFUNCTION("""COMPUTED_VALUE"""),"https://www.zillow.com/homedetails/12117-Alberta-Dr-Los-Angeles-CA-90230/20439895_zpid/")</f>
        <v>https://www.zillow.com/homedetails/12117-Alberta-Dr-Los-Angeles-CA-90230/20439895_zpid/</v>
      </c>
      <c r="K392" s="5"/>
      <c r="L392" s="5" t="str">
        <f ca="1">IFERROR(__xludf.DUMMYFUNCTION("""COMPUTED_VALUE"""),"Eiman Shirazi")</f>
        <v>Eiman Shirazi</v>
      </c>
      <c r="M392" s="5"/>
      <c r="N392" s="5" t="str">
        <f ca="1">IFERROR(__xludf.DUMMYFUNCTION("""COMPUTED_VALUE"""),"https://drive.google.com/open?id=17GW-LQ-W3aTZR65sMNmCo5gq-aNniwtt, https://drive.google.com/open?id=14gytUzCP-Uvl4J2y4mfQi8T1KkGgQXCm")</f>
        <v>https://drive.google.com/open?id=17GW-LQ-W3aTZR65sMNmCo5gq-aNniwtt, https://drive.google.com/open?id=14gytUzCP-Uvl4J2y4mfQi8T1KkGgQXCm</v>
      </c>
      <c r="O392" s="5">
        <f ca="1">IFERROR(__xludf.DUMMYFUNCTION("""COMPUTED_VALUE"""),4220004040)</f>
        <v>4220004040</v>
      </c>
      <c r="P392" s="5"/>
      <c r="Q392" s="5"/>
      <c r="R392" s="5" t="str">
        <f ca="1">IFERROR(__xludf.DUMMYFUNCTION("""COMPUTED_VALUE"""),"(323) 772-2009")</f>
        <v>(323) 772-2009</v>
      </c>
      <c r="S392" s="5"/>
      <c r="T392" s="5"/>
    </row>
    <row r="393" spans="1:20" ht="12.75">
      <c r="A393" s="24">
        <f ca="1">IFERROR(__xludf.DUMMYFUNCTION("""COMPUTED_VALUE"""),45669.9651983912)</f>
        <v>45669.965198391197</v>
      </c>
      <c r="B393" s="5" t="str">
        <f ca="1">IFERROR(__xludf.DUMMYFUNCTION("""COMPUTED_VALUE"""),"825 N Pasadena Ave")</f>
        <v>825 N Pasadena Ave</v>
      </c>
      <c r="C393" s="5" t="str">
        <f ca="1">IFERROR(__xludf.DUMMYFUNCTION("""COMPUTED_VALUE"""),"Pasadena")</f>
        <v>Pasadena</v>
      </c>
      <c r="D393" s="5" t="str">
        <f ca="1">IFERROR(__xludf.DUMMYFUNCTION("""COMPUTED_VALUE"""),"CA")</f>
        <v>CA</v>
      </c>
      <c r="E393" s="5">
        <f ca="1">IFERROR(__xludf.DUMMYFUNCTION("""COMPUTED_VALUE"""),91103)</f>
        <v>91103</v>
      </c>
      <c r="F393" s="19">
        <f ca="1">IFERROR(__xludf.DUMMYFUNCTION("""COMPUTED_VALUE"""),3750)</f>
        <v>3750</v>
      </c>
      <c r="G393" s="19">
        <f ca="1">IFERROR(__xludf.DUMMYFUNCTION("""COMPUTED_VALUE"""),4200)</f>
        <v>4200</v>
      </c>
      <c r="H393" s="18">
        <f ca="1">IFERROR(__xludf.DUMMYFUNCTION("""COMPUTED_VALUE"""),45669)</f>
        <v>45669</v>
      </c>
      <c r="I393" s="5" t="str">
        <f ca="1">IFERROR(__xludf.DUMMYFUNCTION("""COMPUTED_VALUE"""),"Zillow")</f>
        <v>Zillow</v>
      </c>
      <c r="J393" s="25" t="str">
        <f ca="1">IFERROR(__xludf.DUMMYFUNCTION("""COMPUTED_VALUE"""),"https://www.zillow.com/homedetails/825-N-Pasadena-Ave-Pasadena-CA-91103/20857788_zpid/")</f>
        <v>https://www.zillow.com/homedetails/825-N-Pasadena-Ave-Pasadena-CA-91103/20857788_zpid/</v>
      </c>
      <c r="K393" s="5" t="str">
        <f ca="1">IFERROR(__xludf.DUMMYFUNCTION("""COMPUTED_VALUE"""),"Ann Marie")</f>
        <v>Ann Marie</v>
      </c>
      <c r="L393" s="5"/>
      <c r="M393" s="5"/>
      <c r="N393" s="5" t="str">
        <f ca="1">IFERROR(__xludf.DUMMYFUNCTION("""COMPUTED_VALUE"""),"https://drive.google.com/open?id=1Re6GSmXIAWjmSyX_LADn4kpX-sW5T9ge, https://drive.google.com/open?id=10GBUxa9nGKOB5dBbhBzT5QKD1ajSnCr2, https://drive.google.com/open?id=1VVYif54_a54jGUy_SQPFj0YGTH1V26wt")</f>
        <v>https://drive.google.com/open?id=1Re6GSmXIAWjmSyX_LADn4kpX-sW5T9ge, https://drive.google.com/open?id=10GBUxa9nGKOB5dBbhBzT5QKD1ajSnCr2, https://drive.google.com/open?id=1VVYif54_a54jGUy_SQPFj0YGTH1V26wt</v>
      </c>
      <c r="O393" s="5">
        <f ca="1">IFERROR(__xludf.DUMMYFUNCTION("""COMPUTED_VALUE"""),5711012026)</f>
        <v>5711012026</v>
      </c>
      <c r="P393" s="5" t="str">
        <f ca="1">IFERROR(__xludf.DUMMYFUNCTION("""COMPUTED_VALUE"""),"(626) 319-0585")</f>
        <v>(626) 319-0585</v>
      </c>
      <c r="Q393" s="5"/>
      <c r="R393" s="5"/>
      <c r="S393" s="5"/>
      <c r="T393" s="5"/>
    </row>
    <row r="394" spans="1:20" ht="12.75">
      <c r="A394" s="24">
        <f ca="1">IFERROR(__xludf.DUMMYFUNCTION("""COMPUTED_VALUE"""),45669.9665937037)</f>
        <v>45669.966593703699</v>
      </c>
      <c r="B394" s="5" t="str">
        <f ca="1">IFERROR(__xludf.DUMMYFUNCTION("""COMPUTED_VALUE"""),"817 Manhattan Ave, ")</f>
        <v xml:space="preserve">817 Manhattan Ave, </v>
      </c>
      <c r="C394" s="5" t="str">
        <f ca="1">IFERROR(__xludf.DUMMYFUNCTION("""COMPUTED_VALUE"""),"Hermosa Beach")</f>
        <v>Hermosa Beach</v>
      </c>
      <c r="D394" s="5" t="str">
        <f ca="1">IFERROR(__xludf.DUMMYFUNCTION("""COMPUTED_VALUE"""),"CA")</f>
        <v>CA</v>
      </c>
      <c r="E394" s="5">
        <f ca="1">IFERROR(__xludf.DUMMYFUNCTION("""COMPUTED_VALUE"""),90254)</f>
        <v>90254</v>
      </c>
      <c r="F394" s="19">
        <f ca="1">IFERROR(__xludf.DUMMYFUNCTION("""COMPUTED_VALUE"""),5100)</f>
        <v>5100</v>
      </c>
      <c r="G394" s="19">
        <f ca="1">IFERROR(__xludf.DUMMYFUNCTION("""COMPUTED_VALUE"""),6000)</f>
        <v>6000</v>
      </c>
      <c r="H394" s="18">
        <f ca="1">IFERROR(__xludf.DUMMYFUNCTION("""COMPUTED_VALUE"""),45667)</f>
        <v>45667</v>
      </c>
      <c r="I394" s="5" t="str">
        <f ca="1">IFERROR(__xludf.DUMMYFUNCTION("""COMPUTED_VALUE"""),"Zillow")</f>
        <v>Zillow</v>
      </c>
      <c r="J394" s="25" t="str">
        <f ca="1">IFERROR(__xludf.DUMMYFUNCTION("""COMPUTED_VALUE"""),"https://www.zillow.com/homedetails/817-Manhattan-Ave-Hermosa-Beach-CA-90254/2127122732_zpid/?utm_campaign=iosappmessage&amp;utm_medium=referral&amp;utm_source=txtshare")</f>
        <v>https://www.zillow.com/homedetails/817-Manhattan-Ave-Hermosa-Beach-CA-90254/2127122732_zpid/?utm_campaign=iosappmessage&amp;utm_medium=referral&amp;utm_source=txtshare</v>
      </c>
      <c r="K394" s="5" t="str">
        <f ca="1">IFERROR(__xludf.DUMMYFUNCTION("""COMPUTED_VALUE"""),"Barbara Rosenberg")</f>
        <v>Barbara Rosenberg</v>
      </c>
      <c r="L394" s="5"/>
      <c r="M394" s="5"/>
      <c r="N394" s="26" t="str">
        <f ca="1">IFERROR(__xludf.DUMMYFUNCTION("""COMPUTED_VALUE"""),"https://drive.google.com/open?id=14AtT3dYEljLZnnqfk0yA4esm5lOAmmvj")</f>
        <v>https://drive.google.com/open?id=14AtT3dYEljLZnnqfk0yA4esm5lOAmmvj</v>
      </c>
      <c r="O394" s="5" t="str">
        <f ca="1">IFERROR(__xludf.DUMMYFUNCTION("""COMPUTED_VALUE"""),"NA")</f>
        <v>NA</v>
      </c>
      <c r="P394" s="5" t="str">
        <f ca="1">IFERROR(__xludf.DUMMYFUNCTION("""COMPUTED_VALUE"""),"310–704– 8077")</f>
        <v>310–704– 8077</v>
      </c>
      <c r="Q394" s="5"/>
      <c r="R394" s="5"/>
      <c r="S394" s="5"/>
      <c r="T394" s="5"/>
    </row>
    <row r="395" spans="1:20" ht="12.75">
      <c r="A395" s="24">
        <f ca="1">IFERROR(__xludf.DUMMYFUNCTION("""COMPUTED_VALUE"""),45669.9678922222)</f>
        <v>45669.967892222201</v>
      </c>
      <c r="B395" s="5" t="str">
        <f ca="1">IFERROR(__xludf.DUMMYFUNCTION("""COMPUTED_VALUE"""),"2666 Hutton Dr")</f>
        <v>2666 Hutton Dr</v>
      </c>
      <c r="C395" s="5" t="str">
        <f ca="1">IFERROR(__xludf.DUMMYFUNCTION("""COMPUTED_VALUE"""),", Beverly Hills")</f>
        <v>, Beverly Hills</v>
      </c>
      <c r="D395" s="5" t="str">
        <f ca="1">IFERROR(__xludf.DUMMYFUNCTION("""COMPUTED_VALUE"""),"CA")</f>
        <v>CA</v>
      </c>
      <c r="E395" s="5">
        <f ca="1">IFERROR(__xludf.DUMMYFUNCTION("""COMPUTED_VALUE"""),90210)</f>
        <v>90210</v>
      </c>
      <c r="F395" s="19">
        <f ca="1">IFERROR(__xludf.DUMMYFUNCTION("""COMPUTED_VALUE"""),65000)</f>
        <v>65000</v>
      </c>
      <c r="G395" s="19">
        <f ca="1">IFERROR(__xludf.DUMMYFUNCTION("""COMPUTED_VALUE"""),75000)</f>
        <v>75000</v>
      </c>
      <c r="H395" s="18">
        <f ca="1">IFERROR(__xludf.DUMMYFUNCTION("""COMPUTED_VALUE"""),45667)</f>
        <v>45667</v>
      </c>
      <c r="I395" s="5" t="str">
        <f ca="1">IFERROR(__xludf.DUMMYFUNCTION("""COMPUTED_VALUE"""),"Zillow")</f>
        <v>Zillow</v>
      </c>
      <c r="J395" s="25" t="str">
        <f ca="1">IFERROR(__xludf.DUMMYFUNCTION("""COMPUTED_VALUE"""),"https://www.zillow.com/homedetails/2666-Hutton-Dr-Beverly-Hills-CA-90210/20532893_zpid/")</f>
        <v>https://www.zillow.com/homedetails/2666-Hutton-Dr-Beverly-Hills-CA-90210/20532893_zpid/</v>
      </c>
      <c r="K395" s="5" t="str">
        <f ca="1">IFERROR(__xludf.DUMMYFUNCTION("""COMPUTED_VALUE"""),"Unknown")</f>
        <v>Unknown</v>
      </c>
      <c r="L395" s="5"/>
      <c r="M395" s="5"/>
      <c r="N395" s="26" t="str">
        <f ca="1">IFERROR(__xludf.DUMMYFUNCTION("""COMPUTED_VALUE"""),"https://drive.google.com/open?id=1Sl4o0K4RXjkhXy0afE1ZW0eZGQea16Qz")</f>
        <v>https://drive.google.com/open?id=1Sl4o0K4RXjkhXy0afE1ZW0eZGQea16Qz</v>
      </c>
      <c r="O395" s="5" t="str">
        <f ca="1">IFERROR(__xludf.DUMMYFUNCTION("""COMPUTED_VALUE"""),"NA")</f>
        <v>NA</v>
      </c>
      <c r="P395" s="5" t="str">
        <f ca="1">IFERROR(__xludf.DUMMYFUNCTION("""COMPUTED_VALUE"""),"Unknown")</f>
        <v>Unknown</v>
      </c>
      <c r="Q395" s="5"/>
      <c r="R395" s="5"/>
      <c r="S395" s="5"/>
      <c r="T395" s="5"/>
    </row>
    <row r="396" spans="1:20" ht="12.75">
      <c r="A396" s="24">
        <f ca="1">IFERROR(__xludf.DUMMYFUNCTION("""COMPUTED_VALUE"""),45669.9694546412)</f>
        <v>45669.969454641199</v>
      </c>
      <c r="B396" s="5" t="str">
        <f ca="1">IFERROR(__xludf.DUMMYFUNCTION("""COMPUTED_VALUE"""),"2328 San Ysidro Dr")</f>
        <v>2328 San Ysidro Dr</v>
      </c>
      <c r="C396" s="5" t="str">
        <f ca="1">IFERROR(__xludf.DUMMYFUNCTION("""COMPUTED_VALUE"""),"Beverly Hills")</f>
        <v>Beverly Hills</v>
      </c>
      <c r="D396" s="5" t="str">
        <f ca="1">IFERROR(__xludf.DUMMYFUNCTION("""COMPUTED_VALUE"""),"CA")</f>
        <v>CA</v>
      </c>
      <c r="E396" s="5">
        <f ca="1">IFERROR(__xludf.DUMMYFUNCTION("""COMPUTED_VALUE"""),90210)</f>
        <v>90210</v>
      </c>
      <c r="F396" s="19">
        <f ca="1">IFERROR(__xludf.DUMMYFUNCTION("""COMPUTED_VALUE"""),25000)</f>
        <v>25000</v>
      </c>
      <c r="G396" s="19">
        <f ca="1">IFERROR(__xludf.DUMMYFUNCTION("""COMPUTED_VALUE"""),45000)</f>
        <v>45000</v>
      </c>
      <c r="H396" s="18">
        <f ca="1">IFERROR(__xludf.DUMMYFUNCTION("""COMPUTED_VALUE"""),45667)</f>
        <v>45667</v>
      </c>
      <c r="I396" s="5" t="str">
        <f ca="1">IFERROR(__xludf.DUMMYFUNCTION("""COMPUTED_VALUE"""),"Zillow")</f>
        <v>Zillow</v>
      </c>
      <c r="J396" s="25" t="str">
        <f ca="1">IFERROR(__xludf.DUMMYFUNCTION("""COMPUTED_VALUE"""),"https://www.zillow.com/homedetails/2328-San-Ysidro-Dr-Beverly-Hills-CA-90210/20533103_zpid/")</f>
        <v>https://www.zillow.com/homedetails/2328-San-Ysidro-Dr-Beverly-Hills-CA-90210/20533103_zpid/</v>
      </c>
      <c r="K396" s="5" t="str">
        <f ca="1">IFERROR(__xludf.DUMMYFUNCTION("""COMPUTED_VALUE"""),"Sharon Hakimfar THE Real Estate Agency")</f>
        <v>Sharon Hakimfar THE Real Estate Agency</v>
      </c>
      <c r="L396" s="5"/>
      <c r="M396" s="5"/>
      <c r="N396" s="26" t="str">
        <f ca="1">IFERROR(__xludf.DUMMYFUNCTION("""COMPUTED_VALUE"""),"https://drive.google.com/open?id=1ALdQjDNHz4eViUl7THeU1QVPs68PNJyO")</f>
        <v>https://drive.google.com/open?id=1ALdQjDNHz4eViUl7THeU1QVPs68PNJyO</v>
      </c>
      <c r="O396" s="5">
        <f ca="1">IFERROR(__xludf.DUMMYFUNCTION("""COMPUTED_VALUE"""),4384031034)</f>
        <v>4384031034</v>
      </c>
      <c r="P396" s="5" t="str">
        <f ca="1">IFERROR(__xludf.DUMMYFUNCTION("""COMPUTED_VALUE"""),"(310) 480-1911")</f>
        <v>(310) 480-1911</v>
      </c>
      <c r="Q396" s="5"/>
      <c r="R396" s="5"/>
      <c r="S396" s="5"/>
      <c r="T396" s="5"/>
    </row>
    <row r="397" spans="1:20" ht="12.75">
      <c r="A397" s="24">
        <f ca="1">IFERROR(__xludf.DUMMYFUNCTION("""COMPUTED_VALUE"""),45669.9704445833)</f>
        <v>45669.970444583298</v>
      </c>
      <c r="B397" s="5" t="str">
        <f ca="1">IFERROR(__xludf.DUMMYFUNCTION("""COMPUTED_VALUE"""),"2639 S Genesee Ave")</f>
        <v>2639 S Genesee Ave</v>
      </c>
      <c r="C397" s="5" t="str">
        <f ca="1">IFERROR(__xludf.DUMMYFUNCTION("""COMPUTED_VALUE"""),"Los Angeles")</f>
        <v>Los Angeles</v>
      </c>
      <c r="D397" s="5" t="str">
        <f ca="1">IFERROR(__xludf.DUMMYFUNCTION("""COMPUTED_VALUE"""),"CA")</f>
        <v>CA</v>
      </c>
      <c r="E397" s="5">
        <f ca="1">IFERROR(__xludf.DUMMYFUNCTION("""COMPUTED_VALUE"""),90016)</f>
        <v>90016</v>
      </c>
      <c r="F397" s="19">
        <f ca="1">IFERROR(__xludf.DUMMYFUNCTION("""COMPUTED_VALUE"""),6930)</f>
        <v>6930</v>
      </c>
      <c r="G397" s="19">
        <f ca="1">IFERROR(__xludf.DUMMYFUNCTION("""COMPUTED_VALUE"""),14500)</f>
        <v>14500</v>
      </c>
      <c r="H397" s="18">
        <f ca="1">IFERROR(__xludf.DUMMYFUNCTION("""COMPUTED_VALUE"""),45670)</f>
        <v>45670</v>
      </c>
      <c r="I397" s="5" t="str">
        <f ca="1">IFERROR(__xludf.DUMMYFUNCTION("""COMPUTED_VALUE"""),"Zillow")</f>
        <v>Zillow</v>
      </c>
      <c r="J397" s="25" t="str">
        <f ca="1">IFERROR(__xludf.DUMMYFUNCTION("""COMPUTED_VALUE"""),"https://www.zillow.com/homedetails/2639-S-Genesee-Ave-Los-Angeles-CA-90016/20588130_zpid/")</f>
        <v>https://www.zillow.com/homedetails/2639-S-Genesee-Ave-Los-Angeles-CA-90016/20588130_zpid/</v>
      </c>
      <c r="K397" s="5"/>
      <c r="L397" s="5" t="str">
        <f ca="1">IFERROR(__xludf.DUMMYFUNCTION("""COMPUTED_VALUE"""),"Douglas Liang")</f>
        <v>Douglas Liang</v>
      </c>
      <c r="M397" s="5"/>
      <c r="N397" s="5" t="str">
        <f ca="1">IFERROR(__xludf.DUMMYFUNCTION("""COMPUTED_VALUE"""),"https://drive.google.com/open?id=11NaTagampEIB3fn-7v7V8ACfRB5ZzvBO, https://drive.google.com/open?id=1y-0Uix-b4r0yxh7GY47YUwv2A4GLXLI7")</f>
        <v>https://drive.google.com/open?id=11NaTagampEIB3fn-7v7V8ACfRB5ZzvBO, https://drive.google.com/open?id=1y-0Uix-b4r0yxh7GY47YUwv2A4GLXLI7</v>
      </c>
      <c r="O397" s="5">
        <f ca="1">IFERROR(__xludf.DUMMYFUNCTION("""COMPUTED_VALUE"""),5048008049)</f>
        <v>5048008049</v>
      </c>
      <c r="P397" s="5"/>
      <c r="Q397" s="5"/>
      <c r="R397" s="5" t="str">
        <f ca="1">IFERROR(__xludf.DUMMYFUNCTION("""COMPUTED_VALUE"""),"(317) 597-6226")</f>
        <v>(317) 597-6226</v>
      </c>
      <c r="S397" s="5"/>
      <c r="T397" s="5"/>
    </row>
    <row r="398" spans="1:20" ht="12.75">
      <c r="A398" s="24">
        <f ca="1">IFERROR(__xludf.DUMMYFUNCTION("""COMPUTED_VALUE"""),45669.9706683796)</f>
        <v>45669.970668379603</v>
      </c>
      <c r="B398" s="5" t="str">
        <f ca="1">IFERROR(__xludf.DUMMYFUNCTION("""COMPUTED_VALUE"""),"13204 Hansworth Ave,")</f>
        <v>13204 Hansworth Ave,</v>
      </c>
      <c r="C398" s="5" t="str">
        <f ca="1">IFERROR(__xludf.DUMMYFUNCTION("""COMPUTED_VALUE"""),"Hawthorne")</f>
        <v>Hawthorne</v>
      </c>
      <c r="D398" s="5" t="str">
        <f ca="1">IFERROR(__xludf.DUMMYFUNCTION("""COMPUTED_VALUE"""),"CA")</f>
        <v>CA</v>
      </c>
      <c r="E398" s="5">
        <f ca="1">IFERROR(__xludf.DUMMYFUNCTION("""COMPUTED_VALUE"""),90250)</f>
        <v>90250</v>
      </c>
      <c r="F398" s="19">
        <f ca="1">IFERROR(__xludf.DUMMYFUNCTION("""COMPUTED_VALUE"""),5300)</f>
        <v>5300</v>
      </c>
      <c r="G398" s="19">
        <f ca="1">IFERROR(__xludf.DUMMYFUNCTION("""COMPUTED_VALUE"""),5750)</f>
        <v>5750</v>
      </c>
      <c r="H398" s="18">
        <f ca="1">IFERROR(__xludf.DUMMYFUNCTION("""COMPUTED_VALUE"""),45676)</f>
        <v>45676</v>
      </c>
      <c r="I398" s="5" t="str">
        <f ca="1">IFERROR(__xludf.DUMMYFUNCTION("""COMPUTED_VALUE"""),"Zillow")</f>
        <v>Zillow</v>
      </c>
      <c r="J398" s="25" t="str">
        <f ca="1">IFERROR(__xludf.DUMMYFUNCTION("""COMPUTED_VALUE"""),"https://www.zillow.com/homedetails/13204-Hansworth-Ave-Hawthorne-CA-90250/20400640_zpid/?utm_campaign=iosappmessage&amp;utm_medium=referral&amp;utm_source=txtshare")</f>
        <v>https://www.zillow.com/homedetails/13204-Hansworth-Ave-Hawthorne-CA-90250/20400640_zpid/?utm_campaign=iosappmessage&amp;utm_medium=referral&amp;utm_source=txtshare</v>
      </c>
      <c r="K398" s="5" t="str">
        <f ca="1">IFERROR(__xludf.DUMMYFUNCTION("""COMPUTED_VALUE"""),"Blake Parrish")</f>
        <v>Blake Parrish</v>
      </c>
      <c r="L398" s="5" t="str">
        <f ca="1">IFERROR(__xludf.DUMMYFUNCTION("""COMPUTED_VALUE"""),"Blake Parrish")</f>
        <v>Blake Parrish</v>
      </c>
      <c r="M398" s="5"/>
      <c r="N398" s="26" t="str">
        <f ca="1">IFERROR(__xludf.DUMMYFUNCTION("""COMPUTED_VALUE"""),"https://drive.google.com/open?id=1vc-y_bvgAnMuTqroMVl9era_QAA2L2Yb")</f>
        <v>https://drive.google.com/open?id=1vc-y_bvgAnMuTqroMVl9era_QAA2L2Yb</v>
      </c>
      <c r="O398" s="5" t="str">
        <f ca="1">IFERROR(__xludf.DUMMYFUNCTION("""COMPUTED_VALUE"""),"NA")</f>
        <v>NA</v>
      </c>
      <c r="P398" s="5" t="str">
        <f ca="1">IFERROR(__xludf.DUMMYFUNCTION("""COMPUTED_VALUE"""),"626–818 – 8070")</f>
        <v>626–818 – 8070</v>
      </c>
      <c r="Q398" s="5"/>
      <c r="R398" s="5"/>
      <c r="S398" s="5"/>
      <c r="T398" s="5"/>
    </row>
    <row r="399" spans="1:20" ht="12.75">
      <c r="A399" s="24">
        <f ca="1">IFERROR(__xludf.DUMMYFUNCTION("""COMPUTED_VALUE"""),45669.9709431134)</f>
        <v>45669.970943113403</v>
      </c>
      <c r="B399" s="5" t="str">
        <f ca="1">IFERROR(__xludf.DUMMYFUNCTION("""COMPUTED_VALUE"""),"745 Oxford Ave")</f>
        <v>745 Oxford Ave</v>
      </c>
      <c r="C399" s="5" t="str">
        <f ca="1">IFERROR(__xludf.DUMMYFUNCTION("""COMPUTED_VALUE"""),"Marina Del Rey")</f>
        <v>Marina Del Rey</v>
      </c>
      <c r="D399" s="5" t="str">
        <f ca="1">IFERROR(__xludf.DUMMYFUNCTION("""COMPUTED_VALUE"""),"CA")</f>
        <v>CA</v>
      </c>
      <c r="E399" s="5">
        <f ca="1">IFERROR(__xludf.DUMMYFUNCTION("""COMPUTED_VALUE"""),90292)</f>
        <v>90292</v>
      </c>
      <c r="F399" s="19">
        <f ca="1">IFERROR(__xludf.DUMMYFUNCTION("""COMPUTED_VALUE"""),9900)</f>
        <v>9900</v>
      </c>
      <c r="G399" s="19">
        <f ca="1">IFERROR(__xludf.DUMMYFUNCTION("""COMPUTED_VALUE"""),12900)</f>
        <v>12900</v>
      </c>
      <c r="H399" s="18">
        <f ca="1">IFERROR(__xludf.DUMMYFUNCTION("""COMPUTED_VALUE"""),45668)</f>
        <v>45668</v>
      </c>
      <c r="I399" s="5" t="str">
        <f ca="1">IFERROR(__xludf.DUMMYFUNCTION("""COMPUTED_VALUE"""),"Zillow")</f>
        <v>Zillow</v>
      </c>
      <c r="J399" s="25" t="str">
        <f ca="1">IFERROR(__xludf.DUMMYFUNCTION("""COMPUTED_VALUE"""),"https://www.zillow.com/homedetails/745-Oxford-Ave-Marina-Del-Rey-CA-90292/20445282_zpid/")</f>
        <v>https://www.zillow.com/homedetails/745-Oxford-Ave-Marina-Del-Rey-CA-90292/20445282_zpid/</v>
      </c>
      <c r="K399" s="5"/>
      <c r="L399" s="5" t="str">
        <f ca="1">IFERROR(__xludf.DUMMYFUNCTION("""COMPUTED_VALUE"""),"Rohin Bhasin")</f>
        <v>Rohin Bhasin</v>
      </c>
      <c r="M399" s="5"/>
      <c r="N399" s="26" t="str">
        <f ca="1">IFERROR(__xludf.DUMMYFUNCTION("""COMPUTED_VALUE"""),"https://drive.google.com/open?id=1DRr90Iq2Hpi34Lg2JvgIxmZ5SARVlOp1")</f>
        <v>https://drive.google.com/open?id=1DRr90Iq2Hpi34Lg2JvgIxmZ5SARVlOp1</v>
      </c>
      <c r="O399" s="5">
        <f ca="1">IFERROR(__xludf.DUMMYFUNCTION("""COMPUTED_VALUE"""),4229014069)</f>
        <v>4229014069</v>
      </c>
      <c r="P399" s="5"/>
      <c r="Q399" s="5"/>
      <c r="R399" s="5" t="str">
        <f ca="1">IFERROR(__xludf.DUMMYFUNCTION("""COMPUTED_VALUE"""),"(213) 300-3012")</f>
        <v>(213) 300-3012</v>
      </c>
      <c r="S399" s="5"/>
      <c r="T399" s="5"/>
    </row>
    <row r="400" spans="1:20" ht="12.75">
      <c r="A400" s="24">
        <f ca="1">IFERROR(__xludf.DUMMYFUNCTION("""COMPUTED_VALUE"""),45669.9726843518)</f>
        <v>45669.9726843518</v>
      </c>
      <c r="B400" s="5" t="str">
        <f ca="1">IFERROR(__xludf.DUMMYFUNCTION("""COMPUTED_VALUE"""),"1185 Corsica Dr")</f>
        <v>1185 Corsica Dr</v>
      </c>
      <c r="C400" s="5" t="str">
        <f ca="1">IFERROR(__xludf.DUMMYFUNCTION("""COMPUTED_VALUE"""),"Pacific Palisades")</f>
        <v>Pacific Palisades</v>
      </c>
      <c r="D400" s="5" t="str">
        <f ca="1">IFERROR(__xludf.DUMMYFUNCTION("""COMPUTED_VALUE"""),"CA")</f>
        <v>CA</v>
      </c>
      <c r="E400" s="5">
        <f ca="1">IFERROR(__xludf.DUMMYFUNCTION("""COMPUTED_VALUE"""),90272)</f>
        <v>90272</v>
      </c>
      <c r="F400" s="19">
        <f ca="1">IFERROR(__xludf.DUMMYFUNCTION("""COMPUTED_VALUE"""),40000)</f>
        <v>40000</v>
      </c>
      <c r="G400" s="19">
        <f ca="1">IFERROR(__xludf.DUMMYFUNCTION("""COMPUTED_VALUE"""),49500)</f>
        <v>49500</v>
      </c>
      <c r="H400" s="18">
        <f ca="1">IFERROR(__xludf.DUMMYFUNCTION("""COMPUTED_VALUE"""),45667)</f>
        <v>45667</v>
      </c>
      <c r="I400" s="5" t="str">
        <f ca="1">IFERROR(__xludf.DUMMYFUNCTION("""COMPUTED_VALUE"""),"Zillow")</f>
        <v>Zillow</v>
      </c>
      <c r="J400" s="25" t="str">
        <f ca="1">IFERROR(__xludf.DUMMYFUNCTION("""COMPUTED_VALUE"""),"https://www.zillow.com/homedetails/1185-Corsica-Dr-Pacific-Palisades-CA-90272/20538915_zpid/")</f>
        <v>https://www.zillow.com/homedetails/1185-Corsica-Dr-Pacific-Palisades-CA-90272/20538915_zpid/</v>
      </c>
      <c r="K400" s="5" t="str">
        <f ca="1">IFERROR(__xludf.DUMMYFUNCTION("""COMPUTED_VALUE"""),"Amir Zac Mostame Carolwood Estates")</f>
        <v>Amir Zac Mostame Carolwood Estates</v>
      </c>
      <c r="L400" s="5"/>
      <c r="M400" s="5" t="str">
        <f ca="1">IFERROR(__xludf.DUMMYFUNCTION("""COMPUTED_VALUE"""),"inside the evac zone???")</f>
        <v>inside the evac zone???</v>
      </c>
      <c r="N400" s="26" t="str">
        <f ca="1">IFERROR(__xludf.DUMMYFUNCTION("""COMPUTED_VALUE"""),"https://drive.google.com/open?id=1SEaIrNQHq4Qp3gOLE_-aVWDEDICAciIm")</f>
        <v>https://drive.google.com/open?id=1SEaIrNQHq4Qp3gOLE_-aVWDEDICAciIm</v>
      </c>
      <c r="O400" s="5">
        <f ca="1">IFERROR(__xludf.DUMMYFUNCTION("""COMPUTED_VALUE"""),4408005008)</f>
        <v>4408005008</v>
      </c>
      <c r="P400" s="5" t="str">
        <f ca="1">IFERROR(__xludf.DUMMYFUNCTION("""COMPUTED_VALUE"""),"(424) 527-8889")</f>
        <v>(424) 527-8889</v>
      </c>
      <c r="Q400" s="5"/>
      <c r="R400" s="5"/>
      <c r="S400" s="5"/>
      <c r="T400" s="5"/>
    </row>
    <row r="401" spans="1:20" ht="12.75">
      <c r="A401" s="24">
        <f ca="1">IFERROR(__xludf.DUMMYFUNCTION("""COMPUTED_VALUE"""),45669.9740160532)</f>
        <v>45669.974016053202</v>
      </c>
      <c r="B401" s="5" t="str">
        <f ca="1">IFERROR(__xludf.DUMMYFUNCTION("""COMPUTED_VALUE"""),"715 N Rexford Dr")</f>
        <v>715 N Rexford Dr</v>
      </c>
      <c r="C401" s="5" t="str">
        <f ca="1">IFERROR(__xludf.DUMMYFUNCTION("""COMPUTED_VALUE"""),"Beverly Hills")</f>
        <v>Beverly Hills</v>
      </c>
      <c r="D401" s="5" t="str">
        <f ca="1">IFERROR(__xludf.DUMMYFUNCTION("""COMPUTED_VALUE"""),"CA")</f>
        <v>CA</v>
      </c>
      <c r="E401" s="5">
        <f ca="1">IFERROR(__xludf.DUMMYFUNCTION("""COMPUTED_VALUE"""),90210)</f>
        <v>90210</v>
      </c>
      <c r="F401" s="19">
        <f ca="1">IFERROR(__xludf.DUMMYFUNCTION("""COMPUTED_VALUE"""),37500)</f>
        <v>37500</v>
      </c>
      <c r="G401" s="19">
        <f ca="1">IFERROR(__xludf.DUMMYFUNCTION("""COMPUTED_VALUE"""),55000)</f>
        <v>55000</v>
      </c>
      <c r="H401" s="18">
        <f ca="1">IFERROR(__xludf.DUMMYFUNCTION("""COMPUTED_VALUE"""),45669)</f>
        <v>45669</v>
      </c>
      <c r="I401" s="5" t="str">
        <f ca="1">IFERROR(__xludf.DUMMYFUNCTION("""COMPUTED_VALUE"""),"Zillow")</f>
        <v>Zillow</v>
      </c>
      <c r="J401" s="25" t="str">
        <f ca="1">IFERROR(__xludf.DUMMYFUNCTION("""COMPUTED_VALUE"""),"https://www.zillow.com/homedetails/715-N-Rexford-Dr-Beverly-Hills-CA-90210/20520993_zpid/")</f>
        <v>https://www.zillow.com/homedetails/715-N-Rexford-Dr-Beverly-Hills-CA-90210/20520993_zpid/</v>
      </c>
      <c r="K401" s="5" t="str">
        <f ca="1">IFERROR(__xludf.DUMMYFUNCTION("""COMPUTED_VALUE"""),"Luxury Property management LLC")</f>
        <v>Luxury Property management LLC</v>
      </c>
      <c r="L401" s="5"/>
      <c r="M401" s="5"/>
      <c r="N401" s="5" t="str">
        <f ca="1">IFERROR(__xludf.DUMMYFUNCTION("""COMPUTED_VALUE"""),"https://drive.google.com/open?id=1aJSFoHgN6VjjDo1nOP8_-k3DYM-sqUkz, https://drive.google.com/open?id=11wRvbtPNLTHl-eyZiWzX2EDwWuBzOl6G")</f>
        <v>https://drive.google.com/open?id=1aJSFoHgN6VjjDo1nOP8_-k3DYM-sqUkz, https://drive.google.com/open?id=11wRvbtPNLTHl-eyZiWzX2EDwWuBzOl6G</v>
      </c>
      <c r="O401" s="5">
        <f ca="1">IFERROR(__xludf.DUMMYFUNCTION("""COMPUTED_VALUE"""),4344003017)</f>
        <v>4344003017</v>
      </c>
      <c r="P401" s="5" t="str">
        <f ca="1">IFERROR(__xludf.DUMMYFUNCTION("""COMPUTED_VALUE"""),"(818) 620-4955")</f>
        <v>(818) 620-4955</v>
      </c>
      <c r="Q401" s="5"/>
      <c r="R401" s="5"/>
      <c r="S401" s="5"/>
      <c r="T401" s="5"/>
    </row>
    <row r="402" spans="1:20" ht="12.75">
      <c r="A402" s="24">
        <f ca="1">IFERROR(__xludf.DUMMYFUNCTION("""COMPUTED_VALUE"""),45669.9757263425)</f>
        <v>45669.975726342498</v>
      </c>
      <c r="B402" s="5" t="str">
        <f ca="1">IFERROR(__xludf.DUMMYFUNCTION("""COMPUTED_VALUE"""),"1802 Belmont Ln, ")</f>
        <v xml:space="preserve">1802 Belmont Ln, </v>
      </c>
      <c r="C402" s="5" t="str">
        <f ca="1">IFERROR(__xludf.DUMMYFUNCTION("""COMPUTED_VALUE"""),"Redondo Beach")</f>
        <v>Redondo Beach</v>
      </c>
      <c r="D402" s="5" t="str">
        <f ca="1">IFERROR(__xludf.DUMMYFUNCTION("""COMPUTED_VALUE"""),"CA")</f>
        <v>CA</v>
      </c>
      <c r="E402" s="5">
        <f ca="1">IFERROR(__xludf.DUMMYFUNCTION("""COMPUTED_VALUE"""),90278)</f>
        <v>90278</v>
      </c>
      <c r="F402" s="19">
        <f ca="1">IFERROR(__xludf.DUMMYFUNCTION("""COMPUTED_VALUE"""),5950)</f>
        <v>5950</v>
      </c>
      <c r="G402" s="19">
        <f ca="1">IFERROR(__xludf.DUMMYFUNCTION("""COMPUTED_VALUE"""),6450)</f>
        <v>6450</v>
      </c>
      <c r="H402" s="18">
        <f ca="1">IFERROR(__xludf.DUMMYFUNCTION("""COMPUTED_VALUE"""),45669)</f>
        <v>45669</v>
      </c>
      <c r="I402" s="5" t="str">
        <f ca="1">IFERROR(__xludf.DUMMYFUNCTION("""COMPUTED_VALUE"""),"Trulia")</f>
        <v>Trulia</v>
      </c>
      <c r="J402" s="25" t="str">
        <f ca="1">IFERROR(__xludf.DUMMYFUNCTION("""COMPUTED_VALUE"""),"https://www.trulia.com/home/1802-belmont-ln-redondo-beach-ca-90278-20410745?cid=shr%7Capp_ios_rental_phone%7Crent%7Cpdp_share")</f>
        <v>https://www.trulia.com/home/1802-belmont-ln-redondo-beach-ca-90278-20410745?cid=shr%7Capp_ios_rental_phone%7Crent%7Cpdp_share</v>
      </c>
      <c r="K402" s="5" t="str">
        <f ca="1">IFERROR(__xludf.DUMMYFUNCTION("""COMPUTED_VALUE"""),"SCVR")</f>
        <v>SCVR</v>
      </c>
      <c r="L402" s="5"/>
      <c r="M402" s="5"/>
      <c r="N402" s="26" t="str">
        <f ca="1">IFERROR(__xludf.DUMMYFUNCTION("""COMPUTED_VALUE"""),"https://drive.google.com/open?id=1HGAbctnFt1J3TdqX4pb3NHonroRCrwn5")</f>
        <v>https://drive.google.com/open?id=1HGAbctnFt1J3TdqX4pb3NHonroRCrwn5</v>
      </c>
      <c r="O402" s="5" t="str">
        <f ca="1">IFERROR(__xludf.DUMMYFUNCTION("""COMPUTED_VALUE"""),"NA")</f>
        <v>NA</v>
      </c>
      <c r="P402" s="5"/>
      <c r="Q402" s="5"/>
      <c r="R402" s="5"/>
      <c r="S402" s="5"/>
      <c r="T402" s="5"/>
    </row>
    <row r="403" spans="1:20" ht="12.75">
      <c r="A403" s="24">
        <f ca="1">IFERROR(__xludf.DUMMYFUNCTION("""COMPUTED_VALUE"""),45669.9773262384)</f>
        <v>45669.977326238397</v>
      </c>
      <c r="B403" s="5" t="str">
        <f ca="1">IFERROR(__xludf.DUMMYFUNCTION("""COMPUTED_VALUE"""),"190 Arroyo Ter APT 202")</f>
        <v>190 Arroyo Ter APT 202</v>
      </c>
      <c r="C403" s="5" t="str">
        <f ca="1">IFERROR(__xludf.DUMMYFUNCTION("""COMPUTED_VALUE"""),"Pasadena")</f>
        <v>Pasadena</v>
      </c>
      <c r="D403" s="5" t="str">
        <f ca="1">IFERROR(__xludf.DUMMYFUNCTION("""COMPUTED_VALUE"""),"CA")</f>
        <v>CA</v>
      </c>
      <c r="E403" s="5">
        <f ca="1">IFERROR(__xludf.DUMMYFUNCTION("""COMPUTED_VALUE"""),91103)</f>
        <v>91103</v>
      </c>
      <c r="F403" s="19">
        <f ca="1">IFERROR(__xludf.DUMMYFUNCTION("""COMPUTED_VALUE"""),3095)</f>
        <v>3095</v>
      </c>
      <c r="G403" s="19">
        <f ca="1">IFERROR(__xludf.DUMMYFUNCTION("""COMPUTED_VALUE"""),3995)</f>
        <v>3995</v>
      </c>
      <c r="H403" s="18">
        <f ca="1">IFERROR(__xludf.DUMMYFUNCTION("""COMPUTED_VALUE"""),45669)</f>
        <v>45669</v>
      </c>
      <c r="I403" s="5" t="str">
        <f ca="1">IFERROR(__xludf.DUMMYFUNCTION("""COMPUTED_VALUE"""),"Zillow")</f>
        <v>Zillow</v>
      </c>
      <c r="J403" s="25" t="str">
        <f ca="1">IFERROR(__xludf.DUMMYFUNCTION("""COMPUTED_VALUE"""),"https://www.zillow.com/homedetails/190-Arroyo-Ter-APT-202-Pasadena-CA-91103/20857668_zpid/")</f>
        <v>https://www.zillow.com/homedetails/190-Arroyo-Ter-APT-202-Pasadena-CA-91103/20857668_zpid/</v>
      </c>
      <c r="K403" s="5" t="str">
        <f ca="1">IFERROR(__xludf.DUMMYFUNCTION("""COMPUTED_VALUE"""),"Cornerstone R/E Management, Inc.  Management company")</f>
        <v>Cornerstone R/E Management, Inc.  Management company</v>
      </c>
      <c r="L403" s="5"/>
      <c r="M403" s="5"/>
      <c r="N403" s="5" t="str">
        <f ca="1">IFERROR(__xludf.DUMMYFUNCTION("""COMPUTED_VALUE"""),"https://drive.google.com/open?id=1PNTZ1pl71Cyv3TR2-d_jww1IBNreLlnw, https://drive.google.com/open?id=1qtt8RweUvz47Lhea2L30D4WVcdwF5crb")</f>
        <v>https://drive.google.com/open?id=1PNTZ1pl71Cyv3TR2-d_jww1IBNreLlnw, https://drive.google.com/open?id=1qtt8RweUvz47Lhea2L30D4WVcdwF5crb</v>
      </c>
      <c r="O403" s="5">
        <f ca="1">IFERROR(__xludf.DUMMYFUNCTION("""COMPUTED_VALUE"""),5711009034)</f>
        <v>5711009034</v>
      </c>
      <c r="P403" s="5" t="str">
        <f ca="1">IFERROR(__xludf.DUMMYFUNCTION("""COMPUTED_VALUE"""),"(626) 681-4880")</f>
        <v>(626) 681-4880</v>
      </c>
      <c r="Q403" s="5"/>
      <c r="R403" s="5"/>
      <c r="S403" s="5"/>
      <c r="T403" s="5"/>
    </row>
    <row r="404" spans="1:20" ht="12.75">
      <c r="A404" s="24">
        <f ca="1">IFERROR(__xludf.DUMMYFUNCTION("""COMPUTED_VALUE"""),45669.9776830902)</f>
        <v>45669.977683090197</v>
      </c>
      <c r="B404" s="5" t="str">
        <f ca="1">IFERROR(__xludf.DUMMYFUNCTION("""COMPUTED_VALUE"""),"1104 Casiano Rd")</f>
        <v>1104 Casiano Rd</v>
      </c>
      <c r="C404" s="5" t="str">
        <f ca="1">IFERROR(__xludf.DUMMYFUNCTION("""COMPUTED_VALUE"""),"Los Angeles")</f>
        <v>Los Angeles</v>
      </c>
      <c r="D404" s="5" t="str">
        <f ca="1">IFERROR(__xludf.DUMMYFUNCTION("""COMPUTED_VALUE"""),"CA")</f>
        <v>CA</v>
      </c>
      <c r="E404" s="5">
        <f ca="1">IFERROR(__xludf.DUMMYFUNCTION("""COMPUTED_VALUE"""),90049)</f>
        <v>90049</v>
      </c>
      <c r="F404" s="19">
        <f ca="1">IFERROR(__xludf.DUMMYFUNCTION("""COMPUTED_VALUE"""),8950)</f>
        <v>8950</v>
      </c>
      <c r="G404" s="19">
        <f ca="1">IFERROR(__xludf.DUMMYFUNCTION("""COMPUTED_VALUE"""),12500)</f>
        <v>12500</v>
      </c>
      <c r="H404" s="18">
        <f ca="1">IFERROR(__xludf.DUMMYFUNCTION("""COMPUTED_VALUE"""),45669)</f>
        <v>45669</v>
      </c>
      <c r="I404" s="5" t="str">
        <f ca="1">IFERROR(__xludf.DUMMYFUNCTION("""COMPUTED_VALUE"""),"Zillow")</f>
        <v>Zillow</v>
      </c>
      <c r="J404" s="25" t="str">
        <f ca="1">IFERROR(__xludf.DUMMYFUNCTION("""COMPUTED_VALUE"""),"https://www.zillow.com/homedetails/1104-Casiano-Rd-Los-Angeles-CA-90049/20528677_zpid/")</f>
        <v>https://www.zillow.com/homedetails/1104-Casiano-Rd-Los-Angeles-CA-90049/20528677_zpid/</v>
      </c>
      <c r="K404" s="5"/>
      <c r="L404" s="5" t="str">
        <f ca="1">IFERROR(__xludf.DUMMYFUNCTION("""COMPUTED_VALUE"""),"Dina Goldstein")</f>
        <v>Dina Goldstein</v>
      </c>
      <c r="M404" s="5"/>
      <c r="N404" s="26" t="str">
        <f ca="1">IFERROR(__xludf.DUMMYFUNCTION("""COMPUTED_VALUE"""),"https://drive.google.com/open?id=1-OSQ9jAhp-dgupf07uzTjXEra3e9OeJ9")</f>
        <v>https://drive.google.com/open?id=1-OSQ9jAhp-dgupf07uzTjXEra3e9OeJ9</v>
      </c>
      <c r="O404" s="5">
        <f ca="1">IFERROR(__xludf.DUMMYFUNCTION("""COMPUTED_VALUE"""),4368011012)</f>
        <v>4368011012</v>
      </c>
      <c r="P404" s="5"/>
      <c r="Q404" s="5"/>
      <c r="R404" s="5" t="str">
        <f ca="1">IFERROR(__xludf.DUMMYFUNCTION("""COMPUTED_VALUE"""),"(310) 508-5563")</f>
        <v>(310) 508-5563</v>
      </c>
      <c r="S404" s="5"/>
      <c r="T404" s="5"/>
    </row>
    <row r="405" spans="1:20" ht="12.75">
      <c r="A405" s="24">
        <f ca="1">IFERROR(__xludf.DUMMYFUNCTION("""COMPUTED_VALUE"""),45669.9795053009)</f>
        <v>45669.9795053009</v>
      </c>
      <c r="B405" s="5" t="str">
        <f ca="1">IFERROR(__xludf.DUMMYFUNCTION("""COMPUTED_VALUE"""),"1815 Oak View Ln")</f>
        <v>1815 Oak View Ln</v>
      </c>
      <c r="C405" s="5" t="str">
        <f ca="1">IFERROR(__xludf.DUMMYFUNCTION("""COMPUTED_VALUE"""),"Arcadia")</f>
        <v>Arcadia</v>
      </c>
      <c r="D405" s="5" t="str">
        <f ca="1">IFERROR(__xludf.DUMMYFUNCTION("""COMPUTED_VALUE"""),"CA")</f>
        <v>CA</v>
      </c>
      <c r="E405" s="5">
        <f ca="1">IFERROR(__xludf.DUMMYFUNCTION("""COMPUTED_VALUE"""),91006)</f>
        <v>91006</v>
      </c>
      <c r="F405" s="19">
        <f ca="1">IFERROR(__xludf.DUMMYFUNCTION("""COMPUTED_VALUE"""),4500)</f>
        <v>4500</v>
      </c>
      <c r="G405" s="19">
        <f ca="1">IFERROR(__xludf.DUMMYFUNCTION("""COMPUTED_VALUE"""),5900)</f>
        <v>5900</v>
      </c>
      <c r="H405" s="18">
        <f ca="1">IFERROR(__xludf.DUMMYFUNCTION("""COMPUTED_VALUE"""),45669)</f>
        <v>45669</v>
      </c>
      <c r="I405" s="5" t="str">
        <f ca="1">IFERROR(__xludf.DUMMYFUNCTION("""COMPUTED_VALUE"""),"Zillow")</f>
        <v>Zillow</v>
      </c>
      <c r="J405" s="25" t="str">
        <f ca="1">IFERROR(__xludf.DUMMYFUNCTION("""COMPUTED_VALUE"""),"https://www.zillow.com/homedetails/1815-Oak-View-Ln-Arcadia-CA-91006/20883953_zpid/")</f>
        <v>https://www.zillow.com/homedetails/1815-Oak-View-Ln-Arcadia-CA-91006/20883953_zpid/</v>
      </c>
      <c r="K405" s="5"/>
      <c r="L405" s="5" t="str">
        <f ca="1">IFERROR(__xludf.DUMMYFUNCTION("""COMPUTED_VALUE"""),"Beini Mo")</f>
        <v>Beini Mo</v>
      </c>
      <c r="M405" s="5"/>
      <c r="N405" s="5" t="str">
        <f ca="1">IFERROR(__xludf.DUMMYFUNCTION("""COMPUTED_VALUE"""),"https://drive.google.com/open?id=1zjvYgCbs-3AWOV7SLq5djtZinX1LLn1I, https://drive.google.com/open?id=10npF0xEWHUYra_67qKBXIYWmGzZdxwHg")</f>
        <v>https://drive.google.com/open?id=1zjvYgCbs-3AWOV7SLq5djtZinX1LLn1I, https://drive.google.com/open?id=10npF0xEWHUYra_67qKBXIYWmGzZdxwHg</v>
      </c>
      <c r="O405" s="5">
        <f ca="1">IFERROR(__xludf.DUMMYFUNCTION("""COMPUTED_VALUE"""),5766006019)</f>
        <v>5766006019</v>
      </c>
      <c r="P405" s="5"/>
      <c r="Q405" s="5"/>
      <c r="R405" s="5" t="str">
        <f ca="1">IFERROR(__xludf.DUMMYFUNCTION("""COMPUTED_VALUE"""),"(626) 684-7439")</f>
        <v>(626) 684-7439</v>
      </c>
      <c r="S405" s="5"/>
      <c r="T405" s="5"/>
    </row>
    <row r="406" spans="1:20" ht="12.75">
      <c r="A406" s="24">
        <f ca="1">IFERROR(__xludf.DUMMYFUNCTION("""COMPUTED_VALUE"""),45669.979956875)</f>
        <v>45669.979956875002</v>
      </c>
      <c r="B406" s="5" t="str">
        <f ca="1">IFERROR(__xludf.DUMMYFUNCTION("""COMPUTED_VALUE"""),"1931 Nelson Ave")</f>
        <v>1931 Nelson Ave</v>
      </c>
      <c r="C406" s="5" t="str">
        <f ca="1">IFERROR(__xludf.DUMMYFUNCTION("""COMPUTED_VALUE"""),"Redondo Beach")</f>
        <v>Redondo Beach</v>
      </c>
      <c r="D406" s="5" t="str">
        <f ca="1">IFERROR(__xludf.DUMMYFUNCTION("""COMPUTED_VALUE"""),"CA")</f>
        <v>CA</v>
      </c>
      <c r="E406" s="5">
        <f ca="1">IFERROR(__xludf.DUMMYFUNCTION("""COMPUTED_VALUE"""),90278)</f>
        <v>90278</v>
      </c>
      <c r="F406" s="19">
        <f ca="1">IFERROR(__xludf.DUMMYFUNCTION("""COMPUTED_VALUE"""),7400)</f>
        <v>7400</v>
      </c>
      <c r="G406" s="19">
        <f ca="1">IFERROR(__xludf.DUMMYFUNCTION("""COMPUTED_VALUE"""),8200)</f>
        <v>8200</v>
      </c>
      <c r="H406" s="18">
        <f ca="1">IFERROR(__xludf.DUMMYFUNCTION("""COMPUTED_VALUE"""),45669)</f>
        <v>45669</v>
      </c>
      <c r="I406" s="5" t="str">
        <f ca="1">IFERROR(__xludf.DUMMYFUNCTION("""COMPUTED_VALUE"""),"Trulia")</f>
        <v>Trulia</v>
      </c>
      <c r="J406" s="25" t="str">
        <f ca="1">IFERROR(__xludf.DUMMYFUNCTION("""COMPUTED_VALUE"""),"https://www.trulia.com/home/1931-nelson-ave-redondo-beach-ca-90278-2061986612?cid=shr%7Capp_ios_rental_phone%7Crent%7Cpdp_share")</f>
        <v>https://www.trulia.com/home/1931-nelson-ave-redondo-beach-ca-90278-2061986612?cid=shr%7Capp_ios_rental_phone%7Crent%7Cpdp_share</v>
      </c>
      <c r="K406" s="5" t="str">
        <f ca="1">IFERROR(__xludf.DUMMYFUNCTION("""COMPUTED_VALUE"""),"Maya Brewer")</f>
        <v>Maya Brewer</v>
      </c>
      <c r="L406" s="5"/>
      <c r="M406" s="5"/>
      <c r="N406" s="26" t="str">
        <f ca="1">IFERROR(__xludf.DUMMYFUNCTION("""COMPUTED_VALUE"""),"https://drive.google.com/open?id=1XaJT_1-1vdKGWwStln1D3hty2nIlsuFg")</f>
        <v>https://drive.google.com/open?id=1XaJT_1-1vdKGWwStln1D3hty2nIlsuFg</v>
      </c>
      <c r="O406" s="5" t="str">
        <f ca="1">IFERROR(__xludf.DUMMYFUNCTION("""COMPUTED_VALUE"""),"NA")</f>
        <v>NA</v>
      </c>
      <c r="P406" s="5"/>
      <c r="Q406" s="5"/>
      <c r="R406" s="5"/>
      <c r="S406" s="5"/>
      <c r="T406" s="5"/>
    </row>
    <row r="407" spans="1:20" ht="12.75">
      <c r="A407" s="24">
        <f ca="1">IFERROR(__xludf.DUMMYFUNCTION("""COMPUTED_VALUE"""),45669.981057662)</f>
        <v>45669.981057662</v>
      </c>
      <c r="B407" s="5" t="str">
        <f ca="1">IFERROR(__xludf.DUMMYFUNCTION("""COMPUTED_VALUE"""),"(Undisclosed Address)")</f>
        <v>(Undisclosed Address)</v>
      </c>
      <c r="C407" s="5" t="str">
        <f ca="1">IFERROR(__xludf.DUMMYFUNCTION("""COMPUTED_VALUE"""),"Burbank")</f>
        <v>Burbank</v>
      </c>
      <c r="D407" s="5" t="str">
        <f ca="1">IFERROR(__xludf.DUMMYFUNCTION("""COMPUTED_VALUE"""),"CA")</f>
        <v>CA</v>
      </c>
      <c r="E407" s="5">
        <f ca="1">IFERROR(__xludf.DUMMYFUNCTION("""COMPUTED_VALUE"""),91505)</f>
        <v>91505</v>
      </c>
      <c r="F407" s="19">
        <f ca="1">IFERROR(__xludf.DUMMYFUNCTION("""COMPUTED_VALUE"""),14950)</f>
        <v>14950</v>
      </c>
      <c r="G407" s="19">
        <f ca="1">IFERROR(__xludf.DUMMYFUNCTION("""COMPUTED_VALUE"""),19750)</f>
        <v>19750</v>
      </c>
      <c r="H407" s="18">
        <f ca="1">IFERROR(__xludf.DUMMYFUNCTION("""COMPUTED_VALUE"""),45665)</f>
        <v>45665</v>
      </c>
      <c r="I407" s="5" t="str">
        <f ca="1">IFERROR(__xludf.DUMMYFUNCTION("""COMPUTED_VALUE"""),"Zillow")</f>
        <v>Zillow</v>
      </c>
      <c r="J407" s="25" t="str">
        <f ca="1">IFERROR(__xludf.DUMMYFUNCTION("""COMPUTED_VALUE"""),"https://www.zillow.com/homedetails/Burbank-CA-91505/20062811_zpid/")</f>
        <v>https://www.zillow.com/homedetails/Burbank-CA-91505/20062811_zpid/</v>
      </c>
      <c r="K407" s="5" t="str">
        <f ca="1">IFERROR(__xludf.DUMMYFUNCTION("""COMPUTED_VALUE"""),"unknown")</f>
        <v>unknown</v>
      </c>
      <c r="L407" s="5"/>
      <c r="M407" s="5"/>
      <c r="N407" s="26" t="str">
        <f ca="1">IFERROR(__xludf.DUMMYFUNCTION("""COMPUTED_VALUE"""),"https://drive.google.com/open?id=1pM3ZPZnV-myvZbEfiT3yWRcjfMaovx-w")</f>
        <v>https://drive.google.com/open?id=1pM3ZPZnV-myvZbEfiT3yWRcjfMaovx-w</v>
      </c>
      <c r="O407" s="5" t="str">
        <f ca="1">IFERROR(__xludf.DUMMYFUNCTION("""COMPUTED_VALUE"""),"NA")</f>
        <v>NA</v>
      </c>
      <c r="P407" s="5" t="str">
        <f ca="1">IFERROR(__xludf.DUMMYFUNCTION("""COMPUTED_VALUE"""),"unknown")</f>
        <v>unknown</v>
      </c>
      <c r="Q407" s="5"/>
      <c r="R407" s="5"/>
      <c r="S407" s="5"/>
      <c r="T407" s="5"/>
    </row>
    <row r="408" spans="1:20" ht="12.75">
      <c r="A408" s="24">
        <f ca="1">IFERROR(__xludf.DUMMYFUNCTION("""COMPUTED_VALUE"""),45669.9819943981)</f>
        <v>45669.981994398098</v>
      </c>
      <c r="B408" s="5" t="str">
        <f ca="1">IFERROR(__xludf.DUMMYFUNCTION("""COMPUTED_VALUE"""),"592 30th St, ")</f>
        <v xml:space="preserve">592 30th St, </v>
      </c>
      <c r="C408" s="5" t="str">
        <f ca="1">IFERROR(__xludf.DUMMYFUNCTION("""COMPUTED_VALUE"""),"Manhattan Beach")</f>
        <v>Manhattan Beach</v>
      </c>
      <c r="D408" s="5" t="str">
        <f ca="1">IFERROR(__xludf.DUMMYFUNCTION("""COMPUTED_VALUE"""),"CA")</f>
        <v>CA</v>
      </c>
      <c r="E408" s="5">
        <f ca="1">IFERROR(__xludf.DUMMYFUNCTION("""COMPUTED_VALUE"""),90266)</f>
        <v>90266</v>
      </c>
      <c r="F408" s="19">
        <f ca="1">IFERROR(__xludf.DUMMYFUNCTION("""COMPUTED_VALUE"""),25000)</f>
        <v>25000</v>
      </c>
      <c r="G408" s="19">
        <f ca="1">IFERROR(__xludf.DUMMYFUNCTION("""COMPUTED_VALUE"""),35000)</f>
        <v>35000</v>
      </c>
      <c r="H408" s="18">
        <f ca="1">IFERROR(__xludf.DUMMYFUNCTION("""COMPUTED_VALUE"""),45668)</f>
        <v>45668</v>
      </c>
      <c r="I408" s="5" t="str">
        <f ca="1">IFERROR(__xludf.DUMMYFUNCTION("""COMPUTED_VALUE"""),"Trulia")</f>
        <v>Trulia</v>
      </c>
      <c r="J408" s="25" t="str">
        <f ca="1">IFERROR(__xludf.DUMMYFUNCTION("""COMPUTED_VALUE"""),"https://www.trulia.com/home/592-30th-st-manhattan-beach-ca-90266-20420685?cid=shr%7Capp_ios_rental_phone%7Crent%7Cpdp_share")</f>
        <v>https://www.trulia.com/home/592-30th-st-manhattan-beach-ca-90266-20420685?cid=shr%7Capp_ios_rental_phone%7Crent%7Cpdp_share</v>
      </c>
      <c r="K408" s="5" t="str">
        <f ca="1">IFERROR(__xludf.DUMMYFUNCTION("""COMPUTED_VALUE"""),"Yana Beranek")</f>
        <v>Yana Beranek</v>
      </c>
      <c r="L408" s="5"/>
      <c r="M408" s="5"/>
      <c r="N408" s="26" t="str">
        <f ca="1">IFERROR(__xludf.DUMMYFUNCTION("""COMPUTED_VALUE"""),"https://drive.google.com/open?id=1WKmzFPUehSrJx6E4dQib0edWutRXTf1V")</f>
        <v>https://drive.google.com/open?id=1WKmzFPUehSrJx6E4dQib0edWutRXTf1V</v>
      </c>
      <c r="O408" s="5" t="str">
        <f ca="1">IFERROR(__xludf.DUMMYFUNCTION("""COMPUTED_VALUE"""),"NA")</f>
        <v>NA</v>
      </c>
      <c r="P408" s="5"/>
      <c r="Q408" s="5"/>
      <c r="R408" s="5"/>
      <c r="S408" s="5"/>
      <c r="T408" s="5"/>
    </row>
    <row r="409" spans="1:20" ht="12.75">
      <c r="A409" s="24">
        <f ca="1">IFERROR(__xludf.DUMMYFUNCTION("""COMPUTED_VALUE"""),45669.9881728819)</f>
        <v>45669.988172881902</v>
      </c>
      <c r="B409" s="5" t="str">
        <f ca="1">IFERROR(__xludf.DUMMYFUNCTION("""COMPUTED_VALUE"""),"1302 N Gardner St")</f>
        <v>1302 N Gardner St</v>
      </c>
      <c r="C409" s="5" t="str">
        <f ca="1">IFERROR(__xludf.DUMMYFUNCTION("""COMPUTED_VALUE"""),"Los Angeles")</f>
        <v>Los Angeles</v>
      </c>
      <c r="D409" s="5" t="str">
        <f ca="1">IFERROR(__xludf.DUMMYFUNCTION("""COMPUTED_VALUE"""),"CA")</f>
        <v>CA</v>
      </c>
      <c r="E409" s="5">
        <f ca="1">IFERROR(__xludf.DUMMYFUNCTION("""COMPUTED_VALUE"""),90046)</f>
        <v>90046</v>
      </c>
      <c r="F409" s="19">
        <f ca="1">IFERROR(__xludf.DUMMYFUNCTION("""COMPUTED_VALUE"""),3300)</f>
        <v>3300</v>
      </c>
      <c r="G409" s="19">
        <f ca="1">IFERROR(__xludf.DUMMYFUNCTION("""COMPUTED_VALUE"""),4500)</f>
        <v>4500</v>
      </c>
      <c r="H409" s="18">
        <f ca="1">IFERROR(__xludf.DUMMYFUNCTION("""COMPUTED_VALUE"""),45669)</f>
        <v>45669</v>
      </c>
      <c r="I409" s="5" t="str">
        <f ca="1">IFERROR(__xludf.DUMMYFUNCTION("""COMPUTED_VALUE"""),"Zillow")</f>
        <v>Zillow</v>
      </c>
      <c r="J409" s="25" t="str">
        <f ca="1">IFERROR(__xludf.DUMMYFUNCTION("""COMPUTED_VALUE"""),"https://www.zillow.com/homedetails/1302-N-Gardner-St-Los-Angeles-CA-90046/2060162532_zpid/")</f>
        <v>https://www.zillow.com/homedetails/1302-N-Gardner-St-Los-Angeles-CA-90046/2060162532_zpid/</v>
      </c>
      <c r="K409" s="5"/>
      <c r="L409" s="5" t="str">
        <f ca="1">IFERROR(__xludf.DUMMYFUNCTION("""COMPUTED_VALUE"""),"Jon")</f>
        <v>Jon</v>
      </c>
      <c r="M409" s="5"/>
      <c r="N409" s="5" t="str">
        <f ca="1">IFERROR(__xludf.DUMMYFUNCTION("""COMPUTED_VALUE"""),"https://drive.google.com/open?id=1gyWbjEnmPtUym47R4uMlrBxmajmrdZxB, https://drive.google.com/open?id=1y61B2_YaIJ7sdiYrDVZLDltWpBwlEao2")</f>
        <v>https://drive.google.com/open?id=1gyWbjEnmPtUym47R4uMlrBxmajmrdZxB, https://drive.google.com/open?id=1y61B2_YaIJ7sdiYrDVZLDltWpBwlEao2</v>
      </c>
      <c r="O409" s="5" t="str">
        <f ca="1">IFERROR(__xludf.DUMMYFUNCTION("""COMPUTED_VALUE"""),"NA")</f>
        <v>NA</v>
      </c>
      <c r="P409" s="5"/>
      <c r="Q409" s="5"/>
      <c r="R409" s="5" t="str">
        <f ca="1">IFERROR(__xludf.DUMMYFUNCTION("""COMPUTED_VALUE"""),"(818) 269-0978")</f>
        <v>(818) 269-0978</v>
      </c>
      <c r="S409" s="5"/>
      <c r="T409" s="5"/>
    </row>
    <row r="410" spans="1:20" ht="12.75">
      <c r="A410" s="24">
        <f ca="1">IFERROR(__xludf.DUMMYFUNCTION("""COMPUTED_VALUE"""),45670.2054865972)</f>
        <v>45670.205486597202</v>
      </c>
      <c r="B410" s="5" t="str">
        <f ca="1">IFERROR(__xludf.DUMMYFUNCTION("""COMPUTED_VALUE"""),"241 Rees street")</f>
        <v>241 Rees street</v>
      </c>
      <c r="C410" s="5" t="str">
        <f ca="1">IFERROR(__xludf.DUMMYFUNCTION("""COMPUTED_VALUE"""),"Playa del rey")</f>
        <v>Playa del rey</v>
      </c>
      <c r="D410" s="5" t="str">
        <f ca="1">IFERROR(__xludf.DUMMYFUNCTION("""COMPUTED_VALUE"""),"CA")</f>
        <v>CA</v>
      </c>
      <c r="E410" s="5">
        <f ca="1">IFERROR(__xludf.DUMMYFUNCTION("""COMPUTED_VALUE"""),90293)</f>
        <v>90293</v>
      </c>
      <c r="F410" s="19">
        <f ca="1">IFERROR(__xludf.DUMMYFUNCTION("""COMPUTED_VALUE"""),4000)</f>
        <v>4000</v>
      </c>
      <c r="G410" s="19">
        <f ca="1">IFERROR(__xludf.DUMMYFUNCTION("""COMPUTED_VALUE"""),12000)</f>
        <v>12000</v>
      </c>
      <c r="H410" s="18">
        <f ca="1">IFERROR(__xludf.DUMMYFUNCTION("""COMPUTED_VALUE"""),45668)</f>
        <v>45668</v>
      </c>
      <c r="I410" s="5" t="str">
        <f ca="1">IFERROR(__xludf.DUMMYFUNCTION("""COMPUTED_VALUE"""),"Zillow")</f>
        <v>Zillow</v>
      </c>
      <c r="J410" s="25" t="str">
        <f ca="1">IFERROR(__xludf.DUMMYFUNCTION("""COMPUTED_VALUE"""),"https://www.zillow.com/homedetails/241-Rees-St-Playa-Del-Rey-CA-90293/20386149_zpid/?utm_campaign=iosappmessage&amp;utm_medium=referral&amp;utm_source=txtshare")</f>
        <v>https://www.zillow.com/homedetails/241-Rees-St-Playa-Del-Rey-CA-90293/20386149_zpid/?utm_campaign=iosappmessage&amp;utm_medium=referral&amp;utm_source=txtshare</v>
      </c>
      <c r="K410" s="5" t="str">
        <f ca="1">IFERROR(__xludf.DUMMYFUNCTION("""COMPUTED_VALUE"""),"Kimberly kessler")</f>
        <v>Kimberly kessler</v>
      </c>
      <c r="L410" s="5"/>
      <c r="M410" s="5"/>
      <c r="N410" s="5" t="str">
        <f ca="1">IFERROR(__xludf.DUMMYFUNCTION("""COMPUTED_VALUE"""),"https://drive.google.com/open?id=1TwNNXBLJBLw9ZvytFuUtA2EQWzsgW96H, https://drive.google.com/open?id=1h0EB3zyiANPuZ2CK0JA2UFiCu_B7pio_")</f>
        <v>https://drive.google.com/open?id=1TwNNXBLJBLw9ZvytFuUtA2EQWzsgW96H, https://drive.google.com/open?id=1h0EB3zyiANPuZ2CK0JA2UFiCu_B7pio_</v>
      </c>
      <c r="O410" s="5">
        <f ca="1">IFERROR(__xludf.DUMMYFUNCTION("""COMPUTED_VALUE"""),4116014007)</f>
        <v>4116014007</v>
      </c>
      <c r="P410" s="5">
        <f ca="1">IFERROR(__xludf.DUMMYFUNCTION("""COMPUTED_VALUE"""),3109224626)</f>
        <v>3109224626</v>
      </c>
      <c r="Q410" s="5"/>
      <c r="R410" s="5"/>
      <c r="S410" s="5"/>
      <c r="T410" s="5"/>
    </row>
    <row r="411" spans="1:20" ht="12.75">
      <c r="A411" s="24">
        <f ca="1">IFERROR(__xludf.DUMMYFUNCTION("""COMPUTED_VALUE"""),45670.2949817013)</f>
        <v>45670.2949817013</v>
      </c>
      <c r="B411" s="5" t="str">
        <f ca="1">IFERROR(__xludf.DUMMYFUNCTION("""COMPUTED_VALUE"""),"917 S Berendo St #401")</f>
        <v>917 S Berendo St #401</v>
      </c>
      <c r="C411" s="5" t="str">
        <f ca="1">IFERROR(__xludf.DUMMYFUNCTION("""COMPUTED_VALUE"""),"Los Angeles ")</f>
        <v xml:space="preserve">Los Angeles </v>
      </c>
      <c r="D411" s="5" t="str">
        <f ca="1">IFERROR(__xludf.DUMMYFUNCTION("""COMPUTED_VALUE"""),"CA")</f>
        <v>CA</v>
      </c>
      <c r="E411" s="5">
        <f ca="1">IFERROR(__xludf.DUMMYFUNCTION("""COMPUTED_VALUE"""),90006)</f>
        <v>90006</v>
      </c>
      <c r="F411" s="19">
        <f ca="1">IFERROR(__xludf.DUMMYFUNCTION("""COMPUTED_VALUE"""),3200)</f>
        <v>3200</v>
      </c>
      <c r="G411" s="19">
        <f ca="1">IFERROR(__xludf.DUMMYFUNCTION("""COMPUTED_VALUE"""),5400)</f>
        <v>5400</v>
      </c>
      <c r="H411" s="18">
        <f ca="1">IFERROR(__xludf.DUMMYFUNCTION("""COMPUTED_VALUE"""),45668)</f>
        <v>45668</v>
      </c>
      <c r="I411" s="5" t="str">
        <f ca="1">IFERROR(__xludf.DUMMYFUNCTION("""COMPUTED_VALUE"""),"Zillow")</f>
        <v>Zillow</v>
      </c>
      <c r="J411" s="25" t="str">
        <f ca="1">IFERROR(__xludf.DUMMYFUNCTION("""COMPUTED_VALUE"""),"https://www.zillow.com/homedetails/917-S-Berendo-St-401-Los-Angeles-CA-90006/2056259359_zpid/?utm_campaign=iosappmessage&amp;utm_medium=referral&amp;utm_source=txtshare")</f>
        <v>https://www.zillow.com/homedetails/917-S-Berendo-St-401-Los-Angeles-CA-90006/2056259359_zpid/?utm_campaign=iosappmessage&amp;utm_medium=referral&amp;utm_source=txtshare</v>
      </c>
      <c r="K411" s="5" t="str">
        <f ca="1">IFERROR(__xludf.DUMMYFUNCTION("""COMPUTED_VALUE"""),"Akiva ")</f>
        <v xml:space="preserve">Akiva </v>
      </c>
      <c r="L411" s="5"/>
      <c r="M411" s="5"/>
      <c r="N411" s="26" t="str">
        <f ca="1">IFERROR(__xludf.DUMMYFUNCTION("""COMPUTED_VALUE"""),"https://drive.google.com/open?id=1mXNDyBNvv-dMObjSsNqe7KkOouFF6hKG")</f>
        <v>https://drive.google.com/open?id=1mXNDyBNvv-dMObjSsNqe7KkOouFF6hKG</v>
      </c>
      <c r="O411" s="5" t="str">
        <f ca="1">IFERROR(__xludf.DUMMYFUNCTION("""COMPUTED_VALUE"""),"NA")</f>
        <v>NA</v>
      </c>
      <c r="P411" s="5" t="str">
        <f ca="1">IFERROR(__xludf.DUMMYFUNCTION("""COMPUTED_VALUE"""),"(213) 616-9536")</f>
        <v>(213) 616-9536</v>
      </c>
      <c r="Q411" s="5"/>
      <c r="R411" s="5"/>
      <c r="S411" s="5"/>
      <c r="T411" s="5"/>
    </row>
    <row r="412" spans="1:20" ht="12.75">
      <c r="A412" s="24">
        <f ca="1">IFERROR(__xludf.DUMMYFUNCTION("""COMPUTED_VALUE"""),45670.3006875462)</f>
        <v>45670.300687546202</v>
      </c>
      <c r="B412" s="5" t="str">
        <f ca="1">IFERROR(__xludf.DUMMYFUNCTION("""COMPUTED_VALUE"""),"724 S Gramercy Dr")</f>
        <v>724 S Gramercy Dr</v>
      </c>
      <c r="C412" s="5" t="str">
        <f ca="1">IFERROR(__xludf.DUMMYFUNCTION("""COMPUTED_VALUE"""),"Los Angeles ")</f>
        <v xml:space="preserve">Los Angeles </v>
      </c>
      <c r="D412" s="5" t="str">
        <f ca="1">IFERROR(__xludf.DUMMYFUNCTION("""COMPUTED_VALUE"""),"CA")</f>
        <v>CA</v>
      </c>
      <c r="E412" s="5">
        <f ca="1">IFERROR(__xludf.DUMMYFUNCTION("""COMPUTED_VALUE"""),90005)</f>
        <v>90005</v>
      </c>
      <c r="F412" s="19">
        <f ca="1">IFERROR(__xludf.DUMMYFUNCTION("""COMPUTED_VALUE"""),5200)</f>
        <v>5200</v>
      </c>
      <c r="G412" s="19">
        <f ca="1">IFERROR(__xludf.DUMMYFUNCTION("""COMPUTED_VALUE"""),5800)</f>
        <v>5800</v>
      </c>
      <c r="H412" s="18">
        <f ca="1">IFERROR(__xludf.DUMMYFUNCTION("""COMPUTED_VALUE"""),45670)</f>
        <v>45670</v>
      </c>
      <c r="I412" s="5" t="str">
        <f ca="1">IFERROR(__xludf.DUMMYFUNCTION("""COMPUTED_VALUE"""),"Zillow")</f>
        <v>Zillow</v>
      </c>
      <c r="J412" s="25" t="str">
        <f ca="1">IFERROR(__xludf.DUMMYFUNCTION("""COMPUTED_VALUE"""),"https://www.zillow.com/homedetails/724-S-Gramercy-Dr-Los-Angeles-CA-90005/2070015636_zpid/?utm_campaign=iosappmessage&amp;utm_medium=referral&amp;utm_source=txtshare")</f>
        <v>https://www.zillow.com/homedetails/724-S-Gramercy-Dr-Los-Angeles-CA-90005/2070015636_zpid/?utm_campaign=iosappmessage&amp;utm_medium=referral&amp;utm_source=txtshare</v>
      </c>
      <c r="K412" s="5"/>
      <c r="L412" s="5" t="str">
        <f ca="1">IFERROR(__xludf.DUMMYFUNCTION("""COMPUTED_VALUE"""),"Amber Tarshis")</f>
        <v>Amber Tarshis</v>
      </c>
      <c r="M412" s="5"/>
      <c r="N412" s="26" t="str">
        <f ca="1">IFERROR(__xludf.DUMMYFUNCTION("""COMPUTED_VALUE"""),"https://drive.google.com/open?id=1zLWR6UB-X-Lkisyzd6O0WBVgTrXvSd3N")</f>
        <v>https://drive.google.com/open?id=1zLWR6UB-X-Lkisyzd6O0WBVgTrXvSd3N</v>
      </c>
      <c r="O412" s="5" t="str">
        <f ca="1">IFERROR(__xludf.DUMMYFUNCTION("""COMPUTED_VALUE"""),"NA")</f>
        <v>NA</v>
      </c>
      <c r="P412" s="5"/>
      <c r="Q412" s="5"/>
      <c r="R412" s="5" t="str">
        <f ca="1">IFERROR(__xludf.DUMMYFUNCTION("""COMPUTED_VALUE"""),"213-583-4229")</f>
        <v>213-583-4229</v>
      </c>
      <c r="S412" s="5"/>
      <c r="T412" s="5"/>
    </row>
    <row r="413" spans="1:20" ht="12.75">
      <c r="A413" s="24">
        <f ca="1">IFERROR(__xludf.DUMMYFUNCTION("""COMPUTED_VALUE"""),45670.354452824)</f>
        <v>45670.354452824002</v>
      </c>
      <c r="B413" s="5" t="str">
        <f ca="1">IFERROR(__xludf.DUMMYFUNCTION("""COMPUTED_VALUE"""),"8038 Blackburn Ave #7")</f>
        <v>8038 Blackburn Ave #7</v>
      </c>
      <c r="C413" s="5" t="str">
        <f ca="1">IFERROR(__xludf.DUMMYFUNCTION("""COMPUTED_VALUE"""),"Los Angeles")</f>
        <v>Los Angeles</v>
      </c>
      <c r="D413" s="5" t="str">
        <f ca="1">IFERROR(__xludf.DUMMYFUNCTION("""COMPUTED_VALUE"""),"CA")</f>
        <v>CA</v>
      </c>
      <c r="E413" s="5">
        <f ca="1">IFERROR(__xludf.DUMMYFUNCTION("""COMPUTED_VALUE"""),90048)</f>
        <v>90048</v>
      </c>
      <c r="F413" s="19">
        <f ca="1">IFERROR(__xludf.DUMMYFUNCTION("""COMPUTED_VALUE"""),2500)</f>
        <v>2500</v>
      </c>
      <c r="G413" s="19">
        <f ca="1">IFERROR(__xludf.DUMMYFUNCTION("""COMPUTED_VALUE"""),3500)</f>
        <v>3500</v>
      </c>
      <c r="H413" s="18">
        <f ca="1">IFERROR(__xludf.DUMMYFUNCTION("""COMPUTED_VALUE"""),45669)</f>
        <v>45669</v>
      </c>
      <c r="I413" s="5" t="str">
        <f ca="1">IFERROR(__xludf.DUMMYFUNCTION("""COMPUTED_VALUE"""),"Zillow")</f>
        <v>Zillow</v>
      </c>
      <c r="J413" s="25" t="str">
        <f ca="1">IFERROR(__xludf.DUMMYFUNCTION("""COMPUTED_VALUE"""),"https://www.zillow.com/homedetails/8038-Blackburn-Ave-7-Los-Angeles-CA-90048/2067901955_zpid/")</f>
        <v>https://www.zillow.com/homedetails/8038-Blackburn-Ave-7-Los-Angeles-CA-90048/2067901955_zpid/</v>
      </c>
      <c r="K413" s="5"/>
      <c r="L413" s="5" t="str">
        <f ca="1">IFERROR(__xludf.DUMMYFUNCTION("""COMPUTED_VALUE"""),"listed by management company - Sara")</f>
        <v>listed by management company - Sara</v>
      </c>
      <c r="M413" s="5"/>
      <c r="N413" s="26" t="str">
        <f ca="1">IFERROR(__xludf.DUMMYFUNCTION("""COMPUTED_VALUE"""),"https://drive.google.com/open?id=1jjrFVIhD3jOep7bXXqMTcWy1OZtIyEKl")</f>
        <v>https://drive.google.com/open?id=1jjrFVIhD3jOep7bXXqMTcWy1OZtIyEKl</v>
      </c>
      <c r="O413" s="5" t="str">
        <f ca="1">IFERROR(__xludf.DUMMYFUNCTION("""COMPUTED_VALUE"""),"NA")</f>
        <v>NA</v>
      </c>
      <c r="P413" s="5"/>
      <c r="Q413" s="5"/>
      <c r="R413" s="5" t="str">
        <f ca="1">IFERROR(__xludf.DUMMYFUNCTION("""COMPUTED_VALUE"""),"213-770-4565")</f>
        <v>213-770-4565</v>
      </c>
      <c r="S413" s="5"/>
      <c r="T413" s="5"/>
    </row>
    <row r="414" spans="1:20" ht="12.75">
      <c r="A414" s="24">
        <f ca="1">IFERROR(__xludf.DUMMYFUNCTION("""COMPUTED_VALUE"""),45670.35880103)</f>
        <v>45670.358801030001</v>
      </c>
      <c r="B414" s="5" t="str">
        <f ca="1">IFERROR(__xludf.DUMMYFUNCTION("""COMPUTED_VALUE"""),"748 N Detroit St")</f>
        <v>748 N Detroit St</v>
      </c>
      <c r="C414" s="5" t="str">
        <f ca="1">IFERROR(__xludf.DUMMYFUNCTION("""COMPUTED_VALUE"""),"Los Angeles")</f>
        <v>Los Angeles</v>
      </c>
      <c r="D414" s="5" t="str">
        <f ca="1">IFERROR(__xludf.DUMMYFUNCTION("""COMPUTED_VALUE"""),"CA")</f>
        <v>CA</v>
      </c>
      <c r="E414" s="5">
        <f ca="1">IFERROR(__xludf.DUMMYFUNCTION("""COMPUTED_VALUE"""),90046)</f>
        <v>90046</v>
      </c>
      <c r="F414" s="19">
        <f ca="1">IFERROR(__xludf.DUMMYFUNCTION("""COMPUTED_VALUE"""),18000)</f>
        <v>18000</v>
      </c>
      <c r="G414" s="19">
        <f ca="1">IFERROR(__xludf.DUMMYFUNCTION("""COMPUTED_VALUE"""),30000)</f>
        <v>30000</v>
      </c>
      <c r="H414" s="18">
        <f ca="1">IFERROR(__xludf.DUMMYFUNCTION("""COMPUTED_VALUE"""),45667)</f>
        <v>45667</v>
      </c>
      <c r="I414" s="5" t="str">
        <f ca="1">IFERROR(__xludf.DUMMYFUNCTION("""COMPUTED_VALUE"""),"Zillow")</f>
        <v>Zillow</v>
      </c>
      <c r="J414" s="25" t="str">
        <f ca="1">IFERROR(__xludf.DUMMYFUNCTION("""COMPUTED_VALUE"""),"https://www.zillow.com/homedetails/748-N-Detroit-St-Los-Angeles-CA-90046/20784322_zpid/?utm_campaign=iosappmessage&amp;utm_medium=referral&amp;utm_source=txtshare")</f>
        <v>https://www.zillow.com/homedetails/748-N-Detroit-St-Los-Angeles-CA-90046/20784322_zpid/?utm_campaign=iosappmessage&amp;utm_medium=referral&amp;utm_source=txtshare</v>
      </c>
      <c r="K414" s="5" t="str">
        <f ca="1">IFERROR(__xludf.DUMMYFUNCTION("""COMPUTED_VALUE"""),"Luke Anderson")</f>
        <v>Luke Anderson</v>
      </c>
      <c r="L414" s="5"/>
      <c r="M414" s="5"/>
      <c r="N414" s="26" t="str">
        <f ca="1">IFERROR(__xludf.DUMMYFUNCTION("""COMPUTED_VALUE"""),"https://drive.google.com/open?id=1KgiVmkJ1rj-ZQAfU8IXkDWqdwNDwRu1C")</f>
        <v>https://drive.google.com/open?id=1KgiVmkJ1rj-ZQAfU8IXkDWqdwNDwRu1C</v>
      </c>
      <c r="O414" s="5">
        <f ca="1">IFERROR(__xludf.DUMMYFUNCTION("""COMPUTED_VALUE"""),5525009014)</f>
        <v>5525009014</v>
      </c>
      <c r="P414" s="5" t="str">
        <f ca="1">IFERROR(__xludf.DUMMYFUNCTION("""COMPUTED_VALUE"""),"(310) 279-6613")</f>
        <v>(310) 279-6613</v>
      </c>
      <c r="Q414" s="5"/>
      <c r="R414" s="5"/>
      <c r="S414" s="5"/>
      <c r="T414" s="5"/>
    </row>
    <row r="415" spans="1:20" ht="12.75">
      <c r="A415" s="24">
        <f ca="1">IFERROR(__xludf.DUMMYFUNCTION("""COMPUTED_VALUE"""),45670.3607747106)</f>
        <v>45670.3607747106</v>
      </c>
      <c r="B415" s="5" t="str">
        <f ca="1">IFERROR(__xludf.DUMMYFUNCTION("""COMPUTED_VALUE"""),"3055 Landa Street")</f>
        <v>3055 Landa Street</v>
      </c>
      <c r="C415" s="5" t="str">
        <f ca="1">IFERROR(__xludf.DUMMYFUNCTION("""COMPUTED_VALUE"""),"Los Angeles")</f>
        <v>Los Angeles</v>
      </c>
      <c r="D415" s="5" t="str">
        <f ca="1">IFERROR(__xludf.DUMMYFUNCTION("""COMPUTED_VALUE"""),"CA")</f>
        <v>CA</v>
      </c>
      <c r="E415" s="5">
        <f ca="1">IFERROR(__xludf.DUMMYFUNCTION("""COMPUTED_VALUE"""),90026)</f>
        <v>90026</v>
      </c>
      <c r="F415" s="19">
        <f ca="1">IFERROR(__xludf.DUMMYFUNCTION("""COMPUTED_VALUE"""),9000)</f>
        <v>9000</v>
      </c>
      <c r="G415" s="19">
        <f ca="1">IFERROR(__xludf.DUMMYFUNCTION("""COMPUTED_VALUE"""),12000)</f>
        <v>12000</v>
      </c>
      <c r="H415" s="18">
        <f ca="1">IFERROR(__xludf.DUMMYFUNCTION("""COMPUTED_VALUE"""),45670)</f>
        <v>45670</v>
      </c>
      <c r="I415" s="5" t="str">
        <f ca="1">IFERROR(__xludf.DUMMYFUNCTION("""COMPUTED_VALUE"""),"Zillow")</f>
        <v>Zillow</v>
      </c>
      <c r="J415" s="25" t="str">
        <f ca="1">IFERROR(__xludf.DUMMYFUNCTION("""COMPUTED_VALUE"""),"https://www.zillow.com/homedetails/3055-Landa-St-Los-Angeles-CA-90039/20747666_zpid/")</f>
        <v>https://www.zillow.com/homedetails/3055-Landa-St-Los-Angeles-CA-90039/20747666_zpid/</v>
      </c>
      <c r="K415" s="5"/>
      <c r="L415" s="5" t="str">
        <f ca="1">IFERROR(__xludf.DUMMYFUNCTION("""COMPUTED_VALUE"""),"Edward Kay")</f>
        <v>Edward Kay</v>
      </c>
      <c r="M415" s="5"/>
      <c r="N415" s="26" t="str">
        <f ca="1">IFERROR(__xludf.DUMMYFUNCTION("""COMPUTED_VALUE"""),"https://drive.google.com/open?id=1aS5GDEsmdNmy4brvJHn6i6bR5nUv_fUa")</f>
        <v>https://drive.google.com/open?id=1aS5GDEsmdNmy4brvJHn6i6bR5nUv_fUa</v>
      </c>
      <c r="O415" s="5">
        <f ca="1">IFERROR(__xludf.DUMMYFUNCTION("""COMPUTED_VALUE"""),5431021002)</f>
        <v>5431021002</v>
      </c>
      <c r="P415" s="5"/>
      <c r="Q415" s="5"/>
      <c r="R415" s="5" t="str">
        <f ca="1">IFERROR(__xludf.DUMMYFUNCTION("""COMPUTED_VALUE"""),"(818) 401-8719")</f>
        <v>(818) 401-8719</v>
      </c>
      <c r="S415" s="5"/>
      <c r="T415" s="5"/>
    </row>
    <row r="416" spans="1:20" ht="12.75">
      <c r="A416" s="24">
        <f ca="1">IFERROR(__xludf.DUMMYFUNCTION("""COMPUTED_VALUE"""),45670.3676877777)</f>
        <v>45670.367687777703</v>
      </c>
      <c r="B416" s="5" t="str">
        <f ca="1">IFERROR(__xludf.DUMMYFUNCTION("""COMPUTED_VALUE"""),"6056 fountain avenue")</f>
        <v>6056 fountain avenue</v>
      </c>
      <c r="C416" s="5" t="str">
        <f ca="1">IFERROR(__xludf.DUMMYFUNCTION("""COMPUTED_VALUE"""),"los angeles")</f>
        <v>los angeles</v>
      </c>
      <c r="D416" s="5" t="str">
        <f ca="1">IFERROR(__xludf.DUMMYFUNCTION("""COMPUTED_VALUE"""),"CA")</f>
        <v>CA</v>
      </c>
      <c r="E416" s="5">
        <f ca="1">IFERROR(__xludf.DUMMYFUNCTION("""COMPUTED_VALUE"""),90028)</f>
        <v>90028</v>
      </c>
      <c r="F416" s="19">
        <f ca="1">IFERROR(__xludf.DUMMYFUNCTION("""COMPUTED_VALUE"""),5565)</f>
        <v>5565</v>
      </c>
      <c r="G416" s="19">
        <f ca="1">IFERROR(__xludf.DUMMYFUNCTION("""COMPUTED_VALUE"""),6100)</f>
        <v>6100</v>
      </c>
      <c r="H416" s="18">
        <f ca="1">IFERROR(__xludf.DUMMYFUNCTION("""COMPUTED_VALUE"""),45669)</f>
        <v>45669</v>
      </c>
      <c r="I416" s="5" t="str">
        <f ca="1">IFERROR(__xludf.DUMMYFUNCTION("""COMPUTED_VALUE"""),"Zillow")</f>
        <v>Zillow</v>
      </c>
      <c r="J416" s="25" t="str">
        <f ca="1">IFERROR(__xludf.DUMMYFUNCTION("""COMPUTED_VALUE"""),"https://www.zillow.com/homedetails/6056-Fountain-Ave-Los-Angeles-CA-90028/20789459_zpid/")</f>
        <v>https://www.zillow.com/homedetails/6056-Fountain-Ave-Los-Angeles-CA-90028/20789459_zpid/</v>
      </c>
      <c r="K416" s="5"/>
      <c r="L416" s="5" t="str">
        <f ca="1">IFERROR(__xludf.DUMMYFUNCTION("""COMPUTED_VALUE"""),"Dee")</f>
        <v>Dee</v>
      </c>
      <c r="M416" s="5"/>
      <c r="N416" s="26" t="str">
        <f ca="1">IFERROR(__xludf.DUMMYFUNCTION("""COMPUTED_VALUE"""),"https://drive.google.com/open?id=1pEZ5MOoXPIY_QDr3Al6APYByDbrsFLiU")</f>
        <v>https://drive.google.com/open?id=1pEZ5MOoXPIY_QDr3Al6APYByDbrsFLiU</v>
      </c>
      <c r="O416" s="5">
        <f ca="1">IFERROR(__xludf.DUMMYFUNCTION("""COMPUTED_VALUE"""),5534015002)</f>
        <v>5534015002</v>
      </c>
      <c r="P416" s="5"/>
      <c r="Q416" s="5"/>
      <c r="R416" s="5" t="str">
        <f ca="1">IFERROR(__xludf.DUMMYFUNCTION("""COMPUTED_VALUE"""),"(310) 990-8675")</f>
        <v>(310) 990-8675</v>
      </c>
      <c r="S416" s="5"/>
      <c r="T416" s="5"/>
    </row>
    <row r="417" spans="1:20" ht="12.75">
      <c r="A417" s="24">
        <f ca="1">IFERROR(__xludf.DUMMYFUNCTION("""COMPUTED_VALUE"""),45670.3697024421)</f>
        <v>45670.369702442098</v>
      </c>
      <c r="B417" s="5" t="str">
        <f ca="1">IFERROR(__xludf.DUMMYFUNCTION("""COMPUTED_VALUE"""),"845 N Formosa Ave")</f>
        <v>845 N Formosa Ave</v>
      </c>
      <c r="C417" s="5" t="str">
        <f ca="1">IFERROR(__xludf.DUMMYFUNCTION("""COMPUTED_VALUE"""),"Los Angeles")</f>
        <v>Los Angeles</v>
      </c>
      <c r="D417" s="5" t="str">
        <f ca="1">IFERROR(__xludf.DUMMYFUNCTION("""COMPUTED_VALUE"""),"CA")</f>
        <v>CA</v>
      </c>
      <c r="E417" s="5">
        <f ca="1">IFERROR(__xludf.DUMMYFUNCTION("""COMPUTED_VALUE"""),90046)</f>
        <v>90046</v>
      </c>
      <c r="F417" s="19">
        <f ca="1">IFERROR(__xludf.DUMMYFUNCTION("""COMPUTED_VALUE"""),2850)</f>
        <v>2850</v>
      </c>
      <c r="G417" s="19">
        <f ca="1">IFERROR(__xludf.DUMMYFUNCTION("""COMPUTED_VALUE"""),5995)</f>
        <v>5995</v>
      </c>
      <c r="H417" s="18">
        <f ca="1">IFERROR(__xludf.DUMMYFUNCTION("""COMPUTED_VALUE"""),45669)</f>
        <v>45669</v>
      </c>
      <c r="I417" s="5" t="str">
        <f ca="1">IFERROR(__xludf.DUMMYFUNCTION("""COMPUTED_VALUE"""),"Zillow")</f>
        <v>Zillow</v>
      </c>
      <c r="J417" s="25" t="str">
        <f ca="1">IFERROR(__xludf.DUMMYFUNCTION("""COMPUTED_VALUE"""),"https://www.zillow.com/homedetails/845-N-Formosa-Ave-Los-Angeles-CA-90046/2088165910_zpid/")</f>
        <v>https://www.zillow.com/homedetails/845-N-Formosa-Ave-Los-Angeles-CA-90046/2088165910_zpid/</v>
      </c>
      <c r="K417" s="5" t="str">
        <f ca="1">IFERROR(__xludf.DUMMYFUNCTION("""COMPUTED_VALUE"""),"Michael Telega")</f>
        <v>Michael Telega</v>
      </c>
      <c r="L417" s="5"/>
      <c r="M417" s="5"/>
      <c r="N417" s="26" t="str">
        <f ca="1">IFERROR(__xludf.DUMMYFUNCTION("""COMPUTED_VALUE"""),"https://drive.google.com/open?id=1iFuLYuRsor84s82Xao-mwX5GGkQSu5CA")</f>
        <v>https://drive.google.com/open?id=1iFuLYuRsor84s82Xao-mwX5GGkQSu5CA</v>
      </c>
      <c r="O417" s="5" t="str">
        <f ca="1">IFERROR(__xludf.DUMMYFUNCTION("""COMPUTED_VALUE"""),"NA")</f>
        <v>NA</v>
      </c>
      <c r="P417" s="5" t="str">
        <f ca="1">IFERROR(__xludf.DUMMYFUNCTION("""COMPUTED_VALUE"""),"(310) 429-6961")</f>
        <v>(310) 429-6961</v>
      </c>
      <c r="Q417" s="5"/>
      <c r="R417" s="5"/>
      <c r="S417" s="5"/>
      <c r="T417" s="5"/>
    </row>
    <row r="418" spans="1:20" ht="12.75">
      <c r="A418" s="24">
        <f ca="1">IFERROR(__xludf.DUMMYFUNCTION("""COMPUTED_VALUE"""),45670.3725442245)</f>
        <v>45670.372544224498</v>
      </c>
      <c r="B418" s="5" t="str">
        <f ca="1">IFERROR(__xludf.DUMMYFUNCTION("""COMPUTED_VALUE"""),"2901 Angus Street")</f>
        <v>2901 Angus Street</v>
      </c>
      <c r="C418" s="5" t="str">
        <f ca="1">IFERROR(__xludf.DUMMYFUNCTION("""COMPUTED_VALUE"""),"Los Angeles")</f>
        <v>Los Angeles</v>
      </c>
      <c r="D418" s="5" t="str">
        <f ca="1">IFERROR(__xludf.DUMMYFUNCTION("""COMPUTED_VALUE"""),"CA")</f>
        <v>CA</v>
      </c>
      <c r="E418" s="5">
        <f ca="1">IFERROR(__xludf.DUMMYFUNCTION("""COMPUTED_VALUE"""),90039)</f>
        <v>90039</v>
      </c>
      <c r="F418" s="19">
        <f ca="1">IFERROR(__xludf.DUMMYFUNCTION("""COMPUTED_VALUE"""),2800)</f>
        <v>2800</v>
      </c>
      <c r="G418" s="19">
        <f ca="1">IFERROR(__xludf.DUMMYFUNCTION("""COMPUTED_VALUE"""),6000)</f>
        <v>6000</v>
      </c>
      <c r="H418" s="18">
        <f ca="1">IFERROR(__xludf.DUMMYFUNCTION("""COMPUTED_VALUE"""),45670)</f>
        <v>45670</v>
      </c>
      <c r="I418" s="5" t="str">
        <f ca="1">IFERROR(__xludf.DUMMYFUNCTION("""COMPUTED_VALUE"""),"Zillow")</f>
        <v>Zillow</v>
      </c>
      <c r="J418" s="25" t="str">
        <f ca="1">IFERROR(__xludf.DUMMYFUNCTION("""COMPUTED_VALUE"""),"https://www.zillow.com/homedetails/2901-Angus-St-Los-Angeles-CA-90039/20749550_zpid/")</f>
        <v>https://www.zillow.com/homedetails/2901-Angus-St-Los-Angeles-CA-90039/20749550_zpid/</v>
      </c>
      <c r="K418" s="5" t="str">
        <f ca="1">IFERROR(__xludf.DUMMYFUNCTION("""COMPUTED_VALUE"""),"Richard Maslan (mgmt Co)")</f>
        <v>Richard Maslan (mgmt Co)</v>
      </c>
      <c r="L418" s="5"/>
      <c r="M418" s="5"/>
      <c r="N418" s="26" t="str">
        <f ca="1">IFERROR(__xludf.DUMMYFUNCTION("""COMPUTED_VALUE"""),"https://drive.google.com/open?id=1-G9qTud4jaiS5dltOXcaLtPoBWkINE9A")</f>
        <v>https://drive.google.com/open?id=1-G9qTud4jaiS5dltOXcaLtPoBWkINE9A</v>
      </c>
      <c r="O418" s="5">
        <f ca="1">IFERROR(__xludf.DUMMYFUNCTION("""COMPUTED_VALUE"""),5434035021)</f>
        <v>5434035021</v>
      </c>
      <c r="P418" s="5" t="str">
        <f ca="1">IFERROR(__xludf.DUMMYFUNCTION("""COMPUTED_VALUE"""),"(310) 435-2196")</f>
        <v>(310) 435-2196</v>
      </c>
      <c r="Q418" s="5"/>
      <c r="R418" s="5"/>
      <c r="S418" s="5"/>
      <c r="T418" s="5"/>
    </row>
    <row r="419" spans="1:20" ht="12.75">
      <c r="A419" s="24">
        <f ca="1">IFERROR(__xludf.DUMMYFUNCTION("""COMPUTED_VALUE"""),45670.379222905)</f>
        <v>45670.379222905001</v>
      </c>
      <c r="B419" s="5" t="str">
        <f ca="1">IFERROR(__xludf.DUMMYFUNCTION("""COMPUTED_VALUE"""),"1427 Columbia Dr")</f>
        <v>1427 Columbia Dr</v>
      </c>
      <c r="C419" s="5" t="str">
        <f ca="1">IFERROR(__xludf.DUMMYFUNCTION("""COMPUTED_VALUE"""),"Glendale")</f>
        <v>Glendale</v>
      </c>
      <c r="D419" s="5" t="str">
        <f ca="1">IFERROR(__xludf.DUMMYFUNCTION("""COMPUTED_VALUE"""),"CA")</f>
        <v>CA</v>
      </c>
      <c r="E419" s="5">
        <f ca="1">IFERROR(__xludf.DUMMYFUNCTION("""COMPUTED_VALUE"""),91205)</f>
        <v>91205</v>
      </c>
      <c r="F419" s="19">
        <f ca="1">IFERROR(__xludf.DUMMYFUNCTION("""COMPUTED_VALUE"""),8500)</f>
        <v>8500</v>
      </c>
      <c r="G419" s="19">
        <f ca="1">IFERROR(__xludf.DUMMYFUNCTION("""COMPUTED_VALUE"""),19500)</f>
        <v>19500</v>
      </c>
      <c r="H419" s="18">
        <f ca="1">IFERROR(__xludf.DUMMYFUNCTION("""COMPUTED_VALUE"""),45670)</f>
        <v>45670</v>
      </c>
      <c r="I419" s="5" t="str">
        <f ca="1">IFERROR(__xludf.DUMMYFUNCTION("""COMPUTED_VALUE"""),"Zillow")</f>
        <v>Zillow</v>
      </c>
      <c r="J419" s="25" t="str">
        <f ca="1">IFERROR(__xludf.DUMMYFUNCTION("""COMPUTED_VALUE"""),"https://www.zillow.com/homedetails/1427-Columbia-Dr-Glendale-CA-91205/20847539_zpid/?utm_campaign=iosappmessage&amp;utm_medium=referral&amp;utm_source=txtshare")</f>
        <v>https://www.zillow.com/homedetails/1427-Columbia-Dr-Glendale-CA-91205/20847539_zpid/?utm_campaign=iosappmessage&amp;utm_medium=referral&amp;utm_source=txtshare</v>
      </c>
      <c r="K419" s="5"/>
      <c r="L419" s="5" t="str">
        <f ca="1">IFERROR(__xludf.DUMMYFUNCTION("""COMPUTED_VALUE"""),"Phillip")</f>
        <v>Phillip</v>
      </c>
      <c r="M419" s="5" t="str">
        <f ca="1">IFERROR(__xludf.DUMMYFUNCTION("""COMPUTED_VALUE"""),"Looks like in 2019 the listing was $2500/mo and the in 2020 in was gouged to $8500/mo and now it’s even higher with no changes until 1/13/2025 to $19500. It says it’s fully furnished.")</f>
        <v>Looks like in 2019 the listing was $2500/mo and the in 2020 in was gouged to $8500/mo and now it’s even higher with no changes until 1/13/2025 to $19500. It says it’s fully furnished.</v>
      </c>
      <c r="N419" s="26" t="str">
        <f ca="1">IFERROR(__xludf.DUMMYFUNCTION("""COMPUTED_VALUE"""),"https://drive.google.com/open?id=1Nxqci0VXzaI0dQ5G-0z_nixsmxcBqh0r")</f>
        <v>https://drive.google.com/open?id=1Nxqci0VXzaI0dQ5G-0z_nixsmxcBqh0r</v>
      </c>
      <c r="O419" s="5">
        <f ca="1">IFERROR(__xludf.DUMMYFUNCTION("""COMPUTED_VALUE"""),5677025001)</f>
        <v>5677025001</v>
      </c>
      <c r="P419" s="5"/>
      <c r="Q419" s="5"/>
      <c r="R419" s="5">
        <f ca="1">IFERROR(__xludf.DUMMYFUNCTION("""COMPUTED_VALUE"""),3235775992)</f>
        <v>3235775992</v>
      </c>
      <c r="S419" s="5"/>
      <c r="T419" s="5"/>
    </row>
    <row r="420" spans="1:20" ht="12.75">
      <c r="A420" s="24">
        <f ca="1">IFERROR(__xludf.DUMMYFUNCTION("""COMPUTED_VALUE"""),45670.3860504398)</f>
        <v>45670.386050439804</v>
      </c>
      <c r="B420" s="5" t="str">
        <f ca="1">IFERROR(__xludf.DUMMYFUNCTION("""COMPUTED_VALUE"""),"1533 Marlay Drive")</f>
        <v>1533 Marlay Drive</v>
      </c>
      <c r="C420" s="5" t="str">
        <f ca="1">IFERROR(__xludf.DUMMYFUNCTION("""COMPUTED_VALUE"""),"West Hollywood")</f>
        <v>West Hollywood</v>
      </c>
      <c r="D420" s="5" t="str">
        <f ca="1">IFERROR(__xludf.DUMMYFUNCTION("""COMPUTED_VALUE"""),"CA")</f>
        <v>CA</v>
      </c>
      <c r="E420" s="5">
        <f ca="1">IFERROR(__xludf.DUMMYFUNCTION("""COMPUTED_VALUE"""),90069)</f>
        <v>90069</v>
      </c>
      <c r="F420" s="19">
        <f ca="1">IFERROR(__xludf.DUMMYFUNCTION("""COMPUTED_VALUE"""),26000)</f>
        <v>26000</v>
      </c>
      <c r="G420" s="19">
        <f ca="1">IFERROR(__xludf.DUMMYFUNCTION("""COMPUTED_VALUE"""),30000)</f>
        <v>30000</v>
      </c>
      <c r="H420" s="18">
        <f ca="1">IFERROR(__xludf.DUMMYFUNCTION("""COMPUTED_VALUE"""),45666)</f>
        <v>45666</v>
      </c>
      <c r="I420" s="5" t="str">
        <f ca="1">IFERROR(__xludf.DUMMYFUNCTION("""COMPUTED_VALUE"""),"Zillow")</f>
        <v>Zillow</v>
      </c>
      <c r="J420" s="25" t="str">
        <f ca="1">IFERROR(__xludf.DUMMYFUNCTION("""COMPUTED_VALUE"""),"https://www.zillow.com/homedetails/1533-Marlay-Dr-West-Hollywood-CA-90069/20798034_zpid/?utm_campaign=iosappmessage&amp;utm_medium=referral&amp;utm_source=txtshare")</f>
        <v>https://www.zillow.com/homedetails/1533-Marlay-Dr-West-Hollywood-CA-90069/20798034_zpid/?utm_campaign=iosappmessage&amp;utm_medium=referral&amp;utm_source=txtshare</v>
      </c>
      <c r="K420" s="5" t="str">
        <f ca="1">IFERROR(__xludf.DUMMYFUNCTION("""COMPUTED_VALUE"""),"Tracy Tutor")</f>
        <v>Tracy Tutor</v>
      </c>
      <c r="L420" s="5"/>
      <c r="M420" s="5" t="str">
        <f ca="1">IFERROR(__xludf.DUMMYFUNCTION("""COMPUTED_VALUE"""),"Initially listed at $29,000, price lowered in December to $26,000, then went back up. It’s furnished and not clear if this is new, so perhaps an increase for furnishing which would make ok.")</f>
        <v>Initially listed at $29,000, price lowered in December to $26,000, then went back up. It’s furnished and not clear if this is new, so perhaps an increase for furnishing which would make ok.</v>
      </c>
      <c r="N420" s="26" t="str">
        <f ca="1">IFERROR(__xludf.DUMMYFUNCTION("""COMPUTED_VALUE"""),"https://drive.google.com/open?id=1q_YnNlYOV4Nkktfv6-hZUzWBaEzxgOuA")</f>
        <v>https://drive.google.com/open?id=1q_YnNlYOV4Nkktfv6-hZUzWBaEzxgOuA</v>
      </c>
      <c r="O420" s="5">
        <f ca="1">IFERROR(__xludf.DUMMYFUNCTION("""COMPUTED_VALUE"""),5556031008)</f>
        <v>5556031008</v>
      </c>
      <c r="P420" s="5">
        <f ca="1">IFERROR(__xludf.DUMMYFUNCTION("""COMPUTED_VALUE"""),3104642321)</f>
        <v>3104642321</v>
      </c>
      <c r="Q420" s="5"/>
      <c r="R420" s="5"/>
      <c r="S420" s="5"/>
      <c r="T420" s="5"/>
    </row>
    <row r="421" spans="1:20" ht="12.75">
      <c r="A421" s="24">
        <f ca="1">IFERROR(__xludf.DUMMYFUNCTION("""COMPUTED_VALUE"""),45670.3949041435)</f>
        <v>45670.394904143497</v>
      </c>
      <c r="B421" s="5" t="str">
        <f ca="1">IFERROR(__xludf.DUMMYFUNCTION("""COMPUTED_VALUE"""),"Undisclosed")</f>
        <v>Undisclosed</v>
      </c>
      <c r="C421" s="5" t="str">
        <f ca="1">IFERROR(__xludf.DUMMYFUNCTION("""COMPUTED_VALUE"""),"Pacific Palisades")</f>
        <v>Pacific Palisades</v>
      </c>
      <c r="D421" s="5" t="str">
        <f ca="1">IFERROR(__xludf.DUMMYFUNCTION("""COMPUTED_VALUE"""),"CA")</f>
        <v>CA</v>
      </c>
      <c r="E421" s="5">
        <f ca="1">IFERROR(__xludf.DUMMYFUNCTION("""COMPUTED_VALUE"""),90272)</f>
        <v>90272</v>
      </c>
      <c r="F421" s="19">
        <f ca="1">IFERROR(__xludf.DUMMYFUNCTION("""COMPUTED_VALUE"""),8900)</f>
        <v>8900</v>
      </c>
      <c r="G421" s="19">
        <f ca="1">IFERROR(__xludf.DUMMYFUNCTION("""COMPUTED_VALUE"""),18500)</f>
        <v>18500</v>
      </c>
      <c r="H421" s="18">
        <f ca="1">IFERROR(__xludf.DUMMYFUNCTION("""COMPUTED_VALUE"""),45670)</f>
        <v>45670</v>
      </c>
      <c r="I421" s="5" t="str">
        <f ca="1">IFERROR(__xludf.DUMMYFUNCTION("""COMPUTED_VALUE"""),"Zillow")</f>
        <v>Zillow</v>
      </c>
      <c r="J421" s="25" t="str">
        <f ca="1">IFERROR(__xludf.DUMMYFUNCTION("""COMPUTED_VALUE"""),"https://www.zillow.com/homedetails/(undisclosed-Address)-Pacific-Palisades-CA-90272/20542872_zpid/?utm_campaign=iosappmessage&amp;utm_medium=referral&amp;utm_source=txtshare")</f>
        <v>https://www.zillow.com/homedetails/(undisclosed-Address)-Pacific-Palisades-CA-90272/20542872_zpid/?utm_campaign=iosappmessage&amp;utm_medium=referral&amp;utm_source=txtshare</v>
      </c>
      <c r="K421" s="5"/>
      <c r="L421" s="5" t="str">
        <f ca="1">IFERROR(__xludf.DUMMYFUNCTION("""COMPUTED_VALUE"""),"Anna P")</f>
        <v>Anna P</v>
      </c>
      <c r="M421" s="5" t="str">
        <f ca="1">IFERROR(__xludf.DUMMYFUNCTION("""COMPUTED_VALUE"""),"Hasn’t been updated in a year and says it’s available tomorrow with its new high price. Includes being fully furnished which is a common theme for the gouging.")</f>
        <v>Hasn’t been updated in a year and says it’s available tomorrow with its new high price. Includes being fully furnished which is a common theme for the gouging.</v>
      </c>
      <c r="N421" s="26" t="str">
        <f ca="1">IFERROR(__xludf.DUMMYFUNCTION("""COMPUTED_VALUE"""),"https://drive.google.com/open?id=16JzbveeTHJy6W5UTcnWUHsH-IZw8mE7R")</f>
        <v>https://drive.google.com/open?id=16JzbveeTHJy6W5UTcnWUHsH-IZw8mE7R</v>
      </c>
      <c r="O421" s="5" t="str">
        <f ca="1">IFERROR(__xludf.DUMMYFUNCTION("""COMPUTED_VALUE"""),"NA")</f>
        <v>NA</v>
      </c>
      <c r="P421" s="5"/>
      <c r="Q421" s="5"/>
      <c r="R421" s="5">
        <f ca="1">IFERROR(__xludf.DUMMYFUNCTION("""COMPUTED_VALUE"""),2135616952)</f>
        <v>2135616952</v>
      </c>
      <c r="S421" s="5"/>
      <c r="T421" s="5"/>
    </row>
    <row r="422" spans="1:20" ht="12.75">
      <c r="A422" s="24">
        <f ca="1">IFERROR(__xludf.DUMMYFUNCTION("""COMPUTED_VALUE"""),45670.4054792129)</f>
        <v>45670.405479212903</v>
      </c>
      <c r="B422" s="5" t="str">
        <f ca="1">IFERROR(__xludf.DUMMYFUNCTION("""COMPUTED_VALUE"""),"3425 W Olive Ave #335")</f>
        <v>3425 W Olive Ave #335</v>
      </c>
      <c r="C422" s="5" t="str">
        <f ca="1">IFERROR(__xludf.DUMMYFUNCTION("""COMPUTED_VALUE""")," Burbank")</f>
        <v xml:space="preserve"> Burbank</v>
      </c>
      <c r="D422" s="5" t="str">
        <f ca="1">IFERROR(__xludf.DUMMYFUNCTION("""COMPUTED_VALUE"""),"CA")</f>
        <v>CA</v>
      </c>
      <c r="E422" s="5">
        <f ca="1">IFERROR(__xludf.DUMMYFUNCTION("""COMPUTED_VALUE"""),91505)</f>
        <v>91505</v>
      </c>
      <c r="F422" s="19">
        <f ca="1">IFERROR(__xludf.DUMMYFUNCTION("""COMPUTED_VALUE"""),4511)</f>
        <v>4511</v>
      </c>
      <c r="G422" s="19">
        <f ca="1">IFERROR(__xludf.DUMMYFUNCTION("""COMPUTED_VALUE"""),4784)</f>
        <v>4784</v>
      </c>
      <c r="H422" s="18">
        <f ca="1">IFERROR(__xludf.DUMMYFUNCTION("""COMPUTED_VALUE"""),45299)</f>
        <v>45299</v>
      </c>
      <c r="I422" s="5" t="str">
        <f ca="1">IFERROR(__xludf.DUMMYFUNCTION("""COMPUTED_VALUE"""),"Zillow")</f>
        <v>Zillow</v>
      </c>
      <c r="J422" s="25" t="str">
        <f ca="1">IFERROR(__xludf.DUMMYFUNCTION("""COMPUTED_VALUE"""),"https://www.zillow.com/homedetails/3425-W-Olive-Ave-335-Burbank-CA-91505/2086716625_zpid/?utm_campaign=iosappmessage&amp;utm_medium=referral&amp;utm_source=txtshare")</f>
        <v>https://www.zillow.com/homedetails/3425-W-Olive-Ave-335-Burbank-CA-91505/2086716625_zpid/?utm_campaign=iosappmessage&amp;utm_medium=referral&amp;utm_source=txtshare</v>
      </c>
      <c r="K422" s="5" t="str">
        <f ca="1">IFERROR(__xludf.DUMMYFUNCTION("""COMPUTED_VALUE"""),"Greystar Real Estate Partners, LLC")</f>
        <v>Greystar Real Estate Partners, LLC</v>
      </c>
      <c r="L422" s="5"/>
      <c r="M422" s="5"/>
      <c r="N422" s="26" t="str">
        <f ca="1">IFERROR(__xludf.DUMMYFUNCTION("""COMPUTED_VALUE"""),"https://drive.google.com/open?id=13ZcQBP_jqomhSvIrsusWt7B0KtBjWRXT")</f>
        <v>https://drive.google.com/open?id=13ZcQBP_jqomhSvIrsusWt7B0KtBjWRXT</v>
      </c>
      <c r="O422" s="5" t="str">
        <f ca="1">IFERROR(__xludf.DUMMYFUNCTION("""COMPUTED_VALUE"""),"NA")</f>
        <v>NA</v>
      </c>
      <c r="P422" s="5" t="str">
        <f ca="1">IFERROR(__xludf.DUMMYFUNCTION("""COMPUTED_VALUE"""),"(657) 301-4610")</f>
        <v>(657) 301-4610</v>
      </c>
      <c r="Q422" s="5"/>
      <c r="R422" s="5"/>
      <c r="S422" s="5"/>
      <c r="T422" s="5"/>
    </row>
    <row r="423" spans="1:20" ht="12.75">
      <c r="A423" s="24">
        <f ca="1">IFERROR(__xludf.DUMMYFUNCTION("""COMPUTED_VALUE"""),45670.4105421296)</f>
        <v>45670.410542129597</v>
      </c>
      <c r="B423" s="5" t="str">
        <f ca="1">IFERROR(__xludf.DUMMYFUNCTION("""COMPUTED_VALUE"""),"22720 Oxnard St")</f>
        <v>22720 Oxnard St</v>
      </c>
      <c r="C423" s="5" t="str">
        <f ca="1">IFERROR(__xludf.DUMMYFUNCTION("""COMPUTED_VALUE"""),"Woodland Hills")</f>
        <v>Woodland Hills</v>
      </c>
      <c r="D423" s="5" t="str">
        <f ca="1">IFERROR(__xludf.DUMMYFUNCTION("""COMPUTED_VALUE"""),"CA")</f>
        <v>CA</v>
      </c>
      <c r="E423" s="5">
        <f ca="1">IFERROR(__xludf.DUMMYFUNCTION("""COMPUTED_VALUE"""),91367)</f>
        <v>91367</v>
      </c>
      <c r="F423" s="19">
        <f ca="1">IFERROR(__xludf.DUMMYFUNCTION("""COMPUTED_VALUE"""),3900)</f>
        <v>3900</v>
      </c>
      <c r="G423" s="19">
        <f ca="1">IFERROR(__xludf.DUMMYFUNCTION("""COMPUTED_VALUE"""),5900)</f>
        <v>5900</v>
      </c>
      <c r="H423" s="18">
        <f ca="1">IFERROR(__xludf.DUMMYFUNCTION("""COMPUTED_VALUE"""),45670)</f>
        <v>45670</v>
      </c>
      <c r="I423" s="5" t="str">
        <f ca="1">IFERROR(__xludf.DUMMYFUNCTION("""COMPUTED_VALUE"""),"Zillow")</f>
        <v>Zillow</v>
      </c>
      <c r="J423" s="25" t="str">
        <f ca="1">IFERROR(__xludf.DUMMYFUNCTION("""COMPUTED_VALUE"""),"https://www.zillow.com/homedetails/22720-Oxnard-St-2-Woodland-Hills-CA-91367/441854582_zpid/")</f>
        <v>https://www.zillow.com/homedetails/22720-Oxnard-St-2-Woodland-Hills-CA-91367/441854582_zpid/</v>
      </c>
      <c r="K423" s="5" t="str">
        <f ca="1">IFERROR(__xludf.DUMMYFUNCTION("""COMPUTED_VALUE"""),"VINNEY GHARIB")</f>
        <v>VINNEY GHARIB</v>
      </c>
      <c r="L423" s="5"/>
      <c r="M423" s="5"/>
      <c r="N423" s="5" t="str">
        <f ca="1">IFERROR(__xludf.DUMMYFUNCTION("""COMPUTED_VALUE"""),"https://drive.google.com/open?id=1rTME-k1oGSUcjq-D7oQhSj7pwdAi-CBt, https://drive.google.com/open?id=1Z3S46cXNLQFUOLJLMUCvu-o2kDcAFUiI")</f>
        <v>https://drive.google.com/open?id=1rTME-k1oGSUcjq-D7oQhSj7pwdAi-CBt, https://drive.google.com/open?id=1Z3S46cXNLQFUOLJLMUCvu-o2kDcAFUiI</v>
      </c>
      <c r="O423" s="5" t="str">
        <f ca="1">IFERROR(__xludf.DUMMYFUNCTION("""COMPUTED_VALUE"""),"NA")</f>
        <v>NA</v>
      </c>
      <c r="P423" s="5" t="str">
        <f ca="1">IFERROR(__xludf.DUMMYFUNCTION("""COMPUTED_VALUE"""),"(310) 999-5523")</f>
        <v>(310) 999-5523</v>
      </c>
      <c r="Q423" s="5"/>
      <c r="R423" s="5"/>
      <c r="S423" s="5"/>
      <c r="T423" s="5"/>
    </row>
    <row r="424" spans="1:20" ht="12.75">
      <c r="A424" s="24">
        <f ca="1">IFERROR(__xludf.DUMMYFUNCTION("""COMPUTED_VALUE"""),45670.4312747338)</f>
        <v>45670.431274733797</v>
      </c>
      <c r="B424" s="5" t="str">
        <f ca="1">IFERROR(__xludf.DUMMYFUNCTION("""COMPUTED_VALUE"""),"22928 Roscoe Blvd")</f>
        <v>22928 Roscoe Blvd</v>
      </c>
      <c r="C424" s="5" t="str">
        <f ca="1">IFERROR(__xludf.DUMMYFUNCTION("""COMPUTED_VALUE"""),"West Hills")</f>
        <v>West Hills</v>
      </c>
      <c r="D424" s="5" t="str">
        <f ca="1">IFERROR(__xludf.DUMMYFUNCTION("""COMPUTED_VALUE"""),"CA")</f>
        <v>CA</v>
      </c>
      <c r="E424" s="5">
        <f ca="1">IFERROR(__xludf.DUMMYFUNCTION("""COMPUTED_VALUE"""),91304)</f>
        <v>91304</v>
      </c>
      <c r="F424" s="19">
        <f ca="1">IFERROR(__xludf.DUMMYFUNCTION("""COMPUTED_VALUE"""),1)</f>
        <v>1</v>
      </c>
      <c r="G424" s="19">
        <f ca="1">IFERROR(__xludf.DUMMYFUNCTION("""COMPUTED_VALUE"""),25000)</f>
        <v>25000</v>
      </c>
      <c r="H424" s="18">
        <f ca="1">IFERROR(__xludf.DUMMYFUNCTION("""COMPUTED_VALUE"""),45670)</f>
        <v>45670</v>
      </c>
      <c r="I424" s="5" t="str">
        <f ca="1">IFERROR(__xludf.DUMMYFUNCTION("""COMPUTED_VALUE"""),"Zillow")</f>
        <v>Zillow</v>
      </c>
      <c r="J424" s="25" t="str">
        <f ca="1">IFERROR(__xludf.DUMMYFUNCTION("""COMPUTED_VALUE"""),"https://www.zillow.com/homedetails/22928-Roscoe-Blvd-Canoga-Park-CA-91304/51578863_zpid/?msockid=0b6a884f9a7b68f23d399d259b1a69d4")</f>
        <v>https://www.zillow.com/homedetails/22928-Roscoe-Blvd-Canoga-Park-CA-91304/51578863_zpid/?msockid=0b6a884f9a7b68f23d399d259b1a69d4</v>
      </c>
      <c r="K424" s="5" t="str">
        <f ca="1">IFERROR(__xludf.DUMMYFUNCTION("""COMPUTED_VALUE"""),"GP Rentals")</f>
        <v>GP Rentals</v>
      </c>
      <c r="L424" s="5"/>
      <c r="M424" s="5" t="str">
        <f ca="1">IFERROR(__xludf.DUMMYFUNCTION("""COMPUTED_VALUE"""),"First time avail. for rent is 1/13/25; sold for ~$1mil in 07/2024, and comparable rents are closer to $4-5k. ")</f>
        <v xml:space="preserve">First time avail. for rent is 1/13/25; sold for ~$1mil in 07/2024, and comparable rents are closer to $4-5k. </v>
      </c>
      <c r="N424" s="5" t="str">
        <f ca="1">IFERROR(__xludf.DUMMYFUNCTION("""COMPUTED_VALUE"""),"https://drive.google.com/open?id=1Ovz3ixF_8RVjhuCAGk-Cm3VJiXMpjhJ1, https://drive.google.com/open?id=1Pec_oBDfVqPTeUS4kjcbp9aOWtj-TKl0")</f>
        <v>https://drive.google.com/open?id=1Ovz3ixF_8RVjhuCAGk-Cm3VJiXMpjhJ1, https://drive.google.com/open?id=1Pec_oBDfVqPTeUS4kjcbp9aOWtj-TKl0</v>
      </c>
      <c r="O424" s="5">
        <f ca="1">IFERROR(__xludf.DUMMYFUNCTION("""COMPUTED_VALUE"""),2014003005)</f>
        <v>2014003005</v>
      </c>
      <c r="P424" s="5" t="str">
        <f ca="1">IFERROR(__xludf.DUMMYFUNCTION("""COMPUTED_VALUE"""),"(786) 361-7638")</f>
        <v>(786) 361-7638</v>
      </c>
      <c r="Q424" s="5"/>
      <c r="R424" s="5"/>
      <c r="S424" s="5"/>
      <c r="T424" s="5"/>
    </row>
    <row r="425" spans="1:20" ht="12.75">
      <c r="A425" s="24">
        <f ca="1">IFERROR(__xludf.DUMMYFUNCTION("""COMPUTED_VALUE"""),45670.4333099884)</f>
        <v>45670.433309988402</v>
      </c>
      <c r="B425" s="5" t="str">
        <f ca="1">IFERROR(__xludf.DUMMYFUNCTION("""COMPUTED_VALUE"""),"2948 Eckleson St")</f>
        <v>2948 Eckleson St</v>
      </c>
      <c r="C425" s="5" t="str">
        <f ca="1">IFERROR(__xludf.DUMMYFUNCTION("""COMPUTED_VALUE"""),"Lakewood")</f>
        <v>Lakewood</v>
      </c>
      <c r="D425" s="5" t="str">
        <f ca="1">IFERROR(__xludf.DUMMYFUNCTION("""COMPUTED_VALUE"""),"CA")</f>
        <v>CA</v>
      </c>
      <c r="E425" s="5">
        <f ca="1">IFERROR(__xludf.DUMMYFUNCTION("""COMPUTED_VALUE"""),90712)</f>
        <v>90712</v>
      </c>
      <c r="F425" s="19">
        <f ca="1">IFERROR(__xludf.DUMMYFUNCTION("""COMPUTED_VALUE"""),7900)</f>
        <v>7900</v>
      </c>
      <c r="G425" s="19">
        <f ca="1">IFERROR(__xludf.DUMMYFUNCTION("""COMPUTED_VALUE"""),8900)</f>
        <v>8900</v>
      </c>
      <c r="H425" s="18">
        <f ca="1">IFERROR(__xludf.DUMMYFUNCTION("""COMPUTED_VALUE"""),45668)</f>
        <v>45668</v>
      </c>
      <c r="I425" s="5" t="str">
        <f ca="1">IFERROR(__xludf.DUMMYFUNCTION("""COMPUTED_VALUE"""),"Zillow")</f>
        <v>Zillow</v>
      </c>
      <c r="J425" s="25" t="str">
        <f ca="1">IFERROR(__xludf.DUMMYFUNCTION("""COMPUTED_VALUE"""),"https://www.zillow.com/homedetails/2948-Eckleson-St-Lakewood-CA-90712/21168830_zpid/?utm_campaign=iosappmessage&amp;utm_medium=referral&amp;utm_source=txtshare")</f>
        <v>https://www.zillow.com/homedetails/2948-Eckleson-St-Lakewood-CA-90712/21168830_zpid/?utm_campaign=iosappmessage&amp;utm_medium=referral&amp;utm_source=txtshare</v>
      </c>
      <c r="K425" s="5"/>
      <c r="L425" s="5" t="str">
        <f ca="1">IFERROR(__xludf.DUMMYFUNCTION("""COMPUTED_VALUE"""),"Daniel Flynn of Flynn Investment Team")</f>
        <v>Daniel Flynn of Flynn Investment Team</v>
      </c>
      <c r="M425" s="5" t="str">
        <f ca="1">IFERROR(__xludf.DUMMYFUNCTION("""COMPUTED_VALUE"""),"While they say they are primarily focused on helping displaced families and open to flexible lease terms and short terms, they brought up the price 12.7%")</f>
        <v>While they say they are primarily focused on helping displaced families and open to flexible lease terms and short terms, they brought up the price 12.7%</v>
      </c>
      <c r="N425" s="5" t="str">
        <f ca="1">IFERROR(__xludf.DUMMYFUNCTION("""COMPUTED_VALUE"""),"https://drive.google.com/open?id=1G0vuBLB2LJ3ENED2HK1wCaxeLPRMFMOR, https://drive.google.com/open?id=1RA7WIX0F91WQboPbPI-aK0Z63_hrZgxO")</f>
        <v>https://drive.google.com/open?id=1G0vuBLB2LJ3ENED2HK1wCaxeLPRMFMOR, https://drive.google.com/open?id=1RA7WIX0F91WQboPbPI-aK0Z63_hrZgxO</v>
      </c>
      <c r="O425" s="5">
        <f ca="1">IFERROR(__xludf.DUMMYFUNCTION("""COMPUTED_VALUE"""),7156014016)</f>
        <v>7156014016</v>
      </c>
      <c r="P425" s="5"/>
      <c r="Q425" s="5"/>
      <c r="R425" s="5">
        <f ca="1">IFERROR(__xludf.DUMMYFUNCTION("""COMPUTED_VALUE"""),5624000833)</f>
        <v>5624000833</v>
      </c>
      <c r="S425" s="5"/>
      <c r="T425" s="5"/>
    </row>
    <row r="426" spans="1:20" ht="12.75">
      <c r="A426" s="24">
        <f ca="1">IFERROR(__xludf.DUMMYFUNCTION("""COMPUTED_VALUE"""),45670.4347498842)</f>
        <v>45670.434749884203</v>
      </c>
      <c r="B426" s="5" t="str">
        <f ca="1">IFERROR(__xludf.DUMMYFUNCTION("""COMPUTED_VALUE"""),"22349 Vanowen St")</f>
        <v>22349 Vanowen St</v>
      </c>
      <c r="C426" s="5" t="str">
        <f ca="1">IFERROR(__xludf.DUMMYFUNCTION("""COMPUTED_VALUE"""),"Canoga Park")</f>
        <v>Canoga Park</v>
      </c>
      <c r="D426" s="5" t="str">
        <f ca="1">IFERROR(__xludf.DUMMYFUNCTION("""COMPUTED_VALUE"""),"CA")</f>
        <v>CA</v>
      </c>
      <c r="E426" s="5">
        <f ca="1">IFERROR(__xludf.DUMMYFUNCTION("""COMPUTED_VALUE"""),91303)</f>
        <v>91303</v>
      </c>
      <c r="F426" s="19">
        <f ca="1">IFERROR(__xludf.DUMMYFUNCTION("""COMPUTED_VALUE"""),7500)</f>
        <v>7500</v>
      </c>
      <c r="G426" s="19">
        <f ca="1">IFERROR(__xludf.DUMMYFUNCTION("""COMPUTED_VALUE"""),9500)</f>
        <v>9500</v>
      </c>
      <c r="H426" s="18">
        <f ca="1">IFERROR(__xludf.DUMMYFUNCTION("""COMPUTED_VALUE"""),45670)</f>
        <v>45670</v>
      </c>
      <c r="I426" s="5" t="str">
        <f ca="1">IFERROR(__xludf.DUMMYFUNCTION("""COMPUTED_VALUE"""),"Redfin")</f>
        <v>Redfin</v>
      </c>
      <c r="J426" s="25" t="str">
        <f ca="1">IFERROR(__xludf.DUMMYFUNCTION("""COMPUTED_VALUE"""),"https://www.redfin.com/CA/Canoga-Park/22349-Vanowen-St-91303/home/3105525#property-history")</f>
        <v>https://www.redfin.com/CA/Canoga-Park/22349-Vanowen-St-91303/home/3105525#property-history</v>
      </c>
      <c r="K426" s="5" t="str">
        <f ca="1">IFERROR(__xludf.DUMMYFUNCTION("""COMPUTED_VALUE"""),"Rhiannon Genove")</f>
        <v>Rhiannon Genove</v>
      </c>
      <c r="L426" s="5"/>
      <c r="M426" s="5" t="str">
        <f ca="1">IFERROR(__xludf.DUMMYFUNCTION("""COMPUTED_VALUE"""),"Listed for 7500 still on Zillow; up to 9500 on Redfin")</f>
        <v>Listed for 7500 still on Zillow; up to 9500 on Redfin</v>
      </c>
      <c r="N426" s="5" t="str">
        <f ca="1">IFERROR(__xludf.DUMMYFUNCTION("""COMPUTED_VALUE"""),"https://drive.google.com/open?id=1LJ4DZOId_2aZKe7L-Em18gtn4NDiZ2S9, https://drive.google.com/open?id=1NGtLCU7LsIyb7EdqQDsqmcKIPdRB05ee")</f>
        <v>https://drive.google.com/open?id=1LJ4DZOId_2aZKe7L-Em18gtn4NDiZ2S9, https://drive.google.com/open?id=1NGtLCU7LsIyb7EdqQDsqmcKIPdRB05ee</v>
      </c>
      <c r="O426" s="5" t="str">
        <f ca="1">IFERROR(__xludf.DUMMYFUNCTION("""COMPUTED_VALUE"""),"NA")</f>
        <v>NA</v>
      </c>
      <c r="P426" s="5" t="str">
        <f ca="1">IFERROR(__xludf.DUMMYFUNCTION("""COMPUTED_VALUE"""),"408-829-3693 ")</f>
        <v xml:space="preserve">408-829-3693 </v>
      </c>
      <c r="Q426" s="5"/>
      <c r="R426" s="5"/>
      <c r="S426" s="5"/>
      <c r="T426" s="5"/>
    </row>
    <row r="427" spans="1:20" ht="12.75">
      <c r="A427" s="24">
        <f ca="1">IFERROR(__xludf.DUMMYFUNCTION("""COMPUTED_VALUE"""),45670.4374273148)</f>
        <v>45670.437427314799</v>
      </c>
      <c r="B427" s="5" t="str">
        <f ca="1">IFERROR(__xludf.DUMMYFUNCTION("""COMPUTED_VALUE"""),"10123 Angelo View Dr")</f>
        <v>10123 Angelo View Dr</v>
      </c>
      <c r="C427" s="5" t="str">
        <f ca="1">IFERROR(__xludf.DUMMYFUNCTION("""COMPUTED_VALUE"""),"Beverly Hills")</f>
        <v>Beverly Hills</v>
      </c>
      <c r="D427" s="5" t="str">
        <f ca="1">IFERROR(__xludf.DUMMYFUNCTION("""COMPUTED_VALUE"""),"CA")</f>
        <v>CA</v>
      </c>
      <c r="E427" s="5">
        <f ca="1">IFERROR(__xludf.DUMMYFUNCTION("""COMPUTED_VALUE"""),90210)</f>
        <v>90210</v>
      </c>
      <c r="F427" s="19">
        <f ca="1">IFERROR(__xludf.DUMMYFUNCTION("""COMPUTED_VALUE"""),15750)</f>
        <v>15750</v>
      </c>
      <c r="G427" s="19">
        <f ca="1">IFERROR(__xludf.DUMMYFUNCTION("""COMPUTED_VALUE"""),24995)</f>
        <v>24995</v>
      </c>
      <c r="H427" s="18">
        <f ca="1">IFERROR(__xludf.DUMMYFUNCTION("""COMPUTED_VALUE"""),45670)</f>
        <v>45670</v>
      </c>
      <c r="I427" s="5" t="str">
        <f ca="1">IFERROR(__xludf.DUMMYFUNCTION("""COMPUTED_VALUE"""),"Zillow")</f>
        <v>Zillow</v>
      </c>
      <c r="J427" s="25" t="str">
        <f ca="1">IFERROR(__xludf.DUMMYFUNCTION("""COMPUTED_VALUE"""),"https://www.zillow.com/homedetails/10123-Angelo-View-Dr-Beverly-Hills-CA-90210/20523808_zpid/?msockid=0b6a884f9a7b68f23d399d259b1a69d4")</f>
        <v>https://www.zillow.com/homedetails/10123-Angelo-View-Dr-Beverly-Hills-CA-90210/20523808_zpid/?msockid=0b6a884f9a7b68f23d399d259b1a69d4</v>
      </c>
      <c r="K427" s="5" t="str">
        <f ca="1">IFERROR(__xludf.DUMMYFUNCTION("""COMPUTED_VALUE"""),"Nicole Singer")</f>
        <v>Nicole Singer</v>
      </c>
      <c r="L427" s="5"/>
      <c r="M427" s="5" t="str">
        <f ca="1">IFERROR(__xludf.DUMMYFUNCTION("""COMPUTED_VALUE"""),"Listed for 15750 in December 2024 - now up to 24995 as of 1/13/2025")</f>
        <v>Listed for 15750 in December 2024 - now up to 24995 as of 1/13/2025</v>
      </c>
      <c r="N427" s="26" t="str">
        <f ca="1">IFERROR(__xludf.DUMMYFUNCTION("""COMPUTED_VALUE"""),"https://drive.google.com/open?id=1VQygLJ_YQEvevj_Nxrs7xC1omnFMhJJ9")</f>
        <v>https://drive.google.com/open?id=1VQygLJ_YQEvevj_Nxrs7xC1omnFMhJJ9</v>
      </c>
      <c r="O427" s="5">
        <f ca="1">IFERROR(__xludf.DUMMYFUNCTION("""COMPUTED_VALUE"""),4357015003)</f>
        <v>4357015003</v>
      </c>
      <c r="P427" s="5" t="str">
        <f ca="1">IFERROR(__xludf.DUMMYFUNCTION("""COMPUTED_VALUE"""),"(818) 519-1543")</f>
        <v>(818) 519-1543</v>
      </c>
      <c r="Q427" s="5"/>
      <c r="R427" s="5"/>
      <c r="S427" s="5"/>
      <c r="T427" s="5"/>
    </row>
    <row r="428" spans="1:20" ht="12.75">
      <c r="A428" s="24">
        <f ca="1">IFERROR(__xludf.DUMMYFUNCTION("""COMPUTED_VALUE"""),45670.4421668171)</f>
        <v>45670.442166817098</v>
      </c>
      <c r="B428" s="5" t="str">
        <f ca="1">IFERROR(__xludf.DUMMYFUNCTION("""COMPUTED_VALUE"""),"15541 Aqua Verde Dr")</f>
        <v>15541 Aqua Verde Dr</v>
      </c>
      <c r="C428" s="5" t="str">
        <f ca="1">IFERROR(__xludf.DUMMYFUNCTION("""COMPUTED_VALUE"""),"Los Angeles")</f>
        <v>Los Angeles</v>
      </c>
      <c r="D428" s="5" t="str">
        <f ca="1">IFERROR(__xludf.DUMMYFUNCTION("""COMPUTED_VALUE"""),"CA")</f>
        <v>CA</v>
      </c>
      <c r="E428" s="5">
        <f ca="1">IFERROR(__xludf.DUMMYFUNCTION("""COMPUTED_VALUE"""),90077)</f>
        <v>90077</v>
      </c>
      <c r="F428" s="19">
        <f ca="1">IFERROR(__xludf.DUMMYFUNCTION("""COMPUTED_VALUE"""),19000)</f>
        <v>19000</v>
      </c>
      <c r="G428" s="19">
        <f ca="1">IFERROR(__xludf.DUMMYFUNCTION("""COMPUTED_VALUE"""),25000)</f>
        <v>25000</v>
      </c>
      <c r="H428" s="18">
        <f ca="1">IFERROR(__xludf.DUMMYFUNCTION("""COMPUTED_VALUE"""),45670)</f>
        <v>45670</v>
      </c>
      <c r="I428" s="5" t="str">
        <f ca="1">IFERROR(__xludf.DUMMYFUNCTION("""COMPUTED_VALUE"""),"Redfin")</f>
        <v>Redfin</v>
      </c>
      <c r="J428" s="25" t="str">
        <f ca="1">IFERROR(__xludf.DUMMYFUNCTION("""COMPUTED_VALUE"""),"https://www.redfin.com/CA/Los-Angeles/15541-Aqua-Verde-Dr-90077/home/6831653#property-history")</f>
        <v>https://www.redfin.com/CA/Los-Angeles/15541-Aqua-Verde-Dr-90077/home/6831653#property-history</v>
      </c>
      <c r="K428" s="5"/>
      <c r="L428" s="5"/>
      <c r="M428" s="5" t="str">
        <f ca="1">IFERROR(__xludf.DUMMYFUNCTION("""COMPUTED_VALUE"""),"Listed in 2024 for 19k; now 25k")</f>
        <v>Listed in 2024 for 19k; now 25k</v>
      </c>
      <c r="N428" s="26" t="str">
        <f ca="1">IFERROR(__xludf.DUMMYFUNCTION("""COMPUTED_VALUE"""),"https://drive.google.com/open?id=1rT-8MNa_fhtodlQg8X4PmmER-0tT5Nq4")</f>
        <v>https://drive.google.com/open?id=1rT-8MNa_fhtodlQg8X4PmmER-0tT5Nq4</v>
      </c>
      <c r="O428" s="5" t="str">
        <f ca="1">IFERROR(__xludf.DUMMYFUNCTION("""COMPUTED_VALUE"""),"NA")</f>
        <v>NA</v>
      </c>
      <c r="P428" s="5"/>
      <c r="Q428" s="5"/>
      <c r="R428" s="5"/>
      <c r="S428" s="5"/>
      <c r="T428" s="5"/>
    </row>
    <row r="429" spans="1:20" ht="12.75">
      <c r="A429" s="24">
        <f ca="1">IFERROR(__xludf.DUMMYFUNCTION("""COMPUTED_VALUE"""),45670.4423297453)</f>
        <v>45670.442329745303</v>
      </c>
      <c r="B429" s="5" t="str">
        <f ca="1">IFERROR(__xludf.DUMMYFUNCTION("""COMPUTED_VALUE"""),"2442 W Sunset Blvd")</f>
        <v>2442 W Sunset Blvd</v>
      </c>
      <c r="C429" s="5" t="str">
        <f ca="1">IFERROR(__xludf.DUMMYFUNCTION("""COMPUTED_VALUE"""),"Los Angeles")</f>
        <v>Los Angeles</v>
      </c>
      <c r="D429" s="5" t="str">
        <f ca="1">IFERROR(__xludf.DUMMYFUNCTION("""COMPUTED_VALUE"""),"CA")</f>
        <v>CA</v>
      </c>
      <c r="E429" s="5">
        <f ca="1">IFERROR(__xludf.DUMMYFUNCTION("""COMPUTED_VALUE"""),90026)</f>
        <v>90026</v>
      </c>
      <c r="F429" s="19">
        <f ca="1">IFERROR(__xludf.DUMMYFUNCTION("""COMPUTED_VALUE"""),4500)</f>
        <v>4500</v>
      </c>
      <c r="G429" s="19">
        <f ca="1">IFERROR(__xludf.DUMMYFUNCTION("""COMPUTED_VALUE"""),5500)</f>
        <v>5500</v>
      </c>
      <c r="H429" s="18">
        <f ca="1">IFERROR(__xludf.DUMMYFUNCTION("""COMPUTED_VALUE"""),45304)</f>
        <v>45304</v>
      </c>
      <c r="I429" s="5" t="str">
        <f ca="1">IFERROR(__xludf.DUMMYFUNCTION("""COMPUTED_VALUE"""),"Zillow")</f>
        <v>Zillow</v>
      </c>
      <c r="J429" s="25" t="str">
        <f ca="1">IFERROR(__xludf.DUMMYFUNCTION("""COMPUTED_VALUE"""),"https://www.zillow.com/homedetails/2442-W-Sunset-Blvd-Los-Angeles-CA-90026/443714015_zpid/")</f>
        <v>https://www.zillow.com/homedetails/2442-W-Sunset-Blvd-Los-Angeles-CA-90026/443714015_zpid/</v>
      </c>
      <c r="K429" s="5" t="str">
        <f ca="1">IFERROR(__xludf.DUMMYFUNCTION("""COMPUTED_VALUE"""),"Mark")</f>
        <v>Mark</v>
      </c>
      <c r="L429" s="5" t="str">
        <f ca="1">IFERROR(__xludf.DUMMYFUNCTION("""COMPUTED_VALUE"""),"Mark")</f>
        <v>Mark</v>
      </c>
      <c r="M429" s="5" t="str">
        <f ca="1">IFERROR(__xludf.DUMMYFUNCTION("""COMPUTED_VALUE"""),"I toured this property at the end of 2024 when the price was $4,500 and had all the same exact specs. Mark (the property owner) initially increased the rent from $4,500 to $12,500 on 1/8, one day after the fire. After being confronted, the listing was rem"&amp;"oved, and has now been reposted at a still illegal percentage increase (22%). He is relentless and must be stopped. He will also lie if he feels he's being accused. He also owns the apartments at 1032 Coronado behind this unit and I fear that he may be pr"&amp;"ice gouging units there as well. I believe his name is Mark Stephen Perl but i'm not 100% sure - I overheard the current tenant say this name out loud when I was touring the unit. ")</f>
        <v xml:space="preserve">I toured this property at the end of 2024 when the price was $4,500 and had all the same exact specs. Mark (the property owner) initially increased the rent from $4,500 to $12,500 on 1/8, one day after the fire. After being confronted, the listing was removed, and has now been reposted at a still illegal percentage increase (22%). He is relentless and must be stopped. He will also lie if he feels he's being accused. He also owns the apartments at 1032 Coronado behind this unit and I fear that he may be price gouging units there as well. I believe his name is Mark Stephen Perl but i'm not 100% sure - I overheard the current tenant say this name out loud when I was touring the unit. </v>
      </c>
      <c r="N429" s="5" t="str">
        <f ca="1">IFERROR(__xludf.DUMMYFUNCTION("""COMPUTED_VALUE"""),"https://drive.google.com/open?id=1eM1_DkGw6IFD-D8O2e2qRaGBndp9_S0j, https://drive.google.com/open?id=1IBGGM9bkmb2v9sBrGUgeI1h2oxIx6paS, https://drive.google.com/open?id=1B_kA9B_bYiNPrg6VJO3alhoqMXaBLEHJ, https://drive.google.com/open?id=1c9UJmUsd_z7IcLBP0"&amp;"rAhXFg487e4ljEc")</f>
        <v>https://drive.google.com/open?id=1eM1_DkGw6IFD-D8O2e2qRaGBndp9_S0j, https://drive.google.com/open?id=1IBGGM9bkmb2v9sBrGUgeI1h2oxIx6paS, https://drive.google.com/open?id=1B_kA9B_bYiNPrg6VJO3alhoqMXaBLEHJ, https://drive.google.com/open?id=1c9UJmUsd_z7IcLBP0rAhXFg487e4ljEc</v>
      </c>
      <c r="O429" s="5" t="str">
        <f ca="1">IFERROR(__xludf.DUMMYFUNCTION("""COMPUTED_VALUE"""),"NA")</f>
        <v>NA</v>
      </c>
      <c r="P429" s="5">
        <f ca="1">IFERROR(__xludf.DUMMYFUNCTION("""COMPUTED_VALUE"""),3107807375)</f>
        <v>3107807375</v>
      </c>
      <c r="Q429" s="5" t="str">
        <f ca="1">IFERROR(__xludf.DUMMYFUNCTION("""COMPUTED_VALUE"""),"propertymanagement1@mail.com")</f>
        <v>propertymanagement1@mail.com</v>
      </c>
      <c r="R429" s="5">
        <f ca="1">IFERROR(__xludf.DUMMYFUNCTION("""COMPUTED_VALUE"""),3107807375)</f>
        <v>3107807375</v>
      </c>
      <c r="S429" s="5" t="str">
        <f ca="1">IFERROR(__xludf.DUMMYFUNCTION("""COMPUTED_VALUE"""),"propertymanagement1@mail.com")</f>
        <v>propertymanagement1@mail.com</v>
      </c>
      <c r="T429" s="5"/>
    </row>
    <row r="430" spans="1:20" ht="12.75">
      <c r="A430" s="24">
        <f ca="1">IFERROR(__xludf.DUMMYFUNCTION("""COMPUTED_VALUE"""),45670.443633449)</f>
        <v>45670.443633449002</v>
      </c>
      <c r="B430" s="5" t="str">
        <f ca="1">IFERROR(__xludf.DUMMYFUNCTION("""COMPUTED_VALUE"""),"9343 White Oak Ave")</f>
        <v>9343 White Oak Ave</v>
      </c>
      <c r="C430" s="5" t="str">
        <f ca="1">IFERROR(__xludf.DUMMYFUNCTION("""COMPUTED_VALUE"""),"Northridge")</f>
        <v>Northridge</v>
      </c>
      <c r="D430" s="5" t="str">
        <f ca="1">IFERROR(__xludf.DUMMYFUNCTION("""COMPUTED_VALUE"""),"CA")</f>
        <v>CA</v>
      </c>
      <c r="E430" s="5">
        <f ca="1">IFERROR(__xludf.DUMMYFUNCTION("""COMPUTED_VALUE"""),91325)</f>
        <v>91325</v>
      </c>
      <c r="F430" s="19">
        <f ca="1">IFERROR(__xludf.DUMMYFUNCTION("""COMPUTED_VALUE"""),1)</f>
        <v>1</v>
      </c>
      <c r="G430" s="19">
        <f ca="1">IFERROR(__xludf.DUMMYFUNCTION("""COMPUTED_VALUE"""),14000)</f>
        <v>14000</v>
      </c>
      <c r="H430" s="18">
        <f ca="1">IFERROR(__xludf.DUMMYFUNCTION("""COMPUTED_VALUE"""),45666)</f>
        <v>45666</v>
      </c>
      <c r="I430" s="5" t="str">
        <f ca="1">IFERROR(__xludf.DUMMYFUNCTION("""COMPUTED_VALUE"""),"Zillow")</f>
        <v>Zillow</v>
      </c>
      <c r="J430" s="25" t="str">
        <f ca="1">IFERROR(__xludf.DUMMYFUNCTION("""COMPUTED_VALUE"""),"https://www.zillow.com/homedetails/9343-White-Oak-Ave-Northridge-CA-91325/20176737_zpid/")</f>
        <v>https://www.zillow.com/homedetails/9343-White-Oak-Ave-Northridge-CA-91325/20176737_zpid/</v>
      </c>
      <c r="K430" s="5" t="str">
        <f ca="1">IFERROR(__xludf.DUMMYFUNCTION("""COMPUTED_VALUE"""),"Ann")</f>
        <v>Ann</v>
      </c>
      <c r="L430" s="5"/>
      <c r="M430" s="5" t="str">
        <f ca="1">IFERROR(__xludf.DUMMYFUNCTION("""COMPUTED_VALUE"""),"Was not previously listed for rent, however, the price is obviously exceeding what is standard for the size and the area.  There is another, bigger, listing across the street for only 8500.")</f>
        <v>Was not previously listed for rent, however, the price is obviously exceeding what is standard for the size and the area.  There is another, bigger, listing across the street for only 8500.</v>
      </c>
      <c r="N430" s="5" t="str">
        <f ca="1">IFERROR(__xludf.DUMMYFUNCTION("""COMPUTED_VALUE"""),"https://drive.google.com/open?id=175ruygY7FXW0uRRbml9qyR4zUEPoT4mY, https://drive.google.com/open?id=1rqbavfuPijxcQdpMblLkXDy8JjzToFOf")</f>
        <v>https://drive.google.com/open?id=175ruygY7FXW0uRRbml9qyR4zUEPoT4mY, https://drive.google.com/open?id=1rqbavfuPijxcQdpMblLkXDy8JjzToFOf</v>
      </c>
      <c r="O430" s="5" t="str">
        <f ca="1">IFERROR(__xludf.DUMMYFUNCTION("""COMPUTED_VALUE"""),"NA")</f>
        <v>NA</v>
      </c>
      <c r="P430" s="5" t="str">
        <f ca="1">IFERROR(__xludf.DUMMYFUNCTION("""COMPUTED_VALUE"""),"(213) 539-2171")</f>
        <v>(213) 539-2171</v>
      </c>
      <c r="Q430" s="5"/>
      <c r="R430" s="5"/>
      <c r="S430" s="5"/>
      <c r="T430" s="5"/>
    </row>
    <row r="431" spans="1:20" ht="12.75">
      <c r="A431" s="24">
        <f ca="1">IFERROR(__xludf.DUMMYFUNCTION("""COMPUTED_VALUE"""),45670.4440503125)</f>
        <v>45670.444050312501</v>
      </c>
      <c r="B431" s="5" t="str">
        <f ca="1">IFERROR(__xludf.DUMMYFUNCTION("""COMPUTED_VALUE"""),"233 17th Street ")</f>
        <v xml:space="preserve">233 17th Street </v>
      </c>
      <c r="C431" s="5" t="str">
        <f ca="1">IFERROR(__xludf.DUMMYFUNCTION("""COMPUTED_VALUE"""),"Manhattan Beach")</f>
        <v>Manhattan Beach</v>
      </c>
      <c r="D431" s="5" t="str">
        <f ca="1">IFERROR(__xludf.DUMMYFUNCTION("""COMPUTED_VALUE"""),"CA")</f>
        <v>CA</v>
      </c>
      <c r="E431" s="5">
        <f ca="1">IFERROR(__xludf.DUMMYFUNCTION("""COMPUTED_VALUE"""),90266)</f>
        <v>90266</v>
      </c>
      <c r="F431" s="19">
        <f ca="1">IFERROR(__xludf.DUMMYFUNCTION("""COMPUTED_VALUE"""),10000)</f>
        <v>10000</v>
      </c>
      <c r="G431" s="19">
        <f ca="1">IFERROR(__xludf.DUMMYFUNCTION("""COMPUTED_VALUE"""),19700)</f>
        <v>19700</v>
      </c>
      <c r="H431" s="18">
        <f ca="1">IFERROR(__xludf.DUMMYFUNCTION("""COMPUTED_VALUE"""),45669)</f>
        <v>45669</v>
      </c>
      <c r="I431" s="5" t="str">
        <f ca="1">IFERROR(__xludf.DUMMYFUNCTION("""COMPUTED_VALUE"""),"Zillow")</f>
        <v>Zillow</v>
      </c>
      <c r="J431" s="25" t="str">
        <f ca="1">IFERROR(__xludf.DUMMYFUNCTION("""COMPUTED_VALUE"""),"https://www.zillow.com/homedetails/233-17th-St-Manhattan-Beach-CA-90266/20421726_zpid/")</f>
        <v>https://www.zillow.com/homedetails/233-17th-St-Manhattan-Beach-CA-90266/20421726_zpid/</v>
      </c>
      <c r="K431" s="5"/>
      <c r="L431" s="5" t="str">
        <f ca="1">IFERROR(__xludf.DUMMYFUNCTION("""COMPUTED_VALUE"""),"CG Cecil")</f>
        <v>CG Cecil</v>
      </c>
      <c r="M431" s="5"/>
      <c r="N431" s="5" t="str">
        <f ca="1">IFERROR(__xludf.DUMMYFUNCTION("""COMPUTED_VALUE"""),"https://drive.google.com/open?id=1UvPDBwWt65XNCX7sac7zg1Jx9UI-8dsd, https://drive.google.com/open?id=1rL4r5Xzethvh1xbq8I2m-qv9FvjSbQwp")</f>
        <v>https://drive.google.com/open?id=1UvPDBwWt65XNCX7sac7zg1Jx9UI-8dsd, https://drive.google.com/open?id=1rL4r5Xzethvh1xbq8I2m-qv9FvjSbQwp</v>
      </c>
      <c r="O431" s="5">
        <f ca="1">IFERROR(__xludf.DUMMYFUNCTION("""COMPUTED_VALUE"""),4178006020)</f>
        <v>4178006020</v>
      </c>
      <c r="P431" s="5"/>
      <c r="Q431" s="5"/>
      <c r="R431" s="5"/>
      <c r="S431" s="5"/>
      <c r="T431" s="5"/>
    </row>
    <row r="432" spans="1:20" ht="12.75">
      <c r="A432" s="24">
        <f ca="1">IFERROR(__xludf.DUMMYFUNCTION("""COMPUTED_VALUE"""),45670.4477306018)</f>
        <v>45670.447730601802</v>
      </c>
      <c r="B432" s="5" t="str">
        <f ca="1">IFERROR(__xludf.DUMMYFUNCTION("""COMPUTED_VALUE"""),"20850 Kingsbury St")</f>
        <v>20850 Kingsbury St</v>
      </c>
      <c r="C432" s="5" t="str">
        <f ca="1">IFERROR(__xludf.DUMMYFUNCTION("""COMPUTED_VALUE"""),"Chatsworth")</f>
        <v>Chatsworth</v>
      </c>
      <c r="D432" s="5" t="str">
        <f ca="1">IFERROR(__xludf.DUMMYFUNCTION("""COMPUTED_VALUE"""),"CA")</f>
        <v>CA</v>
      </c>
      <c r="E432" s="5">
        <f ca="1">IFERROR(__xludf.DUMMYFUNCTION("""COMPUTED_VALUE"""),91311)</f>
        <v>91311</v>
      </c>
      <c r="F432" s="19">
        <f ca="1">IFERROR(__xludf.DUMMYFUNCTION("""COMPUTED_VALUE"""),1800)</f>
        <v>1800</v>
      </c>
      <c r="G432" s="19">
        <f ca="1">IFERROR(__xludf.DUMMYFUNCTION("""COMPUTED_VALUE"""),4500)</f>
        <v>4500</v>
      </c>
      <c r="H432" s="18">
        <f ca="1">IFERROR(__xludf.DUMMYFUNCTION("""COMPUTED_VALUE"""),45666)</f>
        <v>45666</v>
      </c>
      <c r="I432" s="5" t="str">
        <f ca="1">IFERROR(__xludf.DUMMYFUNCTION("""COMPUTED_VALUE"""),"Zillow")</f>
        <v>Zillow</v>
      </c>
      <c r="J432" s="25" t="str">
        <f ca="1">IFERROR(__xludf.DUMMYFUNCTION("""COMPUTED_VALUE"""),"https://www.zillow.com/homedetails/20850-Kingsbury-St-Chatsworth-CA-91311/134988770_zpid/")</f>
        <v>https://www.zillow.com/homedetails/20850-Kingsbury-St-Chatsworth-CA-91311/134988770_zpid/</v>
      </c>
      <c r="K432" s="5" t="str">
        <f ca="1">IFERROR(__xludf.DUMMYFUNCTION("""COMPUTED_VALUE"""),"Suria Calacuayo")</f>
        <v>Suria Calacuayo</v>
      </c>
      <c r="L432" s="5"/>
      <c r="M432" s="5" t="str">
        <f ca="1">IFERROR(__xludf.DUMMYFUNCTION("""COMPUTED_VALUE"""),"$1,800 per month was last posted on August 27, 2024 so may be too long, but 150% increase vs. August seems egregious")</f>
        <v>$1,800 per month was last posted on August 27, 2024 so may be too long, but 150% increase vs. August seems egregious</v>
      </c>
      <c r="N432" s="5" t="str">
        <f ca="1">IFERROR(__xludf.DUMMYFUNCTION("""COMPUTED_VALUE"""),"https://drive.google.com/open?id=1BXEVP_uwHpu9G-iY0zLPJBpOrKcwZeVB, https://drive.google.com/open?id=1dfH4-ysyYrGfr7N3qK4JxdMn3YVft-H3")</f>
        <v>https://drive.google.com/open?id=1BXEVP_uwHpu9G-iY0zLPJBpOrKcwZeVB, https://drive.google.com/open?id=1dfH4-ysyYrGfr7N3qK4JxdMn3YVft-H3</v>
      </c>
      <c r="O432" s="5">
        <f ca="1">IFERROR(__xludf.DUMMYFUNCTION("""COMPUTED_VALUE"""),2706011050)</f>
        <v>2706011050</v>
      </c>
      <c r="P432" s="5" t="str">
        <f ca="1">IFERROR(__xludf.DUMMYFUNCTION("""COMPUTED_VALUE"""),"(818) 389-5021")</f>
        <v>(818) 389-5021</v>
      </c>
      <c r="Q432" s="5"/>
      <c r="R432" s="5"/>
      <c r="S432" s="5"/>
      <c r="T432" s="5"/>
    </row>
    <row r="433" spans="1:20" ht="12.75">
      <c r="A433" s="24">
        <f ca="1">IFERROR(__xludf.DUMMYFUNCTION("""COMPUTED_VALUE"""),45670.4531421527)</f>
        <v>45670.453142152699</v>
      </c>
      <c r="B433" s="5" t="str">
        <f ca="1">IFERROR(__xludf.DUMMYFUNCTION("""COMPUTED_VALUE"""),"907 Pine Grove Ave")</f>
        <v>907 Pine Grove Ave</v>
      </c>
      <c r="C433" s="5" t="str">
        <f ca="1">IFERROR(__xludf.DUMMYFUNCTION("""COMPUTED_VALUE"""),"Los Angeles")</f>
        <v>Los Angeles</v>
      </c>
      <c r="D433" s="5" t="str">
        <f ca="1">IFERROR(__xludf.DUMMYFUNCTION("""COMPUTED_VALUE"""),"CA")</f>
        <v>CA</v>
      </c>
      <c r="E433" s="5">
        <f ca="1">IFERROR(__xludf.DUMMYFUNCTION("""COMPUTED_VALUE"""),90042)</f>
        <v>90042</v>
      </c>
      <c r="F433" s="19">
        <f ca="1">IFERROR(__xludf.DUMMYFUNCTION("""COMPUTED_VALUE"""),5250)</f>
        <v>5250</v>
      </c>
      <c r="G433" s="19">
        <f ca="1">IFERROR(__xludf.DUMMYFUNCTION("""COMPUTED_VALUE"""),5800)</f>
        <v>5800</v>
      </c>
      <c r="H433" s="18">
        <f ca="1">IFERROR(__xludf.DUMMYFUNCTION("""COMPUTED_VALUE"""),45669)</f>
        <v>45669</v>
      </c>
      <c r="I433" s="5" t="str">
        <f ca="1">IFERROR(__xludf.DUMMYFUNCTION("""COMPUTED_VALUE"""),"Zillow")</f>
        <v>Zillow</v>
      </c>
      <c r="J433" s="25" t="str">
        <f ca="1">IFERROR(__xludf.DUMMYFUNCTION("""COMPUTED_VALUE"""),"https://www.zillow.com/homedetails/907-Pine-Grove-Ave-Los-Angeles-CA-90042/20769156_zpid/?utm_campaign=iosappmessage&amp;utm_medium=referral&amp;utm_source=txtshare")</f>
        <v>https://www.zillow.com/homedetails/907-Pine-Grove-Ave-Los-Angeles-CA-90042/20769156_zpid/?utm_campaign=iosappmessage&amp;utm_medium=referral&amp;utm_source=txtshare</v>
      </c>
      <c r="K433" s="5"/>
      <c r="L433" s="5"/>
      <c r="M433" s="5" t="str">
        <f ca="1">IFERROR(__xludf.DUMMYFUNCTION("""COMPUTED_VALUE"""),"This one may have already been entered, just fyi!  - Laura Matter")</f>
        <v>This one may have already been entered, just fyi!  - Laura Matter</v>
      </c>
      <c r="N433" s="26" t="str">
        <f ca="1">IFERROR(__xludf.DUMMYFUNCTION("""COMPUTED_VALUE"""),"https://drive.google.com/open?id=1SVvXvtqq6oZKMRT0b3Q5LbshLr89JiQh")</f>
        <v>https://drive.google.com/open?id=1SVvXvtqq6oZKMRT0b3Q5LbshLr89JiQh</v>
      </c>
      <c r="O433" s="5">
        <f ca="1">IFERROR(__xludf.DUMMYFUNCTION("""COMPUTED_VALUE"""),5481005027)</f>
        <v>5481005027</v>
      </c>
      <c r="P433" s="5"/>
      <c r="Q433" s="5"/>
      <c r="R433" s="5"/>
      <c r="S433" s="5"/>
      <c r="T433" s="5"/>
    </row>
    <row r="434" spans="1:20" ht="12.75">
      <c r="A434" s="24">
        <f ca="1">IFERROR(__xludf.DUMMYFUNCTION("""COMPUTED_VALUE"""),45670.455271493)</f>
        <v>45670.455271493003</v>
      </c>
      <c r="B434" s="5" t="str">
        <f ca="1">IFERROR(__xludf.DUMMYFUNCTION("""COMPUTED_VALUE"""),"915 Edie Dr")</f>
        <v>915 Edie Dr</v>
      </c>
      <c r="C434" s="5" t="str">
        <f ca="1">IFERROR(__xludf.DUMMYFUNCTION("""COMPUTED_VALUE"""),"Duarte")</f>
        <v>Duarte</v>
      </c>
      <c r="D434" s="5" t="str">
        <f ca="1">IFERROR(__xludf.DUMMYFUNCTION("""COMPUTED_VALUE"""),"CA")</f>
        <v>CA</v>
      </c>
      <c r="E434" s="5">
        <f ca="1">IFERROR(__xludf.DUMMYFUNCTION("""COMPUTED_VALUE"""),91010)</f>
        <v>91010</v>
      </c>
      <c r="F434" s="19">
        <f ca="1">IFERROR(__xludf.DUMMYFUNCTION("""COMPUTED_VALUE"""),9995)</f>
        <v>9995</v>
      </c>
      <c r="G434" s="19">
        <f ca="1">IFERROR(__xludf.DUMMYFUNCTION("""COMPUTED_VALUE"""),11995)</f>
        <v>11995</v>
      </c>
      <c r="H434" s="18">
        <f ca="1">IFERROR(__xludf.DUMMYFUNCTION("""COMPUTED_VALUE"""),45666)</f>
        <v>45666</v>
      </c>
      <c r="I434" s="5" t="str">
        <f ca="1">IFERROR(__xludf.DUMMYFUNCTION("""COMPUTED_VALUE"""),"Zillow")</f>
        <v>Zillow</v>
      </c>
      <c r="J434" s="25" t="str">
        <f ca="1">IFERROR(__xludf.DUMMYFUNCTION("""COMPUTED_VALUE"""),"https://www.zillow.com/homedetails/915-Edie-Dr-Duarte-CA-91010/58477819_zpid/?utm_campaign=iosappmessage&amp;utm_medium=referral&amp;utm_source=txtshare")</f>
        <v>https://www.zillow.com/homedetails/915-Edie-Dr-Duarte-CA-91010/58477819_zpid/?utm_campaign=iosappmessage&amp;utm_medium=referral&amp;utm_source=txtshare</v>
      </c>
      <c r="K434" s="5" t="str">
        <f ca="1">IFERROR(__xludf.DUMMYFUNCTION("""COMPUTED_VALUE"""),"Michael Mikail")</f>
        <v>Michael Mikail</v>
      </c>
      <c r="L434" s="5"/>
      <c r="M434" s="5" t="str">
        <f ca="1">IFERROR(__xludf.DUMMYFUNCTION("""COMPUTED_VALUE"""),"This one may have already been entered, just fyi! -Laura Matter")</f>
        <v>This one may have already been entered, just fyi! -Laura Matter</v>
      </c>
      <c r="N434" s="5" t="str">
        <f ca="1">IFERROR(__xludf.DUMMYFUNCTION("""COMPUTED_VALUE"""),"https://drive.google.com/open?id=1KDoH2-OfnilRi11PNlLGwHpkWGVcebVb, https://drive.google.com/open?id=1LgvgwLdgLIHgDiWoJzFyxBiwJ3xlUC0b")</f>
        <v>https://drive.google.com/open?id=1KDoH2-OfnilRi11PNlLGwHpkWGVcebVb, https://drive.google.com/open?id=1LgvgwLdgLIHgDiWoJzFyxBiwJ3xlUC0b</v>
      </c>
      <c r="O434" s="5">
        <f ca="1">IFERROR(__xludf.DUMMYFUNCTION("""COMPUTED_VALUE"""),8604002065)</f>
        <v>8604002065</v>
      </c>
      <c r="P434" s="5" t="str">
        <f ca="1">IFERROR(__xludf.DUMMYFUNCTION("""COMPUTED_VALUE"""),"(310) 617-6272")</f>
        <v>(310) 617-6272</v>
      </c>
      <c r="Q434" s="5"/>
      <c r="R434" s="5"/>
      <c r="S434" s="5"/>
      <c r="T434" s="5"/>
    </row>
    <row r="435" spans="1:20" ht="12.75">
      <c r="A435" s="24">
        <f ca="1">IFERROR(__xludf.DUMMYFUNCTION("""COMPUTED_VALUE"""),45670.4557356018)</f>
        <v>45670.455735601798</v>
      </c>
      <c r="B435" s="5" t="str">
        <f ca="1">IFERROR(__xludf.DUMMYFUNCTION("""COMPUTED_VALUE"""),"7901 Limerick Ave #1")</f>
        <v>7901 Limerick Ave #1</v>
      </c>
      <c r="C435" s="5" t="str">
        <f ca="1">IFERROR(__xludf.DUMMYFUNCTION("""COMPUTED_VALUE"""),"Winnetka")</f>
        <v>Winnetka</v>
      </c>
      <c r="D435" s="5" t="str">
        <f ca="1">IFERROR(__xludf.DUMMYFUNCTION("""COMPUTED_VALUE"""),"CA")</f>
        <v>CA</v>
      </c>
      <c r="E435" s="5">
        <f ca="1">IFERROR(__xludf.DUMMYFUNCTION("""COMPUTED_VALUE"""),91306)</f>
        <v>91306</v>
      </c>
      <c r="F435" s="19">
        <f ca="1">IFERROR(__xludf.DUMMYFUNCTION("""COMPUTED_VALUE"""),5500)</f>
        <v>5500</v>
      </c>
      <c r="G435" s="19">
        <f ca="1">IFERROR(__xludf.DUMMYFUNCTION("""COMPUTED_VALUE"""),7500)</f>
        <v>7500</v>
      </c>
      <c r="H435" s="18">
        <f ca="1">IFERROR(__xludf.DUMMYFUNCTION("""COMPUTED_VALUE"""),45669)</f>
        <v>45669</v>
      </c>
      <c r="I435" s="5" t="str">
        <f ca="1">IFERROR(__xludf.DUMMYFUNCTION("""COMPUTED_VALUE"""),"Zillow")</f>
        <v>Zillow</v>
      </c>
      <c r="J435" s="25" t="str">
        <f ca="1">IFERROR(__xludf.DUMMYFUNCTION("""COMPUTED_VALUE"""),"https://www.zillow.com/homedetails/7901-Limerick-Ave-1-Winnetka-CA-91306/2054214691_zpid/")</f>
        <v>https://www.zillow.com/homedetails/7901-Limerick-Ave-1-Winnetka-CA-91306/2054214691_zpid/</v>
      </c>
      <c r="K435" s="5" t="str">
        <f ca="1">IFERROR(__xludf.DUMMYFUNCTION("""COMPUTED_VALUE"""),"David")</f>
        <v>David</v>
      </c>
      <c r="L435" s="5"/>
      <c r="M435" s="5" t="str">
        <f ca="1">IFERROR(__xludf.DUMMYFUNCTION("""COMPUTED_VALUE"""),"Last priced 5500 in June 2024")</f>
        <v>Last priced 5500 in June 2024</v>
      </c>
      <c r="N435" s="5" t="str">
        <f ca="1">IFERROR(__xludf.DUMMYFUNCTION("""COMPUTED_VALUE"""),"https://drive.google.com/open?id=1yiaoGk1KaX6GQc62DgrgXln4UO9gwtYs, https://drive.google.com/open?id=1I9YWihZow2HxHmVE-yfFLjqpJUS3oJ_y")</f>
        <v>https://drive.google.com/open?id=1yiaoGk1KaX6GQc62DgrgXln4UO9gwtYs, https://drive.google.com/open?id=1I9YWihZow2HxHmVE-yfFLjqpJUS3oJ_y</v>
      </c>
      <c r="O435" s="5" t="str">
        <f ca="1">IFERROR(__xludf.DUMMYFUNCTION("""COMPUTED_VALUE"""),"NA")</f>
        <v>NA</v>
      </c>
      <c r="P435" s="5" t="str">
        <f ca="1">IFERROR(__xludf.DUMMYFUNCTION("""COMPUTED_VALUE"""),"(805) 568-8470")</f>
        <v>(805) 568-8470</v>
      </c>
      <c r="Q435" s="5"/>
      <c r="R435" s="5"/>
      <c r="S435" s="5"/>
      <c r="T435" s="5"/>
    </row>
    <row r="436" spans="1:20" ht="12.75">
      <c r="A436" s="24">
        <f ca="1">IFERROR(__xludf.DUMMYFUNCTION("""COMPUTED_VALUE"""),45670.4594765625)</f>
        <v>45670.459476562501</v>
      </c>
      <c r="B436" s="5" t="str">
        <f ca="1">IFERROR(__xludf.DUMMYFUNCTION("""COMPUTED_VALUE"""),"22147 Gresham St")</f>
        <v>22147 Gresham St</v>
      </c>
      <c r="C436" s="5" t="str">
        <f ca="1">IFERROR(__xludf.DUMMYFUNCTION("""COMPUTED_VALUE"""),"West Hills")</f>
        <v>West Hills</v>
      </c>
      <c r="D436" s="5" t="str">
        <f ca="1">IFERROR(__xludf.DUMMYFUNCTION("""COMPUTED_VALUE"""),"CA")</f>
        <v>CA</v>
      </c>
      <c r="E436" s="5">
        <f ca="1">IFERROR(__xludf.DUMMYFUNCTION("""COMPUTED_VALUE"""),91304)</f>
        <v>91304</v>
      </c>
      <c r="F436" s="19">
        <f ca="1">IFERROR(__xludf.DUMMYFUNCTION("""COMPUTED_VALUE"""),14000)</f>
        <v>14000</v>
      </c>
      <c r="G436" s="19">
        <f ca="1">IFERROR(__xludf.DUMMYFUNCTION("""COMPUTED_VALUE"""),19900)</f>
        <v>19900</v>
      </c>
      <c r="H436" s="18">
        <f ca="1">IFERROR(__xludf.DUMMYFUNCTION("""COMPUTED_VALUE"""),45665)</f>
        <v>45665</v>
      </c>
      <c r="I436" s="5" t="str">
        <f ca="1">IFERROR(__xludf.DUMMYFUNCTION("""COMPUTED_VALUE"""),"Zillow")</f>
        <v>Zillow</v>
      </c>
      <c r="J436" s="25" t="str">
        <f ca="1">IFERROR(__xludf.DUMMYFUNCTION("""COMPUTED_VALUE"""),"https://www.zillow.com/homedetails/22147-Gresham-St-West-Hills-CA-91304/51576724_zpid/")</f>
        <v>https://www.zillow.com/homedetails/22147-Gresham-St-West-Hills-CA-91304/51576724_zpid/</v>
      </c>
      <c r="K436" s="5" t="str">
        <f ca="1">IFERROR(__xludf.DUMMYFUNCTION("""COMPUTED_VALUE"""),"Sona Dastan")</f>
        <v>Sona Dastan</v>
      </c>
      <c r="L436" s="5"/>
      <c r="M436" s="5" t="str">
        <f ca="1">IFERROR(__xludf.DUMMYFUNCTION("""COMPUTED_VALUE"""),"Priced at 14K jan of 2024, may be too long but 42% increase in just under a year")</f>
        <v>Priced at 14K jan of 2024, may be too long but 42% increase in just under a year</v>
      </c>
      <c r="N436" s="5" t="str">
        <f ca="1">IFERROR(__xludf.DUMMYFUNCTION("""COMPUTED_VALUE"""),"https://drive.google.com/open?id=1SeOGt1Zaa45kk62BFW95pCN-RvsmN0zQ, https://drive.google.com/open?id=1dl8vNJit9UcsPl0iqUwnTOHeX3CwbeJC")</f>
        <v>https://drive.google.com/open?id=1SeOGt1Zaa45kk62BFW95pCN-RvsmN0zQ, https://drive.google.com/open?id=1dl8vNJit9UcsPl0iqUwnTOHeX3CwbeJC</v>
      </c>
      <c r="O436" s="5">
        <f ca="1">IFERROR(__xludf.DUMMYFUNCTION("""COMPUTED_VALUE"""),2010006011)</f>
        <v>2010006011</v>
      </c>
      <c r="P436" s="5" t="str">
        <f ca="1">IFERROR(__xludf.DUMMYFUNCTION("""COMPUTED_VALUE"""),"(818) 516-8045")</f>
        <v>(818) 516-8045</v>
      </c>
      <c r="Q436" s="5"/>
      <c r="R436" s="5"/>
      <c r="S436" s="5"/>
      <c r="T436" s="5"/>
    </row>
    <row r="437" spans="1:20" ht="12.75">
      <c r="A437" s="24">
        <f ca="1">IFERROR(__xludf.DUMMYFUNCTION("""COMPUTED_VALUE"""),45670.4602848842)</f>
        <v>45670.460284884197</v>
      </c>
      <c r="B437" s="5" t="str">
        <f ca="1">IFERROR(__xludf.DUMMYFUNCTION("""COMPUTED_VALUE"""),"1533 Twin Tides Pl")</f>
        <v>1533 Twin Tides Pl</v>
      </c>
      <c r="C437" s="5" t="str">
        <f ca="1">IFERROR(__xludf.DUMMYFUNCTION("""COMPUTED_VALUE"""),"Oxnard")</f>
        <v>Oxnard</v>
      </c>
      <c r="D437" s="5" t="str">
        <f ca="1">IFERROR(__xludf.DUMMYFUNCTION("""COMPUTED_VALUE"""),"CA")</f>
        <v>CA</v>
      </c>
      <c r="E437" s="5">
        <f ca="1">IFERROR(__xludf.DUMMYFUNCTION("""COMPUTED_VALUE"""),93035)</f>
        <v>93035</v>
      </c>
      <c r="F437" s="19">
        <f ca="1">IFERROR(__xludf.DUMMYFUNCTION("""COMPUTED_VALUE"""),9000)</f>
        <v>9000</v>
      </c>
      <c r="G437" s="19">
        <f ca="1">IFERROR(__xludf.DUMMYFUNCTION("""COMPUTED_VALUE"""),13000)</f>
        <v>13000</v>
      </c>
      <c r="H437" s="18">
        <f ca="1">IFERROR(__xludf.DUMMYFUNCTION("""COMPUTED_VALUE"""),45667)</f>
        <v>45667</v>
      </c>
      <c r="I437" s="5" t="str">
        <f ca="1">IFERROR(__xludf.DUMMYFUNCTION("""COMPUTED_VALUE"""),"Zillow")</f>
        <v>Zillow</v>
      </c>
      <c r="J437" s="25" t="str">
        <f ca="1">IFERROR(__xludf.DUMMYFUNCTION("""COMPUTED_VALUE"""),"https://www.zillow.com/homedetails/1533-Twin-Tides-Pl-Oxnard-CA-93035/63031008_zpid/?utm_campaign=iosappmessage&amp;utm_medium=referral&amp;utm_source=txtshare")</f>
        <v>https://www.zillow.com/homedetails/1533-Twin-Tides-Pl-Oxnard-CA-93035/63031008_zpid/?utm_campaign=iosappmessage&amp;utm_medium=referral&amp;utm_source=txtshare</v>
      </c>
      <c r="K437" s="5" t="str">
        <f ca="1">IFERROR(__xludf.DUMMYFUNCTION("""COMPUTED_VALUE"""),"Vijay Sain")</f>
        <v>Vijay Sain</v>
      </c>
      <c r="L437" s="5" t="str">
        <f ca="1">IFERROR(__xludf.DUMMYFUNCTION("""COMPUTED_VALUE"""),"H")</f>
        <v>H</v>
      </c>
      <c r="M437" s="5" t="str">
        <f ca="1">IFERROR(__xludf.DUMMYFUNCTION("""COMPUTED_VALUE"""),"Highest the property was listed was for 10k on 9/30/23")</f>
        <v>Highest the property was listed was for 10k on 9/30/23</v>
      </c>
      <c r="N437" s="26" t="str">
        <f ca="1">IFERROR(__xludf.DUMMYFUNCTION("""COMPUTED_VALUE"""),"https://drive.google.com/open?id=19eGBV5q3FGpuvAbDFYez3kukHfw7H3py")</f>
        <v>https://drive.google.com/open?id=19eGBV5q3FGpuvAbDFYez3kukHfw7H3py</v>
      </c>
      <c r="O437" s="5">
        <f ca="1">IFERROR(__xludf.DUMMYFUNCTION("""COMPUTED_VALUE"""),1880191225)</f>
        <v>1880191225</v>
      </c>
      <c r="P437" s="5" t="str">
        <f ca="1">IFERROR(__xludf.DUMMYFUNCTION("""COMPUTED_VALUE"""),"805-258-1797")</f>
        <v>805-258-1797</v>
      </c>
      <c r="Q437" s="5"/>
      <c r="R437" s="5"/>
      <c r="S437" s="5"/>
      <c r="T437" s="5"/>
    </row>
    <row r="438" spans="1:20" ht="12.75">
      <c r="A438" s="24">
        <f ca="1">IFERROR(__xludf.DUMMYFUNCTION("""COMPUTED_VALUE"""),45670.4643497453)</f>
        <v>45670.4643497453</v>
      </c>
      <c r="B438" s="5" t="str">
        <f ca="1">IFERROR(__xludf.DUMMYFUNCTION("""COMPUTED_VALUE"""),"7540 Quimby Ave")</f>
        <v>7540 Quimby Ave</v>
      </c>
      <c r="C438" s="5" t="str">
        <f ca="1">IFERROR(__xludf.DUMMYFUNCTION("""COMPUTED_VALUE"""),"West Hills")</f>
        <v>West Hills</v>
      </c>
      <c r="D438" s="5" t="str">
        <f ca="1">IFERROR(__xludf.DUMMYFUNCTION("""COMPUTED_VALUE"""),"CA")</f>
        <v>CA</v>
      </c>
      <c r="E438" s="5">
        <f ca="1">IFERROR(__xludf.DUMMYFUNCTION("""COMPUTED_VALUE"""),91307)</f>
        <v>91307</v>
      </c>
      <c r="F438" s="19">
        <f ca="1">IFERROR(__xludf.DUMMYFUNCTION("""COMPUTED_VALUE"""),3995)</f>
        <v>3995</v>
      </c>
      <c r="G438" s="19">
        <f ca="1">IFERROR(__xludf.DUMMYFUNCTION("""COMPUTED_VALUE"""),4900)</f>
        <v>4900</v>
      </c>
      <c r="H438" s="18">
        <f ca="1">IFERROR(__xludf.DUMMYFUNCTION("""COMPUTED_VALUE"""),45665)</f>
        <v>45665</v>
      </c>
      <c r="I438" s="5" t="str">
        <f ca="1">IFERROR(__xludf.DUMMYFUNCTION("""COMPUTED_VALUE"""),"Zillow")</f>
        <v>Zillow</v>
      </c>
      <c r="J438" s="25" t="str">
        <f ca="1">IFERROR(__xludf.DUMMYFUNCTION("""COMPUTED_VALUE"""),"https://www.zillow.com/homedetails/7540-Quimby-Ave-West-Hills-CA-91307/19865941_zpid/")</f>
        <v>https://www.zillow.com/homedetails/7540-Quimby-Ave-West-Hills-CA-91307/19865941_zpid/</v>
      </c>
      <c r="K438" s="5" t="str">
        <f ca="1">IFERROR(__xludf.DUMMYFUNCTION("""COMPUTED_VALUE"""),"Earnest Homes")</f>
        <v>Earnest Homes</v>
      </c>
      <c r="L438" s="5"/>
      <c r="M438" s="5"/>
      <c r="N438" s="5" t="str">
        <f ca="1">IFERROR(__xludf.DUMMYFUNCTION("""COMPUTED_VALUE"""),"https://drive.google.com/open?id=1bY59AwBk6jilLCt1nu821g_o7sQ711kP, https://drive.google.com/open?id=1ysb3wD6mT7dQhsyeh-5u6Z2MYMiS6QCW")</f>
        <v>https://drive.google.com/open?id=1bY59AwBk6jilLCt1nu821g_o7sQ711kP, https://drive.google.com/open?id=1ysb3wD6mT7dQhsyeh-5u6Z2MYMiS6QCW</v>
      </c>
      <c r="O438" s="5">
        <f ca="1">IFERROR(__xludf.DUMMYFUNCTION("""COMPUTED_VALUE"""),2021004017)</f>
        <v>2021004017</v>
      </c>
      <c r="P438" s="5">
        <f ca="1">IFERROR(__xludf.DUMMYFUNCTION("""COMPUTED_VALUE"""),3233752974)</f>
        <v>3233752974</v>
      </c>
      <c r="Q438" s="5"/>
      <c r="R438" s="5"/>
      <c r="S438" s="5"/>
      <c r="T438" s="5"/>
    </row>
    <row r="439" spans="1:20" ht="12.75">
      <c r="A439" s="24">
        <f ca="1">IFERROR(__xludf.DUMMYFUNCTION("""COMPUTED_VALUE"""),45670.4683948611)</f>
        <v>45670.468394861098</v>
      </c>
      <c r="B439" s="5" t="str">
        <f ca="1">IFERROR(__xludf.DUMMYFUNCTION("""COMPUTED_VALUE"""),"22958 Cantlay St")</f>
        <v>22958 Cantlay St</v>
      </c>
      <c r="C439" s="5" t="str">
        <f ca="1">IFERROR(__xludf.DUMMYFUNCTION("""COMPUTED_VALUE"""),"West Hills")</f>
        <v>West Hills</v>
      </c>
      <c r="D439" s="5" t="str">
        <f ca="1">IFERROR(__xludf.DUMMYFUNCTION("""COMPUTED_VALUE"""),"CA")</f>
        <v>CA</v>
      </c>
      <c r="E439" s="5">
        <f ca="1">IFERROR(__xludf.DUMMYFUNCTION("""COMPUTED_VALUE"""),91307)</f>
        <v>91307</v>
      </c>
      <c r="F439" s="19">
        <f ca="1">IFERROR(__xludf.DUMMYFUNCTION("""COMPUTED_VALUE"""),5300)</f>
        <v>5300</v>
      </c>
      <c r="G439" s="19">
        <f ca="1">IFERROR(__xludf.DUMMYFUNCTION("""COMPUTED_VALUE"""),7000)</f>
        <v>7000</v>
      </c>
      <c r="H439" s="18">
        <f ca="1">IFERROR(__xludf.DUMMYFUNCTION("""COMPUTED_VALUE"""),45665)</f>
        <v>45665</v>
      </c>
      <c r="I439" s="5" t="str">
        <f ca="1">IFERROR(__xludf.DUMMYFUNCTION("""COMPUTED_VALUE"""),"Zillow")</f>
        <v>Zillow</v>
      </c>
      <c r="J439" s="25" t="str">
        <f ca="1">IFERROR(__xludf.DUMMYFUNCTION("""COMPUTED_VALUE"""),"https://www.zillow.com/homedetails/22958-Cantlay-St-West-Hills-CA-91307/19866343_zpid/")</f>
        <v>https://www.zillow.com/homedetails/22958-Cantlay-St-West-Hills-CA-91307/19866343_zpid/</v>
      </c>
      <c r="K439" s="5" t="str">
        <f ca="1">IFERROR(__xludf.DUMMYFUNCTION("""COMPUTED_VALUE"""),"Omer Tsarfati")</f>
        <v>Omer Tsarfati</v>
      </c>
      <c r="L439" s="5"/>
      <c r="M439" s="5"/>
      <c r="N439" s="5" t="str">
        <f ca="1">IFERROR(__xludf.DUMMYFUNCTION("""COMPUTED_VALUE"""),"https://drive.google.com/open?id=1m18-tOjRp7vpBMhGtNJNnr-_kjL4_r9K, https://drive.google.com/open?id=1YOJlWHvU0_dflf_SDd2DWs-WlzOirWM2")</f>
        <v>https://drive.google.com/open?id=1m18-tOjRp7vpBMhGtNJNnr-_kjL4_r9K, https://drive.google.com/open?id=1YOJlWHvU0_dflf_SDd2DWs-WlzOirWM2</v>
      </c>
      <c r="O439" s="5">
        <f ca="1">IFERROR(__xludf.DUMMYFUNCTION("""COMPUTED_VALUE"""),2021022020)</f>
        <v>2021022020</v>
      </c>
      <c r="P439" s="5" t="str">
        <f ca="1">IFERROR(__xludf.DUMMYFUNCTION("""COMPUTED_VALUE"""),"(818) 853-9437")</f>
        <v>(818) 853-9437</v>
      </c>
      <c r="Q439" s="5"/>
      <c r="R439" s="5"/>
      <c r="S439" s="5"/>
      <c r="T439" s="5"/>
    </row>
    <row r="440" spans="1:20" ht="12.75">
      <c r="A440" s="24">
        <f ca="1">IFERROR(__xludf.DUMMYFUNCTION("""COMPUTED_VALUE"""),45670.4704768287)</f>
        <v>45670.470476828697</v>
      </c>
      <c r="B440" s="5" t="str">
        <f ca="1">IFERROR(__xludf.DUMMYFUNCTION("""COMPUTED_VALUE"""),"686 Island View Ct")</f>
        <v>686 Island View Ct</v>
      </c>
      <c r="C440" s="5" t="str">
        <f ca="1">IFERROR(__xludf.DUMMYFUNCTION("""COMPUTED_VALUE"""),"Port Hueneme")</f>
        <v>Port Hueneme</v>
      </c>
      <c r="D440" s="5" t="str">
        <f ca="1">IFERROR(__xludf.DUMMYFUNCTION("""COMPUTED_VALUE"""),"CA")</f>
        <v>CA</v>
      </c>
      <c r="E440" s="5">
        <f ca="1">IFERROR(__xludf.DUMMYFUNCTION("""COMPUTED_VALUE"""),93041)</f>
        <v>93041</v>
      </c>
      <c r="F440" s="19">
        <f ca="1">IFERROR(__xludf.DUMMYFUNCTION("""COMPUTED_VALUE"""),1)</f>
        <v>1</v>
      </c>
      <c r="G440" s="19">
        <f ca="1">IFERROR(__xludf.DUMMYFUNCTION("""COMPUTED_VALUE"""),6800)</f>
        <v>6800</v>
      </c>
      <c r="H440" s="18">
        <f ca="1">IFERROR(__xludf.DUMMYFUNCTION("""COMPUTED_VALUE"""),45668)</f>
        <v>45668</v>
      </c>
      <c r="I440" s="5" t="str">
        <f ca="1">IFERROR(__xludf.DUMMYFUNCTION("""COMPUTED_VALUE"""),"Zillow")</f>
        <v>Zillow</v>
      </c>
      <c r="J440" s="25" t="str">
        <f ca="1">IFERROR(__xludf.DUMMYFUNCTION("""COMPUTED_VALUE"""),"https://www.zillow.com/homedetails/686-Island-View-Ct-Port-Hueneme-CA-93041/16400784_zpid/?utm_campaign=iosappmessage&amp;utm_medium=referral&amp;utm_source=txtshare")</f>
        <v>https://www.zillow.com/homedetails/686-Island-View-Ct-Port-Hueneme-CA-93041/16400784_zpid/?utm_campaign=iosappmessage&amp;utm_medium=referral&amp;utm_source=txtshare</v>
      </c>
      <c r="K440" s="5"/>
      <c r="L440" s="5" t="str">
        <f ca="1">IFERROR(__xludf.DUMMYFUNCTION("""COMPUTED_VALUE"""),"David Cheyne")</f>
        <v>David Cheyne</v>
      </c>
      <c r="M440" s="5" t="str">
        <f ca="1">IFERROR(__xludf.DUMMYFUNCTION("""COMPUTED_VALUE"""),"This one is tough because it hasn't been listed for rent before now, but the price that the owner listed it is significantly higher than what rentals have historically been going for within that area for a 2/2. There is a 3/2 a few blocks away listed for "&amp;"4500/mo with consistent renal history showing that's more in line with demand.")</f>
        <v>This one is tough because it hasn't been listed for rent before now, but the price that the owner listed it is significantly higher than what rentals have historically been going for within that area for a 2/2. There is a 3/2 a few blocks away listed for 4500/mo with consistent renal history showing that's more in line with demand.</v>
      </c>
      <c r="N440" s="26" t="str">
        <f ca="1">IFERROR(__xludf.DUMMYFUNCTION("""COMPUTED_VALUE"""),"https://drive.google.com/open?id=1o7H4TmAFhYcInovJAyC3AZZluENsGEDx")</f>
        <v>https://drive.google.com/open?id=1o7H4TmAFhYcInovJAyC3AZZluENsGEDx</v>
      </c>
      <c r="O440" s="5">
        <f ca="1">IFERROR(__xludf.DUMMYFUNCTION("""COMPUTED_VALUE"""),2070120795)</f>
        <v>2070120795</v>
      </c>
      <c r="P440" s="5"/>
      <c r="Q440" s="5"/>
      <c r="R440" s="5" t="str">
        <f ca="1">IFERROR(__xludf.DUMMYFUNCTION("""COMPUTED_VALUE"""),"818-482-4496")</f>
        <v>818-482-4496</v>
      </c>
      <c r="S440" s="5"/>
      <c r="T440" s="5"/>
    </row>
    <row r="441" spans="1:20" ht="12.75">
      <c r="A441" s="24">
        <f ca="1">IFERROR(__xludf.DUMMYFUNCTION("""COMPUTED_VALUE"""),45670.4716331481)</f>
        <v>45670.471633148103</v>
      </c>
      <c r="B441" s="5" t="str">
        <f ca="1">IFERROR(__xludf.DUMMYFUNCTION("""COMPUTED_VALUE"""),"9530 Cedarbrook Dr")</f>
        <v>9530 Cedarbrook Dr</v>
      </c>
      <c r="C441" s="5" t="str">
        <f ca="1">IFERROR(__xludf.DUMMYFUNCTION("""COMPUTED_VALUE"""),"Beverly Hills")</f>
        <v>Beverly Hills</v>
      </c>
      <c r="D441" s="5" t="str">
        <f ca="1">IFERROR(__xludf.DUMMYFUNCTION("""COMPUTED_VALUE"""),"CA")</f>
        <v>CA</v>
      </c>
      <c r="E441" s="5">
        <f ca="1">IFERROR(__xludf.DUMMYFUNCTION("""COMPUTED_VALUE"""),90210)</f>
        <v>90210</v>
      </c>
      <c r="F441" s="19">
        <f ca="1">IFERROR(__xludf.DUMMYFUNCTION("""COMPUTED_VALUE"""),8500)</f>
        <v>8500</v>
      </c>
      <c r="G441" s="19">
        <f ca="1">IFERROR(__xludf.DUMMYFUNCTION("""COMPUTED_VALUE"""),15000)</f>
        <v>15000</v>
      </c>
      <c r="H441" s="18">
        <f ca="1">IFERROR(__xludf.DUMMYFUNCTION("""COMPUTED_VALUE"""),45669)</f>
        <v>45669</v>
      </c>
      <c r="I441" s="5" t="str">
        <f ca="1">IFERROR(__xludf.DUMMYFUNCTION("""COMPUTED_VALUE"""),"Zillow")</f>
        <v>Zillow</v>
      </c>
      <c r="J441" s="25" t="str">
        <f ca="1">IFERROR(__xludf.DUMMYFUNCTION("""COMPUTED_VALUE"""),"https://www.zillow.com/homedetails/9530-Cedarbrook-Dr-Beverly-Hills-CA-90210/20533876_zpid/")</f>
        <v>https://www.zillow.com/homedetails/9530-Cedarbrook-Dr-Beverly-Hills-CA-90210/20533876_zpid/</v>
      </c>
      <c r="K441" s="5" t="str">
        <f ca="1">IFERROR(__xludf.DUMMYFUNCTION("""COMPUTED_VALUE"""),"Aren Afsharian Carolwood")</f>
        <v>Aren Afsharian Carolwood</v>
      </c>
      <c r="L441" s="5"/>
      <c r="M441" s="5"/>
      <c r="N441" s="26" t="str">
        <f ca="1">IFERROR(__xludf.DUMMYFUNCTION("""COMPUTED_VALUE"""),"https://drive.google.com/open?id=1UkFkxy45gqyre1X_mRJVqj5Hb-t8iH9U")</f>
        <v>https://drive.google.com/open?id=1UkFkxy45gqyre1X_mRJVqj5Hb-t8iH9U</v>
      </c>
      <c r="O441" s="5">
        <f ca="1">IFERROR(__xludf.DUMMYFUNCTION("""COMPUTED_VALUE"""),4387029012)</f>
        <v>4387029012</v>
      </c>
      <c r="P441" s="5" t="str">
        <f ca="1">IFERROR(__xludf.DUMMYFUNCTION("""COMPUTED_VALUE"""),"(310) 200-9323")</f>
        <v>(310) 200-9323</v>
      </c>
      <c r="Q441" s="5"/>
      <c r="R441" s="5"/>
      <c r="S441" s="5"/>
      <c r="T441" s="5"/>
    </row>
    <row r="442" spans="1:20" ht="12.75">
      <c r="A442" s="24">
        <f ca="1">IFERROR(__xludf.DUMMYFUNCTION("""COMPUTED_VALUE"""),45670.4728697685)</f>
        <v>45670.472869768499</v>
      </c>
      <c r="B442" s="5" t="str">
        <f ca="1">IFERROR(__xludf.DUMMYFUNCTION("""COMPUTED_VALUE"""),"2021 Vineburn Ave")</f>
        <v>2021 Vineburn Ave</v>
      </c>
      <c r="C442" s="5" t="str">
        <f ca="1">IFERROR(__xludf.DUMMYFUNCTION("""COMPUTED_VALUE"""),"Los Angeles")</f>
        <v>Los Angeles</v>
      </c>
      <c r="D442" s="5" t="str">
        <f ca="1">IFERROR(__xludf.DUMMYFUNCTION("""COMPUTED_VALUE"""),"CA")</f>
        <v>CA</v>
      </c>
      <c r="E442" s="5">
        <f ca="1">IFERROR(__xludf.DUMMYFUNCTION("""COMPUTED_VALUE"""),90032)</f>
        <v>90032</v>
      </c>
      <c r="F442" s="19">
        <f ca="1">IFERROR(__xludf.DUMMYFUNCTION("""COMPUTED_VALUE"""),4995)</f>
        <v>4995</v>
      </c>
      <c r="G442" s="19">
        <f ca="1">IFERROR(__xludf.DUMMYFUNCTION("""COMPUTED_VALUE"""),5995)</f>
        <v>5995</v>
      </c>
      <c r="H442" s="18">
        <f ca="1">IFERROR(__xludf.DUMMYFUNCTION("""COMPUTED_VALUE"""),45669)</f>
        <v>45669</v>
      </c>
      <c r="I442" s="5" t="str">
        <f ca="1">IFERROR(__xludf.DUMMYFUNCTION("""COMPUTED_VALUE"""),"Zillow")</f>
        <v>Zillow</v>
      </c>
      <c r="J442" s="25" t="str">
        <f ca="1">IFERROR(__xludf.DUMMYFUNCTION("""COMPUTED_VALUE"""),"https://www.zillow.com/homedetails/2021-Vineburn-Ave-Los-Angeles-CA-90032/20640409_zpid/")</f>
        <v>https://www.zillow.com/homedetails/2021-Vineburn-Ave-Los-Angeles-CA-90032/20640409_zpid/</v>
      </c>
      <c r="K442" s="5" t="str">
        <f ca="1">IFERROR(__xludf.DUMMYFUNCTION("""COMPUTED_VALUE"""),"Aleksandra Ola Daniel")</f>
        <v>Aleksandra Ola Daniel</v>
      </c>
      <c r="L442" s="5"/>
      <c r="M442" s="5"/>
      <c r="N442" s="26" t="str">
        <f ca="1">IFERROR(__xludf.DUMMYFUNCTION("""COMPUTED_VALUE"""),"https://drive.google.com/open?id=1_KkCraSFoj1ksSCpKLxzV1ICRmhXnwoC")</f>
        <v>https://drive.google.com/open?id=1_KkCraSFoj1ksSCpKLxzV1ICRmhXnwoC</v>
      </c>
      <c r="O442" s="5">
        <f ca="1">IFERROR(__xludf.DUMMYFUNCTION("""COMPUTED_VALUE"""),5215015017)</f>
        <v>5215015017</v>
      </c>
      <c r="P442" s="5" t="str">
        <f ca="1">IFERROR(__xludf.DUMMYFUNCTION("""COMPUTED_VALUE"""),"(310) 925-0682")</f>
        <v>(310) 925-0682</v>
      </c>
      <c r="Q442" s="5"/>
      <c r="R442" s="5"/>
      <c r="S442" s="5"/>
      <c r="T442" s="5"/>
    </row>
    <row r="443" spans="1:20" ht="12.75">
      <c r="A443" s="24">
        <f ca="1">IFERROR(__xludf.DUMMYFUNCTION("""COMPUTED_VALUE"""),45670.4804119097)</f>
        <v>45670.480411909703</v>
      </c>
      <c r="B443" s="5" t="str">
        <f ca="1">IFERROR(__xludf.DUMMYFUNCTION("""COMPUTED_VALUE"""),"823 S Sierra Bonita Ave")</f>
        <v>823 S Sierra Bonita Ave</v>
      </c>
      <c r="C443" s="5" t="str">
        <f ca="1">IFERROR(__xludf.DUMMYFUNCTION("""COMPUTED_VALUE"""),"Los Angeles ")</f>
        <v xml:space="preserve">Los Angeles </v>
      </c>
      <c r="D443" s="5" t="str">
        <f ca="1">IFERROR(__xludf.DUMMYFUNCTION("""COMPUTED_VALUE"""),"CA")</f>
        <v>CA</v>
      </c>
      <c r="E443" s="5">
        <f ca="1">IFERROR(__xludf.DUMMYFUNCTION("""COMPUTED_VALUE"""),90036)</f>
        <v>90036</v>
      </c>
      <c r="F443" s="19">
        <f ca="1">IFERROR(__xludf.DUMMYFUNCTION("""COMPUTED_VALUE"""),17995)</f>
        <v>17995</v>
      </c>
      <c r="G443" s="19">
        <f ca="1">IFERROR(__xludf.DUMMYFUNCTION("""COMPUTED_VALUE"""),19750)</f>
        <v>19750</v>
      </c>
      <c r="H443" s="18">
        <f ca="1">IFERROR(__xludf.DUMMYFUNCTION("""COMPUTED_VALUE"""),45670)</f>
        <v>45670</v>
      </c>
      <c r="I443" s="5" t="str">
        <f ca="1">IFERROR(__xludf.DUMMYFUNCTION("""COMPUTED_VALUE"""),"Zillow")</f>
        <v>Zillow</v>
      </c>
      <c r="J443" s="25" t="str">
        <f ca="1">IFERROR(__xludf.DUMMYFUNCTION("""COMPUTED_VALUE"""),"https://www.zillow.com/homedetails/823-S-Sierra-Bonita-Ave-Los-Angeles-CA-90036/20610339_zpid/")</f>
        <v>https://www.zillow.com/homedetails/823-S-Sierra-Bonita-Ave-Los-Angeles-CA-90036/20610339_zpid/</v>
      </c>
      <c r="K443" s="5" t="str">
        <f ca="1">IFERROR(__xludf.DUMMYFUNCTION("""COMPUTED_VALUE"""),"Bryan Danna")</f>
        <v>Bryan Danna</v>
      </c>
      <c r="L443" s="5"/>
      <c r="M443" s="5"/>
      <c r="N443" s="26" t="str">
        <f ca="1">IFERROR(__xludf.DUMMYFUNCTION("""COMPUTED_VALUE"""),"https://drive.google.com/open?id=1JIENl35wpgxW9OJ8hdptSZobmrIr8EEb")</f>
        <v>https://drive.google.com/open?id=1JIENl35wpgxW9OJ8hdptSZobmrIr8EEb</v>
      </c>
      <c r="O443" s="5">
        <f ca="1">IFERROR(__xludf.DUMMYFUNCTION("""COMPUTED_VALUE"""),5089016026)</f>
        <v>5089016026</v>
      </c>
      <c r="P443" s="5">
        <f ca="1">IFERROR(__xludf.DUMMYFUNCTION("""COMPUTED_VALUE"""),3232508789)</f>
        <v>3232508789</v>
      </c>
      <c r="Q443" s="5"/>
      <c r="R443" s="5"/>
      <c r="S443" s="5"/>
      <c r="T443" s="5"/>
    </row>
    <row r="444" spans="1:20" ht="12.75">
      <c r="A444" s="24">
        <f ca="1">IFERROR(__xludf.DUMMYFUNCTION("""COMPUTED_VALUE"""),45670.483907581)</f>
        <v>45670.483907581001</v>
      </c>
      <c r="B444" s="5" t="str">
        <f ca="1">IFERROR(__xludf.DUMMYFUNCTION("""COMPUTED_VALUE"""),"16 Park Ave")</f>
        <v>16 Park Ave</v>
      </c>
      <c r="C444" s="5" t="str">
        <f ca="1">IFERROR(__xludf.DUMMYFUNCTION("""COMPUTED_VALUE"""),"Venice")</f>
        <v>Venice</v>
      </c>
      <c r="D444" s="5" t="str">
        <f ca="1">IFERROR(__xludf.DUMMYFUNCTION("""COMPUTED_VALUE"""),"CA")</f>
        <v>CA</v>
      </c>
      <c r="E444" s="5">
        <f ca="1">IFERROR(__xludf.DUMMYFUNCTION("""COMPUTED_VALUE"""),90291)</f>
        <v>90291</v>
      </c>
      <c r="F444" s="19">
        <f ca="1">IFERROR(__xludf.DUMMYFUNCTION("""COMPUTED_VALUE"""),7995)</f>
        <v>7995</v>
      </c>
      <c r="G444" s="19">
        <f ca="1">IFERROR(__xludf.DUMMYFUNCTION("""COMPUTED_VALUE"""),30000)</f>
        <v>30000</v>
      </c>
      <c r="H444" s="18">
        <f ca="1">IFERROR(__xludf.DUMMYFUNCTION("""COMPUTED_VALUE"""),45670)</f>
        <v>45670</v>
      </c>
      <c r="I444" s="5" t="str">
        <f ca="1">IFERROR(__xludf.DUMMYFUNCTION("""COMPUTED_VALUE"""),"Zillow")</f>
        <v>Zillow</v>
      </c>
      <c r="J444" s="25" t="str">
        <f ca="1">IFERROR(__xludf.DUMMYFUNCTION("""COMPUTED_VALUE"""),"https://www.zillow.com/homedetails/16-Park-Ave-Venice-CA-90291/20482259_zpid/")</f>
        <v>https://www.zillow.com/homedetails/16-Park-Ave-Venice-CA-90291/20482259_zpid/</v>
      </c>
      <c r="K444" s="5" t="str">
        <f ca="1">IFERROR(__xludf.DUMMYFUNCTION("""COMPUTED_VALUE"""),"Kevin Krakower Douglas Elliman")</f>
        <v>Kevin Krakower Douglas Elliman</v>
      </c>
      <c r="L444" s="5"/>
      <c r="M444" s="5" t="str">
        <f ca="1">IFERROR(__xludf.DUMMYFUNCTION("""COMPUTED_VALUE"""),"12/11/24 posted at $7995. 1/9/25 listing removed. Reposted on 1/13/25 at $30,000, 275% increase. insane.")</f>
        <v>12/11/24 posted at $7995. 1/9/25 listing removed. Reposted on 1/13/25 at $30,000, 275% increase. insane.</v>
      </c>
      <c r="N444" s="26" t="str">
        <f ca="1">IFERROR(__xludf.DUMMYFUNCTION("""COMPUTED_VALUE"""),"https://drive.google.com/open?id=13yAlsTN0FCKkQaq3CzYSccKv5NwYx2NY")</f>
        <v>https://drive.google.com/open?id=13yAlsTN0FCKkQaq3CzYSccKv5NwYx2NY</v>
      </c>
      <c r="O444" s="5">
        <f ca="1">IFERROR(__xludf.DUMMYFUNCTION("""COMPUTED_VALUE"""),4286025001)</f>
        <v>4286025001</v>
      </c>
      <c r="P444" s="5" t="str">
        <f ca="1">IFERROR(__xludf.DUMMYFUNCTION("""COMPUTED_VALUE"""),"(310) 493-9895")</f>
        <v>(310) 493-9895</v>
      </c>
      <c r="Q444" s="5" t="str">
        <f ca="1">IFERROR(__xludf.DUMMYFUNCTION("""COMPUTED_VALUE"""),"kevin.krakower@elliman.com")</f>
        <v>kevin.krakower@elliman.com</v>
      </c>
      <c r="R444" s="5"/>
      <c r="S444" s="5"/>
      <c r="T444" s="5"/>
    </row>
    <row r="445" spans="1:20" ht="12.75">
      <c r="A445" s="24">
        <f ca="1">IFERROR(__xludf.DUMMYFUNCTION("""COMPUTED_VALUE"""),45670.4839160995)</f>
        <v>45670.483916099503</v>
      </c>
      <c r="B445" s="5" t="str">
        <f ca="1">IFERROR(__xludf.DUMMYFUNCTION("""COMPUTED_VALUE"""),"9337 Shoshone Ave")</f>
        <v>9337 Shoshone Ave</v>
      </c>
      <c r="C445" s="5" t="str">
        <f ca="1">IFERROR(__xludf.DUMMYFUNCTION("""COMPUTED_VALUE"""),"Northridge")</f>
        <v>Northridge</v>
      </c>
      <c r="D445" s="5" t="str">
        <f ca="1">IFERROR(__xludf.DUMMYFUNCTION("""COMPUTED_VALUE"""),"CA")</f>
        <v>CA</v>
      </c>
      <c r="E445" s="5">
        <f ca="1">IFERROR(__xludf.DUMMYFUNCTION("""COMPUTED_VALUE"""),91325)</f>
        <v>91325</v>
      </c>
      <c r="F445" s="19">
        <f ca="1">IFERROR(__xludf.DUMMYFUNCTION("""COMPUTED_VALUE"""),7000)</f>
        <v>7000</v>
      </c>
      <c r="G445" s="19">
        <f ca="1">IFERROR(__xludf.DUMMYFUNCTION("""COMPUTED_VALUE"""),8500)</f>
        <v>8500</v>
      </c>
      <c r="H445" s="18">
        <f ca="1">IFERROR(__xludf.DUMMYFUNCTION("""COMPUTED_VALUE"""),45667)</f>
        <v>45667</v>
      </c>
      <c r="I445" s="5" t="str">
        <f ca="1">IFERROR(__xludf.DUMMYFUNCTION("""COMPUTED_VALUE"""),"Zillow")</f>
        <v>Zillow</v>
      </c>
      <c r="J445" s="25" t="str">
        <f ca="1">IFERROR(__xludf.DUMMYFUNCTION("""COMPUTED_VALUE"""),"https://www.zillow.com/homedetails/9337-Shoshone-Ave-Northridge-CA-91325/20177092_zpid/")</f>
        <v>https://www.zillow.com/homedetails/9337-Shoshone-Ave-Northridge-CA-91325/20177092_zpid/</v>
      </c>
      <c r="K445" s="5" t="str">
        <f ca="1">IFERROR(__xludf.DUMMYFUNCTION("""COMPUTED_VALUE"""),"Keith Hyon")</f>
        <v>Keith Hyon</v>
      </c>
      <c r="L445" s="5"/>
      <c r="M445" s="5" t="str">
        <f ca="1">IFERROR(__xludf.DUMMYFUNCTION("""COMPUTED_VALUE"""),"Slowly have been raising the rent ~6-7%, have raised it 3 times since listing in November for 7K")</f>
        <v>Slowly have been raising the rent ~6-7%, have raised it 3 times since listing in November for 7K</v>
      </c>
      <c r="N445" s="5" t="str">
        <f ca="1">IFERROR(__xludf.DUMMYFUNCTION("""COMPUTED_VALUE"""),"https://drive.google.com/open?id=1XWmRqjqZ1zQ81xwgKq6pQjSvy1WbtXDe, https://drive.google.com/open?id=1PvyjX_7Rs7tCDzkutIHnnV4MVESEn1ky")</f>
        <v>https://drive.google.com/open?id=1XWmRqjqZ1zQ81xwgKq6pQjSvy1WbtXDe, https://drive.google.com/open?id=1PvyjX_7Rs7tCDzkutIHnnV4MVESEn1ky</v>
      </c>
      <c r="O445" s="5">
        <f ca="1">IFERROR(__xludf.DUMMYFUNCTION("""COMPUTED_VALUE"""),2766020029)</f>
        <v>2766020029</v>
      </c>
      <c r="P445" s="5" t="str">
        <f ca="1">IFERROR(__xludf.DUMMYFUNCTION("""COMPUTED_VALUE"""),"(213) 445-4989")</f>
        <v>(213) 445-4989</v>
      </c>
      <c r="Q445" s="5"/>
      <c r="R445" s="5"/>
      <c r="S445" s="5"/>
      <c r="T445" s="5"/>
    </row>
    <row r="446" spans="1:20" ht="12.75">
      <c r="A446" s="24">
        <f ca="1">IFERROR(__xludf.DUMMYFUNCTION("""COMPUTED_VALUE"""),45670.4888906018)</f>
        <v>45670.488890601802</v>
      </c>
      <c r="B446" s="5" t="str">
        <f ca="1">IFERROR(__xludf.DUMMYFUNCTION("""COMPUTED_VALUE"""),"317 N Flores St, Los Angeles, CA 90048")</f>
        <v>317 N Flores St, Los Angeles, CA 90048</v>
      </c>
      <c r="C446" s="5" t="str">
        <f ca="1">IFERROR(__xludf.DUMMYFUNCTION("""COMPUTED_VALUE"""),"Los angeles ")</f>
        <v xml:space="preserve">Los angeles </v>
      </c>
      <c r="D446" s="5" t="str">
        <f ca="1">IFERROR(__xludf.DUMMYFUNCTION("""COMPUTED_VALUE"""),"CA")</f>
        <v>CA</v>
      </c>
      <c r="E446" s="5">
        <f ca="1">IFERROR(__xludf.DUMMYFUNCTION("""COMPUTED_VALUE"""),90048)</f>
        <v>90048</v>
      </c>
      <c r="F446" s="19">
        <f ca="1">IFERROR(__xludf.DUMMYFUNCTION("""COMPUTED_VALUE"""),14000)</f>
        <v>14000</v>
      </c>
      <c r="G446" s="19">
        <f ca="1">IFERROR(__xludf.DUMMYFUNCTION("""COMPUTED_VALUE"""),25000)</f>
        <v>25000</v>
      </c>
      <c r="H446" s="18">
        <f ca="1">IFERROR(__xludf.DUMMYFUNCTION("""COMPUTED_VALUE"""),45670)</f>
        <v>45670</v>
      </c>
      <c r="I446" s="5" t="str">
        <f ca="1">IFERROR(__xludf.DUMMYFUNCTION("""COMPUTED_VALUE"""),"Zillow")</f>
        <v>Zillow</v>
      </c>
      <c r="J446" s="25" t="str">
        <f ca="1">IFERROR(__xludf.DUMMYFUNCTION("""COMPUTED_VALUE"""),"https://www.zillow.com/homedetails/317-N-Flores-St-Los-Angeles-CA-90048/20779077_zpid/")</f>
        <v>https://www.zillow.com/homedetails/317-N-Flores-St-Los-Angeles-CA-90048/20779077_zpid/</v>
      </c>
      <c r="K446" s="5"/>
      <c r="L446" s="5"/>
      <c r="M446" s="5" t="str">
        <f ca="1">IFERROR(__xludf.DUMMYFUNCTION("""COMPUTED_VALUE"""),"They said the owners increased the price ")</f>
        <v xml:space="preserve">They said the owners increased the price </v>
      </c>
      <c r="N446" s="26" t="str">
        <f ca="1">IFERROR(__xludf.DUMMYFUNCTION("""COMPUTED_VALUE"""),"https://drive.google.com/open?id=1dptJdziJJOk5SERVhBEgLXtfm_DvUh7w")</f>
        <v>https://drive.google.com/open?id=1dptJdziJJOk5SERVhBEgLXtfm_DvUh7w</v>
      </c>
      <c r="O446" s="5">
        <f ca="1">IFERROR(__xludf.DUMMYFUNCTION("""COMPUTED_VALUE"""),5514010050)</f>
        <v>5514010050</v>
      </c>
      <c r="P446" s="5"/>
      <c r="Q446" s="5"/>
      <c r="R446" s="5"/>
      <c r="S446" s="5"/>
      <c r="T446" s="5"/>
    </row>
    <row r="447" spans="1:20" ht="12.75">
      <c r="A447" s="24">
        <f ca="1">IFERROR(__xludf.DUMMYFUNCTION("""COMPUTED_VALUE"""),45670.496651574)</f>
        <v>45670.496651574002</v>
      </c>
      <c r="B447" s="5" t="str">
        <f ca="1">IFERROR(__xludf.DUMMYFUNCTION("""COMPUTED_VALUE"""),"22660 Baltar St")</f>
        <v>22660 Baltar St</v>
      </c>
      <c r="C447" s="5" t="str">
        <f ca="1">IFERROR(__xludf.DUMMYFUNCTION("""COMPUTED_VALUE"""),"West Hills")</f>
        <v>West Hills</v>
      </c>
      <c r="D447" s="5" t="str">
        <f ca="1">IFERROR(__xludf.DUMMYFUNCTION("""COMPUTED_VALUE"""),"CA")</f>
        <v>CA</v>
      </c>
      <c r="E447" s="5">
        <f ca="1">IFERROR(__xludf.DUMMYFUNCTION("""COMPUTED_VALUE"""),91304)</f>
        <v>91304</v>
      </c>
      <c r="F447" s="19">
        <f ca="1">IFERROR(__xludf.DUMMYFUNCTION("""COMPUTED_VALUE"""),9000)</f>
        <v>9000</v>
      </c>
      <c r="G447" s="19">
        <f ca="1">IFERROR(__xludf.DUMMYFUNCTION("""COMPUTED_VALUE"""),10000)</f>
        <v>10000</v>
      </c>
      <c r="H447" s="18">
        <f ca="1">IFERROR(__xludf.DUMMYFUNCTION("""COMPUTED_VALUE"""),45665)</f>
        <v>45665</v>
      </c>
      <c r="I447" s="5" t="str">
        <f ca="1">IFERROR(__xludf.DUMMYFUNCTION("""COMPUTED_VALUE"""),"Zillow")</f>
        <v>Zillow</v>
      </c>
      <c r="J447" s="25" t="str">
        <f ca="1">IFERROR(__xludf.DUMMYFUNCTION("""COMPUTED_VALUE"""),"https://www.zillow.com/homedetails/22660-Baltar-St-West-Hills-CA-91304/51578714_zpid/")</f>
        <v>https://www.zillow.com/homedetails/22660-Baltar-St-West-Hills-CA-91304/51578714_zpid/</v>
      </c>
      <c r="K447" s="5" t="str">
        <f ca="1">IFERROR(__xludf.DUMMYFUNCTION("""COMPUTED_VALUE"""),"rachel hebert")</f>
        <v>rachel hebert</v>
      </c>
      <c r="L447" s="5"/>
      <c r="M447" s="5" t="str">
        <f ca="1">IFERROR(__xludf.DUMMYFUNCTION("""COMPUTED_VALUE"""),"Listed for 7K in November, raised to 9K in december and then another raise to 10K on the 8th - total 43% increase since Nov")</f>
        <v>Listed for 7K in November, raised to 9K in december and then another raise to 10K on the 8th - total 43% increase since Nov</v>
      </c>
      <c r="N447" s="5" t="str">
        <f ca="1">IFERROR(__xludf.DUMMYFUNCTION("""COMPUTED_VALUE"""),"https://drive.google.com/open?id=1hvVwXxLaBW4z8PnXWBBRFvQkCvwwi-SG, https://drive.google.com/open?id=1Xpi2I87sZ5NI0l9MAsA1bxBSWQyZZUVL")</f>
        <v>https://drive.google.com/open?id=1hvVwXxLaBW4z8PnXWBBRFvQkCvwwi-SG, https://drive.google.com/open?id=1Xpi2I87sZ5NI0l9MAsA1bxBSWQyZZUVL</v>
      </c>
      <c r="O447" s="5">
        <f ca="1">IFERROR(__xludf.DUMMYFUNCTION("""COMPUTED_VALUE"""),2013030032)</f>
        <v>2013030032</v>
      </c>
      <c r="P447" s="5" t="str">
        <f ca="1">IFERROR(__xludf.DUMMYFUNCTION("""COMPUTED_VALUE"""),"(213) 583-5681")</f>
        <v>(213) 583-5681</v>
      </c>
      <c r="Q447" s="5"/>
      <c r="R447" s="5"/>
      <c r="S447" s="5"/>
      <c r="T447" s="5"/>
    </row>
    <row r="448" spans="1:20" ht="12.75">
      <c r="A448" s="24">
        <f ca="1">IFERROR(__xludf.DUMMYFUNCTION("""COMPUTED_VALUE"""),45670.503131412)</f>
        <v>45670.503131411999</v>
      </c>
      <c r="B448" s="5" t="str">
        <f ca="1">IFERROR(__xludf.DUMMYFUNCTION("""COMPUTED_VALUE"""),"1455 N Los Robles Ave #1B-1BA")</f>
        <v>1455 N Los Robles Ave #1B-1BA</v>
      </c>
      <c r="C448" s="5" t="str">
        <f ca="1">IFERROR(__xludf.DUMMYFUNCTION("""COMPUTED_VALUE"""),"Pasadena")</f>
        <v>Pasadena</v>
      </c>
      <c r="D448" s="5" t="str">
        <f ca="1">IFERROR(__xludf.DUMMYFUNCTION("""COMPUTED_VALUE"""),"CA")</f>
        <v>CA</v>
      </c>
      <c r="E448" s="5">
        <f ca="1">IFERROR(__xludf.DUMMYFUNCTION("""COMPUTED_VALUE"""),91104)</f>
        <v>91104</v>
      </c>
      <c r="F448" s="19">
        <f ca="1">IFERROR(__xludf.DUMMYFUNCTION("""COMPUTED_VALUE"""),1995)</f>
        <v>1995</v>
      </c>
      <c r="G448" s="19">
        <f ca="1">IFERROR(__xludf.DUMMYFUNCTION("""COMPUTED_VALUE"""),2200)</f>
        <v>2200</v>
      </c>
      <c r="H448" s="18">
        <f ca="1">IFERROR(__xludf.DUMMYFUNCTION("""COMPUTED_VALUE"""),45667)</f>
        <v>45667</v>
      </c>
      <c r="I448" s="5" t="str">
        <f ca="1">IFERROR(__xludf.DUMMYFUNCTION("""COMPUTED_VALUE"""),"Zillow")</f>
        <v>Zillow</v>
      </c>
      <c r="J448" s="25" t="str">
        <f ca="1">IFERROR(__xludf.DUMMYFUNCTION("""COMPUTED_VALUE"""),"https://www.zillow.com/homedetails/1455-N-Los-Robles-Ave-1B-1BA-650SQFT-Pasadena-CA-91104/441125403_zpid/")</f>
        <v>https://www.zillow.com/homedetails/1455-N-Los-Robles-Ave-1B-1BA-650SQFT-Pasadena-CA-91104/441125403_zpid/</v>
      </c>
      <c r="K448" s="5" t="str">
        <f ca="1">IFERROR(__xludf.DUMMYFUNCTION("""COMPUTED_VALUE"""),"nina")</f>
        <v>nina</v>
      </c>
      <c r="L448" s="5"/>
      <c r="M448" s="5" t="str">
        <f ca="1">IFERROR(__xludf.DUMMYFUNCTION("""COMPUTED_VALUE"""),"they've had it on the market since early october and have been lowering the price repeatedly, presumably because they didn't have any bites. suddenly raise the price by 10% on the 10th of january.")</f>
        <v>they've had it on the market since early october and have been lowering the price repeatedly, presumably because they didn't have any bites. suddenly raise the price by 10% on the 10th of january.</v>
      </c>
      <c r="N448" s="26" t="str">
        <f ca="1">IFERROR(__xludf.DUMMYFUNCTION("""COMPUTED_VALUE"""),"https://drive.google.com/open?id=11sFGlwmBRwZbh24Um7yzpoRhsYVfmN0N")</f>
        <v>https://drive.google.com/open?id=11sFGlwmBRwZbh24Um7yzpoRhsYVfmN0N</v>
      </c>
      <c r="O448" s="5" t="str">
        <f ca="1">IFERROR(__xludf.DUMMYFUNCTION("""COMPUTED_VALUE"""),"na")</f>
        <v>na</v>
      </c>
      <c r="P448" s="5" t="str">
        <f ca="1">IFERROR(__xludf.DUMMYFUNCTION("""COMPUTED_VALUE"""),"(747) 281-4432")</f>
        <v>(747) 281-4432</v>
      </c>
      <c r="Q448" s="5"/>
      <c r="R448" s="5"/>
      <c r="S448" s="5"/>
      <c r="T448" s="5"/>
    </row>
    <row r="449" spans="1:20" ht="12.75">
      <c r="A449" s="24">
        <f ca="1">IFERROR(__xludf.DUMMYFUNCTION("""COMPUTED_VALUE"""),45670.5080096875)</f>
        <v>45670.508009687503</v>
      </c>
      <c r="B449" s="5" t="str">
        <f ca="1">IFERROR(__xludf.DUMMYFUNCTION("""COMPUTED_VALUE"""),"1622 Viewmont Dr.")</f>
        <v>1622 Viewmont Dr.</v>
      </c>
      <c r="C449" s="5" t="str">
        <f ca="1">IFERROR(__xludf.DUMMYFUNCTION("""COMPUTED_VALUE"""),"Los Angeles")</f>
        <v>Los Angeles</v>
      </c>
      <c r="D449" s="5" t="str">
        <f ca="1">IFERROR(__xludf.DUMMYFUNCTION("""COMPUTED_VALUE"""),"CA")</f>
        <v>CA</v>
      </c>
      <c r="E449" s="5">
        <f ca="1">IFERROR(__xludf.DUMMYFUNCTION("""COMPUTED_VALUE"""),90069)</f>
        <v>90069</v>
      </c>
      <c r="F449" s="19">
        <f ca="1">IFERROR(__xludf.DUMMYFUNCTION("""COMPUTED_VALUE"""),50000)</f>
        <v>50000</v>
      </c>
      <c r="G449" s="19">
        <f ca="1">IFERROR(__xludf.DUMMYFUNCTION("""COMPUTED_VALUE"""),59900)</f>
        <v>59900</v>
      </c>
      <c r="H449" s="18">
        <f ca="1">IFERROR(__xludf.DUMMYFUNCTION("""COMPUTED_VALUE"""),45304)</f>
        <v>45304</v>
      </c>
      <c r="I449" s="5" t="str">
        <f ca="1">IFERROR(__xludf.DUMMYFUNCTION("""COMPUTED_VALUE"""),"Zillow")</f>
        <v>Zillow</v>
      </c>
      <c r="J449" s="25" t="str">
        <f ca="1">IFERROR(__xludf.DUMMYFUNCTION("""COMPUTED_VALUE"""),"https://www.zillow.com/homedetails/1622-Viewmont-Dr-Los-Angeles-CA-90069/95641245_zpid/")</f>
        <v>https://www.zillow.com/homedetails/1622-Viewmont-Dr-Los-Angeles-CA-90069/95641245_zpid/</v>
      </c>
      <c r="K449" s="5" t="str">
        <f ca="1">IFERROR(__xludf.DUMMYFUNCTION("""COMPUTED_VALUE"""),"Santiago Arana / The Agency")</f>
        <v>Santiago Arana / The Agency</v>
      </c>
      <c r="L449" s="5"/>
      <c r="M449" s="5"/>
      <c r="N449" s="26" t="str">
        <f ca="1">IFERROR(__xludf.DUMMYFUNCTION("""COMPUTED_VALUE"""),"https://drive.google.com/open?id=1Q-aiJcKg6trx3JfFcsyKHAlRKVvYqSTU")</f>
        <v>https://drive.google.com/open?id=1Q-aiJcKg6trx3JfFcsyKHAlRKVvYqSTU</v>
      </c>
      <c r="O449" s="5">
        <f ca="1">IFERROR(__xludf.DUMMYFUNCTION("""COMPUTED_VALUE"""),5556015005)</f>
        <v>5556015005</v>
      </c>
      <c r="P449" s="5" t="str">
        <f ca="1">IFERROR(__xludf.DUMMYFUNCTION("""COMPUTED_VALUE"""),"(424) 231-2400")</f>
        <v>(424) 231-2400</v>
      </c>
      <c r="Q449" s="5"/>
      <c r="R449" s="5"/>
      <c r="S449" s="5"/>
      <c r="T449" s="5"/>
    </row>
    <row r="450" spans="1:20" ht="12.75">
      <c r="A450" s="24">
        <f ca="1">IFERROR(__xludf.DUMMYFUNCTION("""COMPUTED_VALUE"""),45670.512207905)</f>
        <v>45670.512207904998</v>
      </c>
      <c r="B450" s="5" t="str">
        <f ca="1">IFERROR(__xludf.DUMMYFUNCTION("""COMPUTED_VALUE"""),"2730 Earle Ave")</f>
        <v>2730 Earle Ave</v>
      </c>
      <c r="C450" s="5" t="str">
        <f ca="1">IFERROR(__xludf.DUMMYFUNCTION("""COMPUTED_VALUE"""),"Rosemead")</f>
        <v>Rosemead</v>
      </c>
      <c r="D450" s="5" t="str">
        <f ca="1">IFERROR(__xludf.DUMMYFUNCTION("""COMPUTED_VALUE"""),"CA")</f>
        <v>CA</v>
      </c>
      <c r="E450" s="5">
        <f ca="1">IFERROR(__xludf.DUMMYFUNCTION("""COMPUTED_VALUE"""),91770)</f>
        <v>91770</v>
      </c>
      <c r="F450" s="19">
        <f ca="1">IFERROR(__xludf.DUMMYFUNCTION("""COMPUTED_VALUE"""),2100)</f>
        <v>2100</v>
      </c>
      <c r="G450" s="19">
        <f ca="1">IFERROR(__xludf.DUMMYFUNCTION("""COMPUTED_VALUE"""),4000)</f>
        <v>4000</v>
      </c>
      <c r="H450" s="18">
        <f ca="1">IFERROR(__xludf.DUMMYFUNCTION("""COMPUTED_VALUE"""),45667)</f>
        <v>45667</v>
      </c>
      <c r="I450" s="5" t="str">
        <f ca="1">IFERROR(__xludf.DUMMYFUNCTION("""COMPUTED_VALUE"""),"Zillow")</f>
        <v>Zillow</v>
      </c>
      <c r="J450" s="25" t="str">
        <f ca="1">IFERROR(__xludf.DUMMYFUNCTION("""COMPUTED_VALUE"""),"https://www.zillow.com/homedetails/2730-Earle-Ave-Rosemead-CA-91770/2097129855_zpid/")</f>
        <v>https://www.zillow.com/homedetails/2730-Earle-Ave-Rosemead-CA-91770/2097129855_zpid/</v>
      </c>
      <c r="K450" s="5" t="str">
        <f ca="1">IFERROR(__xludf.DUMMYFUNCTION("""COMPUTED_VALUE"""),"Jeff D")</f>
        <v>Jeff D</v>
      </c>
      <c r="L450" s="5"/>
      <c r="M450" s="5" t="str">
        <f ca="1">IFERROR(__xludf.DUMMYFUNCTION("""COMPUTED_VALUE"""),"ugh, I haven't really been submitting listings here where the place went off market for a while and then came back on the market this week at a hiked price because it feels like a weaker case to make legally (ie they could have made changes to the propert"&amp;"y to iNcReAsE vAlUe or whatever they'd argue) but this one came back at a 90% increase which is just so gross. unfortunately it's been unlisted since 2017 :( so, if this is actionable cool; if not sorry for the noise")</f>
        <v>ugh, I haven't really been submitting listings here where the place went off market for a while and then came back on the market this week at a hiked price because it feels like a weaker case to make legally (ie they could have made changes to the property to iNcReAsE vAlUe or whatever they'd argue) but this one came back at a 90% increase which is just so gross. unfortunately it's been unlisted since 2017 :( so, if this is actionable cool; if not sorry for the noise</v>
      </c>
      <c r="N450" s="26" t="str">
        <f ca="1">IFERROR(__xludf.DUMMYFUNCTION("""COMPUTED_VALUE"""),"https://drive.google.com/open?id=1GCQHND3CStqFIbIbmlL_WU-U3RHF9B6i")</f>
        <v>https://drive.google.com/open?id=1GCQHND3CStqFIbIbmlL_WU-U3RHF9B6i</v>
      </c>
      <c r="O450" s="5" t="str">
        <f ca="1">IFERROR(__xludf.DUMMYFUNCTION("""COMPUTED_VALUE"""),"na")</f>
        <v>na</v>
      </c>
      <c r="P450" s="5" t="str">
        <f ca="1">IFERROR(__xludf.DUMMYFUNCTION("""COMPUTED_VALUE"""),"(213) 318-4804")</f>
        <v>(213) 318-4804</v>
      </c>
      <c r="Q450" s="5"/>
      <c r="R450" s="5"/>
      <c r="S450" s="5"/>
      <c r="T450" s="5"/>
    </row>
    <row r="451" spans="1:20" ht="12.75">
      <c r="A451" s="24">
        <f ca="1">IFERROR(__xludf.DUMMYFUNCTION("""COMPUTED_VALUE"""),45670.5147833101)</f>
        <v>45670.5147833101</v>
      </c>
      <c r="B451" s="5" t="str">
        <f ca="1">IFERROR(__xludf.DUMMYFUNCTION("""COMPUTED_VALUE"""),"9572 Rhea Ave")</f>
        <v>9572 Rhea Ave</v>
      </c>
      <c r="C451" s="5" t="str">
        <f ca="1">IFERROR(__xludf.DUMMYFUNCTION("""COMPUTED_VALUE"""),"Northridge")</f>
        <v>Northridge</v>
      </c>
      <c r="D451" s="5" t="str">
        <f ca="1">IFERROR(__xludf.DUMMYFUNCTION("""COMPUTED_VALUE"""),"CA")</f>
        <v>CA</v>
      </c>
      <c r="E451" s="5">
        <f ca="1">IFERROR(__xludf.DUMMYFUNCTION("""COMPUTED_VALUE"""),91324)</f>
        <v>91324</v>
      </c>
      <c r="F451" s="19">
        <f ca="1">IFERROR(__xludf.DUMMYFUNCTION("""COMPUTED_VALUE"""),5000)</f>
        <v>5000</v>
      </c>
      <c r="G451" s="19">
        <f ca="1">IFERROR(__xludf.DUMMYFUNCTION("""COMPUTED_VALUE"""),5650)</f>
        <v>5650</v>
      </c>
      <c r="H451" s="18">
        <f ca="1">IFERROR(__xludf.DUMMYFUNCTION("""COMPUTED_VALUE"""),45670)</f>
        <v>45670</v>
      </c>
      <c r="I451" s="5" t="str">
        <f ca="1">IFERROR(__xludf.DUMMYFUNCTION("""COMPUTED_VALUE"""),"Zillow")</f>
        <v>Zillow</v>
      </c>
      <c r="J451" s="25" t="str">
        <f ca="1">IFERROR(__xludf.DUMMYFUNCTION("""COMPUTED_VALUE"""),"https://www.zillow.com/homedetails/9572-Rhea-Ave-Northridge-CA-91324/20176308_zpid/")</f>
        <v>https://www.zillow.com/homedetails/9572-Rhea-Ave-Northridge-CA-91324/20176308_zpid/</v>
      </c>
      <c r="K451" s="5" t="str">
        <f ca="1">IFERROR(__xludf.DUMMYFUNCTION("""COMPUTED_VALUE"""),"Garik Kechegyan")</f>
        <v>Garik Kechegyan</v>
      </c>
      <c r="L451" s="5"/>
      <c r="M451" s="5" t="str">
        <f ca="1">IFERROR(__xludf.DUMMYFUNCTION("""COMPUTED_VALUE"""),"Raised twice totaling +13% increase, though only 9.7% on the 13th vs. increase in late Dec")</f>
        <v>Raised twice totaling +13% increase, though only 9.7% on the 13th vs. increase in late Dec</v>
      </c>
      <c r="N451" s="5" t="str">
        <f ca="1">IFERROR(__xludf.DUMMYFUNCTION("""COMPUTED_VALUE"""),"https://drive.google.com/open?id=1XCUgc-OhqZ7Nokx1kKf1glV1kkA5BODo, https://drive.google.com/open?id=1q2ucyE9Bw45TtubwkFdqsWIkID2ZgcLp")</f>
        <v>https://drive.google.com/open?id=1XCUgc-OhqZ7Nokx1kKf1glV1kkA5BODo, https://drive.google.com/open?id=1q2ucyE9Bw45TtubwkFdqsWIkID2ZgcLp</v>
      </c>
      <c r="O451" s="5">
        <f ca="1">IFERROR(__xludf.DUMMYFUNCTION("""COMPUTED_VALUE"""),2763032005)</f>
        <v>2763032005</v>
      </c>
      <c r="P451" s="5" t="str">
        <f ca="1">IFERROR(__xludf.DUMMYFUNCTION("""COMPUTED_VALUE"""),"(818) 590-2850")</f>
        <v>(818) 590-2850</v>
      </c>
      <c r="Q451" s="5"/>
      <c r="R451" s="5"/>
      <c r="S451" s="5"/>
      <c r="T451" s="5"/>
    </row>
    <row r="452" spans="1:20" ht="12.75">
      <c r="A452" s="24">
        <f ca="1">IFERROR(__xludf.DUMMYFUNCTION("""COMPUTED_VALUE"""),45670.5241636805)</f>
        <v>45670.5241636805</v>
      </c>
      <c r="B452" s="5" t="str">
        <f ca="1">IFERROR(__xludf.DUMMYFUNCTION("""COMPUTED_VALUE"""),"1235 Highland Oaks Dr")</f>
        <v>1235 Highland Oaks Dr</v>
      </c>
      <c r="C452" s="5" t="str">
        <f ca="1">IFERROR(__xludf.DUMMYFUNCTION("""COMPUTED_VALUE"""),"Arcadia")</f>
        <v>Arcadia</v>
      </c>
      <c r="D452" s="5" t="str">
        <f ca="1">IFERROR(__xludf.DUMMYFUNCTION("""COMPUTED_VALUE"""),"CA")</f>
        <v>CA</v>
      </c>
      <c r="E452" s="5">
        <f ca="1">IFERROR(__xludf.DUMMYFUNCTION("""COMPUTED_VALUE"""),91006)</f>
        <v>91006</v>
      </c>
      <c r="F452" s="19">
        <f ca="1">IFERROR(__xludf.DUMMYFUNCTION("""COMPUTED_VALUE"""),5495)</f>
        <v>5495</v>
      </c>
      <c r="G452" s="19">
        <f ca="1">IFERROR(__xludf.DUMMYFUNCTION("""COMPUTED_VALUE"""),6250)</f>
        <v>6250</v>
      </c>
      <c r="H452" s="18">
        <f ca="1">IFERROR(__xludf.DUMMYFUNCTION("""COMPUTED_VALUE"""),45667)</f>
        <v>45667</v>
      </c>
      <c r="I452" s="5" t="str">
        <f ca="1">IFERROR(__xludf.DUMMYFUNCTION("""COMPUTED_VALUE"""),"Zillow")</f>
        <v>Zillow</v>
      </c>
      <c r="J452" s="25" t="str">
        <f ca="1">IFERROR(__xludf.DUMMYFUNCTION("""COMPUTED_VALUE"""),"https://www.zillow.com/homedetails/1235-Highland-Oaks-Dr-Arcadia-CA-91006/20887520_zpid/")</f>
        <v>https://www.zillow.com/homedetails/1235-Highland-Oaks-Dr-Arcadia-CA-91006/20887520_zpid/</v>
      </c>
      <c r="K452" s="5" t="str">
        <f ca="1">IFERROR(__xludf.DUMMYFUNCTION("""COMPUTED_VALUE"""),"Sam Lee")</f>
        <v>Sam Lee</v>
      </c>
      <c r="L452" s="5"/>
      <c r="M452" s="5" t="str">
        <f ca="1">IFERROR(__xludf.DUMMYFUNCTION("""COMPUTED_VALUE"""),"listing removed mid november and then went back up this week with 13.7% increase")</f>
        <v>listing removed mid november and then went back up this week with 13.7% increase</v>
      </c>
      <c r="N452" s="26" t="str">
        <f ca="1">IFERROR(__xludf.DUMMYFUNCTION("""COMPUTED_VALUE"""),"https://drive.google.com/open?id=18Hr_OC_Bmj6-3fMq5KsPC2xOOamEgGVe")</f>
        <v>https://drive.google.com/open?id=18Hr_OC_Bmj6-3fMq5KsPC2xOOamEgGVe</v>
      </c>
      <c r="O452" s="5" t="str">
        <f ca="1">IFERROR(__xludf.DUMMYFUNCTION("""COMPUTED_VALUE"""),"na")</f>
        <v>na</v>
      </c>
      <c r="P452" s="5" t="str">
        <f ca="1">IFERROR(__xludf.DUMMYFUNCTION("""COMPUTED_VALUE"""),"(626) 772-6245")</f>
        <v>(626) 772-6245</v>
      </c>
      <c r="Q452" s="5"/>
      <c r="R452" s="5"/>
      <c r="S452" s="5"/>
      <c r="T452" s="5"/>
    </row>
    <row r="453" spans="1:20" ht="12.75">
      <c r="A453" s="24">
        <f ca="1">IFERROR(__xludf.DUMMYFUNCTION("""COMPUTED_VALUE"""),45670.5266769328)</f>
        <v>45670.526676932801</v>
      </c>
      <c r="B453" s="5" t="str">
        <f ca="1">IFERROR(__xludf.DUMMYFUNCTION("""COMPUTED_VALUE"""),"17063 San Fernando Mission Blvd")</f>
        <v>17063 San Fernando Mission Blvd</v>
      </c>
      <c r="C453" s="5" t="str">
        <f ca="1">IFERROR(__xludf.DUMMYFUNCTION("""COMPUTED_VALUE"""),"Granada Hills")</f>
        <v>Granada Hills</v>
      </c>
      <c r="D453" s="5" t="str">
        <f ca="1">IFERROR(__xludf.DUMMYFUNCTION("""COMPUTED_VALUE"""),"CA")</f>
        <v>CA</v>
      </c>
      <c r="E453" s="5">
        <f ca="1">IFERROR(__xludf.DUMMYFUNCTION("""COMPUTED_VALUE"""),91344)</f>
        <v>91344</v>
      </c>
      <c r="F453" s="19">
        <f ca="1">IFERROR(__xludf.DUMMYFUNCTION("""COMPUTED_VALUE"""),1800)</f>
        <v>1800</v>
      </c>
      <c r="G453" s="19">
        <f ca="1">IFERROR(__xludf.DUMMYFUNCTION("""COMPUTED_VALUE"""),1999)</f>
        <v>1999</v>
      </c>
      <c r="H453" s="18">
        <f ca="1">IFERROR(__xludf.DUMMYFUNCTION("""COMPUTED_VALUE"""),45665)</f>
        <v>45665</v>
      </c>
      <c r="I453" s="5" t="str">
        <f ca="1">IFERROR(__xludf.DUMMYFUNCTION("""COMPUTED_VALUE"""),"Zillow")</f>
        <v>Zillow</v>
      </c>
      <c r="J453" s="25" t="str">
        <f ca="1">IFERROR(__xludf.DUMMYFUNCTION("""COMPUTED_VALUE"""),"https://www.zillow.com/homedetails/17063-San-Fernando-Mission-Blvd-Granada-Hills-CA-91344/20154671_zpid/")</f>
        <v>https://www.zillow.com/homedetails/17063-San-Fernando-Mission-Blvd-Granada-Hills-CA-91344/20154671_zpid/</v>
      </c>
      <c r="K453" s="5"/>
      <c r="L453" s="5" t="str">
        <f ca="1">IFERROR(__xludf.DUMMYFUNCTION("""COMPUTED_VALUE"""),"philip mancesa")</f>
        <v>philip mancesa</v>
      </c>
      <c r="M453" s="5"/>
      <c r="N453" s="5" t="str">
        <f ca="1">IFERROR(__xludf.DUMMYFUNCTION("""COMPUTED_VALUE"""),"https://drive.google.com/open?id=1w23AUwH92Br7D7JigQdhvR-dLQeHUBTS, https://drive.google.com/open?id=1TJTV28VSV6Oml1ulmInpBkMN5jqnrRZw")</f>
        <v>https://drive.google.com/open?id=1w23AUwH92Br7D7JigQdhvR-dLQeHUBTS, https://drive.google.com/open?id=1TJTV28VSV6Oml1ulmInpBkMN5jqnrRZw</v>
      </c>
      <c r="O453" s="5">
        <f ca="1">IFERROR(__xludf.DUMMYFUNCTION("""COMPUTED_VALUE"""),2697024001)</f>
        <v>2697024001</v>
      </c>
      <c r="P453" s="5"/>
      <c r="Q453" s="5"/>
      <c r="R453" s="5" t="str">
        <f ca="1">IFERROR(__xludf.DUMMYFUNCTION("""COMPUTED_VALUE"""),"(805) 328-5175")</f>
        <v>(805) 328-5175</v>
      </c>
      <c r="S453" s="5"/>
      <c r="T453" s="5"/>
    </row>
    <row r="454" spans="1:20" ht="12.75">
      <c r="A454" s="24">
        <f ca="1">IFERROR(__xludf.DUMMYFUNCTION("""COMPUTED_VALUE"""),45670.5304154398)</f>
        <v>45670.530415439804</v>
      </c>
      <c r="B454" s="5" t="str">
        <f ca="1">IFERROR(__xludf.DUMMYFUNCTION("""COMPUTED_VALUE"""),"3816 San Augustine Dr")</f>
        <v>3816 San Augustine Dr</v>
      </c>
      <c r="C454" s="5" t="str">
        <f ca="1">IFERROR(__xludf.DUMMYFUNCTION("""COMPUTED_VALUE"""),"Glendale")</f>
        <v>Glendale</v>
      </c>
      <c r="D454" s="5" t="str">
        <f ca="1">IFERROR(__xludf.DUMMYFUNCTION("""COMPUTED_VALUE"""),"CA")</f>
        <v>CA</v>
      </c>
      <c r="E454" s="5">
        <f ca="1">IFERROR(__xludf.DUMMYFUNCTION("""COMPUTED_VALUE"""),91206)</f>
        <v>91206</v>
      </c>
      <c r="F454" s="19">
        <f ca="1">IFERROR(__xludf.DUMMYFUNCTION("""COMPUTED_VALUE"""),5000)</f>
        <v>5000</v>
      </c>
      <c r="G454" s="19">
        <f ca="1">IFERROR(__xludf.DUMMYFUNCTION("""COMPUTED_VALUE"""),8200)</f>
        <v>8200</v>
      </c>
      <c r="H454" s="18">
        <f ca="1">IFERROR(__xludf.DUMMYFUNCTION("""COMPUTED_VALUE"""),45663)</f>
        <v>45663</v>
      </c>
      <c r="I454" s="5" t="str">
        <f ca="1">IFERROR(__xludf.DUMMYFUNCTION("""COMPUTED_VALUE"""),"Zillow")</f>
        <v>Zillow</v>
      </c>
      <c r="J454" s="25" t="str">
        <f ca="1">IFERROR(__xludf.DUMMYFUNCTION("""COMPUTED_VALUE"""),"https://www.zillow.com/homedetails/3816-San-Augustine-Dr-Glendale-CA-91206/20842133_zpid/")</f>
        <v>https://www.zillow.com/homedetails/3816-San-Augustine-Dr-Glendale-CA-91206/20842133_zpid/</v>
      </c>
      <c r="K454" s="5" t="str">
        <f ca="1">IFERROR(__xludf.DUMMYFUNCTION("""COMPUTED_VALUE"""),"GASVP Realty LLC")</f>
        <v>GASVP Realty LLC</v>
      </c>
      <c r="L454" s="5"/>
      <c r="M454" s="5" t="str">
        <f ca="1">IFERROR(__xludf.DUMMYFUNCTION("""COMPUTED_VALUE"""),"wasn't listed for 5 years and then put on the market 1/6 with a 60% increase")</f>
        <v>wasn't listed for 5 years and then put on the market 1/6 with a 60% increase</v>
      </c>
      <c r="N454" s="26" t="str">
        <f ca="1">IFERROR(__xludf.DUMMYFUNCTION("""COMPUTED_VALUE"""),"https://drive.google.com/open?id=1dqL42dYKMuGzsS3Jp8y923MXmRqoxvc6")</f>
        <v>https://drive.google.com/open?id=1dqL42dYKMuGzsS3Jp8y923MXmRqoxvc6</v>
      </c>
      <c r="O454" s="5">
        <f ca="1">IFERROR(__xludf.DUMMYFUNCTION("""COMPUTED_VALUE"""),5660029045)</f>
        <v>5660029045</v>
      </c>
      <c r="P454" s="5" t="str">
        <f ca="1">IFERROR(__xludf.DUMMYFUNCTION("""COMPUTED_VALUE"""),"(213) 715-6578")</f>
        <v>(213) 715-6578</v>
      </c>
      <c r="Q454" s="5"/>
      <c r="R454" s="5"/>
      <c r="S454" s="5"/>
      <c r="T454" s="5"/>
    </row>
    <row r="455" spans="1:20" ht="12.75">
      <c r="A455" s="24">
        <f ca="1">IFERROR(__xludf.DUMMYFUNCTION("""COMPUTED_VALUE"""),45670.532207037)</f>
        <v>45670.532207037002</v>
      </c>
      <c r="B455" s="5" t="str">
        <f ca="1">IFERROR(__xludf.DUMMYFUNCTION("""COMPUTED_VALUE"""),"828 Westmount Dr")</f>
        <v>828 Westmount Dr</v>
      </c>
      <c r="C455" s="5" t="str">
        <f ca="1">IFERROR(__xludf.DUMMYFUNCTION("""COMPUTED_VALUE"""),"Los Angeles")</f>
        <v>Los Angeles</v>
      </c>
      <c r="D455" s="5" t="str">
        <f ca="1">IFERROR(__xludf.DUMMYFUNCTION("""COMPUTED_VALUE"""),"CA")</f>
        <v>CA</v>
      </c>
      <c r="E455" s="5">
        <f ca="1">IFERROR(__xludf.DUMMYFUNCTION("""COMPUTED_VALUE"""),90069)</f>
        <v>90069</v>
      </c>
      <c r="F455" s="19">
        <f ca="1">IFERROR(__xludf.DUMMYFUNCTION("""COMPUTED_VALUE"""),5895)</f>
        <v>5895</v>
      </c>
      <c r="G455" s="19">
        <f ca="1">IFERROR(__xludf.DUMMYFUNCTION("""COMPUTED_VALUE"""),8900)</f>
        <v>8900</v>
      </c>
      <c r="H455" s="18">
        <f ca="1">IFERROR(__xludf.DUMMYFUNCTION("""COMPUTED_VALUE"""),45669)</f>
        <v>45669</v>
      </c>
      <c r="I455" s="5" t="str">
        <f ca="1">IFERROR(__xludf.DUMMYFUNCTION("""COMPUTED_VALUE"""),"Redfin")</f>
        <v>Redfin</v>
      </c>
      <c r="J455" s="25" t="str">
        <f ca="1">IFERROR(__xludf.DUMMYFUNCTION("""COMPUTED_VALUE"""),"https://www.redfin.com/CA/West-Hollywood/828-Westmount-Dr-90069/home/6816738#property-history")</f>
        <v>https://www.redfin.com/CA/West-Hollywood/828-Westmount-Dr-90069/home/6816738#property-history</v>
      </c>
      <c r="K455" s="5" t="str">
        <f ca="1">IFERROR(__xludf.DUMMYFUNCTION("""COMPUTED_VALUE"""),"Wesley Early")</f>
        <v>Wesley Early</v>
      </c>
      <c r="L455" s="5"/>
      <c r="M455" s="5" t="str">
        <f ca="1">IFERROR(__xludf.DUMMYFUNCTION("""COMPUTED_VALUE"""),"Last asking price was in December 2023. ")</f>
        <v xml:space="preserve">Last asking price was in December 2023. </v>
      </c>
      <c r="N455" s="26" t="str">
        <f ca="1">IFERROR(__xludf.DUMMYFUNCTION("""COMPUTED_VALUE"""),"https://drive.google.com/open?id=1R9Fp71i1VfdcbEEhPt0xZ9_fV2_81r2a")</f>
        <v>https://drive.google.com/open?id=1R9Fp71i1VfdcbEEhPt0xZ9_fV2_81r2a</v>
      </c>
      <c r="O455" s="5" t="str">
        <f ca="1">IFERROR(__xludf.DUMMYFUNCTION("""COMPUTED_VALUE"""),"NA")</f>
        <v>NA</v>
      </c>
      <c r="P455" s="5" t="str">
        <f ca="1">IFERROR(__xludf.DUMMYFUNCTION("""COMPUTED_VALUE"""),"310) 992-6691")</f>
        <v>310) 992-6691</v>
      </c>
      <c r="Q455" s="5" t="str">
        <f ca="1">IFERROR(__xludf.DUMMYFUNCTION("""COMPUTED_VALUE"""),"wesley.early@gmail.com")</f>
        <v>wesley.early@gmail.com</v>
      </c>
      <c r="R455" s="5"/>
      <c r="S455" s="5"/>
      <c r="T455" s="5"/>
    </row>
    <row r="456" spans="1:20" ht="12.75">
      <c r="A456" s="24">
        <f ca="1">IFERROR(__xludf.DUMMYFUNCTION("""COMPUTED_VALUE"""),45670.5360686226)</f>
        <v>45670.536068622598</v>
      </c>
      <c r="B456" s="5" t="str">
        <f ca="1">IFERROR(__xludf.DUMMYFUNCTION("""COMPUTED_VALUE"""),"8434 Shirley Ave")</f>
        <v>8434 Shirley Ave</v>
      </c>
      <c r="C456" s="5" t="str">
        <f ca="1">IFERROR(__xludf.DUMMYFUNCTION("""COMPUTED_VALUE"""),"Northridge")</f>
        <v>Northridge</v>
      </c>
      <c r="D456" s="5" t="str">
        <f ca="1">IFERROR(__xludf.DUMMYFUNCTION("""COMPUTED_VALUE"""),"CA")</f>
        <v>CA</v>
      </c>
      <c r="E456" s="5">
        <f ca="1">IFERROR(__xludf.DUMMYFUNCTION("""COMPUTED_VALUE"""),91324)</f>
        <v>91324</v>
      </c>
      <c r="F456" s="19">
        <f ca="1">IFERROR(__xludf.DUMMYFUNCTION("""COMPUTED_VALUE"""),4500)</f>
        <v>4500</v>
      </c>
      <c r="G456" s="19">
        <f ca="1">IFERROR(__xludf.DUMMYFUNCTION("""COMPUTED_VALUE"""),5000)</f>
        <v>5000</v>
      </c>
      <c r="H456" s="18">
        <f ca="1">IFERROR(__xludf.DUMMYFUNCTION("""COMPUTED_VALUE"""),45666)</f>
        <v>45666</v>
      </c>
      <c r="I456" s="5" t="str">
        <f ca="1">IFERROR(__xludf.DUMMYFUNCTION("""COMPUTED_VALUE"""),"Zillow")</f>
        <v>Zillow</v>
      </c>
      <c r="J456" s="25" t="str">
        <f ca="1">IFERROR(__xludf.DUMMYFUNCTION("""COMPUTED_VALUE"""),"https://www.zillow.com/homedetails/8434-Shirley-Ave-Northridge-CA-91324/20182539_zpid/")</f>
        <v>https://www.zillow.com/homedetails/8434-Shirley-Ave-Northridge-CA-91324/20182539_zpid/</v>
      </c>
      <c r="K456" s="5" t="str">
        <f ca="1">IFERROR(__xludf.DUMMYFUNCTION("""COMPUTED_VALUE"""),"Gall BenAharon")</f>
        <v>Gall BenAharon</v>
      </c>
      <c r="L456" s="5"/>
      <c r="M456" s="5"/>
      <c r="N456" s="5" t="str">
        <f ca="1">IFERROR(__xludf.DUMMYFUNCTION("""COMPUTED_VALUE"""),"https://drive.google.com/open?id=11Tz4lxSXaoYHBbg0DG4OY6hoXk2M5Shb, https://drive.google.com/open?id=1uWsdQZ8XXT_RkoCZ2i6wG_jSaeqaqKnI")</f>
        <v>https://drive.google.com/open?id=11Tz4lxSXaoYHBbg0DG4OY6hoXk2M5Shb, https://drive.google.com/open?id=1uWsdQZ8XXT_RkoCZ2i6wG_jSaeqaqKnI</v>
      </c>
      <c r="O456" s="5">
        <f ca="1">IFERROR(__xludf.DUMMYFUNCTION("""COMPUTED_VALUE"""),2783007015)</f>
        <v>2783007015</v>
      </c>
      <c r="P456" s="5" t="str">
        <f ca="1">IFERROR(__xludf.DUMMYFUNCTION("""COMPUTED_VALUE"""),"(818) 590-7136")</f>
        <v>(818) 590-7136</v>
      </c>
      <c r="Q456" s="5"/>
      <c r="R456" s="5"/>
      <c r="S456" s="5"/>
      <c r="T456" s="5"/>
    </row>
    <row r="457" spans="1:20" ht="12.75">
      <c r="A457" s="24">
        <f ca="1">IFERROR(__xludf.DUMMYFUNCTION("""COMPUTED_VALUE"""),45670.5371007291)</f>
        <v>45670.537100729103</v>
      </c>
      <c r="B457" s="5" t="str">
        <f ca="1">IFERROR(__xludf.DUMMYFUNCTION("""COMPUTED_VALUE"""),"512 Griswold St APT 6")</f>
        <v>512 Griswold St APT 6</v>
      </c>
      <c r="C457" s="5" t="str">
        <f ca="1">IFERROR(__xludf.DUMMYFUNCTION("""COMPUTED_VALUE"""),"Glendale")</f>
        <v>Glendale</v>
      </c>
      <c r="D457" s="5" t="str">
        <f ca="1">IFERROR(__xludf.DUMMYFUNCTION("""COMPUTED_VALUE"""),"CA")</f>
        <v>CA</v>
      </c>
      <c r="E457" s="5">
        <f ca="1">IFERROR(__xludf.DUMMYFUNCTION("""COMPUTED_VALUE"""),91205)</f>
        <v>91205</v>
      </c>
      <c r="F457" s="19">
        <f ca="1">IFERROR(__xludf.DUMMYFUNCTION("""COMPUTED_VALUE"""),2295)</f>
        <v>2295</v>
      </c>
      <c r="G457" s="19">
        <f ca="1">IFERROR(__xludf.DUMMYFUNCTION("""COMPUTED_VALUE"""),2595)</f>
        <v>2595</v>
      </c>
      <c r="H457" s="18">
        <f ca="1">IFERROR(__xludf.DUMMYFUNCTION("""COMPUTED_VALUE"""),45670)</f>
        <v>45670</v>
      </c>
      <c r="I457" s="5" t="str">
        <f ca="1">IFERROR(__xludf.DUMMYFUNCTION("""COMPUTED_VALUE"""),"Zillow")</f>
        <v>Zillow</v>
      </c>
      <c r="J457" s="25" t="str">
        <f ca="1">IFERROR(__xludf.DUMMYFUNCTION("""COMPUTED_VALUE"""),"https://www.zillow.com/homedetails/512-Griswold-St-APT-6-Glendale-CA-91205/2089256757_zpid/")</f>
        <v>https://www.zillow.com/homedetails/512-Griswold-St-APT-6-Glendale-CA-91205/2089256757_zpid/</v>
      </c>
      <c r="K457" s="5" t="str">
        <f ca="1">IFERROR(__xludf.DUMMYFUNCTION("""COMPUTED_VALUE"""),"Arthur Chalekian")</f>
        <v>Arthur Chalekian</v>
      </c>
      <c r="L457" s="5"/>
      <c r="M457" s="5" t="str">
        <f ca="1">IFERROR(__xludf.DUMMYFUNCTION("""COMPUTED_VALUE"""),"went off market in 2021 at lower price, became available today at 13% increase from previous")</f>
        <v>went off market in 2021 at lower price, became available today at 13% increase from previous</v>
      </c>
      <c r="N457" s="26" t="str">
        <f ca="1">IFERROR(__xludf.DUMMYFUNCTION("""COMPUTED_VALUE"""),"https://drive.google.com/open?id=1YfA8WvE-02u1yo5LCj4wODpXVDyYdbDm")</f>
        <v>https://drive.google.com/open?id=1YfA8WvE-02u1yo5LCj4wODpXVDyYdbDm</v>
      </c>
      <c r="O457" s="5" t="str">
        <f ca="1">IFERROR(__xludf.DUMMYFUNCTION("""COMPUTED_VALUE"""),"na")</f>
        <v>na</v>
      </c>
      <c r="P457" s="5" t="str">
        <f ca="1">IFERROR(__xludf.DUMMYFUNCTION("""COMPUTED_VALUE"""),"(818) 873-5633")</f>
        <v>(818) 873-5633</v>
      </c>
      <c r="Q457" s="5"/>
      <c r="R457" s="5"/>
      <c r="S457" s="5"/>
      <c r="T457" s="5"/>
    </row>
    <row r="458" spans="1:20" ht="12.75">
      <c r="A458" s="24">
        <f ca="1">IFERROR(__xludf.DUMMYFUNCTION("""COMPUTED_VALUE"""),45670.5406135069)</f>
        <v>45670.540613506899</v>
      </c>
      <c r="B458" s="5" t="str">
        <f ca="1">IFERROR(__xludf.DUMMYFUNCTION("""COMPUTED_VALUE"""),"11633 Chenault St UNIT 202")</f>
        <v>11633 Chenault St UNIT 202</v>
      </c>
      <c r="C458" s="5" t="str">
        <f ca="1">IFERROR(__xludf.DUMMYFUNCTION("""COMPUTED_VALUE"""),"Los Angeles")</f>
        <v>Los Angeles</v>
      </c>
      <c r="D458" s="5" t="str">
        <f ca="1">IFERROR(__xludf.DUMMYFUNCTION("""COMPUTED_VALUE"""),"CA")</f>
        <v>CA</v>
      </c>
      <c r="E458" s="5">
        <f ca="1">IFERROR(__xludf.DUMMYFUNCTION("""COMPUTED_VALUE"""),90049)</f>
        <v>90049</v>
      </c>
      <c r="F458" s="19">
        <f ca="1">IFERROR(__xludf.DUMMYFUNCTION("""COMPUTED_VALUE"""),4995)</f>
        <v>4995</v>
      </c>
      <c r="G458" s="19">
        <f ca="1">IFERROR(__xludf.DUMMYFUNCTION("""COMPUTED_VALUE"""),7500)</f>
        <v>7500</v>
      </c>
      <c r="H458" s="18">
        <f ca="1">IFERROR(__xludf.DUMMYFUNCTION("""COMPUTED_VALUE"""),45670)</f>
        <v>45670</v>
      </c>
      <c r="I458" s="5" t="str">
        <f ca="1">IFERROR(__xludf.DUMMYFUNCTION("""COMPUTED_VALUE"""),"Zillow")</f>
        <v>Zillow</v>
      </c>
      <c r="J458" s="25" t="str">
        <f ca="1">IFERROR(__xludf.DUMMYFUNCTION("""COMPUTED_VALUE"""),"https://www.zillow.com/homedetails/11633-Chenault-St-UNIT-202-Los-Angeles-CA-90049/119677949_zpid/")</f>
        <v>https://www.zillow.com/homedetails/11633-Chenault-St-UNIT-202-Los-Angeles-CA-90049/119677949_zpid/</v>
      </c>
      <c r="K458" s="5" t="str">
        <f ca="1">IFERROR(__xludf.DUMMYFUNCTION("""COMPUTED_VALUE"""),"Keven Stirdivant KASE Real Estate")</f>
        <v>Keven Stirdivant KASE Real Estate</v>
      </c>
      <c r="L458" s="5"/>
      <c r="M458" s="5"/>
      <c r="N458" s="26" t="str">
        <f ca="1">IFERROR(__xludf.DUMMYFUNCTION("""COMPUTED_VALUE"""),"https://drive.google.com/open?id=1fcxn9QdsuzZyW4LXSyu80Yazu6jdzHBs")</f>
        <v>https://drive.google.com/open?id=1fcxn9QdsuzZyW4LXSyu80Yazu6jdzHBs</v>
      </c>
      <c r="O458" s="5">
        <f ca="1">IFERROR(__xludf.DUMMYFUNCTION("""COMPUTED_VALUE"""),4401026052)</f>
        <v>4401026052</v>
      </c>
      <c r="P458" s="5" t="str">
        <f ca="1">IFERROR(__xludf.DUMMYFUNCTION("""COMPUTED_VALUE"""),"(949) 545-8588")</f>
        <v>(949) 545-8588</v>
      </c>
      <c r="Q458" s="5"/>
      <c r="R458" s="5"/>
      <c r="S458" s="5"/>
      <c r="T458" s="5"/>
    </row>
    <row r="459" spans="1:20" ht="12.75">
      <c r="A459" s="24">
        <f ca="1">IFERROR(__xludf.DUMMYFUNCTION("""COMPUTED_VALUE"""),45670.540850162)</f>
        <v>45670.540850161997</v>
      </c>
      <c r="B459" s="5" t="str">
        <f ca="1">IFERROR(__xludf.DUMMYFUNCTION("""COMPUTED_VALUE"""),"325 E Stocker St APT 5")</f>
        <v>325 E Stocker St APT 5</v>
      </c>
      <c r="C459" s="5" t="str">
        <f ca="1">IFERROR(__xludf.DUMMYFUNCTION("""COMPUTED_VALUE"""),"Glendale")</f>
        <v>Glendale</v>
      </c>
      <c r="D459" s="5" t="str">
        <f ca="1">IFERROR(__xludf.DUMMYFUNCTION("""COMPUTED_VALUE"""),"CA")</f>
        <v>CA</v>
      </c>
      <c r="E459" s="5">
        <f ca="1">IFERROR(__xludf.DUMMYFUNCTION("""COMPUTED_VALUE"""),91207)</f>
        <v>91207</v>
      </c>
      <c r="F459" s="19">
        <f ca="1">IFERROR(__xludf.DUMMYFUNCTION("""COMPUTED_VALUE"""),2929)</f>
        <v>2929</v>
      </c>
      <c r="G459" s="19">
        <f ca="1">IFERROR(__xludf.DUMMYFUNCTION("""COMPUTED_VALUE"""),3200)</f>
        <v>3200</v>
      </c>
      <c r="H459" s="18">
        <f ca="1">IFERROR(__xludf.DUMMYFUNCTION("""COMPUTED_VALUE"""),45668)</f>
        <v>45668</v>
      </c>
      <c r="I459" s="5" t="str">
        <f ca="1">IFERROR(__xludf.DUMMYFUNCTION("""COMPUTED_VALUE"""),"Zillow")</f>
        <v>Zillow</v>
      </c>
      <c r="J459" s="25" t="str">
        <f ca="1">IFERROR(__xludf.DUMMYFUNCTION("""COMPUTED_VALUE"""),"https://www.zillow.com/homedetails/325-E-Stocker-St-APT-5-Glendale-CA-91207/442359457_zpid/")</f>
        <v>https://www.zillow.com/homedetails/325-E-Stocker-St-APT-5-Glendale-CA-91207/442359457_zpid/</v>
      </c>
      <c r="K459" s="5" t="str">
        <f ca="1">IFERROR(__xludf.DUMMYFUNCTION("""COMPUTED_VALUE"""),"Sky Properties, Inc")</f>
        <v>Sky Properties, Inc</v>
      </c>
      <c r="L459" s="5"/>
      <c r="M459" s="5" t="str">
        <f ca="1">IFERROR(__xludf.DUMMYFUNCTION("""COMPUTED_VALUE"""),"not over 10% but dickish nonetheless")</f>
        <v>not over 10% but dickish nonetheless</v>
      </c>
      <c r="N459" s="26" t="str">
        <f ca="1">IFERROR(__xludf.DUMMYFUNCTION("""COMPUTED_VALUE"""),"https://drive.google.com/open?id=1cB_tNkSk17E4fbHKaJt-rKdcZIm5RLnM")</f>
        <v>https://drive.google.com/open?id=1cB_tNkSk17E4fbHKaJt-rKdcZIm5RLnM</v>
      </c>
      <c r="O459" s="5" t="str">
        <f ca="1">IFERROR(__xludf.DUMMYFUNCTION("""COMPUTED_VALUE"""),"na")</f>
        <v>na</v>
      </c>
      <c r="P459" s="5" t="str">
        <f ca="1">IFERROR(__xludf.DUMMYFUNCTION("""COMPUTED_VALUE"""),"(302) 261-3052")</f>
        <v>(302) 261-3052</v>
      </c>
      <c r="Q459" s="5"/>
      <c r="R459" s="5"/>
      <c r="S459" s="5"/>
      <c r="T459" s="5"/>
    </row>
    <row r="460" spans="1:20" ht="12.75">
      <c r="A460" s="24">
        <f ca="1">IFERROR(__xludf.DUMMYFUNCTION("""COMPUTED_VALUE"""),45670.542917662)</f>
        <v>45670.542917662002</v>
      </c>
      <c r="B460" s="5" t="str">
        <f ca="1">IFERROR(__xludf.DUMMYFUNCTION("""COMPUTED_VALUE"""),"724 S Gramercy Dr")</f>
        <v>724 S Gramercy Dr</v>
      </c>
      <c r="C460" s="5" t="str">
        <f ca="1">IFERROR(__xludf.DUMMYFUNCTION("""COMPUTED_VALUE"""),"Los Angeles")</f>
        <v>Los Angeles</v>
      </c>
      <c r="D460" s="5" t="str">
        <f ca="1">IFERROR(__xludf.DUMMYFUNCTION("""COMPUTED_VALUE"""),"CA")</f>
        <v>CA</v>
      </c>
      <c r="E460" s="5">
        <f ca="1">IFERROR(__xludf.DUMMYFUNCTION("""COMPUTED_VALUE"""),90005)</f>
        <v>90005</v>
      </c>
      <c r="F460" s="19">
        <f ca="1">IFERROR(__xludf.DUMMYFUNCTION("""COMPUTED_VALUE"""),5200)</f>
        <v>5200</v>
      </c>
      <c r="G460" s="19">
        <f ca="1">IFERROR(__xludf.DUMMYFUNCTION("""COMPUTED_VALUE"""),5800)</f>
        <v>5800</v>
      </c>
      <c r="H460" s="18">
        <f ca="1">IFERROR(__xludf.DUMMYFUNCTION("""COMPUTED_VALUE"""),45670)</f>
        <v>45670</v>
      </c>
      <c r="I460" s="5" t="str">
        <f ca="1">IFERROR(__xludf.DUMMYFUNCTION("""COMPUTED_VALUE"""),"Zillow")</f>
        <v>Zillow</v>
      </c>
      <c r="J460" s="25" t="str">
        <f ca="1">IFERROR(__xludf.DUMMYFUNCTION("""COMPUTED_VALUE"""),"https://www.zillow.com/homedetails/724-S-Gramercy-Dr-Los-Angeles-CA-90005/2070015636_zpid/")</f>
        <v>https://www.zillow.com/homedetails/724-S-Gramercy-Dr-Los-Angeles-CA-90005/2070015636_zpid/</v>
      </c>
      <c r="K460" s="5" t="str">
        <f ca="1">IFERROR(__xludf.DUMMYFUNCTION("""COMPUTED_VALUE"""),"Amber Tarshis")</f>
        <v>Amber Tarshis</v>
      </c>
      <c r="L460" s="5"/>
      <c r="M460" s="5" t="str">
        <f ca="1">IFERROR(__xludf.DUMMYFUNCTION("""COMPUTED_VALUE"""),"I know this unit has been used as an illegal Airbnb in the past.")</f>
        <v>I know this unit has been used as an illegal Airbnb in the past.</v>
      </c>
      <c r="N460" s="26" t="str">
        <f ca="1">IFERROR(__xludf.DUMMYFUNCTION("""COMPUTED_VALUE"""),"https://drive.google.com/open?id=1GfpfsW2MYAa8RmTy-4XUPixjbLNhnkwf")</f>
        <v>https://drive.google.com/open?id=1GfpfsW2MYAa8RmTy-4XUPixjbLNhnkwf</v>
      </c>
      <c r="O460" s="5" t="str">
        <f ca="1">IFERROR(__xludf.DUMMYFUNCTION("""COMPUTED_VALUE"""),"NA")</f>
        <v>NA</v>
      </c>
      <c r="P460" s="5" t="str">
        <f ca="1">IFERROR(__xludf.DUMMYFUNCTION("""COMPUTED_VALUE"""),"(213) 583-4229")</f>
        <v>(213) 583-4229</v>
      </c>
      <c r="Q460" s="5"/>
      <c r="R460" s="5"/>
      <c r="S460" s="5"/>
      <c r="T460" s="5"/>
    </row>
    <row r="461" spans="1:20" ht="12.75">
      <c r="A461" s="24">
        <f ca="1">IFERROR(__xludf.DUMMYFUNCTION("""COMPUTED_VALUE"""),45670.543136574)</f>
        <v>45670.543136574001</v>
      </c>
      <c r="B461" s="5" t="str">
        <f ca="1">IFERROR(__xludf.DUMMYFUNCTION("""COMPUTED_VALUE"""),"15105 Mulholland Dr")</f>
        <v>15105 Mulholland Dr</v>
      </c>
      <c r="C461" s="5" t="str">
        <f ca="1">IFERROR(__xludf.DUMMYFUNCTION("""COMPUTED_VALUE"""),"Los Angeles")</f>
        <v>Los Angeles</v>
      </c>
      <c r="D461" s="5" t="str">
        <f ca="1">IFERROR(__xludf.DUMMYFUNCTION("""COMPUTED_VALUE"""),"CA")</f>
        <v>CA</v>
      </c>
      <c r="E461" s="5">
        <f ca="1">IFERROR(__xludf.DUMMYFUNCTION("""COMPUTED_VALUE"""),90077)</f>
        <v>90077</v>
      </c>
      <c r="F461" s="19">
        <f ca="1">IFERROR(__xludf.DUMMYFUNCTION("""COMPUTED_VALUE"""),58500)</f>
        <v>58500</v>
      </c>
      <c r="G461" s="19">
        <f ca="1">IFERROR(__xludf.DUMMYFUNCTION("""COMPUTED_VALUE"""),70000)</f>
        <v>70000</v>
      </c>
      <c r="H461" s="18">
        <f ca="1">IFERROR(__xludf.DUMMYFUNCTION("""COMPUTED_VALUE"""),45668)</f>
        <v>45668</v>
      </c>
      <c r="I461" s="5" t="str">
        <f ca="1">IFERROR(__xludf.DUMMYFUNCTION("""COMPUTED_VALUE"""),"Zillow")</f>
        <v>Zillow</v>
      </c>
      <c r="J461" s="25" t="str">
        <f ca="1">IFERROR(__xludf.DUMMYFUNCTION("""COMPUTED_VALUE"""),"https://www.zillow.com/homedetails/15105-Mulholland-Dr-Los-Angeles-CA-90077/19990206_zpid/")</f>
        <v>https://www.zillow.com/homedetails/15105-Mulholland-Dr-Los-Angeles-CA-90077/19990206_zpid/</v>
      </c>
      <c r="K461" s="5" t="str">
        <f ca="1">IFERROR(__xludf.DUMMYFUNCTION("""COMPUTED_VALUE"""),"HangNy Nguyen Advance Estate Realty")</f>
        <v>HangNy Nguyen Advance Estate Realty</v>
      </c>
      <c r="L461" s="5"/>
      <c r="M461" s="5"/>
      <c r="N461" s="26" t="str">
        <f ca="1">IFERROR(__xludf.DUMMYFUNCTION("""COMPUTED_VALUE"""),"https://drive.google.com/open?id=1MO8hWvLH6SPLQmmhCAHx069PDgJ7quZh")</f>
        <v>https://drive.google.com/open?id=1MO8hWvLH6SPLQmmhCAHx069PDgJ7quZh</v>
      </c>
      <c r="O461" s="5">
        <f ca="1">IFERROR(__xludf.DUMMYFUNCTION("""COMPUTED_VALUE"""),2279026021)</f>
        <v>2279026021</v>
      </c>
      <c r="P461" s="5" t="str">
        <f ca="1">IFERROR(__xludf.DUMMYFUNCTION("""COMPUTED_VALUE"""),"(714) 657-4821")</f>
        <v>(714) 657-4821</v>
      </c>
      <c r="Q461" s="5"/>
      <c r="R461" s="5"/>
      <c r="S461" s="5"/>
      <c r="T461" s="5"/>
    </row>
    <row r="462" spans="1:20" ht="12.75">
      <c r="A462" s="24">
        <f ca="1">IFERROR(__xludf.DUMMYFUNCTION("""COMPUTED_VALUE"""),45670.5437314583)</f>
        <v>45670.543731458303</v>
      </c>
      <c r="B462" s="5" t="str">
        <f ca="1">IFERROR(__xludf.DUMMYFUNCTION("""COMPUTED_VALUE"""),"233 17th Street ")</f>
        <v xml:space="preserve">233 17th Street </v>
      </c>
      <c r="C462" s="5" t="str">
        <f ca="1">IFERROR(__xludf.DUMMYFUNCTION("""COMPUTED_VALUE"""),"Manhattan beach")</f>
        <v>Manhattan beach</v>
      </c>
      <c r="D462" s="5" t="str">
        <f ca="1">IFERROR(__xludf.DUMMYFUNCTION("""COMPUTED_VALUE"""),"CA")</f>
        <v>CA</v>
      </c>
      <c r="E462" s="5">
        <f ca="1">IFERROR(__xludf.DUMMYFUNCTION("""COMPUTED_VALUE"""),90266)</f>
        <v>90266</v>
      </c>
      <c r="F462" s="19">
        <f ca="1">IFERROR(__xludf.DUMMYFUNCTION("""COMPUTED_VALUE"""),10000)</f>
        <v>10000</v>
      </c>
      <c r="G462" s="19">
        <f ca="1">IFERROR(__xludf.DUMMYFUNCTION("""COMPUTED_VALUE"""),19700)</f>
        <v>19700</v>
      </c>
      <c r="H462" s="18">
        <f ca="1">IFERROR(__xludf.DUMMYFUNCTION("""COMPUTED_VALUE"""),45992)</f>
        <v>45992</v>
      </c>
      <c r="I462" s="5" t="str">
        <f ca="1">IFERROR(__xludf.DUMMYFUNCTION("""COMPUTED_VALUE"""),"Zillow")</f>
        <v>Zillow</v>
      </c>
      <c r="J462" s="25" t="str">
        <f ca="1">IFERROR(__xludf.DUMMYFUNCTION("""COMPUTED_VALUE"""),"https://www.zillow.com/homedetails/233-17th-St-Manhattan-Beach-CA-90266/20421726_zpid/")</f>
        <v>https://www.zillow.com/homedetails/233-17th-St-Manhattan-Beach-CA-90266/20421726_zpid/</v>
      </c>
      <c r="K462" s="5" t="str">
        <f ca="1">IFERROR(__xludf.DUMMYFUNCTION("""COMPUTED_VALUE"""),"Owner ")</f>
        <v xml:space="preserve">Owner </v>
      </c>
      <c r="L462" s="5" t="str">
        <f ca="1">IFERROR(__xludf.DUMMYFUNCTION("""COMPUTED_VALUE"""),"Cg cecil")</f>
        <v>Cg cecil</v>
      </c>
      <c r="M462" s="5"/>
      <c r="N462" s="26" t="str">
        <f ca="1">IFERROR(__xludf.DUMMYFUNCTION("""COMPUTED_VALUE"""),"https://drive.google.com/open?id=1xw0ENkef9q2OnoQFqap5GfKBQd7ohmXK")</f>
        <v>https://drive.google.com/open?id=1xw0ENkef9q2OnoQFqap5GfKBQd7ohmXK</v>
      </c>
      <c r="O462" s="5">
        <f ca="1">IFERROR(__xludf.DUMMYFUNCTION("""COMPUTED_VALUE"""),4178006020)</f>
        <v>4178006020</v>
      </c>
      <c r="P462" s="5" t="str">
        <f ca="1">IFERROR(__xludf.DUMMYFUNCTION("""COMPUTED_VALUE"""),"Owner")</f>
        <v>Owner</v>
      </c>
      <c r="Q462" s="5"/>
      <c r="R462" s="5"/>
      <c r="S462" s="5"/>
      <c r="T462" s="5"/>
    </row>
    <row r="463" spans="1:20" ht="12.75">
      <c r="A463" s="24">
        <f ca="1">IFERROR(__xludf.DUMMYFUNCTION("""COMPUTED_VALUE"""),45670.5480992708)</f>
        <v>45670.548099270804</v>
      </c>
      <c r="B463" s="5" t="str">
        <f ca="1">IFERROR(__xludf.DUMMYFUNCTION("""COMPUTED_VALUE"""),"6354 N Charlotte Ave")</f>
        <v>6354 N Charlotte Ave</v>
      </c>
      <c r="C463" s="5" t="str">
        <f ca="1">IFERROR(__xludf.DUMMYFUNCTION("""COMPUTED_VALUE"""),"San Gabriel")</f>
        <v>San Gabriel</v>
      </c>
      <c r="D463" s="5" t="str">
        <f ca="1">IFERROR(__xludf.DUMMYFUNCTION("""COMPUTED_VALUE"""),"CA")</f>
        <v>CA</v>
      </c>
      <c r="E463" s="5">
        <f ca="1">IFERROR(__xludf.DUMMYFUNCTION("""COMPUTED_VALUE"""),91775)</f>
        <v>91775</v>
      </c>
      <c r="F463" s="19">
        <f ca="1">IFERROR(__xludf.DUMMYFUNCTION("""COMPUTED_VALUE"""),6500)</f>
        <v>6500</v>
      </c>
      <c r="G463" s="19">
        <f ca="1">IFERROR(__xludf.DUMMYFUNCTION("""COMPUTED_VALUE"""),7000)</f>
        <v>7000</v>
      </c>
      <c r="H463" s="18">
        <f ca="1">IFERROR(__xludf.DUMMYFUNCTION("""COMPUTED_VALUE"""),45667)</f>
        <v>45667</v>
      </c>
      <c r="I463" s="5" t="str">
        <f ca="1">IFERROR(__xludf.DUMMYFUNCTION("""COMPUTED_VALUE"""),"Zillow")</f>
        <v>Zillow</v>
      </c>
      <c r="J463" s="25" t="str">
        <f ca="1">IFERROR(__xludf.DUMMYFUNCTION("""COMPUTED_VALUE"""),"https://www.zillow.com/homedetails/6354-N-Charlotte-Ave-San-Gabriel-CA-91775/20727399_zpid/?utm_campaign=iosappmessage&amp;utm_medium=referral&amp;utm_source=txtshare")</f>
        <v>https://www.zillow.com/homedetails/6354-N-Charlotte-Ave-San-Gabriel-CA-91775/20727399_zpid/?utm_campaign=iosappmessage&amp;utm_medium=referral&amp;utm_source=txtshare</v>
      </c>
      <c r="K463" s="5" t="str">
        <f ca="1">IFERROR(__xludf.DUMMYFUNCTION("""COMPUTED_VALUE"""),"Bing Hou IRN Realty")</f>
        <v>Bing Hou IRN Realty</v>
      </c>
      <c r="L463" s="5"/>
      <c r="M463" s="5"/>
      <c r="N463" s="26" t="str">
        <f ca="1">IFERROR(__xludf.DUMMYFUNCTION("""COMPUTED_VALUE"""),"https://drive.google.com/open?id=1446QFyTEM6Fo-HGZCU9WP6HIAcnBQs4T")</f>
        <v>https://drive.google.com/open?id=1446QFyTEM6Fo-HGZCU9WP6HIAcnBQs4T</v>
      </c>
      <c r="O463" s="5">
        <f ca="1">IFERROR(__xludf.DUMMYFUNCTION("""COMPUTED_VALUE"""),5375018016)</f>
        <v>5375018016</v>
      </c>
      <c r="P463" s="5" t="str">
        <f ca="1">IFERROR(__xludf.DUMMYFUNCTION("""COMPUTED_VALUE"""),"(818) 214-7607")</f>
        <v>(818) 214-7607</v>
      </c>
      <c r="Q463" s="5" t="str">
        <f ca="1">IFERROR(__xludf.DUMMYFUNCTION("""COMPUTED_VALUE"""),"binghou66@gmail.com")</f>
        <v>binghou66@gmail.com</v>
      </c>
      <c r="R463" s="5"/>
      <c r="S463" s="5"/>
      <c r="T463" s="5"/>
    </row>
    <row r="464" spans="1:20" ht="12.75">
      <c r="A464" s="24">
        <f ca="1">IFERROR(__xludf.DUMMYFUNCTION("""COMPUTED_VALUE"""),45670.5484284722)</f>
        <v>45670.548428472197</v>
      </c>
      <c r="B464" s="5" t="str">
        <f ca="1">IFERROR(__xludf.DUMMYFUNCTION("""COMPUTED_VALUE"""),"472 36th street")</f>
        <v>472 36th street</v>
      </c>
      <c r="C464" s="5" t="str">
        <f ca="1">IFERROR(__xludf.DUMMYFUNCTION("""COMPUTED_VALUE"""),"Manhattan beach")</f>
        <v>Manhattan beach</v>
      </c>
      <c r="D464" s="5" t="str">
        <f ca="1">IFERROR(__xludf.DUMMYFUNCTION("""COMPUTED_VALUE"""),"CA")</f>
        <v>CA</v>
      </c>
      <c r="E464" s="5">
        <f ca="1">IFERROR(__xludf.DUMMYFUNCTION("""COMPUTED_VALUE"""),90266)</f>
        <v>90266</v>
      </c>
      <c r="F464" s="19">
        <f ca="1">IFERROR(__xludf.DUMMYFUNCTION("""COMPUTED_VALUE"""),8750)</f>
        <v>8750</v>
      </c>
      <c r="G464" s="19">
        <f ca="1">IFERROR(__xludf.DUMMYFUNCTION("""COMPUTED_VALUE"""),19750)</f>
        <v>19750</v>
      </c>
      <c r="H464" s="18">
        <f ca="1">IFERROR(__xludf.DUMMYFUNCTION("""COMPUTED_VALUE"""),45669)</f>
        <v>45669</v>
      </c>
      <c r="I464" s="5" t="str">
        <f ca="1">IFERROR(__xludf.DUMMYFUNCTION("""COMPUTED_VALUE"""),"Zillow")</f>
        <v>Zillow</v>
      </c>
      <c r="J464" s="25" t="str">
        <f ca="1">IFERROR(__xludf.DUMMYFUNCTION("""COMPUTED_VALUE"""),"https://www.zillow.com/homedetails/472-36th-St-Manhattan-Beach-CA-90266/20420178_zpid/")</f>
        <v>https://www.zillow.com/homedetails/472-36th-St-Manhattan-Beach-CA-90266/20420178_zpid/</v>
      </c>
      <c r="K464" s="5" t="str">
        <f ca="1">IFERROR(__xludf.DUMMYFUNCTION("""COMPUTED_VALUE"""),"Fortify Property Management Fortify Property Management Verified Source (")</f>
        <v>Fortify Property Management Fortify Property Management Verified Source (</v>
      </c>
      <c r="L464" s="5"/>
      <c r="M464" s="5"/>
      <c r="N464" s="26" t="str">
        <f ca="1">IFERROR(__xludf.DUMMYFUNCTION("""COMPUTED_VALUE"""),"https://drive.google.com/open?id=1wvgWF7Mv4FVNQcDegmeayWrXk8kUlbTz")</f>
        <v>https://drive.google.com/open?id=1wvgWF7Mv4FVNQcDegmeayWrXk8kUlbTz</v>
      </c>
      <c r="O464" s="5">
        <f ca="1">IFERROR(__xludf.DUMMYFUNCTION("""COMPUTED_VALUE"""),4175007010)</f>
        <v>4175007010</v>
      </c>
      <c r="P464" s="5" t="str">
        <f ca="1">IFERROR(__xludf.DUMMYFUNCTION("""COMPUTED_VALUE"""),"310) 706-2155")</f>
        <v>310) 706-2155</v>
      </c>
      <c r="Q464" s="5"/>
      <c r="R464" s="5"/>
      <c r="S464" s="5"/>
      <c r="T464" s="5"/>
    </row>
    <row r="465" spans="1:20" ht="12.75">
      <c r="A465" s="24">
        <f ca="1">IFERROR(__xludf.DUMMYFUNCTION("""COMPUTED_VALUE"""),45670.5491006944)</f>
        <v>45670.549100694399</v>
      </c>
      <c r="B465" s="5" t="str">
        <f ca="1">IFERROR(__xludf.DUMMYFUNCTION("""COMPUTED_VALUE"""),"23608 Pineforest Lane")</f>
        <v>23608 Pineforest Lane</v>
      </c>
      <c r="C465" s="5" t="str">
        <f ca="1">IFERROR(__xludf.DUMMYFUNCTION("""COMPUTED_VALUE"""),"Harbor City")</f>
        <v>Harbor City</v>
      </c>
      <c r="D465" s="5" t="str">
        <f ca="1">IFERROR(__xludf.DUMMYFUNCTION("""COMPUTED_VALUE"""),"CA")</f>
        <v>CA</v>
      </c>
      <c r="E465" s="5">
        <f ca="1">IFERROR(__xludf.DUMMYFUNCTION("""COMPUTED_VALUE"""),90710)</f>
        <v>90710</v>
      </c>
      <c r="F465" s="19">
        <f ca="1">IFERROR(__xludf.DUMMYFUNCTION("""COMPUTED_VALUE"""),4900)</f>
        <v>4900</v>
      </c>
      <c r="G465" s="19">
        <f ca="1">IFERROR(__xludf.DUMMYFUNCTION("""COMPUTED_VALUE"""),5900)</f>
        <v>5900</v>
      </c>
      <c r="H465" s="18">
        <f ca="1">IFERROR(__xludf.DUMMYFUNCTION("""COMPUTED_VALUE"""),45666)</f>
        <v>45666</v>
      </c>
      <c r="I465" s="5" t="str">
        <f ca="1">IFERROR(__xludf.DUMMYFUNCTION("""COMPUTED_VALUE"""),"Zillow")</f>
        <v>Zillow</v>
      </c>
      <c r="J465" s="25" t="str">
        <f ca="1">IFERROR(__xludf.DUMMYFUNCTION("""COMPUTED_VALUE"""),"https://www.zillow.com/homedetails/23608-Pineforest-Ln-Harbor-City-CA-90710/21289318_zpid/")</f>
        <v>https://www.zillow.com/homedetails/23608-Pineforest-Ln-Harbor-City-CA-90710/21289318_zpid/</v>
      </c>
      <c r="K465" s="5" t="str">
        <f ca="1">IFERROR(__xludf.DUMMYFUNCTION("""COMPUTED_VALUE"""),"Maria Angela Segura")</f>
        <v>Maria Angela Segura</v>
      </c>
      <c r="L465" s="5"/>
      <c r="M465" s="5"/>
      <c r="N465" s="5" t="str">
        <f ca="1">IFERROR(__xludf.DUMMYFUNCTION("""COMPUTED_VALUE"""),"https://drive.google.com/open?id=1I5lhGNS7VS8Lwrm3BrpKbHx329EvBwNU, https://drive.google.com/open?id=1l1oQ3OXKzybFw1JNRK1JsRimtPg94bZF")</f>
        <v>https://drive.google.com/open?id=1I5lhGNS7VS8Lwrm3BrpKbHx329EvBwNU, https://drive.google.com/open?id=1l1oQ3OXKzybFw1JNRK1JsRimtPg94bZF</v>
      </c>
      <c r="O465" s="5">
        <f ca="1">IFERROR(__xludf.DUMMYFUNCTION("""COMPUTED_VALUE"""),7409006013)</f>
        <v>7409006013</v>
      </c>
      <c r="P465" s="5" t="str">
        <f ca="1">IFERROR(__xludf.DUMMYFUNCTION("""COMPUTED_VALUE"""),"(213) 668-7652")</f>
        <v>(213) 668-7652</v>
      </c>
      <c r="Q465" s="5"/>
      <c r="R465" s="5"/>
      <c r="S465" s="5"/>
      <c r="T465" s="5"/>
    </row>
    <row r="466" spans="1:20" ht="12.75">
      <c r="A466" s="24">
        <f ca="1">IFERROR(__xludf.DUMMYFUNCTION("""COMPUTED_VALUE"""),45670.5514099652)</f>
        <v>45670.551409965199</v>
      </c>
      <c r="B466" s="5" t="str">
        <f ca="1">IFERROR(__xludf.DUMMYFUNCTION("""COMPUTED_VALUE"""),"3055 Landa st")</f>
        <v>3055 Landa st</v>
      </c>
      <c r="C466" s="5" t="str">
        <f ca="1">IFERROR(__xludf.DUMMYFUNCTION("""COMPUTED_VALUE"""),"Los Angeles")</f>
        <v>Los Angeles</v>
      </c>
      <c r="D466" s="5" t="str">
        <f ca="1">IFERROR(__xludf.DUMMYFUNCTION("""COMPUTED_VALUE"""),"CA")</f>
        <v>CA</v>
      </c>
      <c r="E466" s="5">
        <f ca="1">IFERROR(__xludf.DUMMYFUNCTION("""COMPUTED_VALUE"""),90039)</f>
        <v>90039</v>
      </c>
      <c r="F466" s="19">
        <f ca="1">IFERROR(__xludf.DUMMYFUNCTION("""COMPUTED_VALUE"""),9000)</f>
        <v>9000</v>
      </c>
      <c r="G466" s="19">
        <f ca="1">IFERROR(__xludf.DUMMYFUNCTION("""COMPUTED_VALUE"""),12000)</f>
        <v>12000</v>
      </c>
      <c r="H466" s="18">
        <f ca="1">IFERROR(__xludf.DUMMYFUNCTION("""COMPUTED_VALUE"""),45670)</f>
        <v>45670</v>
      </c>
      <c r="I466" s="5" t="str">
        <f ca="1">IFERROR(__xludf.DUMMYFUNCTION("""COMPUTED_VALUE"""),"Zillow")</f>
        <v>Zillow</v>
      </c>
      <c r="J466" s="25" t="str">
        <f ca="1">IFERROR(__xludf.DUMMYFUNCTION("""COMPUTED_VALUE"""),"https://www.zillow.com/homedetails/3055-Landa-St-Los-Angeles-CA-90039/20747666_zpid/")</f>
        <v>https://www.zillow.com/homedetails/3055-Landa-St-Los-Angeles-CA-90039/20747666_zpid/</v>
      </c>
      <c r="K466" s="5" t="str">
        <f ca="1">IFERROR(__xludf.DUMMYFUNCTION("""COMPUTED_VALUE"""),"Edward Kay (owner) ")</f>
        <v xml:space="preserve">Edward Kay (owner) </v>
      </c>
      <c r="L466" s="5" t="str">
        <f ca="1">IFERROR(__xludf.DUMMYFUNCTION("""COMPUTED_VALUE"""),"Edward Kay")</f>
        <v>Edward Kay</v>
      </c>
      <c r="M466" s="5" t="str">
        <f ca="1">IFERROR(__xludf.DUMMYFUNCTION("""COMPUTED_VALUE"""),"I live in the neighborhood. He has never asked this much. ")</f>
        <v xml:space="preserve">I live in the neighborhood. He has never asked this much. </v>
      </c>
      <c r="N466" s="5" t="str">
        <f ca="1">IFERROR(__xludf.DUMMYFUNCTION("""COMPUTED_VALUE"""),"https://drive.google.com/open?id=1pDIQBZRYhj_HxrNJUYTi-oZdjiW49t4h, https://drive.google.com/open?id=1183PRf5wV1znjvqT8lZ90NnV43_ZM9KJ")</f>
        <v>https://drive.google.com/open?id=1pDIQBZRYhj_HxrNJUYTi-oZdjiW49t4h, https://drive.google.com/open?id=1183PRf5wV1znjvqT8lZ90NnV43_ZM9KJ</v>
      </c>
      <c r="O466" s="5">
        <f ca="1">IFERROR(__xludf.DUMMYFUNCTION("""COMPUTED_VALUE"""),5431021002)</f>
        <v>5431021002</v>
      </c>
      <c r="P466" s="5">
        <f ca="1">IFERROR(__xludf.DUMMYFUNCTION("""COMPUTED_VALUE"""),8184018719)</f>
        <v>8184018719</v>
      </c>
      <c r="Q466" s="5" t="str">
        <f ca="1">IFERROR(__xludf.DUMMYFUNCTION("""COMPUTED_VALUE"""),"jjactrice@gmail.com")</f>
        <v>jjactrice@gmail.com</v>
      </c>
      <c r="R466" s="5">
        <f ca="1">IFERROR(__xludf.DUMMYFUNCTION("""COMPUTED_VALUE"""),8184018719)</f>
        <v>8184018719</v>
      </c>
      <c r="S466" s="5" t="str">
        <f ca="1">IFERROR(__xludf.DUMMYFUNCTION("""COMPUTED_VALUE"""),"jjactrice@gmail.com")</f>
        <v>jjactrice@gmail.com</v>
      </c>
      <c r="T466" s="5"/>
    </row>
    <row r="467" spans="1:20" ht="12.75">
      <c r="A467" s="24">
        <f ca="1">IFERROR(__xludf.DUMMYFUNCTION("""COMPUTED_VALUE"""),45670.5515679861)</f>
        <v>45670.551567986098</v>
      </c>
      <c r="B467" s="5" t="str">
        <f ca="1">IFERROR(__xludf.DUMMYFUNCTION("""COMPUTED_VALUE"""),"26865 Via Linda St")</f>
        <v>26865 Via Linda St</v>
      </c>
      <c r="C467" s="5" t="str">
        <f ca="1">IFERROR(__xludf.DUMMYFUNCTION("""COMPUTED_VALUE"""),"Malibu")</f>
        <v>Malibu</v>
      </c>
      <c r="D467" s="5" t="str">
        <f ca="1">IFERROR(__xludf.DUMMYFUNCTION("""COMPUTED_VALUE"""),"CA")</f>
        <v>CA</v>
      </c>
      <c r="E467" s="5">
        <f ca="1">IFERROR(__xludf.DUMMYFUNCTION("""COMPUTED_VALUE"""),90265)</f>
        <v>90265</v>
      </c>
      <c r="F467" s="19">
        <f ca="1">IFERROR(__xludf.DUMMYFUNCTION("""COMPUTED_VALUE"""),15000)</f>
        <v>15000</v>
      </c>
      <c r="G467" s="19">
        <f ca="1">IFERROR(__xludf.DUMMYFUNCTION("""COMPUTED_VALUE"""),25000)</f>
        <v>25000</v>
      </c>
      <c r="H467" s="18">
        <f ca="1">IFERROR(__xludf.DUMMYFUNCTION("""COMPUTED_VALUE"""),45669)</f>
        <v>45669</v>
      </c>
      <c r="I467" s="5" t="str">
        <f ca="1">IFERROR(__xludf.DUMMYFUNCTION("""COMPUTED_VALUE"""),"Zillow")</f>
        <v>Zillow</v>
      </c>
      <c r="J467" s="25" t="str">
        <f ca="1">IFERROR(__xludf.DUMMYFUNCTION("""COMPUTED_VALUE"""),"https://www.zillow.com/homedetails/26865-Via-Linda-St-Malibu-CA-90265/20554740_zpid/")</f>
        <v>https://www.zillow.com/homedetails/26865-Via-Linda-St-Malibu-CA-90265/20554740_zpid/</v>
      </c>
      <c r="K467" s="5" t="str">
        <f ca="1">IFERROR(__xludf.DUMMYFUNCTION("""COMPUTED_VALUE"""),"Jessica Ezor")</f>
        <v>Jessica Ezor</v>
      </c>
      <c r="L467" s="5"/>
      <c r="M467" s="5"/>
      <c r="N467" s="26" t="str">
        <f ca="1">IFERROR(__xludf.DUMMYFUNCTION("""COMPUTED_VALUE"""),"https://drive.google.com/open?id=1WcKkv6ewyYREaTHbRAhDPhH8ZEssCfhA")</f>
        <v>https://drive.google.com/open?id=1WcKkv6ewyYREaTHbRAhDPhH8ZEssCfhA</v>
      </c>
      <c r="O467" s="5">
        <f ca="1">IFERROR(__xludf.DUMMYFUNCTION("""COMPUTED_VALUE"""),4460018023)</f>
        <v>4460018023</v>
      </c>
      <c r="P467" s="5" t="str">
        <f ca="1">IFERROR(__xludf.DUMMYFUNCTION("""COMPUTED_VALUE"""),"(310) 430-1194")</f>
        <v>(310) 430-1194</v>
      </c>
      <c r="Q467" s="5"/>
      <c r="R467" s="5"/>
      <c r="S467" s="5"/>
      <c r="T467" s="5"/>
    </row>
    <row r="468" spans="1:20" ht="12.75">
      <c r="A468" s="24">
        <f ca="1">IFERROR(__xludf.DUMMYFUNCTION("""COMPUTED_VALUE"""),45670.5520047801)</f>
        <v>45670.552004780096</v>
      </c>
      <c r="B468" s="5" t="str">
        <f ca="1">IFERROR(__xludf.DUMMYFUNCTION("""COMPUTED_VALUE"""),"119 W Live Oak St APT J")</f>
        <v>119 W Live Oak St APT J</v>
      </c>
      <c r="C468" s="5" t="str">
        <f ca="1">IFERROR(__xludf.DUMMYFUNCTION("""COMPUTED_VALUE"""),"San Gabriel")</f>
        <v>San Gabriel</v>
      </c>
      <c r="D468" s="5" t="str">
        <f ca="1">IFERROR(__xludf.DUMMYFUNCTION("""COMPUTED_VALUE"""),"CA")</f>
        <v>CA</v>
      </c>
      <c r="E468" s="5">
        <f ca="1">IFERROR(__xludf.DUMMYFUNCTION("""COMPUTED_VALUE"""),91776)</f>
        <v>91776</v>
      </c>
      <c r="F468" s="19">
        <f ca="1">IFERROR(__xludf.DUMMYFUNCTION("""COMPUTED_VALUE"""),1895)</f>
        <v>1895</v>
      </c>
      <c r="G468" s="19">
        <f ca="1">IFERROR(__xludf.DUMMYFUNCTION("""COMPUTED_VALUE"""),2485)</f>
        <v>2485</v>
      </c>
      <c r="H468" s="18">
        <f ca="1">IFERROR(__xludf.DUMMYFUNCTION("""COMPUTED_VALUE"""),45667)</f>
        <v>45667</v>
      </c>
      <c r="I468" s="5" t="str">
        <f ca="1">IFERROR(__xludf.DUMMYFUNCTION("""COMPUTED_VALUE"""),"Zillow")</f>
        <v>Zillow</v>
      </c>
      <c r="J468" s="25" t="str">
        <f ca="1">IFERROR(__xludf.DUMMYFUNCTION("""COMPUTED_VALUE"""),"https://www.zillow.com/homedetails/119-W-Live-Oak-St-APT-J-San-Gabriel-CA-91776/2101023272_zpid/")</f>
        <v>https://www.zillow.com/homedetails/119-W-Live-Oak-St-APT-J-San-Gabriel-CA-91776/2101023272_zpid/</v>
      </c>
      <c r="K468" s="5"/>
      <c r="L468" s="5" t="str">
        <f ca="1">IFERROR(__xludf.DUMMYFUNCTION("""COMPUTED_VALUE"""),"Patty Tsai")</f>
        <v>Patty Tsai</v>
      </c>
      <c r="M468" s="5"/>
      <c r="N468" s="26" t="str">
        <f ca="1">IFERROR(__xludf.DUMMYFUNCTION("""COMPUTED_VALUE"""),"https://drive.google.com/open?id=1ce3wJ_J3K76gz9ExRsaG-QJ2ugCYnyxV")</f>
        <v>https://drive.google.com/open?id=1ce3wJ_J3K76gz9ExRsaG-QJ2ugCYnyxV</v>
      </c>
      <c r="O468" s="5" t="str">
        <f ca="1">IFERROR(__xludf.DUMMYFUNCTION("""COMPUTED_VALUE"""),"NA")</f>
        <v>NA</v>
      </c>
      <c r="P468" s="5"/>
      <c r="Q468" s="5"/>
      <c r="R468" s="5" t="str">
        <f ca="1">IFERROR(__xludf.DUMMYFUNCTION("""COMPUTED_VALUE"""),"(626) 323-8447")</f>
        <v>(626) 323-8447</v>
      </c>
      <c r="S468" s="5"/>
      <c r="T468" s="5"/>
    </row>
    <row r="469" spans="1:20" ht="12.75">
      <c r="A469" s="24">
        <f ca="1">IFERROR(__xludf.DUMMYFUNCTION("""COMPUTED_VALUE"""),45670.5523944328)</f>
        <v>45670.552394432802</v>
      </c>
      <c r="B469" s="5" t="str">
        <f ca="1">IFERROR(__xludf.DUMMYFUNCTION("""COMPUTED_VALUE"""),"Unknown, 90028")</f>
        <v>Unknown, 90028</v>
      </c>
      <c r="C469" s="5" t="str">
        <f ca="1">IFERROR(__xludf.DUMMYFUNCTION("""COMPUTED_VALUE"""),"Los angeles")</f>
        <v>Los angeles</v>
      </c>
      <c r="D469" s="5" t="str">
        <f ca="1">IFERROR(__xludf.DUMMYFUNCTION("""COMPUTED_VALUE"""),"CA")</f>
        <v>CA</v>
      </c>
      <c r="E469" s="5">
        <f ca="1">IFERROR(__xludf.DUMMYFUNCTION("""COMPUTED_VALUE"""),90028)</f>
        <v>90028</v>
      </c>
      <c r="F469" s="19">
        <f ca="1">IFERROR(__xludf.DUMMYFUNCTION("""COMPUTED_VALUE"""),2350)</f>
        <v>2350</v>
      </c>
      <c r="G469" s="19">
        <f ca="1">IFERROR(__xludf.DUMMYFUNCTION("""COMPUTED_VALUE"""),2950)</f>
        <v>2950</v>
      </c>
      <c r="H469" s="18">
        <f ca="1">IFERROR(__xludf.DUMMYFUNCTION("""COMPUTED_VALUE"""),45665)</f>
        <v>45665</v>
      </c>
      <c r="I469" s="5" t="str">
        <f ca="1">IFERROR(__xludf.DUMMYFUNCTION("""COMPUTED_VALUE"""),"Zillow")</f>
        <v>Zillow</v>
      </c>
      <c r="J469" s="25" t="str">
        <f ca="1">IFERROR(__xludf.DUMMYFUNCTION("""COMPUTED_VALUE"""),"https://www.zillow.com/homedetails/Los-Angeles-CA-90028/2063392866_zpid/")</f>
        <v>https://www.zillow.com/homedetails/Los-Angeles-CA-90028/2063392866_zpid/</v>
      </c>
      <c r="K469" s="5" t="str">
        <f ca="1">IFERROR(__xludf.DUMMYFUNCTION("""COMPUTED_VALUE"""),"Connie Dinh")</f>
        <v>Connie Dinh</v>
      </c>
      <c r="L469" s="5"/>
      <c r="M469" s="5"/>
      <c r="N469" s="26" t="str">
        <f ca="1">IFERROR(__xludf.DUMMYFUNCTION("""COMPUTED_VALUE"""),"https://drive.google.com/open?id=1ZCW5cdQm3CKc901iI_RBl5tvzsaOfnmj")</f>
        <v>https://drive.google.com/open?id=1ZCW5cdQm3CKc901iI_RBl5tvzsaOfnmj</v>
      </c>
      <c r="O469" s="5" t="str">
        <f ca="1">IFERROR(__xludf.DUMMYFUNCTION("""COMPUTED_VALUE"""),"NA")</f>
        <v>NA</v>
      </c>
      <c r="P469" s="5">
        <f ca="1">IFERROR(__xludf.DUMMYFUNCTION("""COMPUTED_VALUE"""),3103614654)</f>
        <v>3103614654</v>
      </c>
      <c r="Q469" s="5"/>
      <c r="R469" s="5"/>
      <c r="S469" s="5"/>
      <c r="T469" s="5"/>
    </row>
    <row r="470" spans="1:20" ht="12.75">
      <c r="A470" s="24">
        <f ca="1">IFERROR(__xludf.DUMMYFUNCTION("""COMPUTED_VALUE"""),45670.5550098032)</f>
        <v>45670.555009803204</v>
      </c>
      <c r="B470" s="5" t="str">
        <f ca="1">IFERROR(__xludf.DUMMYFUNCTION("""COMPUTED_VALUE"""),"31678 Cottontail Ln")</f>
        <v>31678 Cottontail Ln</v>
      </c>
      <c r="C470" s="5" t="str">
        <f ca="1">IFERROR(__xludf.DUMMYFUNCTION("""COMPUTED_VALUE"""),"Malibu")</f>
        <v>Malibu</v>
      </c>
      <c r="D470" s="5" t="str">
        <f ca="1">IFERROR(__xludf.DUMMYFUNCTION("""COMPUTED_VALUE"""),"CA")</f>
        <v>CA</v>
      </c>
      <c r="E470" s="5">
        <f ca="1">IFERROR(__xludf.DUMMYFUNCTION("""COMPUTED_VALUE"""),90265)</f>
        <v>90265</v>
      </c>
      <c r="F470" s="19">
        <f ca="1">IFERROR(__xludf.DUMMYFUNCTION("""COMPUTED_VALUE"""),12500)</f>
        <v>12500</v>
      </c>
      <c r="G470" s="19">
        <f ca="1">IFERROR(__xludf.DUMMYFUNCTION("""COMPUTED_VALUE"""),15000)</f>
        <v>15000</v>
      </c>
      <c r="H470" s="18">
        <f ca="1">IFERROR(__xludf.DUMMYFUNCTION("""COMPUTED_VALUE"""),45670)</f>
        <v>45670</v>
      </c>
      <c r="I470" s="5" t="str">
        <f ca="1">IFERROR(__xludf.DUMMYFUNCTION("""COMPUTED_VALUE"""),"Zillow")</f>
        <v>Zillow</v>
      </c>
      <c r="J470" s="25" t="str">
        <f ca="1">IFERROR(__xludf.DUMMYFUNCTION("""COMPUTED_VALUE"""),"https://www.zillow.com/homedetails/31678-Cottontail-Ln-Malibu-CA-90265/2054295562_zpid/")</f>
        <v>https://www.zillow.com/homedetails/31678-Cottontail-Ln-Malibu-CA-90265/2054295562_zpid/</v>
      </c>
      <c r="K470" s="5" t="str">
        <f ca="1">IFERROR(__xludf.DUMMYFUNCTION("""COMPUTED_VALUE"""),"Stay Awhile Villas ")</f>
        <v xml:space="preserve">Stay Awhile Villas </v>
      </c>
      <c r="L470" s="5"/>
      <c r="M470" s="5"/>
      <c r="N470" s="26" t="str">
        <f ca="1">IFERROR(__xludf.DUMMYFUNCTION("""COMPUTED_VALUE"""),"https://drive.google.com/open?id=1YoZzS-Zpo6z0Iuk307iFqld83xIY7I3M")</f>
        <v>https://drive.google.com/open?id=1YoZzS-Zpo6z0Iuk307iFqld83xIY7I3M</v>
      </c>
      <c r="O470" s="5" t="str">
        <f ca="1">IFERROR(__xludf.DUMMYFUNCTION("""COMPUTED_VALUE"""),"NA")</f>
        <v>NA</v>
      </c>
      <c r="P470" s="5" t="str">
        <f ca="1">IFERROR(__xludf.DUMMYFUNCTION("""COMPUTED_VALUE"""),"(310) 310-2711")</f>
        <v>(310) 310-2711</v>
      </c>
      <c r="Q470" s="5"/>
      <c r="R470" s="5"/>
      <c r="S470" s="5"/>
      <c r="T470" s="5"/>
    </row>
    <row r="471" spans="1:20" ht="12.75">
      <c r="A471" s="24">
        <f ca="1">IFERROR(__xludf.DUMMYFUNCTION("""COMPUTED_VALUE"""),45670.5558178935)</f>
        <v>45670.555817893503</v>
      </c>
      <c r="B471" s="5" t="str">
        <f ca="1">IFERROR(__xludf.DUMMYFUNCTION("""COMPUTED_VALUE"""),"16070 W Sunset Blvd FLOOR 1-ID361")</f>
        <v>16070 W Sunset Blvd FLOOR 1-ID361</v>
      </c>
      <c r="C471" s="5" t="str">
        <f ca="1">IFERROR(__xludf.DUMMYFUNCTION("""COMPUTED_VALUE"""),"Pacific Palisades")</f>
        <v>Pacific Palisades</v>
      </c>
      <c r="D471" s="5" t="str">
        <f ca="1">IFERROR(__xludf.DUMMYFUNCTION("""COMPUTED_VALUE"""),"CA")</f>
        <v>CA</v>
      </c>
      <c r="E471" s="5">
        <f ca="1">IFERROR(__xludf.DUMMYFUNCTION("""COMPUTED_VALUE"""),90272)</f>
        <v>90272</v>
      </c>
      <c r="F471" s="19">
        <f ca="1">IFERROR(__xludf.DUMMYFUNCTION("""COMPUTED_VALUE"""),4300)</f>
        <v>4300</v>
      </c>
      <c r="G471" s="19">
        <f ca="1">IFERROR(__xludf.DUMMYFUNCTION("""COMPUTED_VALUE"""),4900)</f>
        <v>4900</v>
      </c>
      <c r="H471" s="18">
        <f ca="1">IFERROR(__xludf.DUMMYFUNCTION("""COMPUTED_VALUE"""),45667)</f>
        <v>45667</v>
      </c>
      <c r="I471" s="5" t="str">
        <f ca="1">IFERROR(__xludf.DUMMYFUNCTION("""COMPUTED_VALUE"""),"Zillow")</f>
        <v>Zillow</v>
      </c>
      <c r="J471" s="25" t="str">
        <f ca="1">IFERROR(__xludf.DUMMYFUNCTION("""COMPUTED_VALUE"""),"https://www.zillow.com/homedetails/16070-W-Sunset-Blvd-FLOOR-1-ID361-Pacific-Palisades-CA-90272/2066994843_zpid/")</f>
        <v>https://www.zillow.com/homedetails/16070-W-Sunset-Blvd-FLOOR-1-ID361-Pacific-Palisades-CA-90272/2066994843_zpid/</v>
      </c>
      <c r="K471" s="5"/>
      <c r="L471" s="5" t="str">
        <f ca="1">IFERROR(__xludf.DUMMYFUNCTION("""COMPUTED_VALUE"""),"Blueground US")</f>
        <v>Blueground US</v>
      </c>
      <c r="M471" s="5"/>
      <c r="N471" s="26" t="str">
        <f ca="1">IFERROR(__xludf.DUMMYFUNCTION("""COMPUTED_VALUE"""),"https://drive.google.com/open?id=1m8Hdtg0vvAKyY00tkJWEr0-lXlznCGfh")</f>
        <v>https://drive.google.com/open?id=1m8Hdtg0vvAKyY00tkJWEr0-lXlznCGfh</v>
      </c>
      <c r="O471" s="5" t="str">
        <f ca="1">IFERROR(__xludf.DUMMYFUNCTION("""COMPUTED_VALUE"""),"NA")</f>
        <v>NA</v>
      </c>
      <c r="P471" s="5"/>
      <c r="Q471" s="5"/>
      <c r="R471" s="5" t="str">
        <f ca="1">IFERROR(__xludf.DUMMYFUNCTION("""COMPUTED_VALUE"""),"(213) 466-0591")</f>
        <v>(213) 466-0591</v>
      </c>
      <c r="S471" s="5"/>
      <c r="T471" s="5"/>
    </row>
    <row r="472" spans="1:20" ht="12.75">
      <c r="A472" s="24">
        <f ca="1">IFERROR(__xludf.DUMMYFUNCTION("""COMPUTED_VALUE"""),45670.5573262037)</f>
        <v>45670.5573262037</v>
      </c>
      <c r="B472" s="5" t="str">
        <f ca="1">IFERROR(__xludf.DUMMYFUNCTION("""COMPUTED_VALUE"""),"900 S Orange Grove Blvd APT C")</f>
        <v>900 S Orange Grove Blvd APT C</v>
      </c>
      <c r="C472" s="5" t="str">
        <f ca="1">IFERROR(__xludf.DUMMYFUNCTION("""COMPUTED_VALUE"""),"Pasadena ")</f>
        <v xml:space="preserve">Pasadena </v>
      </c>
      <c r="D472" s="5" t="str">
        <f ca="1">IFERROR(__xludf.DUMMYFUNCTION("""COMPUTED_VALUE"""),"CA")</f>
        <v>CA</v>
      </c>
      <c r="E472" s="5">
        <f ca="1">IFERROR(__xludf.DUMMYFUNCTION("""COMPUTED_VALUE"""),91105)</f>
        <v>91105</v>
      </c>
      <c r="F472" s="19">
        <f ca="1">IFERROR(__xludf.DUMMYFUNCTION("""COMPUTED_VALUE"""),3800)</f>
        <v>3800</v>
      </c>
      <c r="G472" s="19">
        <f ca="1">IFERROR(__xludf.DUMMYFUNCTION("""COMPUTED_VALUE"""),6500)</f>
        <v>6500</v>
      </c>
      <c r="H472" s="18">
        <f ca="1">IFERROR(__xludf.DUMMYFUNCTION("""COMPUTED_VALUE"""),-684818)</f>
        <v>-684818</v>
      </c>
      <c r="I472" s="5" t="str">
        <f ca="1">IFERROR(__xludf.DUMMYFUNCTION("""COMPUTED_VALUE"""),"Zillow")</f>
        <v>Zillow</v>
      </c>
      <c r="J472" s="25" t="str">
        <f ca="1">IFERROR(__xludf.DUMMYFUNCTION("""COMPUTED_VALUE"""),"https://www.zillow.com/homedetails/900-S-Orange-Grove-Blvd-APT-C-Pasadena-CA-91105/20860599_zpid/?utm_campaign=iosappmessage&amp;utm_medium=referral&amp;utm_source=txtshare")</f>
        <v>https://www.zillow.com/homedetails/900-S-Orange-Grove-Blvd-APT-C-Pasadena-CA-91105/20860599_zpid/?utm_campaign=iosappmessage&amp;utm_medium=referral&amp;utm_source=txtshare</v>
      </c>
      <c r="K472" s="5" t="str">
        <f ca="1">IFERROR(__xludf.DUMMYFUNCTION("""COMPUTED_VALUE"""),"Kevin Yuen ")</f>
        <v xml:space="preserve">Kevin Yuen </v>
      </c>
      <c r="L472" s="5"/>
      <c r="M472" s="5"/>
      <c r="N472" s="26" t="str">
        <f ca="1">IFERROR(__xludf.DUMMYFUNCTION("""COMPUTED_VALUE"""),"https://drive.google.com/open?id=1V5W4yGBti5Ip_wwrzcfHg-Ef6zqNclv1")</f>
        <v>https://drive.google.com/open?id=1V5W4yGBti5Ip_wwrzcfHg-Ef6zqNclv1</v>
      </c>
      <c r="O472" s="5" t="str">
        <f ca="1">IFERROR(__xludf.DUMMYFUNCTION("""COMPUTED_VALUE"""),"NA")</f>
        <v>NA</v>
      </c>
      <c r="P472" s="5">
        <f ca="1">IFERROR(__xludf.DUMMYFUNCTION("""COMPUTED_VALUE"""),6263149227)</f>
        <v>6263149227</v>
      </c>
      <c r="Q472" s="5" t="str">
        <f ca="1">IFERROR(__xludf.DUMMYFUNCTION("""COMPUTED_VALUE"""),"sag2muffin@gmail.com")</f>
        <v>sag2muffin@gmail.com</v>
      </c>
      <c r="R472" s="5"/>
      <c r="S472" s="5" t="str">
        <f ca="1">IFERROR(__xludf.DUMMYFUNCTION("""COMPUTED_VALUE"""),"sag2muffin@gmail.com")</f>
        <v>sag2muffin@gmail.com</v>
      </c>
      <c r="T472" s="5"/>
    </row>
    <row r="473" spans="1:20" ht="12.75">
      <c r="A473" s="24">
        <f ca="1">IFERROR(__xludf.DUMMYFUNCTION("""COMPUTED_VALUE"""),45670.5576501504)</f>
        <v>45670.557650150397</v>
      </c>
      <c r="B473" s="5" t="str">
        <f ca="1">IFERROR(__xludf.DUMMYFUNCTION("""COMPUTED_VALUE"""),"425 29th street")</f>
        <v>425 29th street</v>
      </c>
      <c r="C473" s="5" t="str">
        <f ca="1">IFERROR(__xludf.DUMMYFUNCTION("""COMPUTED_VALUE"""),"Manhattan beach")</f>
        <v>Manhattan beach</v>
      </c>
      <c r="D473" s="5" t="str">
        <f ca="1">IFERROR(__xludf.DUMMYFUNCTION("""COMPUTED_VALUE"""),"CA")</f>
        <v>CA</v>
      </c>
      <c r="E473" s="5">
        <f ca="1">IFERROR(__xludf.DUMMYFUNCTION("""COMPUTED_VALUE"""),90266)</f>
        <v>90266</v>
      </c>
      <c r="F473" s="19">
        <f ca="1">IFERROR(__xludf.DUMMYFUNCTION("""COMPUTED_VALUE"""),8250)</f>
        <v>8250</v>
      </c>
      <c r="G473" s="19">
        <f ca="1">IFERROR(__xludf.DUMMYFUNCTION("""COMPUTED_VALUE"""),18000)</f>
        <v>18000</v>
      </c>
      <c r="H473" s="18">
        <f ca="1">IFERROR(__xludf.DUMMYFUNCTION("""COMPUTED_VALUE"""),45669)</f>
        <v>45669</v>
      </c>
      <c r="I473" s="5" t="str">
        <f ca="1">IFERROR(__xludf.DUMMYFUNCTION("""COMPUTED_VALUE"""),"Zillow")</f>
        <v>Zillow</v>
      </c>
      <c r="J473" s="25" t="str">
        <f ca="1">IFERROR(__xludf.DUMMYFUNCTION("""COMPUTED_VALUE"""),"https://www.zillow.com/homedetails/425-29th-St-Manhattan-Beach-CA-90266/20420888_zpid/")</f>
        <v>https://www.zillow.com/homedetails/425-29th-St-Manhattan-Beach-CA-90266/20420888_zpid/</v>
      </c>
      <c r="K473" s="5" t="str">
        <f ca="1">IFERROR(__xludf.DUMMYFUNCTION("""COMPUTED_VALUE"""),"Virginia Moore")</f>
        <v>Virginia Moore</v>
      </c>
      <c r="L473" s="5" t="str">
        <f ca="1">IFERROR(__xludf.DUMMYFUNCTION("""COMPUTED_VALUE"""),"Virginia Moore")</f>
        <v>Virginia Moore</v>
      </c>
      <c r="M473" s="5"/>
      <c r="N473" s="26" t="str">
        <f ca="1">IFERROR(__xludf.DUMMYFUNCTION("""COMPUTED_VALUE"""),"https://drive.google.com/open?id=1QUzp_3X_X-WlIHL5gMPtZixBhnYwR0Wd")</f>
        <v>https://drive.google.com/open?id=1QUzp_3X_X-WlIHL5gMPtZixBhnYwR0Wd</v>
      </c>
      <c r="O473" s="5">
        <f ca="1">IFERROR(__xludf.DUMMYFUNCTION("""COMPUTED_VALUE"""),4176013017)</f>
        <v>4176013017</v>
      </c>
      <c r="P473" s="5">
        <f ca="1">IFERROR(__xludf.DUMMYFUNCTION("""COMPUTED_VALUE"""),9492787466)</f>
        <v>9492787466</v>
      </c>
      <c r="Q473" s="5"/>
      <c r="R473" s="5"/>
      <c r="S473" s="5"/>
      <c r="T473" s="5"/>
    </row>
    <row r="474" spans="1:20" ht="12.75">
      <c r="A474" s="24">
        <f ca="1">IFERROR(__xludf.DUMMYFUNCTION("""COMPUTED_VALUE"""),45670.5580025)</f>
        <v>45670.558002500002</v>
      </c>
      <c r="B474" s="5" t="str">
        <f ca="1">IFERROR(__xludf.DUMMYFUNCTION("""COMPUTED_VALUE"""),"1850 San Jacinto St")</f>
        <v>1850 San Jacinto St</v>
      </c>
      <c r="C474" s="5" t="str">
        <f ca="1">IFERROR(__xludf.DUMMYFUNCTION("""COMPUTED_VALUE"""),"Los Angeles")</f>
        <v>Los Angeles</v>
      </c>
      <c r="D474" s="5" t="str">
        <f ca="1">IFERROR(__xludf.DUMMYFUNCTION("""COMPUTED_VALUE"""),"CA")</f>
        <v>CA</v>
      </c>
      <c r="E474" s="5">
        <f ca="1">IFERROR(__xludf.DUMMYFUNCTION("""COMPUTED_VALUE"""),90026)</f>
        <v>90026</v>
      </c>
      <c r="F474" s="19">
        <f ca="1">IFERROR(__xludf.DUMMYFUNCTION("""COMPUTED_VALUE"""),6500)</f>
        <v>6500</v>
      </c>
      <c r="G474" s="19">
        <f ca="1">IFERROR(__xludf.DUMMYFUNCTION("""COMPUTED_VALUE"""),6900)</f>
        <v>6900</v>
      </c>
      <c r="H474" s="18">
        <f ca="1">IFERROR(__xludf.DUMMYFUNCTION("""COMPUTED_VALUE"""),45665)</f>
        <v>45665</v>
      </c>
      <c r="I474" s="5" t="str">
        <f ca="1">IFERROR(__xludf.DUMMYFUNCTION("""COMPUTED_VALUE"""),"Zillow")</f>
        <v>Zillow</v>
      </c>
      <c r="J474" s="25" t="str">
        <f ca="1">IFERROR(__xludf.DUMMYFUNCTION("""COMPUTED_VALUE"""),"https://www.zillow.com/homedetails/1850-San-Jacinto-St-Los-Angeles-CA-90026/20747879_zpid/")</f>
        <v>https://www.zillow.com/homedetails/1850-San-Jacinto-St-Los-Angeles-CA-90026/20747879_zpid/</v>
      </c>
      <c r="K474" s="5" t="str">
        <f ca="1">IFERROR(__xludf.DUMMYFUNCTION("""COMPUTED_VALUE"""),"Mark Duncan")</f>
        <v>Mark Duncan</v>
      </c>
      <c r="L474" s="5"/>
      <c r="M474" s="5"/>
      <c r="N474" s="5" t="str">
        <f ca="1">IFERROR(__xludf.DUMMYFUNCTION("""COMPUTED_VALUE"""),"https://drive.google.com/open?id=1T4LaPlH92NC8CKKcow7rwgv8zKkQxw2M, https://drive.google.com/open?id=1vsCcvMMuSR4N4zjQQi38HO0EedbuIz-U, https://drive.google.com/open?id=1nHHPEZcSIydsFqJbeDNOZnq_g1-UjkEd")</f>
        <v>https://drive.google.com/open?id=1T4LaPlH92NC8CKKcow7rwgv8zKkQxw2M, https://drive.google.com/open?id=1vsCcvMMuSR4N4zjQQi38HO0EedbuIz-U, https://drive.google.com/open?id=1nHHPEZcSIydsFqJbeDNOZnq_g1-UjkEd</v>
      </c>
      <c r="O474" s="5">
        <f ca="1">IFERROR(__xludf.DUMMYFUNCTION("""COMPUTED_VALUE"""),5431032010)</f>
        <v>5431032010</v>
      </c>
      <c r="P474" s="5">
        <f ca="1">IFERROR(__xludf.DUMMYFUNCTION("""COMPUTED_VALUE"""),2136422803)</f>
        <v>2136422803</v>
      </c>
      <c r="Q474" s="5"/>
      <c r="R474" s="5"/>
      <c r="S474" s="5"/>
      <c r="T474" s="5"/>
    </row>
    <row r="475" spans="1:20" ht="12.75">
      <c r="A475" s="24">
        <f ca="1">IFERROR(__xludf.DUMMYFUNCTION("""COMPUTED_VALUE"""),45670.5582331828)</f>
        <v>45670.558233182797</v>
      </c>
      <c r="B475" s="5" t="str">
        <f ca="1">IFERROR(__xludf.DUMMYFUNCTION("""COMPUTED_VALUE"""),"Undisclosed Address on Zillow - but it's 17614 Posetano Rd")</f>
        <v>Undisclosed Address on Zillow - but it's 17614 Posetano Rd</v>
      </c>
      <c r="C475" s="5" t="str">
        <f ca="1">IFERROR(__xludf.DUMMYFUNCTION("""COMPUTED_VALUE"""),"Pacific Palisades")</f>
        <v>Pacific Palisades</v>
      </c>
      <c r="D475" s="5" t="str">
        <f ca="1">IFERROR(__xludf.DUMMYFUNCTION("""COMPUTED_VALUE"""),"CA")</f>
        <v>CA</v>
      </c>
      <c r="E475" s="5">
        <f ca="1">IFERROR(__xludf.DUMMYFUNCTION("""COMPUTED_VALUE"""),90272)</f>
        <v>90272</v>
      </c>
      <c r="F475" s="19">
        <f ca="1">IFERROR(__xludf.DUMMYFUNCTION("""COMPUTED_VALUE"""),8900)</f>
        <v>8900</v>
      </c>
      <c r="G475" s="19">
        <f ca="1">IFERROR(__xludf.DUMMYFUNCTION("""COMPUTED_VALUE"""),18500)</f>
        <v>18500</v>
      </c>
      <c r="H475" s="18">
        <f ca="1">IFERROR(__xludf.DUMMYFUNCTION("""COMPUTED_VALUE"""),45670)</f>
        <v>45670</v>
      </c>
      <c r="I475" s="5" t="str">
        <f ca="1">IFERROR(__xludf.DUMMYFUNCTION("""COMPUTED_VALUE"""),"Zillow")</f>
        <v>Zillow</v>
      </c>
      <c r="J475" s="25" t="str">
        <f ca="1">IFERROR(__xludf.DUMMYFUNCTION("""COMPUTED_VALUE"""),"https://www.zillow.com/homedetails/Pacific-Palisades-CA-90272/20542872_zpid/")</f>
        <v>https://www.zillow.com/homedetails/Pacific-Palisades-CA-90272/20542872_zpid/</v>
      </c>
      <c r="K475" s="5"/>
      <c r="L475" s="5" t="str">
        <f ca="1">IFERROR(__xludf.DUMMYFUNCTION("""COMPUTED_VALUE"""),"Anna P")</f>
        <v>Anna P</v>
      </c>
      <c r="M475" s="5" t="str">
        <f ca="1">IFERROR(__xludf.DUMMYFUNCTION("""COMPUTED_VALUE"""),"Address is unlisted but I've confirmed it to be 17614 Posetano Rd. Duplicate photos found on Redfin pagehttps://www.redfin.com/CA/Pacific-Palisades/17614-Posetano-Rd-90272/home/6843476")</f>
        <v>Address is unlisted but I've confirmed it to be 17614 Posetano Rd. Duplicate photos found on Redfin pagehttps://www.redfin.com/CA/Pacific-Palisades/17614-Posetano-Rd-90272/home/6843476</v>
      </c>
      <c r="N475" s="5" t="str">
        <f ca="1">IFERROR(__xludf.DUMMYFUNCTION("""COMPUTED_VALUE"""),"https://drive.google.com/open?id=17OWevdaNkbqT-SpxfbL6ArLYP8bUfTvU, https://drive.google.com/open?id=1emtJM7BeHnKxldclEC6fC55rsnQtMl7P")</f>
        <v>https://drive.google.com/open?id=17OWevdaNkbqT-SpxfbL6ArLYP8bUfTvU, https://drive.google.com/open?id=1emtJM7BeHnKxldclEC6fC55rsnQtMl7P</v>
      </c>
      <c r="O475" s="5" t="str">
        <f ca="1">IFERROR(__xludf.DUMMYFUNCTION("""COMPUTED_VALUE"""),"4416012020 (unlisted)")</f>
        <v>4416012020 (unlisted)</v>
      </c>
      <c r="P475" s="5"/>
      <c r="Q475" s="5"/>
      <c r="R475" s="5" t="str">
        <f ca="1">IFERROR(__xludf.DUMMYFUNCTION("""COMPUTED_VALUE"""),"(213) 561-6952")</f>
        <v>(213) 561-6952</v>
      </c>
      <c r="S475" s="5"/>
      <c r="T475" s="5"/>
    </row>
    <row r="476" spans="1:20" ht="12.75">
      <c r="A476" s="24">
        <f ca="1">IFERROR(__xludf.DUMMYFUNCTION("""COMPUTED_VALUE"""),45670.5587355787)</f>
        <v>45670.558735578699</v>
      </c>
      <c r="B476" s="5" t="str">
        <f ca="1">IFERROR(__xludf.DUMMYFUNCTION("""COMPUTED_VALUE"""),"286 N Madison Ave FLOOR 3-ID1153")</f>
        <v>286 N Madison Ave FLOOR 3-ID1153</v>
      </c>
      <c r="C476" s="5" t="str">
        <f ca="1">IFERROR(__xludf.DUMMYFUNCTION("""COMPUTED_VALUE"""),"Pasadena")</f>
        <v>Pasadena</v>
      </c>
      <c r="D476" s="5" t="str">
        <f ca="1">IFERROR(__xludf.DUMMYFUNCTION("""COMPUTED_VALUE"""),"CA")</f>
        <v>CA</v>
      </c>
      <c r="E476" s="5">
        <f ca="1">IFERROR(__xludf.DUMMYFUNCTION("""COMPUTED_VALUE"""),91101)</f>
        <v>91101</v>
      </c>
      <c r="F476" s="19">
        <f ca="1">IFERROR(__xludf.DUMMYFUNCTION("""COMPUTED_VALUE"""),2970)</f>
        <v>2970</v>
      </c>
      <c r="G476" s="19">
        <f ca="1">IFERROR(__xludf.DUMMYFUNCTION("""COMPUTED_VALUE"""),3450)</f>
        <v>3450</v>
      </c>
      <c r="H476" s="18">
        <f ca="1">IFERROR(__xludf.DUMMYFUNCTION("""COMPUTED_VALUE"""),45667)</f>
        <v>45667</v>
      </c>
      <c r="I476" s="5" t="str">
        <f ca="1">IFERROR(__xludf.DUMMYFUNCTION("""COMPUTED_VALUE"""),"Zillow")</f>
        <v>Zillow</v>
      </c>
      <c r="J476" s="25" t="str">
        <f ca="1">IFERROR(__xludf.DUMMYFUNCTION("""COMPUTED_VALUE"""),"https://www.zillow.com/homedetails/286-N-Madison-Ave-FLOOR-3-ID1153-Pasadena-CA-91101/348506118_zpid/")</f>
        <v>https://www.zillow.com/homedetails/286-N-Madison-Ave-FLOOR-3-ID1153-Pasadena-CA-91101/348506118_zpid/</v>
      </c>
      <c r="K476" s="5"/>
      <c r="L476" s="5" t="str">
        <f ca="1">IFERROR(__xludf.DUMMYFUNCTION("""COMPUTED_VALUE"""),"Blueground US")</f>
        <v>Blueground US</v>
      </c>
      <c r="M476" s="5"/>
      <c r="N476" s="26" t="str">
        <f ca="1">IFERROR(__xludf.DUMMYFUNCTION("""COMPUTED_VALUE"""),"https://drive.google.com/open?id=1MqemVQD-QAhxCaBLJdkfGLHpADnaYHQt")</f>
        <v>https://drive.google.com/open?id=1MqemVQD-QAhxCaBLJdkfGLHpADnaYHQt</v>
      </c>
      <c r="O476" s="5" t="str">
        <f ca="1">IFERROR(__xludf.DUMMYFUNCTION("""COMPUTED_VALUE"""),"NA")</f>
        <v>NA</v>
      </c>
      <c r="P476" s="5"/>
      <c r="Q476" s="5"/>
      <c r="R476" s="5" t="str">
        <f ca="1">IFERROR(__xludf.DUMMYFUNCTION("""COMPUTED_VALUE"""),"(323) 645-2797")</f>
        <v>(323) 645-2797</v>
      </c>
      <c r="S476" s="5"/>
      <c r="T476" s="5"/>
    </row>
    <row r="477" spans="1:20" ht="12.75">
      <c r="A477" s="24">
        <f ca="1">IFERROR(__xludf.DUMMYFUNCTION("""COMPUTED_VALUE"""),45670.559374074)</f>
        <v>45670.559374074001</v>
      </c>
      <c r="B477" s="5" t="str">
        <f ca="1">IFERROR(__xludf.DUMMYFUNCTION("""COMPUTED_VALUE"""),"30830 Broad Beach Rd")</f>
        <v>30830 Broad Beach Rd</v>
      </c>
      <c r="C477" s="5" t="str">
        <f ca="1">IFERROR(__xludf.DUMMYFUNCTION("""COMPUTED_VALUE"""),"Malibu")</f>
        <v>Malibu</v>
      </c>
      <c r="D477" s="5" t="str">
        <f ca="1">IFERROR(__xludf.DUMMYFUNCTION("""COMPUTED_VALUE"""),"CA")</f>
        <v>CA</v>
      </c>
      <c r="E477" s="5">
        <f ca="1">IFERROR(__xludf.DUMMYFUNCTION("""COMPUTED_VALUE"""),90265)</f>
        <v>90265</v>
      </c>
      <c r="F477" s="19">
        <f ca="1">IFERROR(__xludf.DUMMYFUNCTION("""COMPUTED_VALUE"""),30000)</f>
        <v>30000</v>
      </c>
      <c r="G477" s="19">
        <f ca="1">IFERROR(__xludf.DUMMYFUNCTION("""COMPUTED_VALUE"""),75000)</f>
        <v>75000</v>
      </c>
      <c r="H477" s="18">
        <f ca="1">IFERROR(__xludf.DUMMYFUNCTION("""COMPUTED_VALUE"""),45668)</f>
        <v>45668</v>
      </c>
      <c r="I477" s="5" t="str">
        <f ca="1">IFERROR(__xludf.DUMMYFUNCTION("""COMPUTED_VALUE"""),"Zillow")</f>
        <v>Zillow</v>
      </c>
      <c r="J477" s="25" t="str">
        <f ca="1">IFERROR(__xludf.DUMMYFUNCTION("""COMPUTED_VALUE"""),"https://www.zillow.com/homedetails/30830-Broad-Beach-Rd-Malibu-CA-90265/20557654_zpid/")</f>
        <v>https://www.zillow.com/homedetails/30830-Broad-Beach-Rd-Malibu-CA-90265/20557654_zpid/</v>
      </c>
      <c r="K477" s="5" t="str">
        <f ca="1">IFERROR(__xludf.DUMMYFUNCTION("""COMPUTED_VALUE"""),"Joshua Spiegel Sotheby's International Realty")</f>
        <v>Joshua Spiegel Sotheby's International Realty</v>
      </c>
      <c r="L477" s="5"/>
      <c r="M477" s="5" t="str">
        <f ca="1">IFERROR(__xludf.DUMMYFUNCTION("""COMPUTED_VALUE"""),"Off market as of Jan 13.")</f>
        <v>Off market as of Jan 13.</v>
      </c>
      <c r="N477" s="26" t="str">
        <f ca="1">IFERROR(__xludf.DUMMYFUNCTION("""COMPUTED_VALUE"""),"https://drive.google.com/open?id=1LgXeZNdkFk38s7IUai7euxsDWk7jWYPM")</f>
        <v>https://drive.google.com/open?id=1LgXeZNdkFk38s7IUai7euxsDWk7jWYPM</v>
      </c>
      <c r="O477" s="5">
        <f ca="1">IFERROR(__xludf.DUMMYFUNCTION("""COMPUTED_VALUE"""),4470013005)</f>
        <v>4470013005</v>
      </c>
      <c r="P477" s="5"/>
      <c r="Q477" s="5"/>
      <c r="R477" s="5"/>
      <c r="S477" s="5"/>
      <c r="T477" s="5"/>
    </row>
    <row r="478" spans="1:20" ht="12.75">
      <c r="A478" s="24">
        <f ca="1">IFERROR(__xludf.DUMMYFUNCTION("""COMPUTED_VALUE"""),45670.560085081)</f>
        <v>45670.560085081001</v>
      </c>
      <c r="B478" s="5" t="str">
        <f ca="1">IFERROR(__xludf.DUMMYFUNCTION("""COMPUTED_VALUE"""),"3608 The Strand APT 2, Manhattan Beach, CA 90266")</f>
        <v>3608 The Strand APT 2, Manhattan Beach, CA 90266</v>
      </c>
      <c r="C478" s="5" t="str">
        <f ca="1">IFERROR(__xludf.DUMMYFUNCTION("""COMPUTED_VALUE"""),"Manhattan beach")</f>
        <v>Manhattan beach</v>
      </c>
      <c r="D478" s="5" t="str">
        <f ca="1">IFERROR(__xludf.DUMMYFUNCTION("""COMPUTED_VALUE"""),"CA")</f>
        <v>CA</v>
      </c>
      <c r="E478" s="5">
        <f ca="1">IFERROR(__xludf.DUMMYFUNCTION("""COMPUTED_VALUE"""),90266)</f>
        <v>90266</v>
      </c>
      <c r="F478" s="19">
        <f ca="1">IFERROR(__xludf.DUMMYFUNCTION("""COMPUTED_VALUE"""),3450)</f>
        <v>3450</v>
      </c>
      <c r="G478" s="19">
        <f ca="1">IFERROR(__xludf.DUMMYFUNCTION("""COMPUTED_VALUE"""),33000)</f>
        <v>33000</v>
      </c>
      <c r="H478" s="18">
        <f ca="1">IFERROR(__xludf.DUMMYFUNCTION("""COMPUTED_VALUE"""),45667)</f>
        <v>45667</v>
      </c>
      <c r="I478" s="5" t="str">
        <f ca="1">IFERROR(__xludf.DUMMYFUNCTION("""COMPUTED_VALUE"""),"Zillow")</f>
        <v>Zillow</v>
      </c>
      <c r="J478" s="25" t="str">
        <f ca="1">IFERROR(__xludf.DUMMYFUNCTION("""COMPUTED_VALUE"""),"https://www.zillow.com/homedetails/3608-The-Strand-APT-2-Manhattan-Beach-CA-90266/2094828516_zpid/")</f>
        <v>https://www.zillow.com/homedetails/3608-The-Strand-APT-2-Manhattan-Beach-CA-90266/2094828516_zpid/</v>
      </c>
      <c r="K478" s="5" t="str">
        <f ca="1">IFERROR(__xludf.DUMMYFUNCTION("""COMPUTED_VALUE"""),"Ally")</f>
        <v>Ally</v>
      </c>
      <c r="L478" s="5"/>
      <c r="M478" s="5"/>
      <c r="N478" s="26" t="str">
        <f ca="1">IFERROR(__xludf.DUMMYFUNCTION("""COMPUTED_VALUE"""),"https://drive.google.com/open?id=1Cp-hsZPhx9i3lznyjfgiJoUcvvQq9aeZ")</f>
        <v>https://drive.google.com/open?id=1Cp-hsZPhx9i3lznyjfgiJoUcvvQq9aeZ</v>
      </c>
      <c r="O478" s="5" t="str">
        <f ca="1">IFERROR(__xludf.DUMMYFUNCTION("""COMPUTED_VALUE"""),"NA")</f>
        <v>NA</v>
      </c>
      <c r="P478" s="5"/>
      <c r="Q478" s="5"/>
      <c r="R478" s="5"/>
      <c r="S478" s="5"/>
      <c r="T478" s="5"/>
    </row>
    <row r="479" spans="1:20" ht="12.75">
      <c r="A479" s="24">
        <f ca="1">IFERROR(__xludf.DUMMYFUNCTION("""COMPUTED_VALUE"""),45670.5607385763)</f>
        <v>45670.5607385763</v>
      </c>
      <c r="B479" s="5" t="str">
        <f ca="1">IFERROR(__xludf.DUMMYFUNCTION("""COMPUTED_VALUE"""),"31777 Broad Beach Rd")</f>
        <v>31777 Broad Beach Rd</v>
      </c>
      <c r="C479" s="5" t="str">
        <f ca="1">IFERROR(__xludf.DUMMYFUNCTION("""COMPUTED_VALUE"""),"Malibu")</f>
        <v>Malibu</v>
      </c>
      <c r="D479" s="5" t="str">
        <f ca="1">IFERROR(__xludf.DUMMYFUNCTION("""COMPUTED_VALUE"""),"CA")</f>
        <v>CA</v>
      </c>
      <c r="E479" s="5">
        <f ca="1">IFERROR(__xludf.DUMMYFUNCTION("""COMPUTED_VALUE"""),90265)</f>
        <v>90265</v>
      </c>
      <c r="F479" s="19">
        <f ca="1">IFERROR(__xludf.DUMMYFUNCTION("""COMPUTED_VALUE"""),11000)</f>
        <v>11000</v>
      </c>
      <c r="G479" s="19">
        <f ca="1">IFERROR(__xludf.DUMMYFUNCTION("""COMPUTED_VALUE"""),15000)</f>
        <v>15000</v>
      </c>
      <c r="H479" s="18">
        <f ca="1">IFERROR(__xludf.DUMMYFUNCTION("""COMPUTED_VALUE"""),45667)</f>
        <v>45667</v>
      </c>
      <c r="I479" s="5" t="str">
        <f ca="1">IFERROR(__xludf.DUMMYFUNCTION("""COMPUTED_VALUE"""),"Zillow")</f>
        <v>Zillow</v>
      </c>
      <c r="J479" s="25" t="str">
        <f ca="1">IFERROR(__xludf.DUMMYFUNCTION("""COMPUTED_VALUE"""),"https://www.zillow.com/homedetails/31777-Broad-Beach-Rd-Malibu-CA-90265/20557808_zpid/")</f>
        <v>https://www.zillow.com/homedetails/31777-Broad-Beach-Rd-Malibu-CA-90265/20557808_zpid/</v>
      </c>
      <c r="K479" s="5" t="str">
        <f ca="1">IFERROR(__xludf.DUMMYFUNCTION("""COMPUTED_VALUE"""),"Veronika Ban Coldwell Banker Realty ")</f>
        <v xml:space="preserve">Veronika Ban Coldwell Banker Realty </v>
      </c>
      <c r="L479" s="5"/>
      <c r="M479" s="5"/>
      <c r="N479" s="26" t="str">
        <f ca="1">IFERROR(__xludf.DUMMYFUNCTION("""COMPUTED_VALUE"""),"https://drive.google.com/open?id=1L-Esep3aicoPnNwkBZF-7pR8dpku-Jug")</f>
        <v>https://drive.google.com/open?id=1L-Esep3aicoPnNwkBZF-7pR8dpku-Jug</v>
      </c>
      <c r="O479" s="5">
        <f ca="1">IFERROR(__xludf.DUMMYFUNCTION("""COMPUTED_VALUE"""),4470020020)</f>
        <v>4470020020</v>
      </c>
      <c r="P479" s="5" t="str">
        <f ca="1">IFERROR(__xludf.DUMMYFUNCTION("""COMPUTED_VALUE"""),"(805) 208-5243")</f>
        <v>(805) 208-5243</v>
      </c>
      <c r="Q479" s="5"/>
      <c r="R479" s="5"/>
      <c r="S479" s="5"/>
      <c r="T479" s="5"/>
    </row>
    <row r="480" spans="1:20" ht="12.75">
      <c r="A480" s="24">
        <f ca="1">IFERROR(__xludf.DUMMYFUNCTION("""COMPUTED_VALUE"""),45670.561480243)</f>
        <v>45670.561480242999</v>
      </c>
      <c r="B480" s="5" t="str">
        <f ca="1">IFERROR(__xludf.DUMMYFUNCTION("""COMPUTED_VALUE"""),"909 El Centro St FLOOR 2-ID1158")</f>
        <v>909 El Centro St FLOOR 2-ID1158</v>
      </c>
      <c r="C480" s="5" t="str">
        <f ca="1">IFERROR(__xludf.DUMMYFUNCTION("""COMPUTED_VALUE"""),"South Pasadena")</f>
        <v>South Pasadena</v>
      </c>
      <c r="D480" s="5" t="str">
        <f ca="1">IFERROR(__xludf.DUMMYFUNCTION("""COMPUTED_VALUE"""),"CA")</f>
        <v>CA</v>
      </c>
      <c r="E480" s="5">
        <f ca="1">IFERROR(__xludf.DUMMYFUNCTION("""COMPUTED_VALUE"""),91030)</f>
        <v>91030</v>
      </c>
      <c r="F480" s="19">
        <f ca="1">IFERROR(__xludf.DUMMYFUNCTION("""COMPUTED_VALUE"""),2630)</f>
        <v>2630</v>
      </c>
      <c r="G480" s="19">
        <f ca="1">IFERROR(__xludf.DUMMYFUNCTION("""COMPUTED_VALUE"""),3120)</f>
        <v>3120</v>
      </c>
      <c r="H480" s="18">
        <f ca="1">IFERROR(__xludf.DUMMYFUNCTION("""COMPUTED_VALUE"""),45667)</f>
        <v>45667</v>
      </c>
      <c r="I480" s="5" t="str">
        <f ca="1">IFERROR(__xludf.DUMMYFUNCTION("""COMPUTED_VALUE"""),"Zillow")</f>
        <v>Zillow</v>
      </c>
      <c r="J480" s="25" t="str">
        <f ca="1">IFERROR(__xludf.DUMMYFUNCTION("""COMPUTED_VALUE"""),"https://www.zillow.com/homedetails/909-El-Centro-St-FLOOR-2-ID1158-South-Pasadena-CA-91030/2053698939_zpid/")</f>
        <v>https://www.zillow.com/homedetails/909-El-Centro-St-FLOOR-2-ID1158-South-Pasadena-CA-91030/2053698939_zpid/</v>
      </c>
      <c r="K480" s="5"/>
      <c r="L480" s="5"/>
      <c r="M480" s="5"/>
      <c r="N480" s="26" t="str">
        <f ca="1">IFERROR(__xludf.DUMMYFUNCTION("""COMPUTED_VALUE"""),"https://drive.google.com/open?id=1LpQWHFBVxG1wIoWUQ8p3xqIb5criphEn")</f>
        <v>https://drive.google.com/open?id=1LpQWHFBVxG1wIoWUQ8p3xqIb5criphEn</v>
      </c>
      <c r="O480" s="5" t="str">
        <f ca="1">IFERROR(__xludf.DUMMYFUNCTION("""COMPUTED_VALUE"""),"NA")</f>
        <v>NA</v>
      </c>
      <c r="P480" s="5"/>
      <c r="Q480" s="5"/>
      <c r="R480" s="5"/>
      <c r="S480" s="5"/>
      <c r="T480" s="5"/>
    </row>
    <row r="481" spans="1:20" ht="12.75">
      <c r="A481" s="24">
        <f ca="1">IFERROR(__xludf.DUMMYFUNCTION("""COMPUTED_VALUE"""),45670.5629603587)</f>
        <v>45670.5629603587</v>
      </c>
      <c r="B481" s="5" t="str">
        <f ca="1">IFERROR(__xludf.DUMMYFUNCTION("""COMPUTED_VALUE"""),"1807 San Ysidro Dr")</f>
        <v>1807 San Ysidro Dr</v>
      </c>
      <c r="C481" s="5" t="str">
        <f ca="1">IFERROR(__xludf.DUMMYFUNCTION("""COMPUTED_VALUE"""),"Beverly Hills")</f>
        <v>Beverly Hills</v>
      </c>
      <c r="D481" s="5" t="str">
        <f ca="1">IFERROR(__xludf.DUMMYFUNCTION("""COMPUTED_VALUE"""),"CA")</f>
        <v>CA</v>
      </c>
      <c r="E481" s="5">
        <f ca="1">IFERROR(__xludf.DUMMYFUNCTION("""COMPUTED_VALUE"""),90210)</f>
        <v>90210</v>
      </c>
      <c r="F481" s="19">
        <f ca="1">IFERROR(__xludf.DUMMYFUNCTION("""COMPUTED_VALUE"""),19500)</f>
        <v>19500</v>
      </c>
      <c r="G481" s="19">
        <f ca="1">IFERROR(__xludf.DUMMYFUNCTION("""COMPUTED_VALUE"""),25000)</f>
        <v>25000</v>
      </c>
      <c r="H481" s="18">
        <f ca="1">IFERROR(__xludf.DUMMYFUNCTION("""COMPUTED_VALUE"""),45666)</f>
        <v>45666</v>
      </c>
      <c r="I481" s="5" t="str">
        <f ca="1">IFERROR(__xludf.DUMMYFUNCTION("""COMPUTED_VALUE"""),"Zillow")</f>
        <v>Zillow</v>
      </c>
      <c r="J481" s="25" t="str">
        <f ca="1">IFERROR(__xludf.DUMMYFUNCTION("""COMPUTED_VALUE"""),"https://www.zillow.com/homedetails/1807-San-Ysidro-Dr-Beverly-Hills-CA-90210/20523504_zpid/")</f>
        <v>https://www.zillow.com/homedetails/1807-San-Ysidro-Dr-Beverly-Hills-CA-90210/20523504_zpid/</v>
      </c>
      <c r="K481" s="5" t="str">
        <f ca="1">IFERROR(__xludf.DUMMYFUNCTION("""COMPUTED_VALUE"""),"Monty Abramov The Beverly Hills Estates")</f>
        <v>Monty Abramov The Beverly Hills Estates</v>
      </c>
      <c r="L481" s="5"/>
      <c r="M481" s="5"/>
      <c r="N481" s="26" t="str">
        <f ca="1">IFERROR(__xludf.DUMMYFUNCTION("""COMPUTED_VALUE"""),"https://drive.google.com/open?id=1kXqdr-_9alyZteZ8w2p9GkX4gmVOqgCy")</f>
        <v>https://drive.google.com/open?id=1kXqdr-_9alyZteZ8w2p9GkX4gmVOqgCy</v>
      </c>
      <c r="O481" s="5">
        <f ca="1">IFERROR(__xludf.DUMMYFUNCTION("""COMPUTED_VALUE"""),4356009006)</f>
        <v>4356009006</v>
      </c>
      <c r="P481" s="5" t="str">
        <f ca="1">IFERROR(__xludf.DUMMYFUNCTION("""COMPUTED_VALUE"""),"(310) 989-2217")</f>
        <v>(310) 989-2217</v>
      </c>
      <c r="Q481" s="5"/>
      <c r="R481" s="5"/>
      <c r="S481" s="5"/>
      <c r="T481" s="5"/>
    </row>
    <row r="482" spans="1:20" ht="12.75">
      <c r="A482" s="24">
        <f ca="1">IFERROR(__xludf.DUMMYFUNCTION("""COMPUTED_VALUE"""),45670.5631059375)</f>
        <v>45670.563105937501</v>
      </c>
      <c r="B482" s="5" t="str">
        <f ca="1">IFERROR(__xludf.DUMMYFUNCTION("""COMPUTED_VALUE"""),"500 14th Street")</f>
        <v>500 14th Street</v>
      </c>
      <c r="C482" s="5" t="str">
        <f ca="1">IFERROR(__xludf.DUMMYFUNCTION("""COMPUTED_VALUE"""),"Manhattan beach")</f>
        <v>Manhattan beach</v>
      </c>
      <c r="D482" s="5" t="str">
        <f ca="1">IFERROR(__xludf.DUMMYFUNCTION("""COMPUTED_VALUE"""),"CA")</f>
        <v>CA</v>
      </c>
      <c r="E482" s="5">
        <f ca="1">IFERROR(__xludf.DUMMYFUNCTION("""COMPUTED_VALUE"""),90266)</f>
        <v>90266</v>
      </c>
      <c r="F482" s="19">
        <f ca="1">IFERROR(__xludf.DUMMYFUNCTION("""COMPUTED_VALUE"""),12000)</f>
        <v>12000</v>
      </c>
      <c r="G482" s="19">
        <f ca="1">IFERROR(__xludf.DUMMYFUNCTION("""COMPUTED_VALUE"""),23009)</f>
        <v>23009</v>
      </c>
      <c r="H482" s="18">
        <f ca="1">IFERROR(__xludf.DUMMYFUNCTION("""COMPUTED_VALUE"""),45669)</f>
        <v>45669</v>
      </c>
      <c r="I482" s="5" t="str">
        <f ca="1">IFERROR(__xludf.DUMMYFUNCTION("""COMPUTED_VALUE"""),"Zillow")</f>
        <v>Zillow</v>
      </c>
      <c r="J482" s="25" t="str">
        <f ca="1">IFERROR(__xludf.DUMMYFUNCTION("""COMPUTED_VALUE"""),"https://www.zillow.com/homedetails/500-14th-St-Manhattan-Beach-CA-90266/20418321_zpid/")</f>
        <v>https://www.zillow.com/homedetails/500-14th-St-Manhattan-Beach-CA-90266/20418321_zpid/</v>
      </c>
      <c r="K482" s="5" t="str">
        <f ca="1">IFERROR(__xludf.DUMMYFUNCTION("""COMPUTED_VALUE"""),"Jenny Morant")</f>
        <v>Jenny Morant</v>
      </c>
      <c r="L482" s="5"/>
      <c r="M482" s="5"/>
      <c r="N482" s="26" t="str">
        <f ca="1">IFERROR(__xludf.DUMMYFUNCTION("""COMPUTED_VALUE"""),"https://drive.google.com/open?id=1F0ISGjC1XrIw04zLJ5cV3qC3AFX-IaX8")</f>
        <v>https://drive.google.com/open?id=1F0ISGjC1XrIw04zLJ5cV3qC3AFX-IaX8</v>
      </c>
      <c r="O482" s="5" t="str">
        <f ca="1">IFERROR(__xludf.DUMMYFUNCTION("""COMPUTED_VALUE"""),"NA")</f>
        <v>NA</v>
      </c>
      <c r="P482" s="5" t="str">
        <f ca="1">IFERROR(__xludf.DUMMYFUNCTION("""COMPUTED_VALUE"""),"(424) 409-8976")</f>
        <v>(424) 409-8976</v>
      </c>
      <c r="Q482" s="5"/>
      <c r="R482" s="5"/>
      <c r="S482" s="5"/>
      <c r="T482" s="5"/>
    </row>
    <row r="483" spans="1:20" ht="12.75">
      <c r="A483" s="24">
        <f ca="1">IFERROR(__xludf.DUMMYFUNCTION("""COMPUTED_VALUE"""),45670.5653990162)</f>
        <v>45670.565399016203</v>
      </c>
      <c r="B483" s="5" t="str">
        <f ca="1">IFERROR(__xludf.DUMMYFUNCTION("""COMPUTED_VALUE"""),"1205 Highview Ave, Manhattan Beach, CA 90266")</f>
        <v>1205 Highview Ave, Manhattan Beach, CA 90266</v>
      </c>
      <c r="C483" s="5" t="str">
        <f ca="1">IFERROR(__xludf.DUMMYFUNCTION("""COMPUTED_VALUE"""),"Manhattan beach")</f>
        <v>Manhattan beach</v>
      </c>
      <c r="D483" s="5" t="str">
        <f ca="1">IFERROR(__xludf.DUMMYFUNCTION("""COMPUTED_VALUE"""),"CA")</f>
        <v>CA</v>
      </c>
      <c r="E483" s="5">
        <f ca="1">IFERROR(__xludf.DUMMYFUNCTION("""COMPUTED_VALUE"""),90266)</f>
        <v>90266</v>
      </c>
      <c r="F483" s="19">
        <f ca="1">IFERROR(__xludf.DUMMYFUNCTION("""COMPUTED_VALUE"""),3000)</f>
        <v>3000</v>
      </c>
      <c r="G483" s="19">
        <f ca="1">IFERROR(__xludf.DUMMYFUNCTION("""COMPUTED_VALUE"""),30000)</f>
        <v>30000</v>
      </c>
      <c r="H483" s="18">
        <f ca="1">IFERROR(__xludf.DUMMYFUNCTION("""COMPUTED_VALUE"""),45669)</f>
        <v>45669</v>
      </c>
      <c r="I483" s="5" t="str">
        <f ca="1">IFERROR(__xludf.DUMMYFUNCTION("""COMPUTED_VALUE"""),"Zillow")</f>
        <v>Zillow</v>
      </c>
      <c r="J483" s="25" t="str">
        <f ca="1">IFERROR(__xludf.DUMMYFUNCTION("""COMPUTED_VALUE"""),"https://www.zillow.com/homedetails/1205-Highview-Ave-Manhattan-Beach-CA-90266/20417018_zpid/")</f>
        <v>https://www.zillow.com/homedetails/1205-Highview-Ave-Manhattan-Beach-CA-90266/20417018_zpid/</v>
      </c>
      <c r="K483" s="5"/>
      <c r="L483" s="5"/>
      <c r="M483" s="5"/>
      <c r="N483" s="26" t="str">
        <f ca="1">IFERROR(__xludf.DUMMYFUNCTION("""COMPUTED_VALUE"""),"https://drive.google.com/open?id=1FslmXhA4PH496wkAOraK3MngxcCae2_5")</f>
        <v>https://drive.google.com/open?id=1FslmXhA4PH496wkAOraK3MngxcCae2_5</v>
      </c>
      <c r="O483" s="5" t="str">
        <f ca="1">IFERROR(__xludf.DUMMYFUNCTION("""COMPUTED_VALUE"""),"Na")</f>
        <v>Na</v>
      </c>
      <c r="P483" s="5"/>
      <c r="Q483" s="5"/>
      <c r="R483" s="5"/>
      <c r="S483" s="5"/>
      <c r="T483" s="5"/>
    </row>
    <row r="484" spans="1:20" ht="12.75">
      <c r="A484" s="24">
        <f ca="1">IFERROR(__xludf.DUMMYFUNCTION("""COMPUTED_VALUE"""),45670.5657964699)</f>
        <v>45670.565796469898</v>
      </c>
      <c r="B484" s="5" t="str">
        <f ca="1">IFERROR(__xludf.DUMMYFUNCTION("""COMPUTED_VALUE""")," 8417 Harold Way")</f>
        <v xml:space="preserve"> 8417 Harold Way</v>
      </c>
      <c r="C484" s="5" t="str">
        <f ca="1">IFERROR(__xludf.DUMMYFUNCTION("""COMPUTED_VALUE"""),"Los Angeles")</f>
        <v>Los Angeles</v>
      </c>
      <c r="D484" s="5" t="str">
        <f ca="1">IFERROR(__xludf.DUMMYFUNCTION("""COMPUTED_VALUE"""),"CA")</f>
        <v>CA</v>
      </c>
      <c r="E484" s="5">
        <f ca="1">IFERROR(__xludf.DUMMYFUNCTION("""COMPUTED_VALUE"""),90069)</f>
        <v>90069</v>
      </c>
      <c r="F484" s="19">
        <f ca="1">IFERROR(__xludf.DUMMYFUNCTION("""COMPUTED_VALUE"""),14995)</f>
        <v>14995</v>
      </c>
      <c r="G484" s="19">
        <f ca="1">IFERROR(__xludf.DUMMYFUNCTION("""COMPUTED_VALUE"""),16500)</f>
        <v>16500</v>
      </c>
      <c r="H484" s="18">
        <f ca="1">IFERROR(__xludf.DUMMYFUNCTION("""COMPUTED_VALUE"""),45668)</f>
        <v>45668</v>
      </c>
      <c r="I484" s="5" t="str">
        <f ca="1">IFERROR(__xludf.DUMMYFUNCTION("""COMPUTED_VALUE"""),"Redfin")</f>
        <v>Redfin</v>
      </c>
      <c r="J484" s="25" t="str">
        <f ca="1">IFERROR(__xludf.DUMMYFUNCTION("""COMPUTED_VALUE"""),"https://www.redfin.com/CA/Los-Angeles/8417-Harold-Way-90069/home/110141347#property-history")</f>
        <v>https://www.redfin.com/CA/Los-Angeles/8417-Harold-Way-90069/home/110141347#property-history</v>
      </c>
      <c r="K484" s="5" t="str">
        <f ca="1">IFERROR(__xludf.DUMMYFUNCTION("""COMPUTED_VALUE"""),"Jade Mills")</f>
        <v>Jade Mills</v>
      </c>
      <c r="L484" s="5"/>
      <c r="M484" s="5"/>
      <c r="N484" s="26" t="str">
        <f ca="1">IFERROR(__xludf.DUMMYFUNCTION("""COMPUTED_VALUE"""),"https://drive.google.com/open?id=1EhtLCp2yz3jqGx-4J1gLtp8cLP5YMKwV")</f>
        <v>https://drive.google.com/open?id=1EhtLCp2yz3jqGx-4J1gLtp8cLP5YMKwV</v>
      </c>
      <c r="O484" s="5" t="str">
        <f ca="1">IFERROR(__xludf.DUMMYFUNCTION("""COMPUTED_VALUE"""),"NA")</f>
        <v>NA</v>
      </c>
      <c r="P484" s="5" t="str">
        <f ca="1">IFERROR(__xludf.DUMMYFUNCTION("""COMPUTED_VALUE"""),"310-777-6200 ")</f>
        <v xml:space="preserve">310-777-6200 </v>
      </c>
      <c r="Q484" s="5" t="str">
        <f ca="1">IFERROR(__xludf.DUMMYFUNCTION("""COMPUTED_VALUE"""),"homes@jademills.com")</f>
        <v>homes@jademills.com</v>
      </c>
      <c r="R484" s="5"/>
      <c r="S484" s="5"/>
      <c r="T484" s="5"/>
    </row>
    <row r="485" spans="1:20" ht="12.75">
      <c r="A485" s="24">
        <f ca="1">IFERROR(__xludf.DUMMYFUNCTION("""COMPUTED_VALUE"""),45670.5697962962)</f>
        <v>45670.5697962962</v>
      </c>
      <c r="B485" s="5" t="str">
        <f ca="1">IFERROR(__xludf.DUMMYFUNCTION("""COMPUTED_VALUE"""),"314 Upper Lake Rd")</f>
        <v>314 Upper Lake Rd</v>
      </c>
      <c r="C485" s="5" t="str">
        <f ca="1">IFERROR(__xludf.DUMMYFUNCTION("""COMPUTED_VALUE"""),"Westlake Village")</f>
        <v>Westlake Village</v>
      </c>
      <c r="D485" s="5" t="str">
        <f ca="1">IFERROR(__xludf.DUMMYFUNCTION("""COMPUTED_VALUE"""),"CA")</f>
        <v>CA</v>
      </c>
      <c r="E485" s="5">
        <f ca="1">IFERROR(__xludf.DUMMYFUNCTION("""COMPUTED_VALUE"""),91361)</f>
        <v>91361</v>
      </c>
      <c r="F485" s="19">
        <f ca="1">IFERROR(__xludf.DUMMYFUNCTION("""COMPUTED_VALUE"""),5400)</f>
        <v>5400</v>
      </c>
      <c r="G485" s="19">
        <f ca="1">IFERROR(__xludf.DUMMYFUNCTION("""COMPUTED_VALUE"""),7500)</f>
        <v>7500</v>
      </c>
      <c r="H485" s="18">
        <f ca="1">IFERROR(__xludf.DUMMYFUNCTION("""COMPUTED_VALUE"""),45669)</f>
        <v>45669</v>
      </c>
      <c r="I485" s="5" t="str">
        <f ca="1">IFERROR(__xludf.DUMMYFUNCTION("""COMPUTED_VALUE"""),"Zillow")</f>
        <v>Zillow</v>
      </c>
      <c r="J485" s="25" t="str">
        <f ca="1">IFERROR(__xludf.DUMMYFUNCTION("""COMPUTED_VALUE"""),"https://www.zillow.com/homedetails/314-Upper-Lake-Rd-Westlake-Village-CA-91361/2062639240_zpid/")</f>
        <v>https://www.zillow.com/homedetails/314-Upper-Lake-Rd-Westlake-Village-CA-91361/2062639240_zpid/</v>
      </c>
      <c r="K485" s="5" t="str">
        <f ca="1">IFERROR(__xludf.DUMMYFUNCTION("""COMPUTED_VALUE"""),"Stephanie Rosenfeld, Beverly &amp; Co. Westlake Village")</f>
        <v>Stephanie Rosenfeld, Beverly &amp; Co. Westlake Village</v>
      </c>
      <c r="L485" s="5"/>
      <c r="M485" s="5"/>
      <c r="N485" s="5" t="str">
        <f ca="1">IFERROR(__xludf.DUMMYFUNCTION("""COMPUTED_VALUE"""),"https://drive.google.com/open?id=1kTDWyyNhDIQjD-3IjId-dmHpSGYzD-IX, https://drive.google.com/open?id=1UbYQLOXz4lLzJ71sFa7TLHKUVg-YQrhT")</f>
        <v>https://drive.google.com/open?id=1kTDWyyNhDIQjD-3IjId-dmHpSGYzD-IX, https://drive.google.com/open?id=1UbYQLOXz4lLzJ71sFa7TLHKUVg-YQrhT</v>
      </c>
      <c r="O485" s="5" t="str">
        <f ca="1">IFERROR(__xludf.DUMMYFUNCTION("""COMPUTED_VALUE"""),"NA")</f>
        <v>NA</v>
      </c>
      <c r="P485" s="5" t="str">
        <f ca="1">IFERROR(__xludf.DUMMYFUNCTION("""COMPUTED_VALUE"""),"(818) 825-3693")</f>
        <v>(818) 825-3693</v>
      </c>
      <c r="Q485" s="5"/>
      <c r="R485" s="5"/>
      <c r="S485" s="5"/>
      <c r="T485" s="5"/>
    </row>
    <row r="486" spans="1:20" ht="12.75">
      <c r="A486" s="24">
        <f ca="1">IFERROR(__xludf.DUMMYFUNCTION("""COMPUTED_VALUE"""),45670.5700088541)</f>
        <v>45670.570008854098</v>
      </c>
      <c r="B486" s="5" t="str">
        <f ca="1">IFERROR(__xludf.DUMMYFUNCTION("""COMPUTED_VALUE"""),"20752 Collins St")</f>
        <v>20752 Collins St</v>
      </c>
      <c r="C486" s="5" t="str">
        <f ca="1">IFERROR(__xludf.DUMMYFUNCTION("""COMPUTED_VALUE"""),"Woodland Hills")</f>
        <v>Woodland Hills</v>
      </c>
      <c r="D486" s="5" t="str">
        <f ca="1">IFERROR(__xludf.DUMMYFUNCTION("""COMPUTED_VALUE"""),"CA")</f>
        <v>CA</v>
      </c>
      <c r="E486" s="5">
        <f ca="1">IFERROR(__xludf.DUMMYFUNCTION("""COMPUTED_VALUE"""),91367)</f>
        <v>91367</v>
      </c>
      <c r="F486" s="19">
        <f ca="1">IFERROR(__xludf.DUMMYFUNCTION("""COMPUTED_VALUE"""),6000)</f>
        <v>6000</v>
      </c>
      <c r="G486" s="19">
        <f ca="1">IFERROR(__xludf.DUMMYFUNCTION("""COMPUTED_VALUE"""),7500)</f>
        <v>7500</v>
      </c>
      <c r="H486" s="18">
        <f ca="1">IFERROR(__xludf.DUMMYFUNCTION("""COMPUTED_VALUE"""),45668)</f>
        <v>45668</v>
      </c>
      <c r="I486" s="5" t="str">
        <f ca="1">IFERROR(__xludf.DUMMYFUNCTION("""COMPUTED_VALUE"""),"Zillow")</f>
        <v>Zillow</v>
      </c>
      <c r="J486" s="25" t="str">
        <f ca="1">IFERROR(__xludf.DUMMYFUNCTION("""COMPUTED_VALUE"""),"https://www.zillow.com/homedetails/20752-Collins-St-Woodland-Hills-CA-91367/19932187_zpid/")</f>
        <v>https://www.zillow.com/homedetails/20752-Collins-St-Woodland-Hills-CA-91367/19932187_zpid/</v>
      </c>
      <c r="K486" s="5" t="str">
        <f ca="1">IFERROR(__xludf.DUMMYFUNCTION("""COMPUTED_VALUE"""),"AirHive Rentals LLC")</f>
        <v>AirHive Rentals LLC</v>
      </c>
      <c r="L486" s="5"/>
      <c r="M486" s="5" t="str">
        <f ca="1">IFERROR(__xludf.DUMMYFUNCTION("""COMPUTED_VALUE"""),"Lots of price adjustments but most recently grew +15%, lowest is 6K but was listed for 7K in september")</f>
        <v>Lots of price adjustments but most recently grew +15%, lowest is 6K but was listed for 7K in september</v>
      </c>
      <c r="N486" s="5" t="str">
        <f ca="1">IFERROR(__xludf.DUMMYFUNCTION("""COMPUTED_VALUE"""),"https://drive.google.com/open?id=1cNDdMCw913MS615TrlG_YpEusyW-rzgx, https://drive.google.com/open?id=1amxSX2bGEqlhoGeMhRS9SpayKOz8g1hb")</f>
        <v>https://drive.google.com/open?id=1cNDdMCw913MS615TrlG_YpEusyW-rzgx, https://drive.google.com/open?id=1amxSX2bGEqlhoGeMhRS9SpayKOz8g1hb</v>
      </c>
      <c r="O486" s="5">
        <f ca="1">IFERROR(__xludf.DUMMYFUNCTION("""COMPUTED_VALUE"""),2151035034)</f>
        <v>2151035034</v>
      </c>
      <c r="P486" s="5" t="str">
        <f ca="1">IFERROR(__xludf.DUMMYFUNCTION("""COMPUTED_VALUE"""),"(424) 313-4044")</f>
        <v>(424) 313-4044</v>
      </c>
      <c r="Q486" s="5"/>
      <c r="R486" s="5"/>
      <c r="S486" s="5"/>
      <c r="T486" s="5"/>
    </row>
    <row r="487" spans="1:20" ht="12.75">
      <c r="A487" s="24">
        <f ca="1">IFERROR(__xludf.DUMMYFUNCTION("""COMPUTED_VALUE"""),45670.5707597685)</f>
        <v>45670.570759768503</v>
      </c>
      <c r="B487" s="5" t="str">
        <f ca="1">IFERROR(__xludf.DUMMYFUNCTION("""COMPUTED_VALUE"""),"16 Park Ave")</f>
        <v>16 Park Ave</v>
      </c>
      <c r="C487" s="5" t="str">
        <f ca="1">IFERROR(__xludf.DUMMYFUNCTION("""COMPUTED_VALUE"""),"Venice")</f>
        <v>Venice</v>
      </c>
      <c r="D487" s="5" t="str">
        <f ca="1">IFERROR(__xludf.DUMMYFUNCTION("""COMPUTED_VALUE"""),"CA")</f>
        <v>CA</v>
      </c>
      <c r="E487" s="5">
        <f ca="1">IFERROR(__xludf.DUMMYFUNCTION("""COMPUTED_VALUE"""),90291)</f>
        <v>90291</v>
      </c>
      <c r="F487" s="19">
        <f ca="1">IFERROR(__xludf.DUMMYFUNCTION("""COMPUTED_VALUE"""),7995)</f>
        <v>7995</v>
      </c>
      <c r="G487" s="19">
        <f ca="1">IFERROR(__xludf.DUMMYFUNCTION("""COMPUTED_VALUE"""),30000)</f>
        <v>30000</v>
      </c>
      <c r="H487" s="18">
        <f ca="1">IFERROR(__xludf.DUMMYFUNCTION("""COMPUTED_VALUE"""),44939)</f>
        <v>44939</v>
      </c>
      <c r="I487" s="5" t="str">
        <f ca="1">IFERROR(__xludf.DUMMYFUNCTION("""COMPUTED_VALUE"""),"Zillow")</f>
        <v>Zillow</v>
      </c>
      <c r="J487" s="25" t="str">
        <f ca="1">IFERROR(__xludf.DUMMYFUNCTION("""COMPUTED_VALUE"""),"https://www.zillow.com/homedetails/16-Park-Ave-Venice-CA-90291/20482259_zpid/")</f>
        <v>https://www.zillow.com/homedetails/16-Park-Ave-Venice-CA-90291/20482259_zpid/</v>
      </c>
      <c r="K487" s="5" t="str">
        <f ca="1">IFERROR(__xludf.DUMMYFUNCTION("""COMPUTED_VALUE"""),"Kevin Krakower")</f>
        <v>Kevin Krakower</v>
      </c>
      <c r="L487" s="5"/>
      <c r="M487" s="5"/>
      <c r="N487" s="26" t="str">
        <f ca="1">IFERROR(__xludf.DUMMYFUNCTION("""COMPUTED_VALUE"""),"https://drive.google.com/open?id=1N_mo8xWs7IIbk4m67SpLKo0l3S6P4iOV")</f>
        <v>https://drive.google.com/open?id=1N_mo8xWs7IIbk4m67SpLKo0l3S6P4iOV</v>
      </c>
      <c r="O487" s="5">
        <f ca="1">IFERROR(__xludf.DUMMYFUNCTION("""COMPUTED_VALUE"""),4286025001)</f>
        <v>4286025001</v>
      </c>
      <c r="P487" s="5" t="str">
        <f ca="1">IFERROR(__xludf.DUMMYFUNCTION("""COMPUTED_VALUE"""),"(310) 493-9895")</f>
        <v>(310) 493-9895</v>
      </c>
      <c r="Q487" s="5"/>
      <c r="R487" s="5"/>
      <c r="S487" s="5"/>
      <c r="T487" s="5"/>
    </row>
    <row r="488" spans="1:20" ht="12.75">
      <c r="A488" s="24">
        <f ca="1">IFERROR(__xludf.DUMMYFUNCTION("""COMPUTED_VALUE"""),45670.5747384143)</f>
        <v>45670.574738414303</v>
      </c>
      <c r="B488" s="5" t="str">
        <f ca="1">IFERROR(__xludf.DUMMYFUNCTION("""COMPUTED_VALUE"""),"20202 Clark St")</f>
        <v>20202 Clark St</v>
      </c>
      <c r="C488" s="5" t="str">
        <f ca="1">IFERROR(__xludf.DUMMYFUNCTION("""COMPUTED_VALUE"""),"Woodland Hills")</f>
        <v>Woodland Hills</v>
      </c>
      <c r="D488" s="5" t="str">
        <f ca="1">IFERROR(__xludf.DUMMYFUNCTION("""COMPUTED_VALUE"""),"CA")</f>
        <v>CA</v>
      </c>
      <c r="E488" s="5">
        <f ca="1">IFERROR(__xludf.DUMMYFUNCTION("""COMPUTED_VALUE"""),91367)</f>
        <v>91367</v>
      </c>
      <c r="F488" s="19">
        <f ca="1">IFERROR(__xludf.DUMMYFUNCTION("""COMPUTED_VALUE"""),2400)</f>
        <v>2400</v>
      </c>
      <c r="G488" s="19">
        <f ca="1">IFERROR(__xludf.DUMMYFUNCTION("""COMPUTED_VALUE"""),2900)</f>
        <v>2900</v>
      </c>
      <c r="H488" s="18">
        <f ca="1">IFERROR(__xludf.DUMMYFUNCTION("""COMPUTED_VALUE"""),45664)</f>
        <v>45664</v>
      </c>
      <c r="I488" s="5" t="str">
        <f ca="1">IFERROR(__xludf.DUMMYFUNCTION("""COMPUTED_VALUE"""),"Zillow")</f>
        <v>Zillow</v>
      </c>
      <c r="J488" s="25" t="str">
        <f ca="1">IFERROR(__xludf.DUMMYFUNCTION("""COMPUTED_VALUE"""),"https://www.zillow.com/homedetails/20202-Clark-St-Woodland-Hills-CA-91367/2054703692_zpid/")</f>
        <v>https://www.zillow.com/homedetails/20202-Clark-St-Woodland-Hills-CA-91367/2054703692_zpid/</v>
      </c>
      <c r="K488" s="5"/>
      <c r="L488" s="5" t="str">
        <f ca="1">IFERROR(__xludf.DUMMYFUNCTION("""COMPUTED_VALUE"""),"Yana")</f>
        <v>Yana</v>
      </c>
      <c r="M488" s="5"/>
      <c r="N488" s="5" t="str">
        <f ca="1">IFERROR(__xludf.DUMMYFUNCTION("""COMPUTED_VALUE"""),"https://drive.google.com/open?id=1BncS50LFR7RAxAd_pTLSs3C1Z-aNo_B7, https://drive.google.com/open?id=1kp0zjfkWAHFB2oHuaegBT7yKSRNb1Dkl")</f>
        <v>https://drive.google.com/open?id=1BncS50LFR7RAxAd_pTLSs3C1Z-aNo_B7, https://drive.google.com/open?id=1kp0zjfkWAHFB2oHuaegBT7yKSRNb1Dkl</v>
      </c>
      <c r="O488" s="5" t="str">
        <f ca="1">IFERROR(__xludf.DUMMYFUNCTION("""COMPUTED_VALUE"""),"NA")</f>
        <v>NA</v>
      </c>
      <c r="P488" s="5"/>
      <c r="Q488" s="5"/>
      <c r="R488" s="5" t="str">
        <f ca="1">IFERROR(__xludf.DUMMYFUNCTION("""COMPUTED_VALUE"""),"(626) 531-1353")</f>
        <v>(626) 531-1353</v>
      </c>
      <c r="S488" s="5"/>
      <c r="T488" s="5"/>
    </row>
    <row r="489" spans="1:20" ht="12.75">
      <c r="A489" s="24">
        <f ca="1">IFERROR(__xludf.DUMMYFUNCTION("""COMPUTED_VALUE"""),45670.5764031481)</f>
        <v>45670.576403148101</v>
      </c>
      <c r="B489" s="5" t="str">
        <f ca="1">IFERROR(__xludf.DUMMYFUNCTION("""COMPUTED_VALUE"""),"Undisclosed address")</f>
        <v>Undisclosed address</v>
      </c>
      <c r="C489" s="5" t="str">
        <f ca="1">IFERROR(__xludf.DUMMYFUNCTION("""COMPUTED_VALUE"""),"Van Nuys")</f>
        <v>Van Nuys</v>
      </c>
      <c r="D489" s="5" t="str">
        <f ca="1">IFERROR(__xludf.DUMMYFUNCTION("""COMPUTED_VALUE"""),"CA")</f>
        <v>CA</v>
      </c>
      <c r="E489" s="5">
        <f ca="1">IFERROR(__xludf.DUMMYFUNCTION("""COMPUTED_VALUE"""),91406)</f>
        <v>91406</v>
      </c>
      <c r="F489" s="19">
        <f ca="1">IFERROR(__xludf.DUMMYFUNCTION("""COMPUTED_VALUE"""),3480)</f>
        <v>3480</v>
      </c>
      <c r="G489" s="19">
        <f ca="1">IFERROR(__xludf.DUMMYFUNCTION("""COMPUTED_VALUE"""),5500)</f>
        <v>5500</v>
      </c>
      <c r="H489" s="18">
        <f ca="1">IFERROR(__xludf.DUMMYFUNCTION("""COMPUTED_VALUE"""),45670)</f>
        <v>45670</v>
      </c>
      <c r="I489" s="5" t="str">
        <f ca="1">IFERROR(__xludf.DUMMYFUNCTION("""COMPUTED_VALUE"""),"Zillow")</f>
        <v>Zillow</v>
      </c>
      <c r="J489" s="25" t="str">
        <f ca="1">IFERROR(__xludf.DUMMYFUNCTION("""COMPUTED_VALUE"""),"https://www.zillow.com/homedetails/Van-Nuys-CA-91406/19964598_zpid/")</f>
        <v>https://www.zillow.com/homedetails/Van-Nuys-CA-91406/19964598_zpid/</v>
      </c>
      <c r="K489" s="5" t="str">
        <f ca="1">IFERROR(__xludf.DUMMYFUNCTION("""COMPUTED_VALUE"""),"TK")</f>
        <v>TK</v>
      </c>
      <c r="L489" s="5"/>
      <c r="M489" s="5"/>
      <c r="N489" s="5" t="str">
        <f ca="1">IFERROR(__xludf.DUMMYFUNCTION("""COMPUTED_VALUE"""),"https://drive.google.com/open?id=17gHniZilixi9ePk15wA1_QGeOsHrrHPB, https://drive.google.com/open?id=1-UCze-pTX4b71tveVB7gm3-1-Kssl4H1")</f>
        <v>https://drive.google.com/open?id=17gHniZilixi9ePk15wA1_QGeOsHrrHPB, https://drive.google.com/open?id=1-UCze-pTX4b71tveVB7gm3-1-Kssl4H1</v>
      </c>
      <c r="O489" s="5" t="str">
        <f ca="1">IFERROR(__xludf.DUMMYFUNCTION("""COMPUTED_VALUE"""),"NA")</f>
        <v>NA</v>
      </c>
      <c r="P489" s="5" t="str">
        <f ca="1">IFERROR(__xludf.DUMMYFUNCTION("""COMPUTED_VALUE"""),"(310) 728-0832")</f>
        <v>(310) 728-0832</v>
      </c>
      <c r="Q489" s="5"/>
      <c r="R489" s="5"/>
      <c r="S489" s="5"/>
      <c r="T489" s="5"/>
    </row>
    <row r="490" spans="1:20" ht="12.75">
      <c r="A490" s="24">
        <f ca="1">IFERROR(__xludf.DUMMYFUNCTION("""COMPUTED_VALUE"""),45670.5766656481)</f>
        <v>45670.576665648099</v>
      </c>
      <c r="B490" s="5" t="str">
        <f ca="1">IFERROR(__xludf.DUMMYFUNCTION("""COMPUTED_VALUE"""),"716 the Strand")</f>
        <v>716 the Strand</v>
      </c>
      <c r="C490" s="5" t="str">
        <f ca="1">IFERROR(__xludf.DUMMYFUNCTION("""COMPUTED_VALUE"""),"Manhattan beach")</f>
        <v>Manhattan beach</v>
      </c>
      <c r="D490" s="5" t="str">
        <f ca="1">IFERROR(__xludf.DUMMYFUNCTION("""COMPUTED_VALUE"""),"CA")</f>
        <v>CA</v>
      </c>
      <c r="E490" s="5">
        <f ca="1">IFERROR(__xludf.DUMMYFUNCTION("""COMPUTED_VALUE"""),90266)</f>
        <v>90266</v>
      </c>
      <c r="F490" s="19">
        <f ca="1">IFERROR(__xludf.DUMMYFUNCTION("""COMPUTED_VALUE"""),135000)</f>
        <v>135000</v>
      </c>
      <c r="G490" s="19">
        <f ca="1">IFERROR(__xludf.DUMMYFUNCTION("""COMPUTED_VALUE"""),135000)</f>
        <v>135000</v>
      </c>
      <c r="H490" s="18">
        <f ca="1">IFERROR(__xludf.DUMMYFUNCTION("""COMPUTED_VALUE"""),45669)</f>
        <v>45669</v>
      </c>
      <c r="I490" s="5" t="str">
        <f ca="1">IFERROR(__xludf.DUMMYFUNCTION("""COMPUTED_VALUE"""),"Zillow")</f>
        <v>Zillow</v>
      </c>
      <c r="J490" s="25" t="str">
        <f ca="1">IFERROR(__xludf.DUMMYFUNCTION("""COMPUTED_VALUE"""),"https://www.zillow.com/homedetails/716-The-Strand-Manhattan-Beach-CA-90266/20423287_zpid/")</f>
        <v>https://www.zillow.com/homedetails/716-The-Strand-Manhattan-Beach-CA-90266/20423287_zpid/</v>
      </c>
      <c r="K490" s="5" t="str">
        <f ca="1">IFERROR(__xludf.DUMMYFUNCTION("""COMPUTED_VALUE"""),"Dugan")</f>
        <v>Dugan</v>
      </c>
      <c r="L490" s="5"/>
      <c r="M490" s="5"/>
      <c r="N490" s="26" t="str">
        <f ca="1">IFERROR(__xludf.DUMMYFUNCTION("""COMPUTED_VALUE"""),"https://drive.google.com/open?id=15FVCO4QWHIPisKu1sjp1qwrEnBepTn3i")</f>
        <v>https://drive.google.com/open?id=15FVCO4QWHIPisKu1sjp1qwrEnBepTn3i</v>
      </c>
      <c r="O490" s="5">
        <f ca="1">IFERROR(__xludf.DUMMYFUNCTION("""COMPUTED_VALUE"""),4180030002)</f>
        <v>4180030002</v>
      </c>
      <c r="P490" s="5"/>
      <c r="Q490" s="5"/>
      <c r="R490" s="5"/>
      <c r="S490" s="5"/>
      <c r="T490" s="5"/>
    </row>
    <row r="491" spans="1:20" ht="12.75">
      <c r="A491" s="24">
        <f ca="1">IFERROR(__xludf.DUMMYFUNCTION("""COMPUTED_VALUE"""),45670.5775858217)</f>
        <v>45670.577585821702</v>
      </c>
      <c r="B491" s="5" t="str">
        <f ca="1">IFERROR(__xludf.DUMMYFUNCTION("""COMPUTED_VALUE"""),"3977 Dalton Ave #1")</f>
        <v>3977 Dalton Ave #1</v>
      </c>
      <c r="C491" s="5" t="str">
        <f ca="1">IFERROR(__xludf.DUMMYFUNCTION("""COMPUTED_VALUE"""),"Los Angeles")</f>
        <v>Los Angeles</v>
      </c>
      <c r="D491" s="5" t="str">
        <f ca="1">IFERROR(__xludf.DUMMYFUNCTION("""COMPUTED_VALUE"""),"CA")</f>
        <v>CA</v>
      </c>
      <c r="E491" s="5">
        <f ca="1">IFERROR(__xludf.DUMMYFUNCTION("""COMPUTED_VALUE"""),90062)</f>
        <v>90062</v>
      </c>
      <c r="F491" s="19">
        <f ca="1">IFERROR(__xludf.DUMMYFUNCTION("""COMPUTED_VALUE"""),1900)</f>
        <v>1900</v>
      </c>
      <c r="G491" s="19">
        <f ca="1">IFERROR(__xludf.DUMMYFUNCTION("""COMPUTED_VALUE"""),3000)</f>
        <v>3000</v>
      </c>
      <c r="H491" s="18">
        <f ca="1">IFERROR(__xludf.DUMMYFUNCTION("""COMPUTED_VALUE"""),45670)</f>
        <v>45670</v>
      </c>
      <c r="I491" s="5" t="str">
        <f ca="1">IFERROR(__xludf.DUMMYFUNCTION("""COMPUTED_VALUE"""),"Zillow")</f>
        <v>Zillow</v>
      </c>
      <c r="J491" s="25" t="str">
        <f ca="1">IFERROR(__xludf.DUMMYFUNCTION("""COMPUTED_VALUE"""),"https://www.zillow.com/homedetails/3977-Dalton-Ave-1-Los-Angeles-CA-90062/347232716_zpid/")</f>
        <v>https://www.zillow.com/homedetails/3977-Dalton-Ave-1-Los-Angeles-CA-90062/347232716_zpid/</v>
      </c>
      <c r="K491" s="5"/>
      <c r="L491" s="5" t="str">
        <f ca="1">IFERROR(__xludf.DUMMYFUNCTION("""COMPUTED_VALUE"""),"Jared Bergenstal")</f>
        <v>Jared Bergenstal</v>
      </c>
      <c r="M491" s="5"/>
      <c r="N491" s="5" t="str">
        <f ca="1">IFERROR(__xludf.DUMMYFUNCTION("""COMPUTED_VALUE"""),"https://drive.google.com/open?id=1NU49cZp2C5UHKtlRgSoeG7ozxqGIeMwQ, https://drive.google.com/open?id=1ThIGdP7AoXGfFzSxzdW4qBIBRAQkoKKj")</f>
        <v>https://drive.google.com/open?id=1NU49cZp2C5UHKtlRgSoeG7ozxqGIeMwQ, https://drive.google.com/open?id=1ThIGdP7AoXGfFzSxzdW4qBIBRAQkoKKj</v>
      </c>
      <c r="O491" s="5" t="str">
        <f ca="1">IFERROR(__xludf.DUMMYFUNCTION("""COMPUTED_VALUE"""),"NA")</f>
        <v>NA</v>
      </c>
      <c r="P491" s="5"/>
      <c r="Q491" s="5"/>
      <c r="R491" s="5" t="str">
        <f ca="1">IFERROR(__xludf.DUMMYFUNCTION("""COMPUTED_VALUE"""),"(310) 606-1619")</f>
        <v>(310) 606-1619</v>
      </c>
      <c r="S491" s="5"/>
      <c r="T491" s="5"/>
    </row>
    <row r="492" spans="1:20" ht="12.75">
      <c r="A492" s="24">
        <f ca="1">IFERROR(__xludf.DUMMYFUNCTION("""COMPUTED_VALUE"""),45670.579865625)</f>
        <v>45670.579865624997</v>
      </c>
      <c r="B492" s="5" t="str">
        <f ca="1">IFERROR(__xludf.DUMMYFUNCTION("""COMPUTED_VALUE"""),"592 30th St, Manhattan Beach, CA 90266")</f>
        <v>592 30th St, Manhattan Beach, CA 90266</v>
      </c>
      <c r="C492" s="5" t="str">
        <f ca="1">IFERROR(__xludf.DUMMYFUNCTION("""COMPUTED_VALUE"""),"Manhattan beach")</f>
        <v>Manhattan beach</v>
      </c>
      <c r="D492" s="5" t="str">
        <f ca="1">IFERROR(__xludf.DUMMYFUNCTION("""COMPUTED_VALUE"""),"CA")</f>
        <v>CA</v>
      </c>
      <c r="E492" s="5">
        <f ca="1">IFERROR(__xludf.DUMMYFUNCTION("""COMPUTED_VALUE"""),90266)</f>
        <v>90266</v>
      </c>
      <c r="F492" s="19">
        <f ca="1">IFERROR(__xludf.DUMMYFUNCTION("""COMPUTED_VALUE"""),25000)</f>
        <v>25000</v>
      </c>
      <c r="G492" s="19">
        <f ca="1">IFERROR(__xludf.DUMMYFUNCTION("""COMPUTED_VALUE"""),35000)</f>
        <v>35000</v>
      </c>
      <c r="H492" s="18">
        <f ca="1">IFERROR(__xludf.DUMMYFUNCTION("""COMPUTED_VALUE"""),45669)</f>
        <v>45669</v>
      </c>
      <c r="I492" s="5" t="str">
        <f ca="1">IFERROR(__xludf.DUMMYFUNCTION("""COMPUTED_VALUE"""),"Zillow")</f>
        <v>Zillow</v>
      </c>
      <c r="J492" s="25" t="str">
        <f ca="1">IFERROR(__xludf.DUMMYFUNCTION("""COMPUTED_VALUE"""),"https://www.zillow.com/homedetails/592-30th-St-Manhattan-Beach-CA-90266/20420685_zpid/")</f>
        <v>https://www.zillow.com/homedetails/592-30th-St-Manhattan-Beach-CA-90266/20420685_zpid/</v>
      </c>
      <c r="K492" s="5" t="str">
        <f ca="1">IFERROR(__xludf.DUMMYFUNCTION("""COMPUTED_VALUE"""),"Yana Beranek BHHS Santa Monica 5 / 5 42 reviews (424) 343-4213")</f>
        <v>Yana Beranek BHHS Santa Monica 5 / 5 42 reviews (424) 343-4213</v>
      </c>
      <c r="L492" s="5"/>
      <c r="M492" s="5"/>
      <c r="N492" s="26" t="str">
        <f ca="1">IFERROR(__xludf.DUMMYFUNCTION("""COMPUTED_VALUE"""),"https://drive.google.com/open?id=1tvCi2Jo1cWdqa7iH9I3Xd9cvwFuzk8_-")</f>
        <v>https://drive.google.com/open?id=1tvCi2Jo1cWdqa7iH9I3Xd9cvwFuzk8_-</v>
      </c>
      <c r="O492" s="5">
        <f ca="1">IFERROR(__xludf.DUMMYFUNCTION("""COMPUTED_VALUE"""),4176003013)</f>
        <v>4176003013</v>
      </c>
      <c r="P492" s="5" t="str">
        <f ca="1">IFERROR(__xludf.DUMMYFUNCTION("""COMPUTED_VALUE"""),"Yana Beranek BHHS Santa Monica 5 / 5 42 reviews (424) 343-4213")</f>
        <v>Yana Beranek BHHS Santa Monica 5 / 5 42 reviews (424) 343-4213</v>
      </c>
      <c r="Q492" s="5"/>
      <c r="R492" s="5"/>
      <c r="S492" s="5"/>
      <c r="T492" s="5"/>
    </row>
    <row r="493" spans="1:20" ht="12.75">
      <c r="A493" s="24">
        <f ca="1">IFERROR(__xludf.DUMMYFUNCTION("""COMPUTED_VALUE"""),45670.5802669675)</f>
        <v>45670.580266967503</v>
      </c>
      <c r="B493" s="5" t="str">
        <f ca="1">IFERROR(__xludf.DUMMYFUNCTION("""COMPUTED_VALUE"""),"5358 Baza Ave")</f>
        <v>5358 Baza Ave</v>
      </c>
      <c r="C493" s="5" t="str">
        <f ca="1">IFERROR(__xludf.DUMMYFUNCTION("""COMPUTED_VALUE"""),"Woodland Hills")</f>
        <v>Woodland Hills</v>
      </c>
      <c r="D493" s="5" t="str">
        <f ca="1">IFERROR(__xludf.DUMMYFUNCTION("""COMPUTED_VALUE"""),"CA")</f>
        <v>CA</v>
      </c>
      <c r="E493" s="5">
        <f ca="1">IFERROR(__xludf.DUMMYFUNCTION("""COMPUTED_VALUE"""),91364)</f>
        <v>91364</v>
      </c>
      <c r="F493" s="19">
        <f ca="1">IFERROR(__xludf.DUMMYFUNCTION("""COMPUTED_VALUE"""),4495)</f>
        <v>4495</v>
      </c>
      <c r="G493" s="19">
        <f ca="1">IFERROR(__xludf.DUMMYFUNCTION("""COMPUTED_VALUE"""),5495)</f>
        <v>5495</v>
      </c>
      <c r="H493" s="18">
        <f ca="1">IFERROR(__xludf.DUMMYFUNCTION("""COMPUTED_VALUE"""),45667)</f>
        <v>45667</v>
      </c>
      <c r="I493" s="5" t="str">
        <f ca="1">IFERROR(__xludf.DUMMYFUNCTION("""COMPUTED_VALUE"""),"Zillow")</f>
        <v>Zillow</v>
      </c>
      <c r="J493" s="25" t="str">
        <f ca="1">IFERROR(__xludf.DUMMYFUNCTION("""COMPUTED_VALUE"""),"https://www.zillow.com/homedetails/5358-Baza-Ave-Woodland-Hills-CA-91364/19942951_zpid/")</f>
        <v>https://www.zillow.com/homedetails/5358-Baza-Ave-Woodland-Hills-CA-91364/19942951_zpid/</v>
      </c>
      <c r="K493" s="5" t="str">
        <f ca="1">IFERROR(__xludf.DUMMYFUNCTION("""COMPUTED_VALUE"""),"Tony Pacific")</f>
        <v>Tony Pacific</v>
      </c>
      <c r="L493" s="5"/>
      <c r="M493" s="5"/>
      <c r="N493" s="5" t="str">
        <f ca="1">IFERROR(__xludf.DUMMYFUNCTION("""COMPUTED_VALUE"""),"https://drive.google.com/open?id=103QRVY-0MMPJeenI_SNbFr22H0KjqoTu, https://drive.google.com/open?id=1ZCffD_l4RAbSm4ZPpIh7LVGBdNcMtNyt")</f>
        <v>https://drive.google.com/open?id=103QRVY-0MMPJeenI_SNbFr22H0KjqoTu, https://drive.google.com/open?id=1ZCffD_l4RAbSm4ZPpIh7LVGBdNcMtNyt</v>
      </c>
      <c r="O493" s="5">
        <f ca="1">IFERROR(__xludf.DUMMYFUNCTION("""COMPUTED_VALUE"""),2168023047)</f>
        <v>2168023047</v>
      </c>
      <c r="P493" s="5" t="str">
        <f ca="1">IFERROR(__xludf.DUMMYFUNCTION("""COMPUTED_VALUE"""),"(213) 320-5069")</f>
        <v>(213) 320-5069</v>
      </c>
      <c r="Q493" s="5"/>
      <c r="R493" s="5"/>
      <c r="S493" s="5"/>
      <c r="T493" s="5"/>
    </row>
    <row r="494" spans="1:20" ht="12.75">
      <c r="A494" s="24">
        <f ca="1">IFERROR(__xludf.DUMMYFUNCTION("""COMPUTED_VALUE"""),45670.5813218981)</f>
        <v>45670.581321898098</v>
      </c>
      <c r="B494" s="5" t="str">
        <f ca="1">IFERROR(__xludf.DUMMYFUNCTION("""COMPUTED_VALUE"""),"Toscana Apartments, 15736 Vanowen St APT 205")</f>
        <v>Toscana Apartments, 15736 Vanowen St APT 205</v>
      </c>
      <c r="C494" s="5" t="str">
        <f ca="1">IFERROR(__xludf.DUMMYFUNCTION("""COMPUTED_VALUE"""),"Lake Balboa")</f>
        <v>Lake Balboa</v>
      </c>
      <c r="D494" s="5" t="str">
        <f ca="1">IFERROR(__xludf.DUMMYFUNCTION("""COMPUTED_VALUE"""),"CA")</f>
        <v>CA</v>
      </c>
      <c r="E494" s="5">
        <f ca="1">IFERROR(__xludf.DUMMYFUNCTION("""COMPUTED_VALUE"""),91406)</f>
        <v>91406</v>
      </c>
      <c r="F494" s="19">
        <f ca="1">IFERROR(__xludf.DUMMYFUNCTION("""COMPUTED_VALUE"""),1699)</f>
        <v>1699</v>
      </c>
      <c r="G494" s="19">
        <f ca="1">IFERROR(__xludf.DUMMYFUNCTION("""COMPUTED_VALUE"""),1906)</f>
        <v>1906</v>
      </c>
      <c r="H494" s="18">
        <f ca="1">IFERROR(__xludf.DUMMYFUNCTION("""COMPUTED_VALUE"""),45658)</f>
        <v>45658</v>
      </c>
      <c r="I494" s="5" t="str">
        <f ca="1">IFERROR(__xludf.DUMMYFUNCTION("""COMPUTED_VALUE"""),"Zillow")</f>
        <v>Zillow</v>
      </c>
      <c r="J494" s="25" t="str">
        <f ca="1">IFERROR(__xludf.DUMMYFUNCTION("""COMPUTED_VALUE"""),"https://www.zillow.com/homedetails/15736-Vanowen-St-APT-205-Lake-Balboa-CA-91406/2099122356_zpid/?utm_campaign=iosappmessage&amp;utm_medium=referral&amp;utm_source=txtshare")</f>
        <v>https://www.zillow.com/homedetails/15736-Vanowen-St-APT-205-Lake-Balboa-CA-91406/2099122356_zpid/?utm_campaign=iosappmessage&amp;utm_medium=referral&amp;utm_source=txtshare</v>
      </c>
      <c r="K494" s="5" t="str">
        <f ca="1">IFERROR(__xludf.DUMMYFUNCTION("""COMPUTED_VALUE"""),"Balaciano group ")</f>
        <v xml:space="preserve">Balaciano group </v>
      </c>
      <c r="L494" s="5"/>
      <c r="M494" s="5"/>
      <c r="N494" s="26" t="str">
        <f ca="1">IFERROR(__xludf.DUMMYFUNCTION("""COMPUTED_VALUE"""),"https://drive.google.com/open?id=1hluoxtfRpoy4csmSbGjtYFAfRxp4Iemp")</f>
        <v>https://drive.google.com/open?id=1hluoxtfRpoy4csmSbGjtYFAfRxp4Iemp</v>
      </c>
      <c r="O494" s="5" t="str">
        <f ca="1">IFERROR(__xludf.DUMMYFUNCTION("""COMPUTED_VALUE"""),"Na")</f>
        <v>Na</v>
      </c>
      <c r="P494" s="5" t="str">
        <f ca="1">IFERROR(__xludf.DUMMYFUNCTION("""COMPUTED_VALUE"""),"(626) 382-7736")</f>
        <v>(626) 382-7736</v>
      </c>
      <c r="Q494" s="5"/>
      <c r="R494" s="5"/>
      <c r="S494" s="5"/>
      <c r="T494" s="5"/>
    </row>
    <row r="495" spans="1:20" ht="12.75">
      <c r="A495" s="24">
        <f ca="1">IFERROR(__xludf.DUMMYFUNCTION("""COMPUTED_VALUE"""),45670.581544375)</f>
        <v>45670.581544375003</v>
      </c>
      <c r="B495" s="5" t="str">
        <f ca="1">IFERROR(__xludf.DUMMYFUNCTION("""COMPUTED_VALUE"""),"359 E Broadway")</f>
        <v>359 E Broadway</v>
      </c>
      <c r="C495" s="5" t="str">
        <f ca="1">IFERROR(__xludf.DUMMYFUNCTION("""COMPUTED_VALUE"""),"Long Beach")</f>
        <v>Long Beach</v>
      </c>
      <c r="D495" s="5" t="str">
        <f ca="1">IFERROR(__xludf.DUMMYFUNCTION("""COMPUTED_VALUE"""),"CA")</f>
        <v>CA</v>
      </c>
      <c r="E495" s="5">
        <f ca="1">IFERROR(__xludf.DUMMYFUNCTION("""COMPUTED_VALUE"""),90802)</f>
        <v>90802</v>
      </c>
      <c r="F495" s="19">
        <f ca="1">IFERROR(__xludf.DUMMYFUNCTION("""COMPUTED_VALUE"""),3595)</f>
        <v>3595</v>
      </c>
      <c r="G495" s="19">
        <f ca="1">IFERROR(__xludf.DUMMYFUNCTION("""COMPUTED_VALUE"""),4500)</f>
        <v>4500</v>
      </c>
      <c r="H495" s="18">
        <f ca="1">IFERROR(__xludf.DUMMYFUNCTION("""COMPUTED_VALUE"""),45670)</f>
        <v>45670</v>
      </c>
      <c r="I495" s="5" t="str">
        <f ca="1">IFERROR(__xludf.DUMMYFUNCTION("""COMPUTED_VALUE"""),"Zillow")</f>
        <v>Zillow</v>
      </c>
      <c r="J495" s="25" t="str">
        <f ca="1">IFERROR(__xludf.DUMMYFUNCTION("""COMPUTED_VALUE"""),"https://www.zillow.com/homedetails/359-E-Broadway-Long-Beach-CA-90802/2083979360_zpid/")</f>
        <v>https://www.zillow.com/homedetails/359-E-Broadway-Long-Beach-CA-90802/2083979360_zpid/</v>
      </c>
      <c r="K495" s="5" t="str">
        <f ca="1">IFERROR(__xludf.DUMMYFUNCTION("""COMPUTED_VALUE"""),"Ghulam Ashiq  Ashby &amp; Graff Real Estate  Management company")</f>
        <v>Ghulam Ashiq  Ashby &amp; Graff Real Estate  Management company</v>
      </c>
      <c r="L495" s="5"/>
      <c r="M495" s="5"/>
      <c r="N495" s="5" t="str">
        <f ca="1">IFERROR(__xludf.DUMMYFUNCTION("""COMPUTED_VALUE"""),"https://drive.google.com/open?id=1IaoiJI-AOSFXc2xwIRczfob4UfumD0r5, https://drive.google.com/open?id=1oNlFsWkxu1fg6mgM_lh4g45jyNwrFiFu")</f>
        <v>https://drive.google.com/open?id=1IaoiJI-AOSFXc2xwIRczfob4UfumD0r5, https://drive.google.com/open?id=1oNlFsWkxu1fg6mgM_lh4g45jyNwrFiFu</v>
      </c>
      <c r="O495" s="5" t="str">
        <f ca="1">IFERROR(__xludf.DUMMYFUNCTION("""COMPUTED_VALUE"""),"NA")</f>
        <v>NA</v>
      </c>
      <c r="P495" s="5" t="str">
        <f ca="1">IFERROR(__xludf.DUMMYFUNCTION("""COMPUTED_VALUE"""),"(949) 899-2732")</f>
        <v>(949) 899-2732</v>
      </c>
      <c r="Q495" s="5"/>
      <c r="R495" s="5"/>
      <c r="S495" s="5"/>
      <c r="T495" s="5"/>
    </row>
    <row r="496" spans="1:20" ht="12.75">
      <c r="A496" s="24">
        <f ca="1">IFERROR(__xludf.DUMMYFUNCTION("""COMPUTED_VALUE"""),45670.582151412)</f>
        <v>45670.582151412003</v>
      </c>
      <c r="B496" s="5" t="str">
        <f ca="1">IFERROR(__xludf.DUMMYFUNCTION("""COMPUTED_VALUE"""),"425 29th St, Manhattan Beach, CA 90266")</f>
        <v>425 29th St, Manhattan Beach, CA 90266</v>
      </c>
      <c r="C496" s="5" t="str">
        <f ca="1">IFERROR(__xludf.DUMMYFUNCTION("""COMPUTED_VALUE"""),"Manhattan beach")</f>
        <v>Manhattan beach</v>
      </c>
      <c r="D496" s="5" t="str">
        <f ca="1">IFERROR(__xludf.DUMMYFUNCTION("""COMPUTED_VALUE"""),"CA")</f>
        <v>CA</v>
      </c>
      <c r="E496" s="5">
        <f ca="1">IFERROR(__xludf.DUMMYFUNCTION("""COMPUTED_VALUE"""),90266)</f>
        <v>90266</v>
      </c>
      <c r="F496" s="19">
        <f ca="1">IFERROR(__xludf.DUMMYFUNCTION("""COMPUTED_VALUE"""),8200)</f>
        <v>8200</v>
      </c>
      <c r="G496" s="19">
        <f ca="1">IFERROR(__xludf.DUMMYFUNCTION("""COMPUTED_VALUE"""),18000)</f>
        <v>18000</v>
      </c>
      <c r="H496" s="18">
        <f ca="1">IFERROR(__xludf.DUMMYFUNCTION("""COMPUTED_VALUE"""),45669)</f>
        <v>45669</v>
      </c>
      <c r="I496" s="5" t="str">
        <f ca="1">IFERROR(__xludf.DUMMYFUNCTION("""COMPUTED_VALUE"""),"Zillow")</f>
        <v>Zillow</v>
      </c>
      <c r="J496" s="25" t="str">
        <f ca="1">IFERROR(__xludf.DUMMYFUNCTION("""COMPUTED_VALUE"""),"https://www.zillow.com/homedetails/425-29th-St-Manhattan-Beach-CA-90266/20420888_zpid/")</f>
        <v>https://www.zillow.com/homedetails/425-29th-St-Manhattan-Beach-CA-90266/20420888_zpid/</v>
      </c>
      <c r="K496" s="5"/>
      <c r="L496" s="5"/>
      <c r="M496" s="5"/>
      <c r="N496" s="26" t="str">
        <f ca="1">IFERROR(__xludf.DUMMYFUNCTION("""COMPUTED_VALUE"""),"https://drive.google.com/open?id=12JMhD0VbAqf4yXuk03-lfsWrkJbxz98C")</f>
        <v>https://drive.google.com/open?id=12JMhD0VbAqf4yXuk03-lfsWrkJbxz98C</v>
      </c>
      <c r="O496" s="5" t="str">
        <f ca="1">IFERROR(__xludf.DUMMYFUNCTION("""COMPUTED_VALUE"""),"Na")</f>
        <v>Na</v>
      </c>
      <c r="P496" s="5"/>
      <c r="Q496" s="5"/>
      <c r="R496" s="5"/>
      <c r="S496" s="5"/>
      <c r="T496" s="5"/>
    </row>
    <row r="497" spans="1:20" ht="12.75">
      <c r="A497" s="24">
        <f ca="1">IFERROR(__xludf.DUMMYFUNCTION("""COMPUTED_VALUE"""),45670.5854987152)</f>
        <v>45670.585498715198</v>
      </c>
      <c r="B497" s="5" t="str">
        <f ca="1">IFERROR(__xludf.DUMMYFUNCTION("""COMPUTED_VALUE"""),"Sherway Villa, 17808 Sherman Way APT 127")</f>
        <v>Sherway Villa, 17808 Sherman Way APT 127</v>
      </c>
      <c r="C497" s="5" t="str">
        <f ca="1">IFERROR(__xludf.DUMMYFUNCTION("""COMPUTED_VALUE"""),"Reseda")</f>
        <v>Reseda</v>
      </c>
      <c r="D497" s="5" t="str">
        <f ca="1">IFERROR(__xludf.DUMMYFUNCTION("""COMPUTED_VALUE"""),"CA")</f>
        <v>CA</v>
      </c>
      <c r="E497" s="5">
        <f ca="1">IFERROR(__xludf.DUMMYFUNCTION("""COMPUTED_VALUE"""),91335)</f>
        <v>91335</v>
      </c>
      <c r="F497" s="19">
        <f ca="1">IFERROR(__xludf.DUMMYFUNCTION("""COMPUTED_VALUE"""),1664)</f>
        <v>1664</v>
      </c>
      <c r="G497" s="19">
        <f ca="1">IFERROR(__xludf.DUMMYFUNCTION("""COMPUTED_VALUE"""),2091)</f>
        <v>2091</v>
      </c>
      <c r="H497" s="18">
        <f ca="1">IFERROR(__xludf.DUMMYFUNCTION("""COMPUTED_VALUE"""),45670)</f>
        <v>45670</v>
      </c>
      <c r="I497" s="5" t="str">
        <f ca="1">IFERROR(__xludf.DUMMYFUNCTION("""COMPUTED_VALUE"""),"Zillow")</f>
        <v>Zillow</v>
      </c>
      <c r="J497" s="25" t="str">
        <f ca="1">IFERROR(__xludf.DUMMYFUNCTION("""COMPUTED_VALUE"""),"https://www.zillow.com/homedetails/17808-Sherman-Way-APT-127-Reseda-CA-91335/2061798789_zpid/?utm_campaign=iosappmessage&amp;utm_medium=referral&amp;utm_source=txtshare")</f>
        <v>https://www.zillow.com/homedetails/17808-Sherman-Way-APT-127-Reseda-CA-91335/2061798789_zpid/?utm_campaign=iosappmessage&amp;utm_medium=referral&amp;utm_source=txtshare</v>
      </c>
      <c r="K497" s="5" t="str">
        <f ca="1">IFERROR(__xludf.DUMMYFUNCTION("""COMPUTED_VALUE"""),"Shapell properties")</f>
        <v>Shapell properties</v>
      </c>
      <c r="L497" s="5"/>
      <c r="M497" s="5" t="str">
        <f ca="1">IFERROR(__xludf.DUMMYFUNCTION("""COMPUTED_VALUE"""),"Price has been raised on 01/05/2025, again on 01/12/2025 (by over 20%), and again on 01/13/2025")</f>
        <v>Price has been raised on 01/05/2025, again on 01/12/2025 (by over 20%), and again on 01/13/2025</v>
      </c>
      <c r="N497" s="26" t="str">
        <f ca="1">IFERROR(__xludf.DUMMYFUNCTION("""COMPUTED_VALUE"""),"https://drive.google.com/open?id=1ttVIvi-CSobryGROKiA-7DH0m6DksybI")</f>
        <v>https://drive.google.com/open?id=1ttVIvi-CSobryGROKiA-7DH0m6DksybI</v>
      </c>
      <c r="O497" s="5" t="str">
        <f ca="1">IFERROR(__xludf.DUMMYFUNCTION("""COMPUTED_VALUE"""),"Na")</f>
        <v>Na</v>
      </c>
      <c r="P497" s="5" t="str">
        <f ca="1">IFERROR(__xludf.DUMMYFUNCTION("""COMPUTED_VALUE"""),"213 510-1426")</f>
        <v>213 510-1426</v>
      </c>
      <c r="Q497" s="5"/>
      <c r="R497" s="5"/>
      <c r="S497" s="5"/>
      <c r="T497" s="5"/>
    </row>
    <row r="498" spans="1:20" ht="12.75">
      <c r="A498" s="24">
        <f ca="1">IFERROR(__xludf.DUMMYFUNCTION("""COMPUTED_VALUE"""),45670.5856629282)</f>
        <v>45670.585662928199</v>
      </c>
      <c r="B498" s="5" t="str">
        <f ca="1">IFERROR(__xludf.DUMMYFUNCTION("""COMPUTED_VALUE"""),"( undisclosed) Hermosa Beach ")</f>
        <v xml:space="preserve">( undisclosed) Hermosa Beach </v>
      </c>
      <c r="C498" s="5" t="str">
        <f ca="1">IFERROR(__xludf.DUMMYFUNCTION("""COMPUTED_VALUE"""),"Hermosa Beach")</f>
        <v>Hermosa Beach</v>
      </c>
      <c r="D498" s="5" t="str">
        <f ca="1">IFERROR(__xludf.DUMMYFUNCTION("""COMPUTED_VALUE"""),"CA")</f>
        <v>CA</v>
      </c>
      <c r="E498" s="5">
        <f ca="1">IFERROR(__xludf.DUMMYFUNCTION("""COMPUTED_VALUE"""),90254)</f>
        <v>90254</v>
      </c>
      <c r="F498" s="19">
        <f ca="1">IFERROR(__xludf.DUMMYFUNCTION("""COMPUTED_VALUE"""),7500)</f>
        <v>7500</v>
      </c>
      <c r="G498" s="19">
        <f ca="1">IFERROR(__xludf.DUMMYFUNCTION("""COMPUTED_VALUE"""),17050)</f>
        <v>17050</v>
      </c>
      <c r="H498" s="18">
        <f ca="1">IFERROR(__xludf.DUMMYFUNCTION("""COMPUTED_VALUE"""),45669)</f>
        <v>45669</v>
      </c>
      <c r="I498" s="5" t="str">
        <f ca="1">IFERROR(__xludf.DUMMYFUNCTION("""COMPUTED_VALUE"""),"Zillow")</f>
        <v>Zillow</v>
      </c>
      <c r="J498" s="25" t="str">
        <f ca="1">IFERROR(__xludf.DUMMYFUNCTION("""COMPUTED_VALUE"""),"https://www.zillow.com/homedetails/Hermosa-Beach-CA-90254/20425174_zpid/")</f>
        <v>https://www.zillow.com/homedetails/Hermosa-Beach-CA-90254/20425174_zpid/</v>
      </c>
      <c r="K498" s="5"/>
      <c r="L498" s="5"/>
      <c r="M498" s="5" t="str">
        <f ca="1">IFERROR(__xludf.DUMMYFUNCTION("""COMPUTED_VALUE"""),"Dude is putting in details and erasing to show the rent increase is in the negative")</f>
        <v>Dude is putting in details and erasing to show the rent increase is in the negative</v>
      </c>
      <c r="N498" s="26" t="str">
        <f ca="1">IFERROR(__xludf.DUMMYFUNCTION("""COMPUTED_VALUE"""),"https://drive.google.com/open?id=1LdFH1VeuzmSbUFzP0UlZWDcsS1Q1rBSg")</f>
        <v>https://drive.google.com/open?id=1LdFH1VeuzmSbUFzP0UlZWDcsS1Q1rBSg</v>
      </c>
      <c r="O498" s="5" t="str">
        <f ca="1">IFERROR(__xludf.DUMMYFUNCTION("""COMPUTED_VALUE"""),"Na")</f>
        <v>Na</v>
      </c>
      <c r="P498" s="5"/>
      <c r="Q498" s="5"/>
      <c r="R498" s="5"/>
      <c r="S498" s="5"/>
      <c r="T498" s="5"/>
    </row>
    <row r="499" spans="1:20" ht="12.75">
      <c r="A499" s="24">
        <f ca="1">IFERROR(__xludf.DUMMYFUNCTION("""COMPUTED_VALUE"""),45670.5856789004)</f>
        <v>45670.585678900403</v>
      </c>
      <c r="B499" s="5" t="str">
        <f ca="1">IFERROR(__xludf.DUMMYFUNCTION("""COMPUTED_VALUE"""),"6229 Fallbrook Ave")</f>
        <v>6229 Fallbrook Ave</v>
      </c>
      <c r="C499" s="5" t="str">
        <f ca="1">IFERROR(__xludf.DUMMYFUNCTION("""COMPUTED_VALUE"""),"Woodland Hills")</f>
        <v>Woodland Hills</v>
      </c>
      <c r="D499" s="5" t="str">
        <f ca="1">IFERROR(__xludf.DUMMYFUNCTION("""COMPUTED_VALUE"""),"CA")</f>
        <v>CA</v>
      </c>
      <c r="E499" s="5">
        <f ca="1">IFERROR(__xludf.DUMMYFUNCTION("""COMPUTED_VALUE"""),91367)</f>
        <v>91367</v>
      </c>
      <c r="F499" s="19">
        <f ca="1">IFERROR(__xludf.DUMMYFUNCTION("""COMPUTED_VALUE"""),3950)</f>
        <v>3950</v>
      </c>
      <c r="G499" s="19">
        <f ca="1">IFERROR(__xludf.DUMMYFUNCTION("""COMPUTED_VALUE"""),6900)</f>
        <v>6900</v>
      </c>
      <c r="H499" s="18">
        <f ca="1">IFERROR(__xludf.DUMMYFUNCTION("""COMPUTED_VALUE"""),45670)</f>
        <v>45670</v>
      </c>
      <c r="I499" s="5" t="str">
        <f ca="1">IFERROR(__xludf.DUMMYFUNCTION("""COMPUTED_VALUE"""),"Zillow")</f>
        <v>Zillow</v>
      </c>
      <c r="J499" s="25" t="str">
        <f ca="1">IFERROR(__xludf.DUMMYFUNCTION("""COMPUTED_VALUE"""),"https://www.zillow.com/homedetails/6229-Fallbrook-Ave-Woodland-Hills-CA-91367/19877436_zpid/")</f>
        <v>https://www.zillow.com/homedetails/6229-Fallbrook-Ave-Woodland-Hills-CA-91367/19877436_zpid/</v>
      </c>
      <c r="K499" s="5"/>
      <c r="L499" s="5" t="str">
        <f ca="1">IFERROR(__xludf.DUMMYFUNCTION("""COMPUTED_VALUE"""),"lilach cohen")</f>
        <v>lilach cohen</v>
      </c>
      <c r="M499" s="5"/>
      <c r="N499" s="5" t="str">
        <f ca="1">IFERROR(__xludf.DUMMYFUNCTION("""COMPUTED_VALUE"""),"https://drive.google.com/open?id=1o0DPmMu4AnOW2cunsBklU5ypFY0PjGm5, https://drive.google.com/open?id=1SbD6C6tJ5ZknQE_8yR0SA6goRfCebMZL")</f>
        <v>https://drive.google.com/open?id=1o0DPmMu4AnOW2cunsBklU5ypFY0PjGm5, https://drive.google.com/open?id=1SbD6C6tJ5ZknQE_8yR0SA6goRfCebMZL</v>
      </c>
      <c r="O499" s="5">
        <f ca="1">IFERROR(__xludf.DUMMYFUNCTION("""COMPUTED_VALUE"""),2039013053)</f>
        <v>2039013053</v>
      </c>
      <c r="P499" s="5"/>
      <c r="Q499" s="5"/>
      <c r="R499" s="5" t="str">
        <f ca="1">IFERROR(__xludf.DUMMYFUNCTION("""COMPUTED_VALUE"""),"(818) 744-1200")</f>
        <v>(818) 744-1200</v>
      </c>
      <c r="S499" s="5"/>
      <c r="T499" s="5"/>
    </row>
    <row r="500" spans="1:20" ht="12.75">
      <c r="A500" s="24">
        <f ca="1">IFERROR(__xludf.DUMMYFUNCTION("""COMPUTED_VALUE"""),45670.5867132175)</f>
        <v>45670.586713217497</v>
      </c>
      <c r="B500" s="5" t="str">
        <f ca="1">IFERROR(__xludf.DUMMYFUNCTION("""COMPUTED_VALUE"""),"1070 S Bedford St #405A ")</f>
        <v xml:space="preserve">1070 S Bedford St #405A </v>
      </c>
      <c r="C500" s="5" t="str">
        <f ca="1">IFERROR(__xludf.DUMMYFUNCTION("""COMPUTED_VALUE"""),"Los Angeles")</f>
        <v>Los Angeles</v>
      </c>
      <c r="D500" s="5" t="str">
        <f ca="1">IFERROR(__xludf.DUMMYFUNCTION("""COMPUTED_VALUE"""),"CA")</f>
        <v>CA</v>
      </c>
      <c r="E500" s="5">
        <f ca="1">IFERROR(__xludf.DUMMYFUNCTION("""COMPUTED_VALUE"""),90035)</f>
        <v>90035</v>
      </c>
      <c r="F500" s="19">
        <f ca="1">IFERROR(__xludf.DUMMYFUNCTION("""COMPUTED_VALUE"""),4690)</f>
        <v>4690</v>
      </c>
      <c r="G500" s="19">
        <f ca="1">IFERROR(__xludf.DUMMYFUNCTION("""COMPUTED_VALUE"""),10000)</f>
        <v>10000</v>
      </c>
      <c r="H500" s="18">
        <f ca="1">IFERROR(__xludf.DUMMYFUNCTION("""COMPUTED_VALUE"""),45670)</f>
        <v>45670</v>
      </c>
      <c r="I500" s="5" t="str">
        <f ca="1">IFERROR(__xludf.DUMMYFUNCTION("""COMPUTED_VALUE"""),"Zillow")</f>
        <v>Zillow</v>
      </c>
      <c r="J500" s="25" t="str">
        <f ca="1">IFERROR(__xludf.DUMMYFUNCTION("""COMPUTED_VALUE"""),"https://www.zillow.com/homedetails/1070-S-Bedford-St-405A-Los-Angeles-CA-90035/443493164_zpid/")</f>
        <v>https://www.zillow.com/homedetails/1070-S-Bedford-St-405A-Los-Angeles-CA-90035/443493164_zpid/</v>
      </c>
      <c r="K500" s="5" t="str">
        <f ca="1">IFERROR(__xludf.DUMMYFUNCTION("""COMPUTED_VALUE"""),"Mikey")</f>
        <v>Mikey</v>
      </c>
      <c r="L500" s="5" t="str">
        <f ca="1">IFERROR(__xludf.DUMMYFUNCTION("""COMPUTED_VALUE"""),"Hoffman Brother's Reality ")</f>
        <v xml:space="preserve">Hoffman Brother's Reality </v>
      </c>
      <c r="M500" s="5" t="str">
        <f ca="1">IFERROR(__xludf.DUMMYFUNCTION("""COMPUTED_VALUE"""),"On 1/7, the first day of the fires it was listed for $4,690. On 1/13 it raised to $10,000. ")</f>
        <v xml:space="preserve">On 1/7, the first day of the fires it was listed for $4,690. On 1/13 it raised to $10,000. </v>
      </c>
      <c r="N500" s="26" t="str">
        <f ca="1">IFERROR(__xludf.DUMMYFUNCTION("""COMPUTED_VALUE"""),"https://drive.google.com/open?id=1a-WYDLcGBl4IZmWF8DzX3AXxoGl9Zrk4")</f>
        <v>https://drive.google.com/open?id=1a-WYDLcGBl4IZmWF8DzX3AXxoGl9Zrk4</v>
      </c>
      <c r="O500" s="5" t="str">
        <f ca="1">IFERROR(__xludf.DUMMYFUNCTION("""COMPUTED_VALUE"""),"n/a")</f>
        <v>n/a</v>
      </c>
      <c r="P500" s="5" t="str">
        <f ca="1">IFERROR(__xludf.DUMMYFUNCTION("""COMPUTED_VALUE"""),"213-855-2731")</f>
        <v>213-855-2731</v>
      </c>
      <c r="Q500" s="5"/>
      <c r="R500" s="5" t="str">
        <f ca="1">IFERROR(__xludf.DUMMYFUNCTION("""COMPUTED_VALUE"""),"(323) 416-3316")</f>
        <v>(323) 416-3316</v>
      </c>
      <c r="S500" s="5" t="str">
        <f ca="1">IFERROR(__xludf.DUMMYFUNCTION("""COMPUTED_VALUE"""),"Dovi@hoffmanbrothersrealty.com")</f>
        <v>Dovi@hoffmanbrothersrealty.com</v>
      </c>
      <c r="T500" s="5"/>
    </row>
    <row r="501" spans="1:20" ht="12.75">
      <c r="A501" s="24">
        <f ca="1">IFERROR(__xludf.DUMMYFUNCTION("""COMPUTED_VALUE"""),45670.5868887384)</f>
        <v>45670.586888738399</v>
      </c>
      <c r="B501" s="5" t="str">
        <f ca="1">IFERROR(__xludf.DUMMYFUNCTION("""COMPUTED_VALUE"""),"6358 La Rocha Dr")</f>
        <v>6358 La Rocha Dr</v>
      </c>
      <c r="C501" s="5" t="str">
        <f ca="1">IFERROR(__xludf.DUMMYFUNCTION("""COMPUTED_VALUE"""),"Los Angeles")</f>
        <v>Los Angeles</v>
      </c>
      <c r="D501" s="5" t="str">
        <f ca="1">IFERROR(__xludf.DUMMYFUNCTION("""COMPUTED_VALUE"""),"Other")</f>
        <v>Other</v>
      </c>
      <c r="E501" s="5">
        <f ca="1">IFERROR(__xludf.DUMMYFUNCTION("""COMPUTED_VALUE"""),90068)</f>
        <v>90068</v>
      </c>
      <c r="F501" s="19">
        <f ca="1">IFERROR(__xludf.DUMMYFUNCTION("""COMPUTED_VALUE"""),18500)</f>
        <v>18500</v>
      </c>
      <c r="G501" s="19">
        <f ca="1">IFERROR(__xludf.DUMMYFUNCTION("""COMPUTED_VALUE"""),23500)</f>
        <v>23500</v>
      </c>
      <c r="H501" s="18">
        <f ca="1">IFERROR(__xludf.DUMMYFUNCTION("""COMPUTED_VALUE"""),45670)</f>
        <v>45670</v>
      </c>
      <c r="I501" s="5" t="str">
        <f ca="1">IFERROR(__xludf.DUMMYFUNCTION("""COMPUTED_VALUE"""),"Redfin")</f>
        <v>Redfin</v>
      </c>
      <c r="J501" s="25" t="str">
        <f ca="1">IFERROR(__xludf.DUMMYFUNCTION("""COMPUTED_VALUE"""),"https://www.redfin.com/CA/Los-Angeles/6358-La-Rocha-Dr-90068/home/7127670#property-history")</f>
        <v>https://www.redfin.com/CA/Los-Angeles/6358-La-Rocha-Dr-90068/home/7127670#property-history</v>
      </c>
      <c r="K501" s="5"/>
      <c r="L501" s="5"/>
      <c r="M501" s="5"/>
      <c r="N501" s="26" t="str">
        <f ca="1">IFERROR(__xludf.DUMMYFUNCTION("""COMPUTED_VALUE"""),"https://drive.google.com/open?id=1zq7sGmKX4LMWYLrExqaL0CgPqHv0hWQs")</f>
        <v>https://drive.google.com/open?id=1zq7sGmKX4LMWYLrExqaL0CgPqHv0hWQs</v>
      </c>
      <c r="O501" s="5" t="str">
        <f ca="1">IFERROR(__xludf.DUMMYFUNCTION("""COMPUTED_VALUE"""),"NA")</f>
        <v>NA</v>
      </c>
      <c r="P501" s="5"/>
      <c r="Q501" s="5"/>
      <c r="R501" s="5"/>
      <c r="S501" s="5"/>
      <c r="T501" s="5"/>
    </row>
    <row r="502" spans="1:20" ht="12.75">
      <c r="A502" s="24">
        <f ca="1">IFERROR(__xludf.DUMMYFUNCTION("""COMPUTED_VALUE"""),45670.5874084259)</f>
        <v>45670.587408425898</v>
      </c>
      <c r="B502" s="5" t="str">
        <f ca="1">IFERROR(__xludf.DUMMYFUNCTION("""COMPUTED_VALUE"""),"3055 Landa St")</f>
        <v>3055 Landa St</v>
      </c>
      <c r="C502" s="5" t="str">
        <f ca="1">IFERROR(__xludf.DUMMYFUNCTION("""COMPUTED_VALUE"""),"Los Angeles")</f>
        <v>Los Angeles</v>
      </c>
      <c r="D502" s="5" t="str">
        <f ca="1">IFERROR(__xludf.DUMMYFUNCTION("""COMPUTED_VALUE"""),"CA")</f>
        <v>CA</v>
      </c>
      <c r="E502" s="5">
        <f ca="1">IFERROR(__xludf.DUMMYFUNCTION("""COMPUTED_VALUE"""),90039)</f>
        <v>90039</v>
      </c>
      <c r="F502" s="19">
        <f ca="1">IFERROR(__xludf.DUMMYFUNCTION("""COMPUTED_VALUE"""),9000)</f>
        <v>9000</v>
      </c>
      <c r="G502" s="19">
        <f ca="1">IFERROR(__xludf.DUMMYFUNCTION("""COMPUTED_VALUE"""),12000)</f>
        <v>12000</v>
      </c>
      <c r="H502" s="18">
        <f ca="1">IFERROR(__xludf.DUMMYFUNCTION("""COMPUTED_VALUE"""),45670)</f>
        <v>45670</v>
      </c>
      <c r="I502" s="5" t="str">
        <f ca="1">IFERROR(__xludf.DUMMYFUNCTION("""COMPUTED_VALUE"""),"Zillow")</f>
        <v>Zillow</v>
      </c>
      <c r="J502" s="25" t="str">
        <f ca="1">IFERROR(__xludf.DUMMYFUNCTION("""COMPUTED_VALUE"""),"https://www.zillow.com/homedetails/3055-Landa-St-Los-Angeles-CA-90039/20747666_zpid/?rtoken=b1891952-e094-45d9-ae50-3cab14af4087~X1-ZU14jqana78s9vt_5gnlt&amp;utm_campaign=emo-instantsavedsearch-rental&amp;utm_source=email&amp;utm_term=urn:msg:20250113143102be2199294c"&amp;"c2065f&amp;utm_medium=email&amp;utm_content=forrentimage&amp;sse=X1-SSx1jqpcj6xc560000000000_3wguh&amp;srp=H4sIAAAAAAAAAI2UTXObMBCGfw3HxNKCBD50Ok3aQ4+NL51ePAsWAUcfWB+O8+/LWJjiNG7FSVqed3f1smjVGSXcqjV2a4X2q89OoG26H0HYt41HLz5l5UMGoHB4MEHv3LjO8i8x+Cqcj/s7Sqt7WFNO1hR4UTDKMngc"&amp;"3wm8RoAD4bSgFXBCI+JM8F1k8uKeMM5yXpSMVIyWkdDGLghK2FiA83WRl0B5Vn6NVNtLL+y56WWTbhQv90eU4QIADLY3tvdvrjH2HJ2z2Rsib8fVTLkab3AtSncFmiRQN0lYo5xOAjGkJWyn8/8XVMMSU/3UBgAhE4CnGKLAxthFV4vr4ZmV+TuZDlL+UaHvPpbBv2SqTXPRpJkoUe/S3O5SpgaHtKHBoUkbGndo/YcmUfbXV7nySWJIaXhA+3K"&amp;"r5Qs4W4/DL2PUVL+YjA7OG/Uknnujv1+sBKgYr2vOWdX8pHePT8djccA87F9qW29p7qw814hHxKPYbc6X0zdtjZRqvK4WqcYEm82J7g9Ds+enhnEyP9v89Tl08ef+Dfk5Hs/wBAAA")</f>
        <v>https://www.zillow.com/homedetails/3055-Landa-St-Los-Angeles-CA-90039/20747666_zpid/?rtoken=b1891952-e094-45d9-ae50-3cab14af4087~X1-ZU14jqana78s9vt_5gnlt&amp;utm_campaign=emo-instantsavedsearch-rental&amp;utm_source=email&amp;utm_term=urn:msg:20250113143102be2199294cc2065f&amp;utm_medium=email&amp;utm_content=forrentimage&amp;sse=X1-SSx1jqpcj6xc560000000000_3wguh&amp;srp=H4sIAAAAAAAAAI2UTXObMBCGfw3HxNKCBD50Ok3aQ4+NL51ePAsWAUcfWB+O8+/LWJjiNG7FSVqed3f1smjVGSXcqjV2a4X2q89OoG26H0HYt41HLz5l5UMGoHB4MEHv3LjO8i8x+Cqcj/s7Sqt7WFNO1hR4UTDKMngc3wm8RoAD4bSgFXBCI+JM8F1k8uKeMM5yXpSMVIyWkdDGLghK2FiA83WRl0B5Vn6NVNtLL+y56WWTbhQv90eU4QIADLY3tvdvrjH2HJ2z2Rsib8fVTLkab3AtSncFmiRQN0lYo5xOAjGkJWyn8/8XVMMSU/3UBgAhE4CnGKLAxthFV4vr4ZmV+TuZDlL+UaHvPpbBv2SqTXPRpJkoUe/S3O5SpgaHtKHBoUkbGndo/YcmUfbXV7nySWJIaXhA+3Kr5Qs4W4/DL2PUVL+YjA7OG/Uknnujv1+sBKgYr2vOWdX8pHePT8djccA87F9qW29p7qw814hHxKPYbc6X0zdtjZRqvK4WqcYEm82J7g9Ds+enhnEyP9v89Tl08ef+Dfk5Hs/wBAAA</v>
      </c>
      <c r="K502" s="5" t="str">
        <f ca="1">IFERROR(__xludf.DUMMYFUNCTION("""COMPUTED_VALUE"""),"Edward Kay")</f>
        <v>Edward Kay</v>
      </c>
      <c r="L502" s="5" t="str">
        <f ca="1">IFERROR(__xludf.DUMMYFUNCTION("""COMPUTED_VALUE"""),"Edward Kay")</f>
        <v>Edward Kay</v>
      </c>
      <c r="M502" s="5" t="str">
        <f ca="1">IFERROR(__xludf.DUMMYFUNCTION("""COMPUTED_VALUE"""),"Per a post on X.com, it looks like this potential property owner Edward Kay had another property that he price gouged on as well (3512 Crestmont Ave Los Angeles, CA 90026), which incidentally enough, I also got a Zillow alert about this morning that I was"&amp;" going to add, but it looks like it's been reported on the excel already + listing now offline. https://x.com/kristentepper/status/1878331214030856236?mx=2")</f>
        <v>Per a post on X.com, it looks like this potential property owner Edward Kay had another property that he price gouged on as well (3512 Crestmont Ave Los Angeles, CA 90026), which incidentally enough, I also got a Zillow alert about this morning that I was going to add, but it looks like it's been reported on the excel already + listing now offline. https://x.com/kristentepper/status/1878331214030856236?mx=2</v>
      </c>
      <c r="N502" s="5" t="str">
        <f ca="1">IFERROR(__xludf.DUMMYFUNCTION("""COMPUTED_VALUE"""),"https://drive.google.com/open?id=1WdO4IxIyxSvlHInEagDuMmlv_piExZJX, https://drive.google.com/open?id=13SJGJ2G-42_LUlMxz5mSVb9LmZqCc2I7, https://drive.google.com/open?id=1vjU-EhnBGXVzJTItgoLFYjna4JuAU0NO")</f>
        <v>https://drive.google.com/open?id=1WdO4IxIyxSvlHInEagDuMmlv_piExZJX, https://drive.google.com/open?id=13SJGJ2G-42_LUlMxz5mSVb9LmZqCc2I7, https://drive.google.com/open?id=1vjU-EhnBGXVzJTItgoLFYjna4JuAU0NO</v>
      </c>
      <c r="O502" s="5">
        <f ca="1">IFERROR(__xludf.DUMMYFUNCTION("""COMPUTED_VALUE"""),5431021002)</f>
        <v>5431021002</v>
      </c>
      <c r="P502" s="5" t="str">
        <f ca="1">IFERROR(__xludf.DUMMYFUNCTION("""COMPUTED_VALUE"""),"(818) 401-8719")</f>
        <v>(818) 401-8719</v>
      </c>
      <c r="Q502" s="5"/>
      <c r="R502" s="5" t="str">
        <f ca="1">IFERROR(__xludf.DUMMYFUNCTION("""COMPUTED_VALUE"""),"(818) 401-8719")</f>
        <v>(818) 401-8719</v>
      </c>
      <c r="S502" s="5"/>
      <c r="T502" s="5"/>
    </row>
    <row r="503" spans="1:20" ht="12.75">
      <c r="A503" s="24">
        <f ca="1">IFERROR(__xludf.DUMMYFUNCTION("""COMPUTED_VALUE"""),45670.5879763888)</f>
        <v>45670.587976388801</v>
      </c>
      <c r="B503" s="5" t="str">
        <f ca="1">IFERROR(__xludf.DUMMYFUNCTION("""COMPUTED_VALUE"""),"414 Monterey Blvd, Hermosa Beach, CA 90254")</f>
        <v>414 Monterey Blvd, Hermosa Beach, CA 90254</v>
      </c>
      <c r="C503" s="5" t="str">
        <f ca="1">IFERROR(__xludf.DUMMYFUNCTION("""COMPUTED_VALUE"""),"Hermosa Beach, CA 90254")</f>
        <v>Hermosa Beach, CA 90254</v>
      </c>
      <c r="D503" s="5" t="str">
        <f ca="1">IFERROR(__xludf.DUMMYFUNCTION("""COMPUTED_VALUE"""),"CA")</f>
        <v>CA</v>
      </c>
      <c r="E503" s="5">
        <f ca="1">IFERROR(__xludf.DUMMYFUNCTION("""COMPUTED_VALUE"""),90254)</f>
        <v>90254</v>
      </c>
      <c r="F503" s="19">
        <f ca="1">IFERROR(__xludf.DUMMYFUNCTION("""COMPUTED_VALUE"""),5250)</f>
        <v>5250</v>
      </c>
      <c r="G503" s="19">
        <f ca="1">IFERROR(__xludf.DUMMYFUNCTION("""COMPUTED_VALUE"""),10000)</f>
        <v>10000</v>
      </c>
      <c r="H503" s="18">
        <f ca="1">IFERROR(__xludf.DUMMYFUNCTION("""COMPUTED_VALUE"""),45588)</f>
        <v>45588</v>
      </c>
      <c r="I503" s="5" t="str">
        <f ca="1">IFERROR(__xludf.DUMMYFUNCTION("""COMPUTED_VALUE"""),"Zillow")</f>
        <v>Zillow</v>
      </c>
      <c r="J503" s="25" t="str">
        <f ca="1">IFERROR(__xludf.DUMMYFUNCTION("""COMPUTED_VALUE"""),"https://www.zillow.com/homedetails/414-Monterey-Blvd-Hermosa-Beach-CA-90254/20428484_zpid/")</f>
        <v>https://www.zillow.com/homedetails/414-Monterey-Blvd-Hermosa-Beach-CA-90254/20428484_zpid/</v>
      </c>
      <c r="K503" s="5"/>
      <c r="L503" s="5"/>
      <c r="M503" s="5"/>
      <c r="N503" s="26" t="str">
        <f ca="1">IFERROR(__xludf.DUMMYFUNCTION("""COMPUTED_VALUE"""),"https://drive.google.com/open?id=1f8I2DxZfiad6SVYQyQ8sMmIFEbqHKyuc")</f>
        <v>https://drive.google.com/open?id=1f8I2DxZfiad6SVYQyQ8sMmIFEbqHKyuc</v>
      </c>
      <c r="O503" s="5" t="str">
        <f ca="1">IFERROR(__xludf.DUMMYFUNCTION("""COMPUTED_VALUE"""),"Na")</f>
        <v>Na</v>
      </c>
      <c r="P503" s="5"/>
      <c r="Q503" s="5"/>
      <c r="R503" s="5"/>
      <c r="S503" s="5"/>
      <c r="T503" s="5"/>
    </row>
    <row r="504" spans="1:20" ht="12.75">
      <c r="A504" s="27">
        <f ca="1">IFERROR(__xludf.DUMMYFUNCTION("""COMPUTED_VALUE"""),45670.5882025)</f>
        <v>45670.588202500003</v>
      </c>
      <c r="B504" s="5" t="str">
        <f ca="1">IFERROR(__xludf.DUMMYFUNCTION("""COMPUTED_VALUE"""),"632 N Hayworth Ave APT 3")</f>
        <v>632 N Hayworth Ave APT 3</v>
      </c>
      <c r="C504" s="5" t="str">
        <f ca="1">IFERROR(__xludf.DUMMYFUNCTION("""COMPUTED_VALUE"""),"Los Angeles")</f>
        <v>Los Angeles</v>
      </c>
      <c r="D504" s="5" t="str">
        <f ca="1">IFERROR(__xludf.DUMMYFUNCTION("""COMPUTED_VALUE"""),"CA")</f>
        <v>CA</v>
      </c>
      <c r="E504" s="5">
        <f ca="1">IFERROR(__xludf.DUMMYFUNCTION("""COMPUTED_VALUE"""),90048)</f>
        <v>90048</v>
      </c>
      <c r="F504" s="19">
        <f ca="1">IFERROR(__xludf.DUMMYFUNCTION("""COMPUTED_VALUE"""),4600)</f>
        <v>4600</v>
      </c>
      <c r="G504" s="19">
        <f ca="1">IFERROR(__xludf.DUMMYFUNCTION("""COMPUTED_VALUE"""),5600)</f>
        <v>5600</v>
      </c>
      <c r="H504" s="18">
        <f ca="1">IFERROR(__xludf.DUMMYFUNCTION("""COMPUTED_VALUE"""),45670)</f>
        <v>45670</v>
      </c>
      <c r="I504" s="5" t="str">
        <f ca="1">IFERROR(__xludf.DUMMYFUNCTION("""COMPUTED_VALUE"""),"Zillow")</f>
        <v>Zillow</v>
      </c>
      <c r="J504" s="25" t="str">
        <f ca="1">IFERROR(__xludf.DUMMYFUNCTION("""COMPUTED_VALUE"""),"https://www.zillow.com/homedetails/632-N-Hayworth-Ave-APT-3-Los-Angeles-CA-90048/2080867853_zpid/")</f>
        <v>https://www.zillow.com/homedetails/632-N-Hayworth-Ave-APT-3-Los-Angeles-CA-90048/2080867853_zpid/</v>
      </c>
      <c r="K504" s="5"/>
      <c r="L504" s="5" t="str">
        <f ca="1">IFERROR(__xludf.DUMMYFUNCTION("""COMPUTED_VALUE"""),"Sarah")</f>
        <v>Sarah</v>
      </c>
      <c r="M504" s="5"/>
      <c r="N504" s="5" t="str">
        <f ca="1">IFERROR(__xludf.DUMMYFUNCTION("""COMPUTED_VALUE"""),"https://drive.google.com/open?id=1_CqTrRKKyImUtMZZoTrGiwQpFD0oiydU, https://drive.google.com/open?id=1jkb121HjIu65RyGm_tNLy_08nHGLueGt")</f>
        <v>https://drive.google.com/open?id=1_CqTrRKKyImUtMZZoTrGiwQpFD0oiydU, https://drive.google.com/open?id=1jkb121HjIu65RyGm_tNLy_08nHGLueGt</v>
      </c>
      <c r="O504" s="5" t="str">
        <f ca="1">IFERROR(__xludf.DUMMYFUNCTION("""COMPUTED_VALUE"""),"NA")</f>
        <v>NA</v>
      </c>
      <c r="P504" s="5"/>
      <c r="Q504" s="5"/>
      <c r="R504" s="5" t="str">
        <f ca="1">IFERROR(__xludf.DUMMYFUNCTION("""COMPUTED_VALUE"""),"(513) 478-7990")</f>
        <v>(513) 478-7990</v>
      </c>
      <c r="S504" s="5"/>
      <c r="T504" s="5"/>
    </row>
    <row r="505" spans="1:20" ht="12.75">
      <c r="A505" s="24">
        <f ca="1">IFERROR(__xludf.DUMMYFUNCTION("""COMPUTED_VALUE"""),45670.5888059837)</f>
        <v>45670.588805983702</v>
      </c>
      <c r="B505" s="5" t="str">
        <f ca="1">IFERROR(__xludf.DUMMYFUNCTION("""COMPUTED_VALUE"""),"5571 Camp Street")</f>
        <v>5571 Camp Street</v>
      </c>
      <c r="C505" s="5" t="str">
        <f ca="1">IFERROR(__xludf.DUMMYFUNCTION("""COMPUTED_VALUE"""),"Cypress")</f>
        <v>Cypress</v>
      </c>
      <c r="D505" s="5" t="str">
        <f ca="1">IFERROR(__xludf.DUMMYFUNCTION("""COMPUTED_VALUE"""),"CA")</f>
        <v>CA</v>
      </c>
      <c r="E505" s="5">
        <f ca="1">IFERROR(__xludf.DUMMYFUNCTION("""COMPUTED_VALUE"""),90630)</f>
        <v>90630</v>
      </c>
      <c r="F505" s="19">
        <f ca="1">IFERROR(__xludf.DUMMYFUNCTION("""COMPUTED_VALUE"""),7500)</f>
        <v>7500</v>
      </c>
      <c r="G505" s="19">
        <f ca="1">IFERROR(__xludf.DUMMYFUNCTION("""COMPUTED_VALUE"""),10000)</f>
        <v>10000</v>
      </c>
      <c r="H505" s="18">
        <f ca="1">IFERROR(__xludf.DUMMYFUNCTION("""COMPUTED_VALUE"""),45666)</f>
        <v>45666</v>
      </c>
      <c r="I505" s="5" t="str">
        <f ca="1">IFERROR(__xludf.DUMMYFUNCTION("""COMPUTED_VALUE"""),"Zillow")</f>
        <v>Zillow</v>
      </c>
      <c r="J505" s="25" t="str">
        <f ca="1">IFERROR(__xludf.DUMMYFUNCTION("""COMPUTED_VALUE"""),"https://www.zillow.com/homedetails/5571-Camp-St-Cypress-CA-90630/25330127_zpid/")</f>
        <v>https://www.zillow.com/homedetails/5571-Camp-St-Cypress-CA-90630/25330127_zpid/</v>
      </c>
      <c r="K505" s="5"/>
      <c r="L505" s="5" t="str">
        <f ca="1">IFERROR(__xludf.DUMMYFUNCTION("""COMPUTED_VALUE"""),"David")</f>
        <v>David</v>
      </c>
      <c r="M505" s="5" t="str">
        <f ca="1">IFERROR(__xludf.DUMMYFUNCTION("""COMPUTED_VALUE"""),"+33% increase. Was listed to rent for $7,500 on 11/29/2024.")</f>
        <v>+33% increase. Was listed to rent for $7,500 on 11/29/2024.</v>
      </c>
      <c r="N505" s="5" t="str">
        <f ca="1">IFERROR(__xludf.DUMMYFUNCTION("""COMPUTED_VALUE"""),"https://drive.google.com/open?id=1vhscfmJ6Mer4-mqRLU7vHc5f8PzSo3gC, https://drive.google.com/open?id=19H4H8UY1M9iinlNXJdbVgU1gcrvk_FKb")</f>
        <v>https://drive.google.com/open?id=1vhscfmJ6Mer4-mqRLU7vHc5f8PzSo3gC, https://drive.google.com/open?id=19H4H8UY1M9iinlNXJdbVgU1gcrvk_FKb</v>
      </c>
      <c r="O505" s="5">
        <f ca="1">IFERROR(__xludf.DUMMYFUNCTION("""COMPUTED_VALUE"""),24447324)</f>
        <v>24447324</v>
      </c>
      <c r="P505" s="5"/>
      <c r="Q505" s="5"/>
      <c r="R505" s="5" t="str">
        <f ca="1">IFERROR(__xludf.DUMMYFUNCTION("""COMPUTED_VALUE"""),"626-417-1036")</f>
        <v>626-417-1036</v>
      </c>
      <c r="S505" s="5"/>
      <c r="T505" s="5"/>
    </row>
    <row r="506" spans="1:20" ht="12.75">
      <c r="A506" s="24">
        <f ca="1">IFERROR(__xludf.DUMMYFUNCTION("""COMPUTED_VALUE"""),45670.5906030208)</f>
        <v>45670.590603020799</v>
      </c>
      <c r="B506" s="5" t="str">
        <f ca="1">IFERROR(__xludf.DUMMYFUNCTION("""COMPUTED_VALUE"""),"8568 Burton Way APT 301")</f>
        <v>8568 Burton Way APT 301</v>
      </c>
      <c r="C506" s="5" t="str">
        <f ca="1">IFERROR(__xludf.DUMMYFUNCTION("""COMPUTED_VALUE"""),"Los Angeles")</f>
        <v>Los Angeles</v>
      </c>
      <c r="D506" s="5" t="str">
        <f ca="1">IFERROR(__xludf.DUMMYFUNCTION("""COMPUTED_VALUE"""),"CA")</f>
        <v>CA</v>
      </c>
      <c r="E506" s="5">
        <f ca="1">IFERROR(__xludf.DUMMYFUNCTION("""COMPUTED_VALUE"""),90048)</f>
        <v>90048</v>
      </c>
      <c r="F506" s="19">
        <f ca="1">IFERROR(__xludf.DUMMYFUNCTION("""COMPUTED_VALUE"""),5495)</f>
        <v>5495</v>
      </c>
      <c r="G506" s="19">
        <f ca="1">IFERROR(__xludf.DUMMYFUNCTION("""COMPUTED_VALUE"""),6995)</f>
        <v>6995</v>
      </c>
      <c r="H506" s="18">
        <f ca="1">IFERROR(__xludf.DUMMYFUNCTION("""COMPUTED_VALUE"""),45670)</f>
        <v>45670</v>
      </c>
      <c r="I506" s="5" t="str">
        <f ca="1">IFERROR(__xludf.DUMMYFUNCTION("""COMPUTED_VALUE"""),"Zillow")</f>
        <v>Zillow</v>
      </c>
      <c r="J506" s="25" t="str">
        <f ca="1">IFERROR(__xludf.DUMMYFUNCTION("""COMPUTED_VALUE"""),"https://www.zillow.com/homedetails/8568-Burton-Way-APT-301-Los-Angeles-CA-90048/20514791_zpid/")</f>
        <v>https://www.zillow.com/homedetails/8568-Burton-Way-APT-301-Los-Angeles-CA-90048/20514791_zpid/</v>
      </c>
      <c r="K506" s="5"/>
      <c r="L506" s="5" t="str">
        <f ca="1">IFERROR(__xludf.DUMMYFUNCTION("""COMPUTED_VALUE"""),"Daniel Gan")</f>
        <v>Daniel Gan</v>
      </c>
      <c r="M506" s="5"/>
      <c r="N506" s="5" t="str">
        <f ca="1">IFERROR(__xludf.DUMMYFUNCTION("""COMPUTED_VALUE"""),"https://drive.google.com/open?id=1DsqgDEGGJAACAMw2xu4oO-MnRrVlvVqk, https://drive.google.com/open?id=1444fyyv1iSyeTMzz4h8_uSrOdSAc8AMD")</f>
        <v>https://drive.google.com/open?id=1DsqgDEGGJAACAMw2xu4oO-MnRrVlvVqk, https://drive.google.com/open?id=1444fyyv1iSyeTMzz4h8_uSrOdSAc8AMD</v>
      </c>
      <c r="O506" s="5">
        <f ca="1">IFERROR(__xludf.DUMMYFUNCTION("""COMPUTED_VALUE"""),4334016074)</f>
        <v>4334016074</v>
      </c>
      <c r="P506" s="5"/>
      <c r="Q506" s="5"/>
      <c r="R506" s="5" t="str">
        <f ca="1">IFERROR(__xludf.DUMMYFUNCTION("""COMPUTED_VALUE"""),"(323) 972-8132")</f>
        <v>(323) 972-8132</v>
      </c>
      <c r="S506" s="5"/>
      <c r="T506" s="5"/>
    </row>
    <row r="507" spans="1:20" ht="12.75">
      <c r="A507" s="24">
        <f ca="1">IFERROR(__xludf.DUMMYFUNCTION("""COMPUTED_VALUE"""),45670.5926807291)</f>
        <v>45670.592680729103</v>
      </c>
      <c r="B507" s="5" t="str">
        <f ca="1">IFERROR(__xludf.DUMMYFUNCTION("""COMPUTED_VALUE"""),"5669 Tuxedo Ter")</f>
        <v>5669 Tuxedo Ter</v>
      </c>
      <c r="C507" s="5" t="str">
        <f ca="1">IFERROR(__xludf.DUMMYFUNCTION("""COMPUTED_VALUE"""),"Los Angeles")</f>
        <v>Los Angeles</v>
      </c>
      <c r="D507" s="5" t="str">
        <f ca="1">IFERROR(__xludf.DUMMYFUNCTION("""COMPUTED_VALUE"""),"CA")</f>
        <v>CA</v>
      </c>
      <c r="E507" s="5">
        <f ca="1">IFERROR(__xludf.DUMMYFUNCTION("""COMPUTED_VALUE"""),90068)</f>
        <v>90068</v>
      </c>
      <c r="F507" s="19">
        <f ca="1">IFERROR(__xludf.DUMMYFUNCTION("""COMPUTED_VALUE"""),6750)</f>
        <v>6750</v>
      </c>
      <c r="G507" s="19">
        <f ca="1">IFERROR(__xludf.DUMMYFUNCTION("""COMPUTED_VALUE"""),8250)</f>
        <v>8250</v>
      </c>
      <c r="H507" s="18">
        <f ca="1">IFERROR(__xludf.DUMMYFUNCTION("""COMPUTED_VALUE"""),45663)</f>
        <v>45663</v>
      </c>
      <c r="I507" s="5" t="str">
        <f ca="1">IFERROR(__xludf.DUMMYFUNCTION("""COMPUTED_VALUE"""),"Redfin")</f>
        <v>Redfin</v>
      </c>
      <c r="J507" s="25" t="str">
        <f ca="1">IFERROR(__xludf.DUMMYFUNCTION("""COMPUTED_VALUE"""),"https://www.redfin.com/CA/Los-Angeles/5669-Tuxedo-Ter-90068/home/7131755#property-history")</f>
        <v>https://www.redfin.com/CA/Los-Angeles/5669-Tuxedo-Ter-90068/home/7131755#property-history</v>
      </c>
      <c r="K507" s="5" t="str">
        <f ca="1">IFERROR(__xludf.DUMMYFUNCTION("""COMPUTED_VALUE"""),"Mark Grimes")</f>
        <v>Mark Grimes</v>
      </c>
      <c r="L507" s="5"/>
      <c r="M507" s="5"/>
      <c r="N507" s="26" t="str">
        <f ca="1">IFERROR(__xludf.DUMMYFUNCTION("""COMPUTED_VALUE"""),"https://drive.google.com/open?id=12GAxhYfPXr1ifQ8hSBnYAbMvrSWQDQcp")</f>
        <v>https://drive.google.com/open?id=12GAxhYfPXr1ifQ8hSBnYAbMvrSWQDQcp</v>
      </c>
      <c r="O507" s="5" t="str">
        <f ca="1">IFERROR(__xludf.DUMMYFUNCTION("""COMPUTED_VALUE"""),"NA")</f>
        <v>NA</v>
      </c>
      <c r="P507" s="5" t="str">
        <f ca="1">IFERROR(__xludf.DUMMYFUNCTION("""COMPUTED_VALUE"""),"323-422-4929")</f>
        <v>323-422-4929</v>
      </c>
      <c r="Q507" s="5" t="str">
        <f ca="1">IFERROR(__xludf.DUMMYFUNCTION("""COMPUTED_VALUE"""),"mark@localregroup.com")</f>
        <v>mark@localregroup.com</v>
      </c>
      <c r="R507" s="5"/>
      <c r="S507" s="5"/>
      <c r="T507" s="5"/>
    </row>
    <row r="508" spans="1:20" ht="12.75">
      <c r="A508" s="24">
        <f ca="1">IFERROR(__xludf.DUMMYFUNCTION("""COMPUTED_VALUE"""),45670.5933195949)</f>
        <v>45670.593319594896</v>
      </c>
      <c r="B508" s="5" t="str">
        <f ca="1">IFERROR(__xludf.DUMMYFUNCTION("""COMPUTED_VALUE"""),"14649 Addison St")</f>
        <v>14649 Addison St</v>
      </c>
      <c r="C508" s="5" t="str">
        <f ca="1">IFERROR(__xludf.DUMMYFUNCTION("""COMPUTED_VALUE"""),"Sherman Oaks")</f>
        <v>Sherman Oaks</v>
      </c>
      <c r="D508" s="5" t="str">
        <f ca="1">IFERROR(__xludf.DUMMYFUNCTION("""COMPUTED_VALUE"""),"CA")</f>
        <v>CA</v>
      </c>
      <c r="E508" s="5">
        <f ca="1">IFERROR(__xludf.DUMMYFUNCTION("""COMPUTED_VALUE"""),91403)</f>
        <v>91403</v>
      </c>
      <c r="F508" s="19">
        <f ca="1">IFERROR(__xludf.DUMMYFUNCTION("""COMPUTED_VALUE"""),13500)</f>
        <v>13500</v>
      </c>
      <c r="G508" s="19">
        <f ca="1">IFERROR(__xludf.DUMMYFUNCTION("""COMPUTED_VALUE"""),15300)</f>
        <v>15300</v>
      </c>
      <c r="H508" s="18">
        <f ca="1">IFERROR(__xludf.DUMMYFUNCTION("""COMPUTED_VALUE"""),45667)</f>
        <v>45667</v>
      </c>
      <c r="I508" s="5" t="str">
        <f ca="1">IFERROR(__xludf.DUMMYFUNCTION("""COMPUTED_VALUE"""),"Zillow")</f>
        <v>Zillow</v>
      </c>
      <c r="J508" s="25" t="str">
        <f ca="1">IFERROR(__xludf.DUMMYFUNCTION("""COMPUTED_VALUE"""),"https://www.zillow.com/homedetails/14649-Addison-St-Sherman-Oaks-CA-91403/19982606_zpid/")</f>
        <v>https://www.zillow.com/homedetails/14649-Addison-St-Sherman-Oaks-CA-91403/19982606_zpid/</v>
      </c>
      <c r="K508" s="5" t="str">
        <f ca="1">IFERROR(__xludf.DUMMYFUNCTION("""COMPUTED_VALUE"""),"Rachel Neuwirth")</f>
        <v>Rachel Neuwirth</v>
      </c>
      <c r="L508" s="5"/>
      <c r="M508" s="5" t="str">
        <f ca="1">IFERROR(__xludf.DUMMYFUNCTION("""COMPUTED_VALUE"""),"Listing removed december 19th, put back up jan 10 with +13% increase vs. december. ")</f>
        <v xml:space="preserve">Listing removed december 19th, put back up jan 10 with +13% increase vs. december. </v>
      </c>
      <c r="N508" s="5" t="str">
        <f ca="1">IFERROR(__xludf.DUMMYFUNCTION("""COMPUTED_VALUE"""),"https://drive.google.com/open?id=1eD7wf-gnt8J08rzkG7WesYLQv94ASngX, https://drive.google.com/open?id=1gH7N1-1qcR1SrcDaEMBGuip8hcrTkQjB")</f>
        <v>https://drive.google.com/open?id=1eD7wf-gnt8J08rzkG7WesYLQv94ASngX, https://drive.google.com/open?id=1gH7N1-1qcR1SrcDaEMBGuip8hcrTkQjB</v>
      </c>
      <c r="O508" s="5">
        <f ca="1">IFERROR(__xludf.DUMMYFUNCTION("""COMPUTED_VALUE"""),2263032009)</f>
        <v>2263032009</v>
      </c>
      <c r="P508" s="5" t="str">
        <f ca="1">IFERROR(__xludf.DUMMYFUNCTION("""COMPUTED_VALUE"""),"(310) 467-0998")</f>
        <v>(310) 467-0998</v>
      </c>
      <c r="Q508" s="5"/>
      <c r="R508" s="5"/>
      <c r="S508" s="5"/>
      <c r="T508" s="5"/>
    </row>
    <row r="509" spans="1:20" ht="12.75">
      <c r="A509" s="24">
        <f ca="1">IFERROR(__xludf.DUMMYFUNCTION("""COMPUTED_VALUE"""),45670.5937311226)</f>
        <v>45670.593731122601</v>
      </c>
      <c r="B509" s="5" t="str">
        <f ca="1">IFERROR(__xludf.DUMMYFUNCTION("""COMPUTED_VALUE"""),"4643 1/2 Pickford St")</f>
        <v>4643 1/2 Pickford St</v>
      </c>
      <c r="C509" s="5" t="str">
        <f ca="1">IFERROR(__xludf.DUMMYFUNCTION("""COMPUTED_VALUE"""),"LA")</f>
        <v>LA</v>
      </c>
      <c r="D509" s="5" t="str">
        <f ca="1">IFERROR(__xludf.DUMMYFUNCTION("""COMPUTED_VALUE"""),"CA")</f>
        <v>CA</v>
      </c>
      <c r="E509" s="5">
        <f ca="1">IFERROR(__xludf.DUMMYFUNCTION("""COMPUTED_VALUE"""),90019)</f>
        <v>90019</v>
      </c>
      <c r="F509" s="19">
        <f ca="1">IFERROR(__xludf.DUMMYFUNCTION("""COMPUTED_VALUE"""),2195)</f>
        <v>2195</v>
      </c>
      <c r="G509" s="19">
        <f ca="1">IFERROR(__xludf.DUMMYFUNCTION("""COMPUTED_VALUE"""),2795)</f>
        <v>2795</v>
      </c>
      <c r="H509" s="18">
        <f ca="1">IFERROR(__xludf.DUMMYFUNCTION("""COMPUTED_VALUE"""),45670)</f>
        <v>45670</v>
      </c>
      <c r="I509" s="5" t="str">
        <f ca="1">IFERROR(__xludf.DUMMYFUNCTION("""COMPUTED_VALUE"""),"Zillow")</f>
        <v>Zillow</v>
      </c>
      <c r="J509" s="25" t="str">
        <f ca="1">IFERROR(__xludf.DUMMYFUNCTION("""COMPUTED_VALUE"""),"https://www.zillow.com/homedetails/4643-1-2-Pickford-St-Los-Angeles-CA-90019/2096718267_zpid/")</f>
        <v>https://www.zillow.com/homedetails/4643-1-2-Pickford-St-Los-Angeles-CA-90019/2096718267_zpid/</v>
      </c>
      <c r="K509" s="5" t="str">
        <f ca="1">IFERROR(__xludf.DUMMYFUNCTION("""COMPUTED_VALUE"""),"Jessica Bapties")</f>
        <v>Jessica Bapties</v>
      </c>
      <c r="L509" s="5"/>
      <c r="M509" s="5"/>
      <c r="N509" s="5" t="str">
        <f ca="1">IFERROR(__xludf.DUMMYFUNCTION("""COMPUTED_VALUE"""),"https://drive.google.com/open?id=169N3ZuhW2Y4lnNssKj4xPXOj9yuRKfz_, https://drive.google.com/open?id=1sMyYT8nKG_eHTC7flHDawvxx6Wt8KLIm")</f>
        <v>https://drive.google.com/open?id=169N3ZuhW2Y4lnNssKj4xPXOj9yuRKfz_, https://drive.google.com/open?id=1sMyYT8nKG_eHTC7flHDawvxx6Wt8KLIm</v>
      </c>
      <c r="O509" s="5" t="str">
        <f ca="1">IFERROR(__xludf.DUMMYFUNCTION("""COMPUTED_VALUE"""),"NA")</f>
        <v>NA</v>
      </c>
      <c r="P509" s="5" t="str">
        <f ca="1">IFERROR(__xludf.DUMMYFUNCTION("""COMPUTED_VALUE"""),"(310) 361-2609")</f>
        <v>(310) 361-2609</v>
      </c>
      <c r="Q509" s="5"/>
      <c r="R509" s="5"/>
      <c r="S509" s="5"/>
      <c r="T509" s="5"/>
    </row>
    <row r="510" spans="1:20" ht="12.75">
      <c r="A510" s="24">
        <f ca="1">IFERROR(__xludf.DUMMYFUNCTION("""COMPUTED_VALUE"""),45670.5971237037)</f>
        <v>45670.597123703701</v>
      </c>
      <c r="B510" s="5" t="str">
        <f ca="1">IFERROR(__xludf.DUMMYFUNCTION("""COMPUTED_VALUE"""),"8038 Blackburn Ave #7")</f>
        <v>8038 Blackburn Ave #7</v>
      </c>
      <c r="C510" s="5" t="str">
        <f ca="1">IFERROR(__xludf.DUMMYFUNCTION("""COMPUTED_VALUE"""),"Los Angeles ")</f>
        <v xml:space="preserve">Los Angeles </v>
      </c>
      <c r="D510" s="5" t="str">
        <f ca="1">IFERROR(__xludf.DUMMYFUNCTION("""COMPUTED_VALUE"""),"CA")</f>
        <v>CA</v>
      </c>
      <c r="E510" s="5">
        <f ca="1">IFERROR(__xludf.DUMMYFUNCTION("""COMPUTED_VALUE"""),90048)</f>
        <v>90048</v>
      </c>
      <c r="F510" s="19">
        <f ca="1">IFERROR(__xludf.DUMMYFUNCTION("""COMPUTED_VALUE"""),2500)</f>
        <v>2500</v>
      </c>
      <c r="G510" s="19">
        <f ca="1">IFERROR(__xludf.DUMMYFUNCTION("""COMPUTED_VALUE"""),3500)</f>
        <v>3500</v>
      </c>
      <c r="H510" s="18">
        <f ca="1">IFERROR(__xludf.DUMMYFUNCTION("""COMPUTED_VALUE"""),45669)</f>
        <v>45669</v>
      </c>
      <c r="I510" s="5" t="str">
        <f ca="1">IFERROR(__xludf.DUMMYFUNCTION("""COMPUTED_VALUE"""),"Zillow")</f>
        <v>Zillow</v>
      </c>
      <c r="J510" s="25" t="str">
        <f ca="1">IFERROR(__xludf.DUMMYFUNCTION("""COMPUTED_VALUE"""),"https://www.zillow.com/homedetails/8038-Blackburn-Ave-7-Los-Angeles-CA-90048/2067901955_zpid/")</f>
        <v>https://www.zillow.com/homedetails/8038-Blackburn-Ave-7-Los-Angeles-CA-90048/2067901955_zpid/</v>
      </c>
      <c r="K510" s="5" t="str">
        <f ca="1">IFERROR(__xludf.DUMMYFUNCTION("""COMPUTED_VALUE"""),"Sara")</f>
        <v>Sara</v>
      </c>
      <c r="L510" s="5"/>
      <c r="M510" s="5"/>
      <c r="N510" s="26" t="str">
        <f ca="1">IFERROR(__xludf.DUMMYFUNCTION("""COMPUTED_VALUE"""),"https://drive.google.com/open?id=10FAvISM95X3VVcUkk9fOLG_vyXcItjkP")</f>
        <v>https://drive.google.com/open?id=10FAvISM95X3VVcUkk9fOLG_vyXcItjkP</v>
      </c>
      <c r="O510" s="5" t="str">
        <f ca="1">IFERROR(__xludf.DUMMYFUNCTION("""COMPUTED_VALUE"""),"NA")</f>
        <v>NA</v>
      </c>
      <c r="P510" s="5" t="str">
        <f ca="1">IFERROR(__xludf.DUMMYFUNCTION("""COMPUTED_VALUE"""),"(213) 770-4565")</f>
        <v>(213) 770-4565</v>
      </c>
      <c r="Q510" s="5"/>
      <c r="R510" s="5"/>
      <c r="S510" s="5"/>
      <c r="T510" s="5"/>
    </row>
    <row r="511" spans="1:20" ht="12.75">
      <c r="A511" s="24">
        <f ca="1">IFERROR(__xludf.DUMMYFUNCTION("""COMPUTED_VALUE"""),45670.5994240277)</f>
        <v>45670.5994240277</v>
      </c>
      <c r="B511" s="5" t="str">
        <f ca="1">IFERROR(__xludf.DUMMYFUNCTION("""COMPUTED_VALUE"""),"672 Walther Way")</f>
        <v>672 Walther Way</v>
      </c>
      <c r="C511" s="5" t="str">
        <f ca="1">IFERROR(__xludf.DUMMYFUNCTION("""COMPUTED_VALUE"""),"Los Angeles")</f>
        <v>Los Angeles</v>
      </c>
      <c r="D511" s="5" t="str">
        <f ca="1">IFERROR(__xludf.DUMMYFUNCTION("""COMPUTED_VALUE"""),"CA")</f>
        <v>CA</v>
      </c>
      <c r="E511" s="5">
        <f ca="1">IFERROR(__xludf.DUMMYFUNCTION("""COMPUTED_VALUE"""),90049)</f>
        <v>90049</v>
      </c>
      <c r="F511" s="19">
        <f ca="1">IFERROR(__xludf.DUMMYFUNCTION("""COMPUTED_VALUE"""),12000)</f>
        <v>12000</v>
      </c>
      <c r="G511" s="19">
        <f ca="1">IFERROR(__xludf.DUMMYFUNCTION("""COMPUTED_VALUE"""),17000)</f>
        <v>17000</v>
      </c>
      <c r="H511" s="18">
        <f ca="1">IFERROR(__xludf.DUMMYFUNCTION("""COMPUTED_VALUE"""),45667)</f>
        <v>45667</v>
      </c>
      <c r="I511" s="5" t="str">
        <f ca="1">IFERROR(__xludf.DUMMYFUNCTION("""COMPUTED_VALUE"""),"Zillow")</f>
        <v>Zillow</v>
      </c>
      <c r="J511" s="25" t="str">
        <f ca="1">IFERROR(__xludf.DUMMYFUNCTION("""COMPUTED_VALUE"""),"https://www.zillow.com/homedetails/672-Walther-Way-Los-Angeles-CA-90049/2059425368_zpid/")</f>
        <v>https://www.zillow.com/homedetails/672-Walther-Way-Los-Angeles-CA-90049/2059425368_zpid/</v>
      </c>
      <c r="K511" s="5" t="str">
        <f ca="1">IFERROR(__xludf.DUMMYFUNCTION("""COMPUTED_VALUE"""),"Santiago Arana The Agency")</f>
        <v>Santiago Arana The Agency</v>
      </c>
      <c r="L511" s="5"/>
      <c r="M511" s="5" t="str">
        <f ca="1">IFERROR(__xludf.DUMMYFUNCTION("""COMPUTED_VALUE"""),"Listing removed Jan 13")</f>
        <v>Listing removed Jan 13</v>
      </c>
      <c r="N511" s="26" t="str">
        <f ca="1">IFERROR(__xludf.DUMMYFUNCTION("""COMPUTED_VALUE"""),"https://drive.google.com/open?id=1zJaI5ibBy5sVUbwhw45IMiLcO5E2HRQA")</f>
        <v>https://drive.google.com/open?id=1zJaI5ibBy5sVUbwhw45IMiLcO5E2HRQA</v>
      </c>
      <c r="O511" s="5" t="str">
        <f ca="1">IFERROR(__xludf.DUMMYFUNCTION("""COMPUTED_VALUE"""),"NA")</f>
        <v>NA</v>
      </c>
      <c r="P511" s="5" t="str">
        <f ca="1">IFERROR(__xludf.DUMMYFUNCTION("""COMPUTED_VALUE"""),"(310) 926-9808")</f>
        <v>(310) 926-9808</v>
      </c>
      <c r="Q511" s="5"/>
      <c r="R511" s="5"/>
      <c r="S511" s="5"/>
      <c r="T511" s="5"/>
    </row>
    <row r="512" spans="1:20" ht="12.75">
      <c r="A512" s="24">
        <f ca="1">IFERROR(__xludf.DUMMYFUNCTION("""COMPUTED_VALUE"""),45670.6005434375)</f>
        <v>45670.600543437497</v>
      </c>
      <c r="B512" s="5" t="str">
        <f ca="1">IFERROR(__xludf.DUMMYFUNCTION("""COMPUTED_VALUE"""),"108 W 2nd St #206")</f>
        <v>108 W 2nd St #206</v>
      </c>
      <c r="C512" s="5" t="str">
        <f ca="1">IFERROR(__xludf.DUMMYFUNCTION("""COMPUTED_VALUE"""),"Los Angeles")</f>
        <v>Los Angeles</v>
      </c>
      <c r="D512" s="5" t="str">
        <f ca="1">IFERROR(__xludf.DUMMYFUNCTION("""COMPUTED_VALUE"""),"CA")</f>
        <v>CA</v>
      </c>
      <c r="E512" s="5">
        <f ca="1">IFERROR(__xludf.DUMMYFUNCTION("""COMPUTED_VALUE"""),90012)</f>
        <v>90012</v>
      </c>
      <c r="F512" s="19">
        <f ca="1">IFERROR(__xludf.DUMMYFUNCTION("""COMPUTED_VALUE"""),3250)</f>
        <v>3250</v>
      </c>
      <c r="G512" s="19">
        <f ca="1">IFERROR(__xludf.DUMMYFUNCTION("""COMPUTED_VALUE"""),4000)</f>
        <v>4000</v>
      </c>
      <c r="H512" s="18">
        <f ca="1">IFERROR(__xludf.DUMMYFUNCTION("""COMPUTED_VALUE"""),45670)</f>
        <v>45670</v>
      </c>
      <c r="I512" s="5" t="str">
        <f ca="1">IFERROR(__xludf.DUMMYFUNCTION("""COMPUTED_VALUE"""),"Redfin")</f>
        <v>Redfin</v>
      </c>
      <c r="J512" s="25" t="str">
        <f ca="1">IFERROR(__xludf.DUMMYFUNCTION("""COMPUTED_VALUE"""),"https://www.redfin.com/CA/Los-Angeles/108-W-2nd-St-90012/unit-206/home/21923543#property-history")</f>
        <v>https://www.redfin.com/CA/Los-Angeles/108-W-2nd-St-90012/unit-206/home/21923543#property-history</v>
      </c>
      <c r="K512" s="5"/>
      <c r="L512" s="5"/>
      <c r="M512" s="5"/>
      <c r="N512" s="26" t="str">
        <f ca="1">IFERROR(__xludf.DUMMYFUNCTION("""COMPUTED_VALUE"""),"https://drive.google.com/open?id=1UF7R4-oLHrMp5_RpODpqboRzkrU4lmqT")</f>
        <v>https://drive.google.com/open?id=1UF7R4-oLHrMp5_RpODpqboRzkrU4lmqT</v>
      </c>
      <c r="O512" s="5" t="str">
        <f ca="1">IFERROR(__xludf.DUMMYFUNCTION("""COMPUTED_VALUE"""),"NA")</f>
        <v>NA</v>
      </c>
      <c r="P512" s="5"/>
      <c r="Q512" s="5"/>
      <c r="R512" s="5"/>
      <c r="S512" s="5"/>
      <c r="T512" s="5"/>
    </row>
    <row r="513" spans="1:20" ht="12.75">
      <c r="A513" s="24">
        <f ca="1">IFERROR(__xludf.DUMMYFUNCTION("""COMPUTED_VALUE"""),45670.6015579976)</f>
        <v>45670.601557997601</v>
      </c>
      <c r="B513" s="5" t="str">
        <f ca="1">IFERROR(__xludf.DUMMYFUNCTION("""COMPUTED_VALUE"""),"1646 Blue Jay Way")</f>
        <v>1646 Blue Jay Way</v>
      </c>
      <c r="C513" s="5" t="str">
        <f ca="1">IFERROR(__xludf.DUMMYFUNCTION("""COMPUTED_VALUE"""),"Los Angeles")</f>
        <v>Los Angeles</v>
      </c>
      <c r="D513" s="5" t="str">
        <f ca="1">IFERROR(__xludf.DUMMYFUNCTION("""COMPUTED_VALUE"""),"CA")</f>
        <v>CA</v>
      </c>
      <c r="E513" s="5">
        <f ca="1">IFERROR(__xludf.DUMMYFUNCTION("""COMPUTED_VALUE"""),90069)</f>
        <v>90069</v>
      </c>
      <c r="F513" s="19">
        <f ca="1">IFERROR(__xludf.DUMMYFUNCTION("""COMPUTED_VALUE"""),39500)</f>
        <v>39500</v>
      </c>
      <c r="G513" s="19">
        <f ca="1">IFERROR(__xludf.DUMMYFUNCTION("""COMPUTED_VALUE"""),45000)</f>
        <v>45000</v>
      </c>
      <c r="H513" s="18">
        <f ca="1">IFERROR(__xludf.DUMMYFUNCTION("""COMPUTED_VALUE"""),45666)</f>
        <v>45666</v>
      </c>
      <c r="I513" s="5" t="str">
        <f ca="1">IFERROR(__xludf.DUMMYFUNCTION("""COMPUTED_VALUE"""),"Zillow")</f>
        <v>Zillow</v>
      </c>
      <c r="J513" s="25" t="str">
        <f ca="1">IFERROR(__xludf.DUMMYFUNCTION("""COMPUTED_VALUE"""),"https://www.zillow.com/homedetails/1646-Blue-Jay-Way-Los-Angeles-CA-90069/20799931_zpid/")</f>
        <v>https://www.zillow.com/homedetails/1646-Blue-Jay-Way-Los-Angeles-CA-90069/20799931_zpid/</v>
      </c>
      <c r="K513" s="5" t="str">
        <f ca="1">IFERROR(__xludf.DUMMYFUNCTION("""COMPUTED_VALUE"""),"Mark Rutstein Iconic Homes ")</f>
        <v xml:space="preserve">Mark Rutstein Iconic Homes </v>
      </c>
      <c r="L513" s="5"/>
      <c r="M513" s="5"/>
      <c r="N513" s="26" t="str">
        <f ca="1">IFERROR(__xludf.DUMMYFUNCTION("""COMPUTED_VALUE"""),"https://drive.google.com/open?id=17Va2mZb9Arl9DZ2N5Rul2Qqno0Kcrbs2")</f>
        <v>https://drive.google.com/open?id=17Va2mZb9Arl9DZ2N5Rul2Qqno0Kcrbs2</v>
      </c>
      <c r="O513" s="5">
        <f ca="1">IFERROR(__xludf.DUMMYFUNCTION("""COMPUTED_VALUE"""),5561026008)</f>
        <v>5561026008</v>
      </c>
      <c r="P513" s="5" t="str">
        <f ca="1">IFERROR(__xludf.DUMMYFUNCTION("""COMPUTED_VALUE"""),"(310) 200-2524")</f>
        <v>(310) 200-2524</v>
      </c>
      <c r="Q513" s="5"/>
      <c r="R513" s="5"/>
      <c r="S513" s="5"/>
      <c r="T513" s="5"/>
    </row>
    <row r="514" spans="1:20" ht="12.75">
      <c r="A514" s="24">
        <f ca="1">IFERROR(__xludf.DUMMYFUNCTION("""COMPUTED_VALUE"""),45670.6030794097)</f>
        <v>45670.603079409702</v>
      </c>
      <c r="B514" s="5" t="str">
        <f ca="1">IFERROR(__xludf.DUMMYFUNCTION("""COMPUTED_VALUE"""),"1470 Blue Jay Way")</f>
        <v>1470 Blue Jay Way</v>
      </c>
      <c r="C514" s="5" t="str">
        <f ca="1">IFERROR(__xludf.DUMMYFUNCTION("""COMPUTED_VALUE"""),"Los Angeles")</f>
        <v>Los Angeles</v>
      </c>
      <c r="D514" s="5" t="str">
        <f ca="1">IFERROR(__xludf.DUMMYFUNCTION("""COMPUTED_VALUE"""),"CA")</f>
        <v>CA</v>
      </c>
      <c r="E514" s="5">
        <f ca="1">IFERROR(__xludf.DUMMYFUNCTION("""COMPUTED_VALUE"""),90069)</f>
        <v>90069</v>
      </c>
      <c r="F514" s="19">
        <f ca="1">IFERROR(__xludf.DUMMYFUNCTION("""COMPUTED_VALUE"""),21000)</f>
        <v>21000</v>
      </c>
      <c r="G514" s="19">
        <f ca="1">IFERROR(__xludf.DUMMYFUNCTION("""COMPUTED_VALUE"""),28500)</f>
        <v>28500</v>
      </c>
      <c r="H514" s="18">
        <f ca="1">IFERROR(__xludf.DUMMYFUNCTION("""COMPUTED_VALUE"""),45665)</f>
        <v>45665</v>
      </c>
      <c r="I514" s="5" t="str">
        <f ca="1">IFERROR(__xludf.DUMMYFUNCTION("""COMPUTED_VALUE"""),"Zillow")</f>
        <v>Zillow</v>
      </c>
      <c r="J514" s="25" t="str">
        <f ca="1">IFERROR(__xludf.DUMMYFUNCTION("""COMPUTED_VALUE"""),"https://www.zillow.com/homedetails/1470-Blue-Jay-Way-Los-Angeles-CA-90069/20799733_zpid/")</f>
        <v>https://www.zillow.com/homedetails/1470-Blue-Jay-Way-Los-Angeles-CA-90069/20799733_zpid/</v>
      </c>
      <c r="K514" s="5" t="str">
        <f ca="1">IFERROR(__xludf.DUMMYFUNCTION("""COMPUTED_VALUE"""),"Dustin Nicholas Nicholas Property Group Inc.")</f>
        <v>Dustin Nicholas Nicholas Property Group Inc.</v>
      </c>
      <c r="L514" s="5"/>
      <c r="M514" s="5"/>
      <c r="N514" s="26" t="str">
        <f ca="1">IFERROR(__xludf.DUMMYFUNCTION("""COMPUTED_VALUE"""),"https://drive.google.com/open?id=1C6ONULTfz57Q0knbGDmACfhgARZxj0gb")</f>
        <v>https://drive.google.com/open?id=1C6ONULTfz57Q0knbGDmACfhgARZxj0gb</v>
      </c>
      <c r="O514" s="5">
        <f ca="1">IFERROR(__xludf.DUMMYFUNCTION("""COMPUTED_VALUE"""),5561010016)</f>
        <v>5561010016</v>
      </c>
      <c r="P514" s="5" t="str">
        <f ca="1">IFERROR(__xludf.DUMMYFUNCTION("""COMPUTED_VALUE"""),"(310) 770-1847")</f>
        <v>(310) 770-1847</v>
      </c>
      <c r="Q514" s="5"/>
      <c r="R514" s="5"/>
      <c r="S514" s="5"/>
      <c r="T514" s="5"/>
    </row>
    <row r="515" spans="1:20" ht="12.75">
      <c r="A515" s="24">
        <f ca="1">IFERROR(__xludf.DUMMYFUNCTION("""COMPUTED_VALUE"""),45670.605312743)</f>
        <v>45670.605312742999</v>
      </c>
      <c r="B515" s="5" t="str">
        <f ca="1">IFERROR(__xludf.DUMMYFUNCTION("""COMPUTED_VALUE"""),"1702 Sunset Plaza Dr")</f>
        <v>1702 Sunset Plaza Dr</v>
      </c>
      <c r="C515" s="5" t="str">
        <f ca="1">IFERROR(__xludf.DUMMYFUNCTION("""COMPUTED_VALUE"""),"Los Angeles")</f>
        <v>Los Angeles</v>
      </c>
      <c r="D515" s="5" t="str">
        <f ca="1">IFERROR(__xludf.DUMMYFUNCTION("""COMPUTED_VALUE"""),"CA")</f>
        <v>CA</v>
      </c>
      <c r="E515" s="5">
        <f ca="1">IFERROR(__xludf.DUMMYFUNCTION("""COMPUTED_VALUE"""),90069)</f>
        <v>90069</v>
      </c>
      <c r="F515" s="19">
        <f ca="1">IFERROR(__xludf.DUMMYFUNCTION("""COMPUTED_VALUE"""),20000)</f>
        <v>20000</v>
      </c>
      <c r="G515" s="19">
        <f ca="1">IFERROR(__xludf.DUMMYFUNCTION("""COMPUTED_VALUE"""),22500)</f>
        <v>22500</v>
      </c>
      <c r="H515" s="18">
        <f ca="1">IFERROR(__xludf.DUMMYFUNCTION("""COMPUTED_VALUE"""),45670)</f>
        <v>45670</v>
      </c>
      <c r="I515" s="5" t="str">
        <f ca="1">IFERROR(__xludf.DUMMYFUNCTION("""COMPUTED_VALUE"""),"Zillow")</f>
        <v>Zillow</v>
      </c>
      <c r="J515" s="25" t="str">
        <f ca="1">IFERROR(__xludf.DUMMYFUNCTION("""COMPUTED_VALUE"""),"https://www.zillow.com/homedetails/1702-Sunset-Plaza-Dr-Los-Angeles-CA-90069/20798287_zpid/")</f>
        <v>https://www.zillow.com/homedetails/1702-Sunset-Plaza-Dr-Los-Angeles-CA-90069/20798287_zpid/</v>
      </c>
      <c r="K515" s="5" t="str">
        <f ca="1">IFERROR(__xludf.DUMMYFUNCTION("""COMPUTED_VALUE"""),"Stay Awhile Villas")</f>
        <v>Stay Awhile Villas</v>
      </c>
      <c r="L515" s="5"/>
      <c r="M515" s="5"/>
      <c r="N515" s="26" t="str">
        <f ca="1">IFERROR(__xludf.DUMMYFUNCTION("""COMPUTED_VALUE"""),"https://drive.google.com/open?id=1Vzvt3EqlPbdX4XPq8AuwS5hqCnQ0Vj1A")</f>
        <v>https://drive.google.com/open?id=1Vzvt3EqlPbdX4XPq8AuwS5hqCnQ0Vj1A</v>
      </c>
      <c r="O515" s="5">
        <f ca="1">IFERROR(__xludf.DUMMYFUNCTION("""COMPUTED_VALUE"""),5558016025)</f>
        <v>5558016025</v>
      </c>
      <c r="P515" s="5" t="str">
        <f ca="1">IFERROR(__xludf.DUMMYFUNCTION("""COMPUTED_VALUE""")," (310) 310-2711")</f>
        <v xml:space="preserve"> (310) 310-2711</v>
      </c>
      <c r="Q515" s="5"/>
      <c r="R515" s="5"/>
      <c r="S515" s="5"/>
      <c r="T515" s="5"/>
    </row>
    <row r="516" spans="1:20" ht="12.75">
      <c r="A516" s="24">
        <f ca="1">IFERROR(__xludf.DUMMYFUNCTION("""COMPUTED_VALUE"""),45670.6073156828)</f>
        <v>45670.607315682799</v>
      </c>
      <c r="B516" s="5" t="str">
        <f ca="1">IFERROR(__xludf.DUMMYFUNCTION("""COMPUTED_VALUE"""),"715 N Rexford Dr")</f>
        <v>715 N Rexford Dr</v>
      </c>
      <c r="C516" s="5" t="str">
        <f ca="1">IFERROR(__xludf.DUMMYFUNCTION("""COMPUTED_VALUE"""),"Beverly Hills")</f>
        <v>Beverly Hills</v>
      </c>
      <c r="D516" s="5" t="str">
        <f ca="1">IFERROR(__xludf.DUMMYFUNCTION("""COMPUTED_VALUE"""),"CA")</f>
        <v>CA</v>
      </c>
      <c r="E516" s="5">
        <f ca="1">IFERROR(__xludf.DUMMYFUNCTION("""COMPUTED_VALUE"""),90210)</f>
        <v>90210</v>
      </c>
      <c r="F516" s="19">
        <f ca="1">IFERROR(__xludf.DUMMYFUNCTION("""COMPUTED_VALUE"""),37500)</f>
        <v>37500</v>
      </c>
      <c r="G516" s="19">
        <f ca="1">IFERROR(__xludf.DUMMYFUNCTION("""COMPUTED_VALUE"""),55000)</f>
        <v>55000</v>
      </c>
      <c r="H516" s="18">
        <f ca="1">IFERROR(__xludf.DUMMYFUNCTION("""COMPUTED_VALUE"""),45670)</f>
        <v>45670</v>
      </c>
      <c r="I516" s="5" t="str">
        <f ca="1">IFERROR(__xludf.DUMMYFUNCTION("""COMPUTED_VALUE"""),"Zillow")</f>
        <v>Zillow</v>
      </c>
      <c r="J516" s="25" t="str">
        <f ca="1">IFERROR(__xludf.DUMMYFUNCTION("""COMPUTED_VALUE"""),"https://www.zillow.com/homedetails/715-N-Rexford-Dr-Beverly-Hills-CA-90210/20520993_zpid/")</f>
        <v>https://www.zillow.com/homedetails/715-N-Rexford-Dr-Beverly-Hills-CA-90210/20520993_zpid/</v>
      </c>
      <c r="K516" s="5" t="str">
        <f ca="1">IFERROR(__xludf.DUMMYFUNCTION("""COMPUTED_VALUE"""),"Luxury Property management LLC")</f>
        <v>Luxury Property management LLC</v>
      </c>
      <c r="L516" s="5"/>
      <c r="M516" s="5"/>
      <c r="N516" s="26" t="str">
        <f ca="1">IFERROR(__xludf.DUMMYFUNCTION("""COMPUTED_VALUE"""),"https://drive.google.com/open?id=1v6u4hcxZhdxT8reDa0oyqCAk47mpb9EP")</f>
        <v>https://drive.google.com/open?id=1v6u4hcxZhdxT8reDa0oyqCAk47mpb9EP</v>
      </c>
      <c r="O516" s="5">
        <f ca="1">IFERROR(__xludf.DUMMYFUNCTION("""COMPUTED_VALUE"""),4344003017)</f>
        <v>4344003017</v>
      </c>
      <c r="P516" s="5" t="str">
        <f ca="1">IFERROR(__xludf.DUMMYFUNCTION("""COMPUTED_VALUE"""),"(818) 620-4955")</f>
        <v>(818) 620-4955</v>
      </c>
      <c r="Q516" s="5"/>
      <c r="R516" s="5"/>
      <c r="S516" s="5"/>
      <c r="T516" s="5"/>
    </row>
    <row r="517" spans="1:20" ht="12.75">
      <c r="A517" s="24">
        <f ca="1">IFERROR(__xludf.DUMMYFUNCTION("""COMPUTED_VALUE"""),45670.6096927777)</f>
        <v>45670.609692777703</v>
      </c>
      <c r="B517" s="5" t="str">
        <f ca="1">IFERROR(__xludf.DUMMYFUNCTION("""COMPUTED_VALUE"""),"1661 259th St Unit 235")</f>
        <v>1661 259th St Unit 235</v>
      </c>
      <c r="C517" s="5" t="str">
        <f ca="1">IFERROR(__xludf.DUMMYFUNCTION("""COMPUTED_VALUE"""),"Los Angeles")</f>
        <v>Los Angeles</v>
      </c>
      <c r="D517" s="5" t="str">
        <f ca="1">IFERROR(__xludf.DUMMYFUNCTION("""COMPUTED_VALUE"""),"CA")</f>
        <v>CA</v>
      </c>
      <c r="E517" s="5">
        <f ca="1">IFERROR(__xludf.DUMMYFUNCTION("""COMPUTED_VALUE"""),90710)</f>
        <v>90710</v>
      </c>
      <c r="F517" s="19">
        <f ca="1">IFERROR(__xludf.DUMMYFUNCTION("""COMPUTED_VALUE"""),2000)</f>
        <v>2000</v>
      </c>
      <c r="G517" s="19">
        <f ca="1">IFERROR(__xludf.DUMMYFUNCTION("""COMPUTED_VALUE"""),2495)</f>
        <v>2495</v>
      </c>
      <c r="H517" s="18">
        <f ca="1">IFERROR(__xludf.DUMMYFUNCTION("""COMPUTED_VALUE"""),45670)</f>
        <v>45670</v>
      </c>
      <c r="I517" s="5" t="str">
        <f ca="1">IFERROR(__xludf.DUMMYFUNCTION("""COMPUTED_VALUE"""),"Redfin")</f>
        <v>Redfin</v>
      </c>
      <c r="J517" s="25" t="str">
        <f ca="1">IFERROR(__xludf.DUMMYFUNCTION("""COMPUTED_VALUE"""),"https://www.redfin.com/CA/Harbor-City/1661-259th-St-90710/unit-235/home/193276678#property-history")</f>
        <v>https://www.redfin.com/CA/Harbor-City/1661-259th-St-90710/unit-235/home/193276678#property-history</v>
      </c>
      <c r="K517" s="5"/>
      <c r="L517" s="5"/>
      <c r="M517" s="5"/>
      <c r="N517" s="26" t="str">
        <f ca="1">IFERROR(__xludf.DUMMYFUNCTION("""COMPUTED_VALUE"""),"https://drive.google.com/open?id=1XUITWWIP2ZwGy8xwaUOjvKHvjWYhy0lY")</f>
        <v>https://drive.google.com/open?id=1XUITWWIP2ZwGy8xwaUOjvKHvjWYhy0lY</v>
      </c>
      <c r="O517" s="5" t="str">
        <f ca="1">IFERROR(__xludf.DUMMYFUNCTION("""COMPUTED_VALUE"""),"NA")</f>
        <v>NA</v>
      </c>
      <c r="P517" s="5"/>
      <c r="Q517" s="5"/>
      <c r="R517" s="5"/>
      <c r="S517" s="5"/>
      <c r="T517" s="5"/>
    </row>
    <row r="518" spans="1:20" ht="12.75">
      <c r="A518" s="24">
        <f ca="1">IFERROR(__xludf.DUMMYFUNCTION("""COMPUTED_VALUE"""),45670.6098449421)</f>
        <v>45670.609844942097</v>
      </c>
      <c r="B518" s="5" t="str">
        <f ca="1">IFERROR(__xludf.DUMMYFUNCTION("""COMPUTED_VALUE"""),"7665 Woodrow Wilson Dr")</f>
        <v>7665 Woodrow Wilson Dr</v>
      </c>
      <c r="C518" s="5" t="str">
        <f ca="1">IFERROR(__xludf.DUMMYFUNCTION("""COMPUTED_VALUE"""),"Los Angeles")</f>
        <v>Los Angeles</v>
      </c>
      <c r="D518" s="5" t="str">
        <f ca="1">IFERROR(__xludf.DUMMYFUNCTION("""COMPUTED_VALUE"""),"CA")</f>
        <v>CA</v>
      </c>
      <c r="E518" s="5">
        <f ca="1">IFERROR(__xludf.DUMMYFUNCTION("""COMPUTED_VALUE"""),90046)</f>
        <v>90046</v>
      </c>
      <c r="F518" s="19">
        <f ca="1">IFERROR(__xludf.DUMMYFUNCTION("""COMPUTED_VALUE"""),10000)</f>
        <v>10000</v>
      </c>
      <c r="G518" s="19">
        <f ca="1">IFERROR(__xludf.DUMMYFUNCTION("""COMPUTED_VALUE"""),12500)</f>
        <v>12500</v>
      </c>
      <c r="H518" s="18">
        <f ca="1">IFERROR(__xludf.DUMMYFUNCTION("""COMPUTED_VALUE"""),45667)</f>
        <v>45667</v>
      </c>
      <c r="I518" s="5" t="str">
        <f ca="1">IFERROR(__xludf.DUMMYFUNCTION("""COMPUTED_VALUE"""),"Zillow")</f>
        <v>Zillow</v>
      </c>
      <c r="J518" s="25" t="str">
        <f ca="1">IFERROR(__xludf.DUMMYFUNCTION("""COMPUTED_VALUE"""),"https://www.zillow.com/homedetails/7665-Woodrow-Wilson-Dr-Los-Angeles-CA-90046/20802829_zpid/")</f>
        <v>https://www.zillow.com/homedetails/7665-Woodrow-Wilson-Dr-Los-Angeles-CA-90046/20802829_zpid/</v>
      </c>
      <c r="K518" s="5" t="str">
        <f ca="1">IFERROR(__xludf.DUMMYFUNCTION("""COMPUTED_VALUE"""),"Joshua Czar Property Management ")</f>
        <v xml:space="preserve">Joshua Czar Property Management </v>
      </c>
      <c r="L518" s="5"/>
      <c r="M518" s="5"/>
      <c r="N518" s="26" t="str">
        <f ca="1">IFERROR(__xludf.DUMMYFUNCTION("""COMPUTED_VALUE"""),"https://drive.google.com/open?id=1l6P2y4cxchVE90aPqvCEm4NywLnp46kx")</f>
        <v>https://drive.google.com/open?id=1l6P2y4cxchVE90aPqvCEm4NywLnp46kx</v>
      </c>
      <c r="O518" s="5">
        <f ca="1">IFERROR(__xludf.DUMMYFUNCTION("""COMPUTED_VALUE"""),5570024023)</f>
        <v>5570024023</v>
      </c>
      <c r="P518" s="5" t="str">
        <f ca="1">IFERROR(__xludf.DUMMYFUNCTION("""COMPUTED_VALUE"""),"(310) 742-8640")</f>
        <v>(310) 742-8640</v>
      </c>
      <c r="Q518" s="5"/>
      <c r="R518" s="5"/>
      <c r="S518" s="5"/>
      <c r="T518" s="5"/>
    </row>
    <row r="519" spans="1:20" ht="12.75">
      <c r="A519" s="24">
        <f ca="1">IFERROR(__xludf.DUMMYFUNCTION("""COMPUTED_VALUE"""),45670.6111678819)</f>
        <v>45670.6111678819</v>
      </c>
      <c r="B519" s="5" t="str">
        <f ca="1">IFERROR(__xludf.DUMMYFUNCTION("""COMPUTED_VALUE"""),"5109 Longridge Ave")</f>
        <v>5109 Longridge Ave</v>
      </c>
      <c r="C519" s="5" t="str">
        <f ca="1">IFERROR(__xludf.DUMMYFUNCTION("""COMPUTED_VALUE"""),"Sherman Oaks")</f>
        <v>Sherman Oaks</v>
      </c>
      <c r="D519" s="5" t="str">
        <f ca="1">IFERROR(__xludf.DUMMYFUNCTION("""COMPUTED_VALUE"""),"CA")</f>
        <v>CA</v>
      </c>
      <c r="E519" s="5">
        <f ca="1">IFERROR(__xludf.DUMMYFUNCTION("""COMPUTED_VALUE"""),91423)</f>
        <v>91423</v>
      </c>
      <c r="F519" s="19">
        <f ca="1">IFERROR(__xludf.DUMMYFUNCTION("""COMPUTED_VALUE"""),18500)</f>
        <v>18500</v>
      </c>
      <c r="G519" s="19">
        <f ca="1">IFERROR(__xludf.DUMMYFUNCTION("""COMPUTED_VALUE"""),21500)</f>
        <v>21500</v>
      </c>
      <c r="H519" s="18">
        <f ca="1">IFERROR(__xludf.DUMMYFUNCTION("""COMPUTED_VALUE"""),45670)</f>
        <v>45670</v>
      </c>
      <c r="I519" s="5" t="str">
        <f ca="1">IFERROR(__xludf.DUMMYFUNCTION("""COMPUTED_VALUE"""),"Zillow")</f>
        <v>Zillow</v>
      </c>
      <c r="J519" s="25" t="str">
        <f ca="1">IFERROR(__xludf.DUMMYFUNCTION("""COMPUTED_VALUE"""),"https://www.zillow.com/homedetails/5109-Longridge-Ave-Sherman-Oaks-CA-91423/20021223_zpid/")</f>
        <v>https://www.zillow.com/homedetails/5109-Longridge-Ave-Sherman-Oaks-CA-91423/20021223_zpid/</v>
      </c>
      <c r="K519" s="5" t="str">
        <f ca="1">IFERROR(__xludf.DUMMYFUNCTION("""COMPUTED_VALUE"""),"Avi Shabtai")</f>
        <v>Avi Shabtai</v>
      </c>
      <c r="L519" s="5"/>
      <c r="M519" s="5"/>
      <c r="N519" s="26" t="str">
        <f ca="1">IFERROR(__xludf.DUMMYFUNCTION("""COMPUTED_VALUE"""),"https://drive.google.com/open?id=1X0uyH3OOXTuItMa4tMDIfrxXC_LTex9J")</f>
        <v>https://drive.google.com/open?id=1X0uyH3OOXTuItMa4tMDIfrxXC_LTex9J</v>
      </c>
      <c r="O519" s="5" t="str">
        <f ca="1">IFERROR(__xludf.DUMMYFUNCTION("""COMPUTED_VALUE"""),"NA")</f>
        <v>NA</v>
      </c>
      <c r="P519" s="5">
        <f ca="1">IFERROR(__xludf.DUMMYFUNCTION("""COMPUTED_VALUE"""),2137869263)</f>
        <v>2137869263</v>
      </c>
      <c r="Q519" s="5"/>
      <c r="R519" s="5"/>
      <c r="S519" s="5"/>
      <c r="T519" s="5"/>
    </row>
    <row r="520" spans="1:20" ht="12.75">
      <c r="A520" s="24">
        <f ca="1">IFERROR(__xludf.DUMMYFUNCTION("""COMPUTED_VALUE"""),45670.6112726388)</f>
        <v>45670.611272638802</v>
      </c>
      <c r="B520" s="5" t="str">
        <f ca="1">IFERROR(__xludf.DUMMYFUNCTION("""COMPUTED_VALUE"""),"508 N Canon Dr")</f>
        <v>508 N Canon Dr</v>
      </c>
      <c r="C520" s="5" t="str">
        <f ca="1">IFERROR(__xludf.DUMMYFUNCTION("""COMPUTED_VALUE"""),"Beverly Hills")</f>
        <v>Beverly Hills</v>
      </c>
      <c r="D520" s="5" t="str">
        <f ca="1">IFERROR(__xludf.DUMMYFUNCTION("""COMPUTED_VALUE"""),"CA")</f>
        <v>CA</v>
      </c>
      <c r="E520" s="5">
        <f ca="1">IFERROR(__xludf.DUMMYFUNCTION("""COMPUTED_VALUE"""),90210)</f>
        <v>90210</v>
      </c>
      <c r="F520" s="19">
        <f ca="1">IFERROR(__xludf.DUMMYFUNCTION("""COMPUTED_VALUE"""),20000)</f>
        <v>20000</v>
      </c>
      <c r="G520" s="19">
        <f ca="1">IFERROR(__xludf.DUMMYFUNCTION("""COMPUTED_VALUE"""),30000)</f>
        <v>30000</v>
      </c>
      <c r="H520" s="18">
        <f ca="1">IFERROR(__xludf.DUMMYFUNCTION("""COMPUTED_VALUE"""),45665)</f>
        <v>45665</v>
      </c>
      <c r="I520" s="5" t="str">
        <f ca="1">IFERROR(__xludf.DUMMYFUNCTION("""COMPUTED_VALUE"""),"Zillow")</f>
        <v>Zillow</v>
      </c>
      <c r="J520" s="25" t="str">
        <f ca="1">IFERROR(__xludf.DUMMYFUNCTION("""COMPUTED_VALUE"""),"https://www.zillow.com/homedetails/508-N-Canon-Dr-Beverly-Hills-CA-90210/20521062_zpid/")</f>
        <v>https://www.zillow.com/homedetails/508-N-Canon-Dr-Beverly-Hills-CA-90210/20521062_zpid/</v>
      </c>
      <c r="K520" s="5" t="str">
        <f ca="1">IFERROR(__xludf.DUMMYFUNCTION("""COMPUTED_VALUE"""),"Ariel Dromy LND Realty ")</f>
        <v xml:space="preserve">Ariel Dromy LND Realty </v>
      </c>
      <c r="L520" s="5"/>
      <c r="M520" s="5"/>
      <c r="N520" s="26" t="str">
        <f ca="1">IFERROR(__xludf.DUMMYFUNCTION("""COMPUTED_VALUE"""),"https://drive.google.com/open?id=1NJlmV23hAbn0g8tBoJm8ac7jxtWxtUR-")</f>
        <v>https://drive.google.com/open?id=1NJlmV23hAbn0g8tBoJm8ac7jxtWxtUR-</v>
      </c>
      <c r="O520" s="5">
        <f ca="1">IFERROR(__xludf.DUMMYFUNCTION("""COMPUTED_VALUE"""),4344007003)</f>
        <v>4344007003</v>
      </c>
      <c r="P520" s="5" t="str">
        <f ca="1">IFERROR(__xludf.DUMMYFUNCTION("""COMPUTED_VALUE"""),"(213) 545-1059")</f>
        <v>(213) 545-1059</v>
      </c>
      <c r="Q520" s="5"/>
      <c r="R520" s="5"/>
      <c r="S520" s="5"/>
      <c r="T520" s="5"/>
    </row>
    <row r="521" spans="1:20" ht="12.75">
      <c r="A521" s="24">
        <f ca="1">IFERROR(__xludf.DUMMYFUNCTION("""COMPUTED_VALUE"""),45670.6130075)</f>
        <v>45670.613007499996</v>
      </c>
      <c r="B521" s="5" t="str">
        <f ca="1">IFERROR(__xludf.DUMMYFUNCTION("""COMPUTED_VALUE"""),"3365 Tyburn St, Los Angeles, CA 90039")</f>
        <v>3365 Tyburn St, Los Angeles, CA 90039</v>
      </c>
      <c r="C521" s="5" t="str">
        <f ca="1">IFERROR(__xludf.DUMMYFUNCTION("""COMPUTED_VALUE"""),"Los Angeles")</f>
        <v>Los Angeles</v>
      </c>
      <c r="D521" s="5" t="str">
        <f ca="1">IFERROR(__xludf.DUMMYFUNCTION("""COMPUTED_VALUE"""),"CA")</f>
        <v>CA</v>
      </c>
      <c r="E521" s="5">
        <f ca="1">IFERROR(__xludf.DUMMYFUNCTION("""COMPUTED_VALUE"""),90039)</f>
        <v>90039</v>
      </c>
      <c r="F521" s="19">
        <f ca="1">IFERROR(__xludf.DUMMYFUNCTION("""COMPUTED_VALUE"""),3750)</f>
        <v>3750</v>
      </c>
      <c r="G521" s="19">
        <f ca="1">IFERROR(__xludf.DUMMYFUNCTION("""COMPUTED_VALUE"""),6500)</f>
        <v>6500</v>
      </c>
      <c r="H521" s="18">
        <f ca="1">IFERROR(__xludf.DUMMYFUNCTION("""COMPUTED_VALUE"""),45666)</f>
        <v>45666</v>
      </c>
      <c r="I521" s="5" t="str">
        <f ca="1">IFERROR(__xludf.DUMMYFUNCTION("""COMPUTED_VALUE"""),"Zillow")</f>
        <v>Zillow</v>
      </c>
      <c r="J521" s="25" t="str">
        <f ca="1">IFERROR(__xludf.DUMMYFUNCTION("""COMPUTED_VALUE"""),"https://www.zillow.com/homedetails/3365-Tyburn-St-Los-Angeles-CA-90039/20750852_zpid/")</f>
        <v>https://www.zillow.com/homedetails/3365-Tyburn-St-Los-Angeles-CA-90039/20750852_zpid/</v>
      </c>
      <c r="K521" s="5" t="str">
        <f ca="1">IFERROR(__xludf.DUMMYFUNCTION("""COMPUTED_VALUE"""),"Bruno Rossi")</f>
        <v>Bruno Rossi</v>
      </c>
      <c r="L521" s="5"/>
      <c r="M521" s="5" t="str">
        <f ca="1">IFERROR(__xludf.DUMMYFUNCTION("""COMPUTED_VALUE"""),"In 2021 the rental price was 3750 and just 4 days ago it went on the market at a 73.3% increase. It seems newly remodeled and maybe the timing was just a coincidence but I doubt it. ")</f>
        <v xml:space="preserve">In 2021 the rental price was 3750 and just 4 days ago it went on the market at a 73.3% increase. It seems newly remodeled and maybe the timing was just a coincidence but I doubt it. </v>
      </c>
      <c r="N521" s="26" t="str">
        <f ca="1">IFERROR(__xludf.DUMMYFUNCTION("""COMPUTED_VALUE"""),"https://drive.google.com/open?id=1lStE0Irreds8E0lvuggay7vDDFuVgUyg")</f>
        <v>https://drive.google.com/open?id=1lStE0Irreds8E0lvuggay7vDDFuVgUyg</v>
      </c>
      <c r="O521" s="5">
        <f ca="1">IFERROR(__xludf.DUMMYFUNCTION("""COMPUTED_VALUE"""),5436013011)</f>
        <v>5436013011</v>
      </c>
      <c r="P521" s="5" t="str">
        <f ca="1">IFERROR(__xludf.DUMMYFUNCTION("""COMPUTED_VALUE"""),"(323) 868-5329")</f>
        <v>(323) 868-5329</v>
      </c>
      <c r="Q521" s="5"/>
      <c r="R521" s="5"/>
      <c r="S521" s="5"/>
      <c r="T521" s="5"/>
    </row>
    <row r="522" spans="1:20" ht="12.75">
      <c r="A522" s="24">
        <f ca="1">IFERROR(__xludf.DUMMYFUNCTION("""COMPUTED_VALUE"""),45670.6144283101)</f>
        <v>45670.614428310102</v>
      </c>
      <c r="B522" s="5" t="str">
        <f ca="1">IFERROR(__xludf.DUMMYFUNCTION("""COMPUTED_VALUE"""),"5344 Leghorn Ave,")</f>
        <v>5344 Leghorn Ave,</v>
      </c>
      <c r="C522" s="5" t="str">
        <f ca="1">IFERROR(__xludf.DUMMYFUNCTION("""COMPUTED_VALUE"""),"Van Nuys")</f>
        <v>Van Nuys</v>
      </c>
      <c r="D522" s="5" t="str">
        <f ca="1">IFERROR(__xludf.DUMMYFUNCTION("""COMPUTED_VALUE"""),"CA")</f>
        <v>CA</v>
      </c>
      <c r="E522" s="5">
        <f ca="1">IFERROR(__xludf.DUMMYFUNCTION("""COMPUTED_VALUE"""),91401)</f>
        <v>91401</v>
      </c>
      <c r="F522" s="19">
        <f ca="1">IFERROR(__xludf.DUMMYFUNCTION("""COMPUTED_VALUE"""),20000)</f>
        <v>20000</v>
      </c>
      <c r="G522" s="19">
        <f ca="1">IFERROR(__xludf.DUMMYFUNCTION("""COMPUTED_VALUE"""),36000)</f>
        <v>36000</v>
      </c>
      <c r="H522" s="18">
        <f ca="1">IFERROR(__xludf.DUMMYFUNCTION("""COMPUTED_VALUE"""),45670)</f>
        <v>45670</v>
      </c>
      <c r="I522" s="5" t="str">
        <f ca="1">IFERROR(__xludf.DUMMYFUNCTION("""COMPUTED_VALUE"""),"Zillow")</f>
        <v>Zillow</v>
      </c>
      <c r="J522" s="25" t="str">
        <f ca="1">IFERROR(__xludf.DUMMYFUNCTION("""COMPUTED_VALUE"""),"https://www.zillow.com/homedetails/5344-Leghorn-Ave-Van-Nuys-CA-91401/20015679_zpid/")</f>
        <v>https://www.zillow.com/homedetails/5344-Leghorn-Ave-Van-Nuys-CA-91401/20015679_zpid/</v>
      </c>
      <c r="K522" s="5" t="str">
        <f ca="1">IFERROR(__xludf.DUMMYFUNCTION("""COMPUTED_VALUE"""),"Avi Shabtai")</f>
        <v>Avi Shabtai</v>
      </c>
      <c r="L522" s="5"/>
      <c r="M522" s="5"/>
      <c r="N522" s="26" t="str">
        <f ca="1">IFERROR(__xludf.DUMMYFUNCTION("""COMPUTED_VALUE"""),"https://drive.google.com/open?id=1NdXx2bCA3ymxCJP39eqetoT00zbpJc6M")</f>
        <v>https://drive.google.com/open?id=1NdXx2bCA3ymxCJP39eqetoT00zbpJc6M</v>
      </c>
      <c r="O522" s="5">
        <f ca="1">IFERROR(__xludf.DUMMYFUNCTION("""COMPUTED_VALUE"""),2345016001)</f>
        <v>2345016001</v>
      </c>
      <c r="P522" s="5" t="str">
        <f ca="1">IFERROR(__xludf.DUMMYFUNCTION("""COMPUTED_VALUE"""),"(213) 642-1490")</f>
        <v>(213) 642-1490</v>
      </c>
      <c r="Q522" s="5"/>
      <c r="R522" s="5"/>
      <c r="S522" s="5"/>
      <c r="T522" s="5"/>
    </row>
    <row r="523" spans="1:20" ht="12.75">
      <c r="A523" s="24">
        <f ca="1">IFERROR(__xludf.DUMMYFUNCTION("""COMPUTED_VALUE"""),45670.6150118171)</f>
        <v>45670.615011817099</v>
      </c>
      <c r="B523" s="5" t="str">
        <f ca="1">IFERROR(__xludf.DUMMYFUNCTION("""COMPUTED_VALUE"""),"745 Patterson Ave")</f>
        <v>745 Patterson Ave</v>
      </c>
      <c r="C523" s="5" t="str">
        <f ca="1">IFERROR(__xludf.DUMMYFUNCTION("""COMPUTED_VALUE"""),"Glendale")</f>
        <v>Glendale</v>
      </c>
      <c r="D523" s="5" t="str">
        <f ca="1">IFERROR(__xludf.DUMMYFUNCTION("""COMPUTED_VALUE"""),"CA")</f>
        <v>CA</v>
      </c>
      <c r="E523" s="5">
        <f ca="1">IFERROR(__xludf.DUMMYFUNCTION("""COMPUTED_VALUE"""),91202)</f>
        <v>91202</v>
      </c>
      <c r="F523" s="19">
        <f ca="1">IFERROR(__xludf.DUMMYFUNCTION("""COMPUTED_VALUE"""),6250)</f>
        <v>6250</v>
      </c>
      <c r="G523" s="19">
        <f ca="1">IFERROR(__xludf.DUMMYFUNCTION("""COMPUTED_VALUE"""),7500)</f>
        <v>7500</v>
      </c>
      <c r="H523" s="18">
        <f ca="1">IFERROR(__xludf.DUMMYFUNCTION("""COMPUTED_VALUE"""),45667)</f>
        <v>45667</v>
      </c>
      <c r="I523" s="5" t="str">
        <f ca="1">IFERROR(__xludf.DUMMYFUNCTION("""COMPUTED_VALUE"""),"Zillow")</f>
        <v>Zillow</v>
      </c>
      <c r="J523" s="25" t="str">
        <f ca="1">IFERROR(__xludf.DUMMYFUNCTION("""COMPUTED_VALUE"""),"https://www.zillow.com/homedetails/745-Patterson-Ave-Glendale-CA-91202/20830106_zpid/")</f>
        <v>https://www.zillow.com/homedetails/745-Patterson-Ave-Glendale-CA-91202/20830106_zpid/</v>
      </c>
      <c r="K523" s="5"/>
      <c r="L523" s="5" t="str">
        <f ca="1">IFERROR(__xludf.DUMMYFUNCTION("""COMPUTED_VALUE"""),"Chris Eskandarian")</f>
        <v>Chris Eskandarian</v>
      </c>
      <c r="M523" s="5" t="str">
        <f ca="1">IFERROR(__xludf.DUMMYFUNCTION("""COMPUTED_VALUE"""),"he removed the listing on Zillow but I found it on WestSide Rentals for 7k")</f>
        <v>he removed the listing on Zillow but I found it on WestSide Rentals for 7k</v>
      </c>
      <c r="N523" s="5" t="str">
        <f ca="1">IFERROR(__xludf.DUMMYFUNCTION("""COMPUTED_VALUE"""),"https://drive.google.com/open?id=1v5g2FtuPdu2RbxIGgzZFv_69QdEnhH0V, https://drive.google.com/open?id=1Ds3M7IX5im4mXUR4QlQOaTMoW2hu2tmd, https://drive.google.com/open?id=1-MKtn1611x7CMy5EURIgVX8iODBAVABn, https://drive.google.com/open?id=1uYXbsEY0JFXXo8_A3"&amp;"Xyf2mBQJL2osE4W, https://drive.google.com/open?id=17HD8_qhrLgWvEwA8_3Q82nwu1FrkpNK8")</f>
        <v>https://drive.google.com/open?id=1v5g2FtuPdu2RbxIGgzZFv_69QdEnhH0V, https://drive.google.com/open?id=1Ds3M7IX5im4mXUR4QlQOaTMoW2hu2tmd, https://drive.google.com/open?id=1-MKtn1611x7CMy5EURIgVX8iODBAVABn, https://drive.google.com/open?id=1uYXbsEY0JFXXo8_A3Xyf2mBQJL2osE4W, https://drive.google.com/open?id=17HD8_qhrLgWvEwA8_3Q82nwu1FrkpNK8</v>
      </c>
      <c r="O523" s="5">
        <f ca="1">IFERROR(__xludf.DUMMYFUNCTION("""COMPUTED_VALUE"""),5635011022)</f>
        <v>5635011022</v>
      </c>
      <c r="P523" s="5"/>
      <c r="Q523" s="5"/>
      <c r="R523" s="5">
        <f ca="1">IFERROR(__xludf.DUMMYFUNCTION("""COMPUTED_VALUE"""),8186183813)</f>
        <v>8186183813</v>
      </c>
      <c r="S523" s="5" t="str">
        <f ca="1">IFERROR(__xludf.DUMMYFUNCTION("""COMPUTED_VALUE"""),"chris@propertylending.com")</f>
        <v>chris@propertylending.com</v>
      </c>
      <c r="T523" s="5"/>
    </row>
    <row r="524" spans="1:20" ht="12.75">
      <c r="A524" s="24">
        <f ca="1">IFERROR(__xludf.DUMMYFUNCTION("""COMPUTED_VALUE"""),45670.6151561574)</f>
        <v>45670.615156157401</v>
      </c>
      <c r="B524" s="5" t="str">
        <f ca="1">IFERROR(__xludf.DUMMYFUNCTION("""COMPUTED_VALUE"""),"138 N Hamel Dr")</f>
        <v>138 N Hamel Dr</v>
      </c>
      <c r="C524" s="5" t="str">
        <f ca="1">IFERROR(__xludf.DUMMYFUNCTION("""COMPUTED_VALUE"""),"Beverly Hills")</f>
        <v>Beverly Hills</v>
      </c>
      <c r="D524" s="5" t="str">
        <f ca="1">IFERROR(__xludf.DUMMYFUNCTION("""COMPUTED_VALUE"""),"CA")</f>
        <v>CA</v>
      </c>
      <c r="E524" s="5">
        <f ca="1">IFERROR(__xludf.DUMMYFUNCTION("""COMPUTED_VALUE"""),90211)</f>
        <v>90211</v>
      </c>
      <c r="F524" s="19">
        <f ca="1">IFERROR(__xludf.DUMMYFUNCTION("""COMPUTED_VALUE"""),9500)</f>
        <v>9500</v>
      </c>
      <c r="G524" s="19">
        <f ca="1">IFERROR(__xludf.DUMMYFUNCTION("""COMPUTED_VALUE"""),15500)</f>
        <v>15500</v>
      </c>
      <c r="H524" s="18">
        <f ca="1">IFERROR(__xludf.DUMMYFUNCTION("""COMPUTED_VALUE"""),45667)</f>
        <v>45667</v>
      </c>
      <c r="I524" s="5" t="str">
        <f ca="1">IFERROR(__xludf.DUMMYFUNCTION("""COMPUTED_VALUE"""),"Zillow")</f>
        <v>Zillow</v>
      </c>
      <c r="J524" s="25" t="str">
        <f ca="1">IFERROR(__xludf.DUMMYFUNCTION("""COMPUTED_VALUE"""),"https://www.zillow.com/homedetails/138-N-Hamel-Dr-Beverly-Hills-CA-90211/20514615_zpid/")</f>
        <v>https://www.zillow.com/homedetails/138-N-Hamel-Dr-Beverly-Hills-CA-90211/20514615_zpid/</v>
      </c>
      <c r="K524" s="5"/>
      <c r="L524" s="5" t="str">
        <f ca="1">IFERROR(__xludf.DUMMYFUNCTION("""COMPUTED_VALUE"""),"Beki Jun")</f>
        <v>Beki Jun</v>
      </c>
      <c r="M524" s="5"/>
      <c r="N524" s="26" t="str">
        <f ca="1">IFERROR(__xludf.DUMMYFUNCTION("""COMPUTED_VALUE"""),"https://drive.google.com/open?id=1zw4fNusP9ncPwgr1jVf11kEuEcuRoocW")</f>
        <v>https://drive.google.com/open?id=1zw4fNusP9ncPwgr1jVf11kEuEcuRoocW</v>
      </c>
      <c r="O524" s="5">
        <f ca="1">IFERROR(__xludf.DUMMYFUNCTION("""COMPUTED_VALUE"""),4334012048)</f>
        <v>4334012048</v>
      </c>
      <c r="P524" s="5"/>
      <c r="Q524" s="5"/>
      <c r="R524" s="5" t="str">
        <f ca="1">IFERROR(__xludf.DUMMYFUNCTION("""COMPUTED_VALUE"""),"(213) 761-2766")</f>
        <v>(213) 761-2766</v>
      </c>
      <c r="S524" s="5"/>
      <c r="T524" s="5"/>
    </row>
    <row r="525" spans="1:20" ht="12.75">
      <c r="A525" s="24">
        <f ca="1">IFERROR(__xludf.DUMMYFUNCTION("""COMPUTED_VALUE"""),45670.6154030555)</f>
        <v>45670.615403055497</v>
      </c>
      <c r="B525" s="5" t="str">
        <f ca="1">IFERROR(__xludf.DUMMYFUNCTION("""COMPUTED_VALUE"""),"1237 S Holt Ave Unit 206")</f>
        <v>1237 S Holt Ave Unit 206</v>
      </c>
      <c r="C525" s="5" t="str">
        <f ca="1">IFERROR(__xludf.DUMMYFUNCTION("""COMPUTED_VALUE"""),"Los Angeles")</f>
        <v>Los Angeles</v>
      </c>
      <c r="D525" s="5" t="str">
        <f ca="1">IFERROR(__xludf.DUMMYFUNCTION("""COMPUTED_VALUE"""),"CA")</f>
        <v>CA</v>
      </c>
      <c r="E525" s="5">
        <f ca="1">IFERROR(__xludf.DUMMYFUNCTION("""COMPUTED_VALUE"""),90035)</f>
        <v>90035</v>
      </c>
      <c r="F525" s="19">
        <f ca="1">IFERROR(__xludf.DUMMYFUNCTION("""COMPUTED_VALUE"""),4695)</f>
        <v>4695</v>
      </c>
      <c r="G525" s="19">
        <f ca="1">IFERROR(__xludf.DUMMYFUNCTION("""COMPUTED_VALUE"""),6450)</f>
        <v>6450</v>
      </c>
      <c r="H525" s="18">
        <f ca="1">IFERROR(__xludf.DUMMYFUNCTION("""COMPUTED_VALUE"""),45670)</f>
        <v>45670</v>
      </c>
      <c r="I525" s="5" t="str">
        <f ca="1">IFERROR(__xludf.DUMMYFUNCTION("""COMPUTED_VALUE"""),"Redfin")</f>
        <v>Redfin</v>
      </c>
      <c r="J525" s="25" t="str">
        <f ca="1">IFERROR(__xludf.DUMMYFUNCTION("""COMPUTED_VALUE"""),"https://www.redfin.com/CA/Los-Angeles/1237-S-Holt-Ave-90035/unit-206/home/191150566#property-history")</f>
        <v>https://www.redfin.com/CA/Los-Angeles/1237-S-Holt-Ave-90035/unit-206/home/191150566#property-history</v>
      </c>
      <c r="K525" s="5"/>
      <c r="L525" s="5"/>
      <c r="M525" s="5"/>
      <c r="N525" s="26" t="str">
        <f ca="1">IFERROR(__xludf.DUMMYFUNCTION("""COMPUTED_VALUE"""),"https://drive.google.com/open?id=1KY7dvVWL0xZEzMZdH2lUAtbJWlLMXVt-")</f>
        <v>https://drive.google.com/open?id=1KY7dvVWL0xZEzMZdH2lUAtbJWlLMXVt-</v>
      </c>
      <c r="O525" s="5" t="str">
        <f ca="1">IFERROR(__xludf.DUMMYFUNCTION("""COMPUTED_VALUE"""),"NA")</f>
        <v>NA</v>
      </c>
      <c r="P525" s="5" t="str">
        <f ca="1">IFERROR(__xludf.DUMMYFUNCTION("""COMPUTED_VALUE"""),"424) 352-1555")</f>
        <v>424) 352-1555</v>
      </c>
      <c r="Q525" s="5"/>
      <c r="R525" s="5"/>
      <c r="S525" s="5"/>
      <c r="T525" s="5"/>
    </row>
    <row r="526" spans="1:20" ht="12.75">
      <c r="A526" s="24">
        <f ca="1">IFERROR(__xludf.DUMMYFUNCTION("""COMPUTED_VALUE"""),45670.6167429861)</f>
        <v>45670.616742986102</v>
      </c>
      <c r="B526" s="5" t="str">
        <f ca="1">IFERROR(__xludf.DUMMYFUNCTION("""COMPUTED_VALUE"""),"3418 Glendale Blvd #1/2, Los Angeles, CA 90039")</f>
        <v>3418 Glendale Blvd #1/2, Los Angeles, CA 90039</v>
      </c>
      <c r="C526" s="5" t="str">
        <f ca="1">IFERROR(__xludf.DUMMYFUNCTION("""COMPUTED_VALUE"""),"Los Angeles")</f>
        <v>Los Angeles</v>
      </c>
      <c r="D526" s="5" t="str">
        <f ca="1">IFERROR(__xludf.DUMMYFUNCTION("""COMPUTED_VALUE"""),"CA")</f>
        <v>CA</v>
      </c>
      <c r="E526" s="5">
        <f ca="1">IFERROR(__xludf.DUMMYFUNCTION("""COMPUTED_VALUE"""),90039)</f>
        <v>90039</v>
      </c>
      <c r="F526" s="19">
        <f ca="1">IFERROR(__xludf.DUMMYFUNCTION("""COMPUTED_VALUE"""),2800)</f>
        <v>2800</v>
      </c>
      <c r="G526" s="19">
        <f ca="1">IFERROR(__xludf.DUMMYFUNCTION("""COMPUTED_VALUE"""),3400)</f>
        <v>3400</v>
      </c>
      <c r="H526" s="18">
        <f ca="1">IFERROR(__xludf.DUMMYFUNCTION("""COMPUTED_VALUE"""),45670)</f>
        <v>45670</v>
      </c>
      <c r="I526" s="5" t="str">
        <f ca="1">IFERROR(__xludf.DUMMYFUNCTION("""COMPUTED_VALUE"""),"Zillow")</f>
        <v>Zillow</v>
      </c>
      <c r="J526" s="25" t="str">
        <f ca="1">IFERROR(__xludf.DUMMYFUNCTION("""COMPUTED_VALUE"""),"https://www.zillow.com/homedetails/3418-Glendale-Blvd-1-2-Los-Angeles-CA-90039/441657486_zpid/")</f>
        <v>https://www.zillow.com/homedetails/3418-Glendale-Blvd-1-2-Los-Angeles-CA-90039/441657486_zpid/</v>
      </c>
      <c r="K526" s="5" t="str">
        <f ca="1">IFERROR(__xludf.DUMMYFUNCTION("""COMPUTED_VALUE"""),"Odet")</f>
        <v>Odet</v>
      </c>
      <c r="L526" s="5"/>
      <c r="M526" s="5" t="str">
        <f ca="1">IFERROR(__xludf.DUMMYFUNCTION("""COMPUTED_VALUE"""),"Raised the rent 21.4% on 1/13")</f>
        <v>Raised the rent 21.4% on 1/13</v>
      </c>
      <c r="N526" s="26" t="str">
        <f ca="1">IFERROR(__xludf.DUMMYFUNCTION("""COMPUTED_VALUE"""),"https://drive.google.com/open?id=1OspzwTiV4amwFN8EcwcC6-xSJ7fok_tT")</f>
        <v>https://drive.google.com/open?id=1OspzwTiV4amwFN8EcwcC6-xSJ7fok_tT</v>
      </c>
      <c r="O526" s="5" t="str">
        <f ca="1">IFERROR(__xludf.DUMMYFUNCTION("""COMPUTED_VALUE"""),"NA")</f>
        <v>NA</v>
      </c>
      <c r="P526" s="5" t="str">
        <f ca="1">IFERROR(__xludf.DUMMYFUNCTION("""COMPUTED_VALUE""")," (818) 408-4843")</f>
        <v xml:space="preserve"> (818) 408-4843</v>
      </c>
      <c r="Q526" s="5"/>
      <c r="R526" s="5"/>
      <c r="S526" s="5"/>
      <c r="T526" s="5"/>
    </row>
    <row r="527" spans="1:20" ht="12.75">
      <c r="A527" s="24">
        <f ca="1">IFERROR(__xludf.DUMMYFUNCTION("""COMPUTED_VALUE"""),45670.6192050925)</f>
        <v>45670.619205092502</v>
      </c>
      <c r="B527" s="5" t="str">
        <f ca="1">IFERROR(__xludf.DUMMYFUNCTION("""COMPUTED_VALUE"""),"812 N Croft Ave APT 201")</f>
        <v>812 N Croft Ave APT 201</v>
      </c>
      <c r="C527" s="5" t="str">
        <f ca="1">IFERROR(__xludf.DUMMYFUNCTION("""COMPUTED_VALUE"""),"Los Angeles")</f>
        <v>Los Angeles</v>
      </c>
      <c r="D527" s="5" t="str">
        <f ca="1">IFERROR(__xludf.DUMMYFUNCTION("""COMPUTED_VALUE"""),"CA")</f>
        <v>CA</v>
      </c>
      <c r="E527" s="5">
        <f ca="1">IFERROR(__xludf.DUMMYFUNCTION("""COMPUTED_VALUE"""),90069)</f>
        <v>90069</v>
      </c>
      <c r="F527" s="19">
        <f ca="1">IFERROR(__xludf.DUMMYFUNCTION("""COMPUTED_VALUE"""),9950)</f>
        <v>9950</v>
      </c>
      <c r="G527" s="19">
        <f ca="1">IFERROR(__xludf.DUMMYFUNCTION("""COMPUTED_VALUE"""),12950)</f>
        <v>12950</v>
      </c>
      <c r="H527" s="18">
        <f ca="1">IFERROR(__xludf.DUMMYFUNCTION("""COMPUTED_VALUE"""),45668)</f>
        <v>45668</v>
      </c>
      <c r="I527" s="5" t="str">
        <f ca="1">IFERROR(__xludf.DUMMYFUNCTION("""COMPUTED_VALUE"""),"Zillow")</f>
        <v>Zillow</v>
      </c>
      <c r="J527" s="25" t="str">
        <f ca="1">IFERROR(__xludf.DUMMYFUNCTION("""COMPUTED_VALUE"""),"https://www.zillow.com/homedetails/812-N-Croft-Ave-APT-201-Los-Angeles-CA-90069/2098592518_zpid/")</f>
        <v>https://www.zillow.com/homedetails/812-N-Croft-Ave-APT-201-Los-Angeles-CA-90069/2098592518_zpid/</v>
      </c>
      <c r="K527" s="5"/>
      <c r="L527" s="5" t="str">
        <f ca="1">IFERROR(__xludf.DUMMYFUNCTION("""COMPUTED_VALUE"""),"David Adamo ")</f>
        <v xml:space="preserve">David Adamo </v>
      </c>
      <c r="M527" s="5"/>
      <c r="N527" s="26" t="str">
        <f ca="1">IFERROR(__xludf.DUMMYFUNCTION("""COMPUTED_VALUE"""),"https://drive.google.com/open?id=1p94nlE3V3myTnWaoHP5hQZl_6-IGICRa")</f>
        <v>https://drive.google.com/open?id=1p94nlE3V3myTnWaoHP5hQZl_6-IGICRa</v>
      </c>
      <c r="O527" s="5" t="str">
        <f ca="1">IFERROR(__xludf.DUMMYFUNCTION("""COMPUTED_VALUE"""),"NA")</f>
        <v>NA</v>
      </c>
      <c r="P527" s="5"/>
      <c r="Q527" s="5"/>
      <c r="R527" s="5" t="str">
        <f ca="1">IFERROR(__xludf.DUMMYFUNCTION("""COMPUTED_VALUE"""),"(917) 909-9890")</f>
        <v>(917) 909-9890</v>
      </c>
      <c r="S527" s="5"/>
      <c r="T527" s="5"/>
    </row>
    <row r="528" spans="1:20" ht="12.75">
      <c r="A528" s="24">
        <f ca="1">IFERROR(__xludf.DUMMYFUNCTION("""COMPUTED_VALUE"""),45670.6213089699)</f>
        <v>45670.621308969901</v>
      </c>
      <c r="B528" s="5" t="str">
        <f ca="1">IFERROR(__xludf.DUMMYFUNCTION("""COMPUTED_VALUE"""),"3771 Keystone Ave, #06")</f>
        <v>3771 Keystone Ave, #06</v>
      </c>
      <c r="C528" s="5" t="str">
        <f ca="1">IFERROR(__xludf.DUMMYFUNCTION("""COMPUTED_VALUE"""),"Los Angeles")</f>
        <v>Los Angeles</v>
      </c>
      <c r="D528" s="5" t="str">
        <f ca="1">IFERROR(__xludf.DUMMYFUNCTION("""COMPUTED_VALUE"""),"CA")</f>
        <v>CA</v>
      </c>
      <c r="E528" s="5">
        <f ca="1">IFERROR(__xludf.DUMMYFUNCTION("""COMPUTED_VALUE"""),90034)</f>
        <v>90034</v>
      </c>
      <c r="F528" s="19">
        <f ca="1">IFERROR(__xludf.DUMMYFUNCTION("""COMPUTED_VALUE"""),3075)</f>
        <v>3075</v>
      </c>
      <c r="G528" s="19">
        <f ca="1">IFERROR(__xludf.DUMMYFUNCTION("""COMPUTED_VALUE"""),3845)</f>
        <v>3845</v>
      </c>
      <c r="H528" s="18">
        <f ca="1">IFERROR(__xludf.DUMMYFUNCTION("""COMPUTED_VALUE"""),45669)</f>
        <v>45669</v>
      </c>
      <c r="I528" s="5" t="str">
        <f ca="1">IFERROR(__xludf.DUMMYFUNCTION("""COMPUTED_VALUE"""),"Zillow")</f>
        <v>Zillow</v>
      </c>
      <c r="J528" s="25" t="str">
        <f ca="1">IFERROR(__xludf.DUMMYFUNCTION("""COMPUTED_VALUE"""),"https://www.zillow.com/homedetails/3771-Keystone-Ave-14106-Los-Angeles-CA-90034/442573913_zpid/")</f>
        <v>https://www.zillow.com/homedetails/3771-Keystone-Ave-14106-Los-Angeles-CA-90034/442573913_zpid/</v>
      </c>
      <c r="K528" s="5"/>
      <c r="L528" s="5" t="str">
        <f ca="1">IFERROR(__xludf.DUMMYFUNCTION("""COMPUTED_VALUE"""),"Ben Leeds Properties")</f>
        <v>Ben Leeds Properties</v>
      </c>
      <c r="M528" s="5" t="str">
        <f ca="1">IFERROR(__xludf.DUMMYFUNCTION("""COMPUTED_VALUE"""),"This unit was listed in October 2024 for $3,150 (Listed as Unit 06). The listing was removed and reuploaded several times between Oct-Dec 2024. On December 30, they even reduced the price to $3,075. They accidentally made a new unit listing under the buil"&amp;"ding on January 12 (Listed as Unit 14106) with an increased rent of $3,845. This is a very clear instance of price gouging and Ben Leeds is a repeat offender, with multiple listings at over a 10% increase.")</f>
        <v>This unit was listed in October 2024 for $3,150 (Listed as Unit 06). The listing was removed and reuploaded several times between Oct-Dec 2024. On December 30, they even reduced the price to $3,075. They accidentally made a new unit listing under the building on January 12 (Listed as Unit 14106) with an increased rent of $3,845. This is a very clear instance of price gouging and Ben Leeds is a repeat offender, with multiple listings at over a 10% increase.</v>
      </c>
      <c r="N528" s="5" t="str">
        <f ca="1">IFERROR(__xludf.DUMMYFUNCTION("""COMPUTED_VALUE"""),"https://drive.google.com/open?id=14777g5pgso10TVrpjRUTpKwpGTPlpw36, https://drive.google.com/open?id=1vX0kuJ9MXiX4GhrTKrzC3n1x6bZRJlvP")</f>
        <v>https://drive.google.com/open?id=14777g5pgso10TVrpjRUTpKwpGTPlpw36, https://drive.google.com/open?id=1vX0kuJ9MXiX4GhrTKrzC3n1x6bZRJlvP</v>
      </c>
      <c r="O528" s="5" t="str">
        <f ca="1">IFERROR(__xludf.DUMMYFUNCTION("""COMPUTED_VALUE"""),"NA")</f>
        <v>NA</v>
      </c>
      <c r="P528" s="5"/>
      <c r="Q528" s="5"/>
      <c r="R528" s="5" t="str">
        <f ca="1">IFERROR(__xludf.DUMMYFUNCTION("""COMPUTED_VALUE"""),"(213) 319-2518")</f>
        <v>(213) 319-2518</v>
      </c>
      <c r="S528" s="5"/>
      <c r="T528" s="5"/>
    </row>
    <row r="529" spans="1:20" ht="12.75">
      <c r="A529" s="24">
        <f ca="1">IFERROR(__xludf.DUMMYFUNCTION("""COMPUTED_VALUE"""),45670.6215517708)</f>
        <v>45670.621551770797</v>
      </c>
      <c r="B529" s="5" t="str">
        <f ca="1">IFERROR(__xludf.DUMMYFUNCTION("""COMPUTED_VALUE"""),"13918 Chandler Blvd")</f>
        <v>13918 Chandler Blvd</v>
      </c>
      <c r="C529" s="5" t="str">
        <f ca="1">IFERROR(__xludf.DUMMYFUNCTION("""COMPUTED_VALUE"""),"Van Nuys")</f>
        <v>Van Nuys</v>
      </c>
      <c r="D529" s="5" t="str">
        <f ca="1">IFERROR(__xludf.DUMMYFUNCTION("""COMPUTED_VALUE"""),"CA")</f>
        <v>CA</v>
      </c>
      <c r="E529" s="5">
        <f ca="1">IFERROR(__xludf.DUMMYFUNCTION("""COMPUTED_VALUE"""),91401)</f>
        <v>91401</v>
      </c>
      <c r="F529" s="19">
        <f ca="1">IFERROR(__xludf.DUMMYFUNCTION("""COMPUTED_VALUE"""),35000)</f>
        <v>35000</v>
      </c>
      <c r="G529" s="19">
        <f ca="1">IFERROR(__xludf.DUMMYFUNCTION("""COMPUTED_VALUE"""),50000)</f>
        <v>50000</v>
      </c>
      <c r="H529" s="18">
        <f ca="1">IFERROR(__xludf.DUMMYFUNCTION("""COMPUTED_VALUE"""),45670)</f>
        <v>45670</v>
      </c>
      <c r="I529" s="5" t="str">
        <f ca="1">IFERROR(__xludf.DUMMYFUNCTION("""COMPUTED_VALUE"""),"Zillow")</f>
        <v>Zillow</v>
      </c>
      <c r="J529" s="25" t="str">
        <f ca="1">IFERROR(__xludf.DUMMYFUNCTION("""COMPUTED_VALUE"""),"https://www.zillow.com/homedetails/13918-Chandler-Blvd-Van-Nuys-CA-91401/19974663_zpid/")</f>
        <v>https://www.zillow.com/homedetails/13918-Chandler-Blvd-Van-Nuys-CA-91401/19974663_zpid/</v>
      </c>
      <c r="K529" s="5" t="str">
        <f ca="1">IFERROR(__xludf.DUMMYFUNCTION("""COMPUTED_VALUE"""),"Avi Shabtai")</f>
        <v>Avi Shabtai</v>
      </c>
      <c r="L529" s="5"/>
      <c r="M529" s="5"/>
      <c r="N529" s="26" t="str">
        <f ca="1">IFERROR(__xludf.DUMMYFUNCTION("""COMPUTED_VALUE"""),"https://drive.google.com/open?id=1ji22KuOkeVGFM8kyjMB6lu9wOL74EkKd")</f>
        <v>https://drive.google.com/open?id=1ji22KuOkeVGFM8kyjMB6lu9wOL74EkKd</v>
      </c>
      <c r="O529" s="5">
        <f ca="1">IFERROR(__xludf.DUMMYFUNCTION("""COMPUTED_VALUE"""),2247017002)</f>
        <v>2247017002</v>
      </c>
      <c r="P529" s="5" t="str">
        <f ca="1">IFERROR(__xludf.DUMMYFUNCTION("""COMPUTED_VALUE"""),"(747) 227-7261")</f>
        <v>(747) 227-7261</v>
      </c>
      <c r="Q529" s="5"/>
      <c r="R529" s="5"/>
      <c r="S529" s="5"/>
      <c r="T529" s="5"/>
    </row>
    <row r="530" spans="1:20" ht="12.75">
      <c r="A530" s="24">
        <f ca="1">IFERROR(__xludf.DUMMYFUNCTION("""COMPUTED_VALUE"""),45670.6227892476)</f>
        <v>45670.622789247602</v>
      </c>
      <c r="B530" s="5" t="str">
        <f ca="1">IFERROR(__xludf.DUMMYFUNCTION("""COMPUTED_VALUE"""),"7177 Pacific View Dr")</f>
        <v>7177 Pacific View Dr</v>
      </c>
      <c r="C530" s="5" t="str">
        <f ca="1">IFERROR(__xludf.DUMMYFUNCTION("""COMPUTED_VALUE"""),"Los Angeles")</f>
        <v>Los Angeles</v>
      </c>
      <c r="D530" s="5" t="str">
        <f ca="1">IFERROR(__xludf.DUMMYFUNCTION("""COMPUTED_VALUE"""),"CA")</f>
        <v>CA</v>
      </c>
      <c r="E530" s="5">
        <f ca="1">IFERROR(__xludf.DUMMYFUNCTION("""COMPUTED_VALUE"""),90068)</f>
        <v>90068</v>
      </c>
      <c r="F530" s="19">
        <f ca="1">IFERROR(__xludf.DUMMYFUNCTION("""COMPUTED_VALUE"""),14995)</f>
        <v>14995</v>
      </c>
      <c r="G530" s="19">
        <f ca="1">IFERROR(__xludf.DUMMYFUNCTION("""COMPUTED_VALUE"""),17500)</f>
        <v>17500</v>
      </c>
      <c r="H530" s="18">
        <f ca="1">IFERROR(__xludf.DUMMYFUNCTION("""COMPUTED_VALUE"""),45668)</f>
        <v>45668</v>
      </c>
      <c r="I530" s="5" t="str">
        <f ca="1">IFERROR(__xludf.DUMMYFUNCTION("""COMPUTED_VALUE"""),"Zillow")</f>
        <v>Zillow</v>
      </c>
      <c r="J530" s="25" t="str">
        <f ca="1">IFERROR(__xludf.DUMMYFUNCTION("""COMPUTED_VALUE"""),"https://www.zillow.com/homedetails/7177-Pacific-View-Dr-Los-Angeles-CA-90068/20045420_zpid/")</f>
        <v>https://www.zillow.com/homedetails/7177-Pacific-View-Dr-Los-Angeles-CA-90068/20045420_zpid/</v>
      </c>
      <c r="K530" s="5" t="str">
        <f ca="1">IFERROR(__xludf.DUMMYFUNCTION("""COMPUTED_VALUE"""),"Peter Cornell The Oppenheim Group ")</f>
        <v xml:space="preserve">Peter Cornell The Oppenheim Group </v>
      </c>
      <c r="L530" s="5"/>
      <c r="M530" s="5"/>
      <c r="N530" s="26" t="str">
        <f ca="1">IFERROR(__xludf.DUMMYFUNCTION("""COMPUTED_VALUE"""),"https://drive.google.com/open?id=1T9H2AtgcxZB4BVqhnujpILNoZQDIRXhh")</f>
        <v>https://drive.google.com/open?id=1T9H2AtgcxZB4BVqhnujpILNoZQDIRXhh</v>
      </c>
      <c r="O530" s="5">
        <f ca="1">IFERROR(__xludf.DUMMYFUNCTION("""COMPUTED_VALUE"""),2428010032)</f>
        <v>2428010032</v>
      </c>
      <c r="P530" s="5" t="str">
        <f ca="1">IFERROR(__xludf.DUMMYFUNCTION("""COMPUTED_VALUE"""),"(310) 466-3200")</f>
        <v>(310) 466-3200</v>
      </c>
      <c r="Q530" s="5"/>
      <c r="R530" s="5"/>
      <c r="S530" s="5"/>
      <c r="T530" s="5"/>
    </row>
    <row r="531" spans="1:20" ht="12.75">
      <c r="A531" s="24">
        <f ca="1">IFERROR(__xludf.DUMMYFUNCTION("""COMPUTED_VALUE"""),45670.6237132291)</f>
        <v>45670.623713229099</v>
      </c>
      <c r="B531" s="5" t="str">
        <f ca="1">IFERROR(__xludf.DUMMYFUNCTION("""COMPUTED_VALUE"""),"13018 Chandler Blvd")</f>
        <v>13018 Chandler Blvd</v>
      </c>
      <c r="C531" s="5" t="str">
        <f ca="1">IFERROR(__xludf.DUMMYFUNCTION("""COMPUTED_VALUE"""),"Van Nuys")</f>
        <v>Van Nuys</v>
      </c>
      <c r="D531" s="5" t="str">
        <f ca="1">IFERROR(__xludf.DUMMYFUNCTION("""COMPUTED_VALUE"""),"CA")</f>
        <v>CA</v>
      </c>
      <c r="E531" s="5">
        <f ca="1">IFERROR(__xludf.DUMMYFUNCTION("""COMPUTED_VALUE"""),91401)</f>
        <v>91401</v>
      </c>
      <c r="F531" s="19">
        <f ca="1">IFERROR(__xludf.DUMMYFUNCTION("""COMPUTED_VALUE"""),40000)</f>
        <v>40000</v>
      </c>
      <c r="G531" s="19">
        <f ca="1">IFERROR(__xludf.DUMMYFUNCTION("""COMPUTED_VALUE"""),45000)</f>
        <v>45000</v>
      </c>
      <c r="H531" s="18">
        <f ca="1">IFERROR(__xludf.DUMMYFUNCTION("""COMPUTED_VALUE"""),45670)</f>
        <v>45670</v>
      </c>
      <c r="I531" s="5" t="str">
        <f ca="1">IFERROR(__xludf.DUMMYFUNCTION("""COMPUTED_VALUE"""),"Zillow")</f>
        <v>Zillow</v>
      </c>
      <c r="J531" s="25" t="str">
        <f ca="1">IFERROR(__xludf.DUMMYFUNCTION("""COMPUTED_VALUE"""),"https://www.zillow.com/homedetails/13018-Chandler-Blvd-Van-Nuys-CA-91401/440548973_zpid/")</f>
        <v>https://www.zillow.com/homedetails/13018-Chandler-Blvd-Van-Nuys-CA-91401/440548973_zpid/</v>
      </c>
      <c r="K531" s="5" t="str">
        <f ca="1">IFERROR(__xludf.DUMMYFUNCTION("""COMPUTED_VALUE"""),"Avi Shabtai")</f>
        <v>Avi Shabtai</v>
      </c>
      <c r="L531" s="5"/>
      <c r="M531" s="5"/>
      <c r="N531" s="26" t="str">
        <f ca="1">IFERROR(__xludf.DUMMYFUNCTION("""COMPUTED_VALUE"""),"https://drive.google.com/open?id=1zceQZxwSkxHpLeNWjm1IfmAPwGpIEqGM")</f>
        <v>https://drive.google.com/open?id=1zceQZxwSkxHpLeNWjm1IfmAPwGpIEqGM</v>
      </c>
      <c r="O531" s="5" t="str">
        <f ca="1">IFERROR(__xludf.DUMMYFUNCTION("""COMPUTED_VALUE"""),"NA")</f>
        <v>NA</v>
      </c>
      <c r="P531" s="5" t="str">
        <f ca="1">IFERROR(__xludf.DUMMYFUNCTION("""COMPUTED_VALUE"""),"(213) 816-6193")</f>
        <v>(213) 816-6193</v>
      </c>
      <c r="Q531" s="5"/>
      <c r="R531" s="5"/>
      <c r="S531" s="5"/>
      <c r="T531" s="5"/>
    </row>
    <row r="532" spans="1:20" ht="12.75">
      <c r="A532" s="24">
        <f ca="1">IFERROR(__xludf.DUMMYFUNCTION("""COMPUTED_VALUE"""),45670.625392581)</f>
        <v>45670.625392581002</v>
      </c>
      <c r="B532" s="5" t="str">
        <f ca="1">IFERROR(__xludf.DUMMYFUNCTION("""COMPUTED_VALUE"""),"14143 Hatteras St")</f>
        <v>14143 Hatteras St</v>
      </c>
      <c r="C532" s="5" t="str">
        <f ca="1">IFERROR(__xludf.DUMMYFUNCTION("""COMPUTED_VALUE"""),"Sherman Oaks")</f>
        <v>Sherman Oaks</v>
      </c>
      <c r="D532" s="5" t="str">
        <f ca="1">IFERROR(__xludf.DUMMYFUNCTION("""COMPUTED_VALUE"""),"CA")</f>
        <v>CA</v>
      </c>
      <c r="E532" s="5">
        <f ca="1">IFERROR(__xludf.DUMMYFUNCTION("""COMPUTED_VALUE"""),91401)</f>
        <v>91401</v>
      </c>
      <c r="F532" s="19">
        <f ca="1">IFERROR(__xludf.DUMMYFUNCTION("""COMPUTED_VALUE"""),7500)</f>
        <v>7500</v>
      </c>
      <c r="G532" s="19">
        <f ca="1">IFERROR(__xludf.DUMMYFUNCTION("""COMPUTED_VALUE"""),7950)</f>
        <v>7950</v>
      </c>
      <c r="H532" s="18">
        <f ca="1">IFERROR(__xludf.DUMMYFUNCTION("""COMPUTED_VALUE"""),45670)</f>
        <v>45670</v>
      </c>
      <c r="I532" s="5" t="str">
        <f ca="1">IFERROR(__xludf.DUMMYFUNCTION("""COMPUTED_VALUE"""),"Zillow")</f>
        <v>Zillow</v>
      </c>
      <c r="J532" s="25" t="str">
        <f ca="1">IFERROR(__xludf.DUMMYFUNCTION("""COMPUTED_VALUE"""),"https://www.zillow.com/homedetails/14143-Hatteras-St-Sherman-Oaks-CA-91401/71543451_zpid/")</f>
        <v>https://www.zillow.com/homedetails/14143-Hatteras-St-Sherman-Oaks-CA-91401/71543451_zpid/</v>
      </c>
      <c r="K532" s="5"/>
      <c r="L532" s="5" t="str">
        <f ca="1">IFERROR(__xludf.DUMMYFUNCTION("""COMPUTED_VALUE"""),"Sahar Zeton")</f>
        <v>Sahar Zeton</v>
      </c>
      <c r="M532" s="5" t="str">
        <f ca="1">IFERROR(__xludf.DUMMYFUNCTION("""COMPUTED_VALUE"""),"6% jump on 1/13/25")</f>
        <v>6% jump on 1/13/25</v>
      </c>
      <c r="N532" s="26" t="str">
        <f ca="1">IFERROR(__xludf.DUMMYFUNCTION("""COMPUTED_VALUE"""),"https://drive.google.com/open?id=1TrmT2e6BIaJ4i40N-RuhRGFv7z3ggVpi")</f>
        <v>https://drive.google.com/open?id=1TrmT2e6BIaJ4i40N-RuhRGFv7z3ggVpi</v>
      </c>
      <c r="O532" s="5">
        <f ca="1">IFERROR(__xludf.DUMMYFUNCTION("""COMPUTED_VALUE"""),2245029036)</f>
        <v>2245029036</v>
      </c>
      <c r="P532" s="5"/>
      <c r="Q532" s="5"/>
      <c r="R532" s="5" t="str">
        <f ca="1">IFERROR(__xludf.DUMMYFUNCTION("""COMPUTED_VALUE"""),"(213) 566-7150")</f>
        <v>(213) 566-7150</v>
      </c>
      <c r="S532" s="5"/>
      <c r="T532" s="5"/>
    </row>
    <row r="533" spans="1:20" ht="12.75">
      <c r="A533" s="24">
        <f ca="1">IFERROR(__xludf.DUMMYFUNCTION("""COMPUTED_VALUE"""),45670.6264873726)</f>
        <v>45670.626487372603</v>
      </c>
      <c r="B533" s="5" t="str">
        <f ca="1">IFERROR(__xludf.DUMMYFUNCTION("""COMPUTED_VALUE"""),"7801 White Oak Ave")</f>
        <v>7801 White Oak Ave</v>
      </c>
      <c r="C533" s="5" t="str">
        <f ca="1">IFERROR(__xludf.DUMMYFUNCTION("""COMPUTED_VALUE"""),"Reseda")</f>
        <v>Reseda</v>
      </c>
      <c r="D533" s="5" t="str">
        <f ca="1">IFERROR(__xludf.DUMMYFUNCTION("""COMPUTED_VALUE"""),"CA")</f>
        <v>CA</v>
      </c>
      <c r="E533" s="5">
        <f ca="1">IFERROR(__xludf.DUMMYFUNCTION("""COMPUTED_VALUE"""),91335)</f>
        <v>91335</v>
      </c>
      <c r="F533" s="19">
        <f ca="1">IFERROR(__xludf.DUMMYFUNCTION("""COMPUTED_VALUE"""),5450)</f>
        <v>5450</v>
      </c>
      <c r="G533" s="19">
        <f ca="1">IFERROR(__xludf.DUMMYFUNCTION("""COMPUTED_VALUE"""),7450)</f>
        <v>7450</v>
      </c>
      <c r="H533" s="18">
        <f ca="1">IFERROR(__xludf.DUMMYFUNCTION("""COMPUTED_VALUE"""),45667)</f>
        <v>45667</v>
      </c>
      <c r="I533" s="5" t="str">
        <f ca="1">IFERROR(__xludf.DUMMYFUNCTION("""COMPUTED_VALUE"""),"Zillow")</f>
        <v>Zillow</v>
      </c>
      <c r="J533" s="25" t="str">
        <f ca="1">IFERROR(__xludf.DUMMYFUNCTION("""COMPUTED_VALUE"""),"https://www.zillow.com/homedetails/7801-White-Oak-Ave-Reseda-CA-91335/19903033_zpid/")</f>
        <v>https://www.zillow.com/homedetails/7801-White-Oak-Ave-Reseda-CA-91335/19903033_zpid/</v>
      </c>
      <c r="K533" s="5"/>
      <c r="L533" s="5" t="str">
        <f ca="1">IFERROR(__xludf.DUMMYFUNCTION("""COMPUTED_VALUE"""),"Paul Peress")</f>
        <v>Paul Peress</v>
      </c>
      <c r="M533" s="5"/>
      <c r="N533" s="5" t="str">
        <f ca="1">IFERROR(__xludf.DUMMYFUNCTION("""COMPUTED_VALUE"""),"https://drive.google.com/open?id=10L1a_kVIg0L3FRbF08qbKLrnFSDyt1cS, https://drive.google.com/open?id=1CE4ZVYbUmh1Eb8Gh95_XV9c4p149FbVL")</f>
        <v>https://drive.google.com/open?id=10L1a_kVIg0L3FRbF08qbKLrnFSDyt1cS, https://drive.google.com/open?id=1CE4ZVYbUmh1Eb8Gh95_XV9c4p149FbVL</v>
      </c>
      <c r="O533" s="5">
        <f ca="1">IFERROR(__xludf.DUMMYFUNCTION("""COMPUTED_VALUE"""),2101036001)</f>
        <v>2101036001</v>
      </c>
      <c r="P533" s="5"/>
      <c r="Q533" s="5"/>
      <c r="R533" s="5" t="str">
        <f ca="1">IFERROR(__xludf.DUMMYFUNCTION("""COMPUTED_VALUE"""),"(917) 359-1055")</f>
        <v>(917) 359-1055</v>
      </c>
      <c r="S533" s="5"/>
      <c r="T533" s="5"/>
    </row>
    <row r="534" spans="1:20" ht="12.75">
      <c r="A534" s="24">
        <f ca="1">IFERROR(__xludf.DUMMYFUNCTION("""COMPUTED_VALUE"""),45670.6270399884)</f>
        <v>45670.627039988402</v>
      </c>
      <c r="B534" s="5" t="str">
        <f ca="1">IFERROR(__xludf.DUMMYFUNCTION("""COMPUTED_VALUE"""),"240 Howland Canal Ct")</f>
        <v>240 Howland Canal Ct</v>
      </c>
      <c r="C534" s="5" t="str">
        <f ca="1">IFERROR(__xludf.DUMMYFUNCTION("""COMPUTED_VALUE"""),"Venice")</f>
        <v>Venice</v>
      </c>
      <c r="D534" s="5" t="str">
        <f ca="1">IFERROR(__xludf.DUMMYFUNCTION("""COMPUTED_VALUE"""),"CA")</f>
        <v>CA</v>
      </c>
      <c r="E534" s="5">
        <f ca="1">IFERROR(__xludf.DUMMYFUNCTION("""COMPUTED_VALUE"""),90291)</f>
        <v>90291</v>
      </c>
      <c r="F534" s="19">
        <f ca="1">IFERROR(__xludf.DUMMYFUNCTION("""COMPUTED_VALUE"""),20500)</f>
        <v>20500</v>
      </c>
      <c r="G534" s="19">
        <f ca="1">IFERROR(__xludf.DUMMYFUNCTION("""COMPUTED_VALUE"""),35000)</f>
        <v>35000</v>
      </c>
      <c r="H534" s="18">
        <f ca="1">IFERROR(__xludf.DUMMYFUNCTION("""COMPUTED_VALUE"""),45666)</f>
        <v>45666</v>
      </c>
      <c r="I534" s="5" t="str">
        <f ca="1">IFERROR(__xludf.DUMMYFUNCTION("""COMPUTED_VALUE"""),"Zillow")</f>
        <v>Zillow</v>
      </c>
      <c r="J534" s="25" t="str">
        <f ca="1">IFERROR(__xludf.DUMMYFUNCTION("""COMPUTED_VALUE"""),"https://www.zillow.com/homedetails/240-Howland-Canal-Ct-Venice-CA-90291/443837979_zpid/")</f>
        <v>https://www.zillow.com/homedetails/240-Howland-Canal-Ct-Venice-CA-90291/443837979_zpid/</v>
      </c>
      <c r="K534" s="5"/>
      <c r="L534" s="5"/>
      <c r="M534" s="5"/>
      <c r="N534" s="26" t="str">
        <f ca="1">IFERROR(__xludf.DUMMYFUNCTION("""COMPUTED_VALUE"""),"https://drive.google.com/open?id=1P_1d_7FkETiPPie_MSIjS1hOqGA8jTeb")</f>
        <v>https://drive.google.com/open?id=1P_1d_7FkETiPPie_MSIjS1hOqGA8jTeb</v>
      </c>
      <c r="O534" s="5" t="str">
        <f ca="1">IFERROR(__xludf.DUMMYFUNCTION("""COMPUTED_VALUE"""),"NA")</f>
        <v>NA</v>
      </c>
      <c r="P534" s="5" t="str">
        <f ca="1">IFERROR(__xludf.DUMMYFUNCTION("""COMPUTED_VALUE"""),"(818) 577-5739")</f>
        <v>(818) 577-5739</v>
      </c>
      <c r="Q534" s="5"/>
      <c r="R534" s="5"/>
      <c r="S534" s="5"/>
      <c r="T534" s="5"/>
    </row>
    <row r="535" spans="1:20" ht="12.75">
      <c r="A535" s="24">
        <f ca="1">IFERROR(__xludf.DUMMYFUNCTION("""COMPUTED_VALUE"""),45670.6280434953)</f>
        <v>45670.628043495301</v>
      </c>
      <c r="B535" s="5" t="str">
        <f ca="1">IFERROR(__xludf.DUMMYFUNCTION("""COMPUTED_VALUE"""),"3935 Inglewood Blvd #3935")</f>
        <v>3935 Inglewood Blvd #3935</v>
      </c>
      <c r="C535" s="5" t="str">
        <f ca="1">IFERROR(__xludf.DUMMYFUNCTION("""COMPUTED_VALUE"""),"Los Angeles")</f>
        <v>Los Angeles</v>
      </c>
      <c r="D535" s="5" t="str">
        <f ca="1">IFERROR(__xludf.DUMMYFUNCTION("""COMPUTED_VALUE"""),"CA")</f>
        <v>CA</v>
      </c>
      <c r="E535" s="5">
        <f ca="1">IFERROR(__xludf.DUMMYFUNCTION("""COMPUTED_VALUE"""),90066)</f>
        <v>90066</v>
      </c>
      <c r="F535" s="19">
        <f ca="1">IFERROR(__xludf.DUMMYFUNCTION("""COMPUTED_VALUE"""),3999)</f>
        <v>3999</v>
      </c>
      <c r="G535" s="19">
        <f ca="1">IFERROR(__xludf.DUMMYFUNCTION("""COMPUTED_VALUE"""),4500)</f>
        <v>4500</v>
      </c>
      <c r="H535" s="18">
        <f ca="1">IFERROR(__xludf.DUMMYFUNCTION("""COMPUTED_VALUE"""),45664)</f>
        <v>45664</v>
      </c>
      <c r="I535" s="5" t="str">
        <f ca="1">IFERROR(__xludf.DUMMYFUNCTION("""COMPUTED_VALUE"""),"Zillow")</f>
        <v>Zillow</v>
      </c>
      <c r="J535" s="25" t="str">
        <f ca="1">IFERROR(__xludf.DUMMYFUNCTION("""COMPUTED_VALUE"""),"https://www.zillow.com/homedetails/3935-Inglewood-Blvd-3935-Los-Angeles-CA-90066/401885716_zpid/")</f>
        <v>https://www.zillow.com/homedetails/3935-Inglewood-Blvd-3935-Los-Angeles-CA-90066/401885716_zpid/</v>
      </c>
      <c r="K535" s="5"/>
      <c r="L535" s="5" t="str">
        <f ca="1">IFERROR(__xludf.DUMMYFUNCTION("""COMPUTED_VALUE"""),"Allen")</f>
        <v>Allen</v>
      </c>
      <c r="M535" s="5"/>
      <c r="N535" s="5" t="str">
        <f ca="1">IFERROR(__xludf.DUMMYFUNCTION("""COMPUTED_VALUE"""),"https://drive.google.com/open?id=1wIlr_W9JalOlXWKeirCXs0zGR-n3_6KT, https://drive.google.com/open?id=1zuLFlkDxZBPF109cXoMftT9mrbwcJGC7")</f>
        <v>https://drive.google.com/open?id=1wIlr_W9JalOlXWKeirCXs0zGR-n3_6KT, https://drive.google.com/open?id=1zuLFlkDxZBPF109cXoMftT9mrbwcJGC7</v>
      </c>
      <c r="O535" s="5" t="str">
        <f ca="1">IFERROR(__xludf.DUMMYFUNCTION("""COMPUTED_VALUE"""),"NA")</f>
        <v>NA</v>
      </c>
      <c r="P535" s="5"/>
      <c r="Q535" s="5"/>
      <c r="R535" s="5">
        <f ca="1">IFERROR(__xludf.DUMMYFUNCTION("""COMPUTED_VALUE"""),3109851299)</f>
        <v>3109851299</v>
      </c>
      <c r="S535" s="5"/>
      <c r="T535" s="5"/>
    </row>
    <row r="536" spans="1:20" ht="12.75">
      <c r="A536" s="24">
        <f ca="1">IFERROR(__xludf.DUMMYFUNCTION("""COMPUTED_VALUE"""),45670.628544618)</f>
        <v>45670.628544617997</v>
      </c>
      <c r="B536" s="5" t="str">
        <f ca="1">IFERROR(__xludf.DUMMYFUNCTION("""COMPUTED_VALUE"""),"6229 Fallbrook Ave")</f>
        <v>6229 Fallbrook Ave</v>
      </c>
      <c r="C536" s="5" t="str">
        <f ca="1">IFERROR(__xludf.DUMMYFUNCTION("""COMPUTED_VALUE"""),"Woodland Hills")</f>
        <v>Woodland Hills</v>
      </c>
      <c r="D536" s="5" t="str">
        <f ca="1">IFERROR(__xludf.DUMMYFUNCTION("""COMPUTED_VALUE"""),"CA")</f>
        <v>CA</v>
      </c>
      <c r="E536" s="5">
        <f ca="1">IFERROR(__xludf.DUMMYFUNCTION("""COMPUTED_VALUE"""),91367)</f>
        <v>91367</v>
      </c>
      <c r="F536" s="19">
        <f ca="1">IFERROR(__xludf.DUMMYFUNCTION("""COMPUTED_VALUE"""),3950)</f>
        <v>3950</v>
      </c>
      <c r="G536" s="19">
        <f ca="1">IFERROR(__xludf.DUMMYFUNCTION("""COMPUTED_VALUE"""),6900)</f>
        <v>6900</v>
      </c>
      <c r="H536" s="18">
        <f ca="1">IFERROR(__xludf.DUMMYFUNCTION("""COMPUTED_VALUE"""),45670)</f>
        <v>45670</v>
      </c>
      <c r="I536" s="5" t="str">
        <f ca="1">IFERROR(__xludf.DUMMYFUNCTION("""COMPUTED_VALUE"""),"Zillow")</f>
        <v>Zillow</v>
      </c>
      <c r="J536" s="25" t="str">
        <f ca="1">IFERROR(__xludf.DUMMYFUNCTION("""COMPUTED_VALUE"""),"https://www.zillow.com/homedetails/6229-Fallbrook-Ave-Woodland-Hills-CA-91367/19877436_zpid/")</f>
        <v>https://www.zillow.com/homedetails/6229-Fallbrook-Ave-Woodland-Hills-CA-91367/19877436_zpid/</v>
      </c>
      <c r="K536" s="5"/>
      <c r="L536" s="5"/>
      <c r="M536" s="5"/>
      <c r="N536" s="26" t="str">
        <f ca="1">IFERROR(__xludf.DUMMYFUNCTION("""COMPUTED_VALUE"""),"https://drive.google.com/open?id=1V0FyQafcLdLlmVZb6RtYQo4PbXgUSdqg")</f>
        <v>https://drive.google.com/open?id=1V0FyQafcLdLlmVZb6RtYQo4PbXgUSdqg</v>
      </c>
      <c r="O536" s="5">
        <f ca="1">IFERROR(__xludf.DUMMYFUNCTION("""COMPUTED_VALUE"""),2039013053)</f>
        <v>2039013053</v>
      </c>
      <c r="P536" s="5"/>
      <c r="Q536" s="5"/>
      <c r="R536" s="5"/>
      <c r="S536" s="5"/>
      <c r="T536" s="5"/>
    </row>
    <row r="537" spans="1:20" ht="12.75">
      <c r="A537" s="24">
        <f ca="1">IFERROR(__xludf.DUMMYFUNCTION("""COMPUTED_VALUE"""),45670.628707118)</f>
        <v>45670.628707117998</v>
      </c>
      <c r="B537" s="5" t="str">
        <f ca="1">IFERROR(__xludf.DUMMYFUNCTION("""COMPUTED_VALUE"""),"1941 Glencoe Way")</f>
        <v>1941 Glencoe Way</v>
      </c>
      <c r="C537" s="5" t="str">
        <f ca="1">IFERROR(__xludf.DUMMYFUNCTION("""COMPUTED_VALUE"""),"Los Angeles")</f>
        <v>Los Angeles</v>
      </c>
      <c r="D537" s="5" t="str">
        <f ca="1">IFERROR(__xludf.DUMMYFUNCTION("""COMPUTED_VALUE"""),"CA")</f>
        <v>CA</v>
      </c>
      <c r="E537" s="5">
        <f ca="1">IFERROR(__xludf.DUMMYFUNCTION("""COMPUTED_VALUE"""),90068)</f>
        <v>90068</v>
      </c>
      <c r="F537" s="19">
        <f ca="1">IFERROR(__xludf.DUMMYFUNCTION("""COMPUTED_VALUE"""),8500)</f>
        <v>8500</v>
      </c>
      <c r="G537" s="19">
        <f ca="1">IFERROR(__xludf.DUMMYFUNCTION("""COMPUTED_VALUE"""),12500)</f>
        <v>12500</v>
      </c>
      <c r="H537" s="18">
        <f ca="1">IFERROR(__xludf.DUMMYFUNCTION("""COMPUTED_VALUE"""),45667)</f>
        <v>45667</v>
      </c>
      <c r="I537" s="5" t="str">
        <f ca="1">IFERROR(__xludf.DUMMYFUNCTION("""COMPUTED_VALUE"""),"Redfin")</f>
        <v>Redfin</v>
      </c>
      <c r="J537" s="25" t="str">
        <f ca="1">IFERROR(__xludf.DUMMYFUNCTION("""COMPUTED_VALUE"""),"https://www.redfin.com/CA/Los-Angeles/1941-Glencoe-Way-90068/home/7114955")</f>
        <v>https://www.redfin.com/CA/Los-Angeles/1941-Glencoe-Way-90068/home/7114955</v>
      </c>
      <c r="K537" s="5" t="str">
        <f ca="1">IFERROR(__xludf.DUMMYFUNCTION("""COMPUTED_VALUE"""),"Steve Sanders")</f>
        <v>Steve Sanders</v>
      </c>
      <c r="L537" s="5"/>
      <c r="M537" s="5" t="str">
        <f ca="1">IFERROR(__xludf.DUMMYFUNCTION("""COMPUTED_VALUE"""),"They somehow scrubbed the updated listing from Zillow, but the price history is there.($8,500). The new listing is on Redfin ($12,500). 
https://www.zillow.com/homedetails/1941-Glencoe-Way-Los-Angeles-CA-90068/20793801_zpid/")</f>
        <v>They somehow scrubbed the updated listing from Zillow, but the price history is there.($8,500). The new listing is on Redfin ($12,500). 
https://www.zillow.com/homedetails/1941-Glencoe-Way-Los-Angeles-CA-90068/20793801_zpid/</v>
      </c>
      <c r="N537" s="5" t="str">
        <f ca="1">IFERROR(__xludf.DUMMYFUNCTION("""COMPUTED_VALUE"""),"https://drive.google.com/open?id=1ZJIskOCBEO6IyOdaPMWrh9W7gXZVcQ9a, https://drive.google.com/open?id=1yfR9NHI-kdPOfhK8nf8q1EI91KzwKaVz")</f>
        <v>https://drive.google.com/open?id=1ZJIskOCBEO6IyOdaPMWrh9W7gXZVcQ9a, https://drive.google.com/open?id=1yfR9NHI-kdPOfhK8nf8q1EI91KzwKaVz</v>
      </c>
      <c r="O537" s="5">
        <f ca="1">IFERROR(__xludf.DUMMYFUNCTION("""COMPUTED_VALUE"""),5549022024)</f>
        <v>5549022024</v>
      </c>
      <c r="P537" s="5" t="str">
        <f ca="1">IFERROR(__xludf.DUMMYFUNCTION("""COMPUTED_VALUE"""),"323-828-6471")</f>
        <v>323-828-6471</v>
      </c>
      <c r="Q537" s="5" t="str">
        <f ca="1">IFERROR(__xludf.DUMMYFUNCTION("""COMPUTED_VALUE"""),"Steve.Sanders@Compass.com")</f>
        <v>Steve.Sanders@Compass.com</v>
      </c>
      <c r="R537" s="5"/>
      <c r="S537" s="5"/>
      <c r="T537" s="5"/>
    </row>
    <row r="538" spans="1:20" ht="12.75">
      <c r="A538" s="24">
        <f ca="1">IFERROR(__xludf.DUMMYFUNCTION("""COMPUTED_VALUE"""),45670.6295156134)</f>
        <v>45670.6295156134</v>
      </c>
      <c r="B538" s="5" t="str">
        <f ca="1">IFERROR(__xludf.DUMMYFUNCTION("""COMPUTED_VALUE"""),"3215 Ocean Front Walk #101")</f>
        <v>3215 Ocean Front Walk #101</v>
      </c>
      <c r="C538" s="5" t="str">
        <f ca="1">IFERROR(__xludf.DUMMYFUNCTION("""COMPUTED_VALUE"""),"Marina Del Rey")</f>
        <v>Marina Del Rey</v>
      </c>
      <c r="D538" s="5" t="str">
        <f ca="1">IFERROR(__xludf.DUMMYFUNCTION("""COMPUTED_VALUE"""),"CA")</f>
        <v>CA</v>
      </c>
      <c r="E538" s="5">
        <f ca="1">IFERROR(__xludf.DUMMYFUNCTION("""COMPUTED_VALUE"""),90292)</f>
        <v>90292</v>
      </c>
      <c r="F538" s="19">
        <f ca="1">IFERROR(__xludf.DUMMYFUNCTION("""COMPUTED_VALUE"""),9000)</f>
        <v>9000</v>
      </c>
      <c r="G538" s="19">
        <f ca="1">IFERROR(__xludf.DUMMYFUNCTION("""COMPUTED_VALUE"""),12500)</f>
        <v>12500</v>
      </c>
      <c r="H538" s="18">
        <f ca="1">IFERROR(__xludf.DUMMYFUNCTION("""COMPUTED_VALUE"""),45668)</f>
        <v>45668</v>
      </c>
      <c r="I538" s="5" t="str">
        <f ca="1">IFERROR(__xludf.DUMMYFUNCTION("""COMPUTED_VALUE"""),"Zillow")</f>
        <v>Zillow</v>
      </c>
      <c r="J538" s="25" t="str">
        <f ca="1">IFERROR(__xludf.DUMMYFUNCTION("""COMPUTED_VALUE"""),"https://www.zillow.com/homedetails/3215-Ocean-Front-Walk-101-Marina-Del-Rey-CA-90292/51582315_zpid/")</f>
        <v>https://www.zillow.com/homedetails/3215-Ocean-Front-Walk-101-Marina-Del-Rey-CA-90292/51582315_zpid/</v>
      </c>
      <c r="K538" s="5" t="str">
        <f ca="1">IFERROR(__xludf.DUMMYFUNCTION("""COMPUTED_VALUE"""),"Bethany Woolf")</f>
        <v>Bethany Woolf</v>
      </c>
      <c r="L538" s="5"/>
      <c r="M538" s="5" t="str">
        <f ca="1">IFERROR(__xludf.DUMMYFUNCTION("""COMPUTED_VALUE"""),"I complained via Zillow to the listing agent and she told me the following load of crap about the owner: 
""He lives out of state and this ocean front unit is his vacation home that he and his family enjoy frequently.  I believe that from time to time, he"&amp;" would rent it for shorter, defined periods of time that would allow him to still use it when he wanted to. $9,000 (a reduced rent according to the comps) simply allowed him the flexibility to rent short terms within timeframes that worked for him and his"&amp;" family so they could still enjoy their asset. I was not involved in those leases and I’m not even sure if he did actually lease it out or how many times he did.   
Until these horrific wildfires, he never considered renting it for a long duration. Given"&amp;" the current events, he wants to help a family and is willing to forgo his beloved vacation home for a long term lease, furnished with his personal belongings - all while leaving him without an opportunity to use it himself.  
For this, he is simply aski"&amp;"ng a market rent price that JUST covers his expenses, without considering the fact that it is furnished. He is making no profit it this endeavor.  I ran the comps and market price for a furnished, ocean view unit with 2 parking spaces in prime Marina Del "&amp;"Rey could easily extend past the fair price he is asking.""
SO...if he would normally rent it for short periods for $9K, why is this $12.5K what he needs to ask now ""to cover his expenses?"" F this guy and the broker who is helping him. ")</f>
        <v xml:space="preserve">I complained via Zillow to the listing agent and she told me the following load of crap about the owner: 
"He lives out of state and this ocean front unit is his vacation home that he and his family enjoy frequently.  I believe that from time to time, he would rent it for shorter, defined periods of time that would allow him to still use it when he wanted to. $9,000 (a reduced rent according to the comps) simply allowed him the flexibility to rent short terms within timeframes that worked for him and his family so they could still enjoy their asset. I was not involved in those leases and I’m not even sure if he did actually lease it out or how many times he did.   
Until these horrific wildfires, he never considered renting it for a long duration. Given the current events, he wants to help a family and is willing to forgo his beloved vacation home for a long term lease, furnished with his personal belongings - all while leaving him without an opportunity to use it himself.  
For this, he is simply asking a market rent price that JUST covers his expenses, without considering the fact that it is furnished. He is making no profit it this endeavor.  I ran the comps and market price for a furnished, ocean view unit with 2 parking spaces in prime Marina Del Rey could easily extend past the fair price he is asking."
SO...if he would normally rent it for short periods for $9K, why is this $12.5K what he needs to ask now "to cover his expenses?" F this guy and the broker who is helping him. </v>
      </c>
      <c r="N538" s="5" t="str">
        <f ca="1">IFERROR(__xludf.DUMMYFUNCTION("""COMPUTED_VALUE"""),"https://drive.google.com/open?id=1B2R044yM1Vh3l87LV7qsCGbuShcNdTrO, https://drive.google.com/open?id=1JyKeAZgs2CJeAGAoATCkf6rQ6t-Xxyyt")</f>
        <v>https://drive.google.com/open?id=1B2R044yM1Vh3l87LV7qsCGbuShcNdTrO, https://drive.google.com/open?id=1JyKeAZgs2CJeAGAoATCkf6rQ6t-Xxyyt</v>
      </c>
      <c r="O538" s="5">
        <f ca="1">IFERROR(__xludf.DUMMYFUNCTION("""COMPUTED_VALUE"""),4225001066)</f>
        <v>4225001066</v>
      </c>
      <c r="P538" s="5" t="str">
        <f ca="1">IFERROR(__xludf.DUMMYFUNCTION("""COMPUTED_VALUE"""),"310-927-8072")</f>
        <v>310-927-8072</v>
      </c>
      <c r="Q538" s="5" t="str">
        <f ca="1">IFERROR(__xludf.DUMMYFUNCTION("""COMPUTED_VALUE"""),"bethany@californianestates.com")</f>
        <v>bethany@californianestates.com</v>
      </c>
      <c r="R538" s="5"/>
      <c r="S538" s="5"/>
      <c r="T538" s="5"/>
    </row>
    <row r="539" spans="1:20" ht="12.75">
      <c r="A539" s="24">
        <f ca="1">IFERROR(__xludf.DUMMYFUNCTION("""COMPUTED_VALUE"""),45670.6310516088)</f>
        <v>45670.631051608798</v>
      </c>
      <c r="B539" s="5" t="str">
        <f ca="1">IFERROR(__xludf.DUMMYFUNCTION("""COMPUTED_VALUE"""),"14133 Tiara St")</f>
        <v>14133 Tiara St</v>
      </c>
      <c r="C539" s="5" t="str">
        <f ca="1">IFERROR(__xludf.DUMMYFUNCTION("""COMPUTED_VALUE"""),"Sherman Oaks")</f>
        <v>Sherman Oaks</v>
      </c>
      <c r="D539" s="5" t="str">
        <f ca="1">IFERROR(__xludf.DUMMYFUNCTION("""COMPUTED_VALUE"""),"CA")</f>
        <v>CA</v>
      </c>
      <c r="E539" s="5">
        <f ca="1">IFERROR(__xludf.DUMMYFUNCTION("""COMPUTED_VALUE"""),91401)</f>
        <v>91401</v>
      </c>
      <c r="F539" s="19">
        <f ca="1">IFERROR(__xludf.DUMMYFUNCTION("""COMPUTED_VALUE"""),5699)</f>
        <v>5699</v>
      </c>
      <c r="G539" s="19">
        <f ca="1">IFERROR(__xludf.DUMMYFUNCTION("""COMPUTED_VALUE"""),7999)</f>
        <v>7999</v>
      </c>
      <c r="H539" s="18">
        <f ca="1">IFERROR(__xludf.DUMMYFUNCTION("""COMPUTED_VALUE"""),45670)</f>
        <v>45670</v>
      </c>
      <c r="I539" s="5" t="str">
        <f ca="1">IFERROR(__xludf.DUMMYFUNCTION("""COMPUTED_VALUE"""),"Zillow")</f>
        <v>Zillow</v>
      </c>
      <c r="J539" s="25" t="str">
        <f ca="1">IFERROR(__xludf.DUMMYFUNCTION("""COMPUTED_VALUE"""),"https://www.zillow.com/homedetails/14133-Tiara-St-Sherman-Oaks-CA-91401/19972784_zpid/")</f>
        <v>https://www.zillow.com/homedetails/14133-Tiara-St-Sherman-Oaks-CA-91401/19972784_zpid/</v>
      </c>
      <c r="K539" s="5"/>
      <c r="L539" s="5" t="str">
        <f ca="1">IFERROR(__xludf.DUMMYFUNCTION("""COMPUTED_VALUE"""),"Gal")</f>
        <v>Gal</v>
      </c>
      <c r="M539" s="5"/>
      <c r="N539" s="26" t="str">
        <f ca="1">IFERROR(__xludf.DUMMYFUNCTION("""COMPUTED_VALUE"""),"https://drive.google.com/open?id=1y4x3osig7e8Kz9E4C5uTOH9M055vlU-9")</f>
        <v>https://drive.google.com/open?id=1y4x3osig7e8Kz9E4C5uTOH9M055vlU-9</v>
      </c>
      <c r="O539" s="5">
        <f ca="1">IFERROR(__xludf.DUMMYFUNCTION("""COMPUTED_VALUE"""),2245001019)</f>
        <v>2245001019</v>
      </c>
      <c r="P539" s="5"/>
      <c r="Q539" s="5"/>
      <c r="R539" s="5" t="str">
        <f ca="1">IFERROR(__xludf.DUMMYFUNCTION("""COMPUTED_VALUE"""),"(323) 283-3880")</f>
        <v>(323) 283-3880</v>
      </c>
      <c r="S539" s="5"/>
      <c r="T539" s="5"/>
    </row>
    <row r="540" spans="1:20" ht="12.75">
      <c r="A540" s="24">
        <f ca="1">IFERROR(__xludf.DUMMYFUNCTION("""COMPUTED_VALUE"""),45670.6312305787)</f>
        <v>45670.6312305787</v>
      </c>
      <c r="B540" s="5" t="str">
        <f ca="1">IFERROR(__xludf.DUMMYFUNCTION("""COMPUTED_VALUE"""),"3215 Ocean Front Walk #101")</f>
        <v>3215 Ocean Front Walk #101</v>
      </c>
      <c r="C540" s="5" t="str">
        <f ca="1">IFERROR(__xludf.DUMMYFUNCTION("""COMPUTED_VALUE"""),"Marina Del Rey")</f>
        <v>Marina Del Rey</v>
      </c>
      <c r="D540" s="5" t="str">
        <f ca="1">IFERROR(__xludf.DUMMYFUNCTION("""COMPUTED_VALUE"""),"CA")</f>
        <v>CA</v>
      </c>
      <c r="E540" s="5">
        <f ca="1">IFERROR(__xludf.DUMMYFUNCTION("""COMPUTED_VALUE"""),90292)</f>
        <v>90292</v>
      </c>
      <c r="F540" s="19">
        <f ca="1">IFERROR(__xludf.DUMMYFUNCTION("""COMPUTED_VALUE"""),9000)</f>
        <v>9000</v>
      </c>
      <c r="G540" s="19">
        <f ca="1">IFERROR(__xludf.DUMMYFUNCTION("""COMPUTED_VALUE"""),12500)</f>
        <v>12500</v>
      </c>
      <c r="H540" s="18">
        <f ca="1">IFERROR(__xludf.DUMMYFUNCTION("""COMPUTED_VALUE"""),45668)</f>
        <v>45668</v>
      </c>
      <c r="I540" s="5" t="str">
        <f ca="1">IFERROR(__xludf.DUMMYFUNCTION("""COMPUTED_VALUE"""),"Zillow")</f>
        <v>Zillow</v>
      </c>
      <c r="J540" s="25" t="str">
        <f ca="1">IFERROR(__xludf.DUMMYFUNCTION("""COMPUTED_VALUE"""),"https://www.zillow.com/homedetails/3215-Ocean-Front-Walk-101-Marina-Del-Rey-CA-90292/51582315_zpid/")</f>
        <v>https://www.zillow.com/homedetails/3215-Ocean-Front-Walk-101-Marina-Del-Rey-CA-90292/51582315_zpid/</v>
      </c>
      <c r="K540" s="5" t="str">
        <f ca="1">IFERROR(__xludf.DUMMYFUNCTION("""COMPUTED_VALUE"""),"Bethany Woolf Californian Estates, Inc. ")</f>
        <v xml:space="preserve">Bethany Woolf Californian Estates, Inc. </v>
      </c>
      <c r="L540" s="5"/>
      <c r="M540" s="5"/>
      <c r="N540" s="26" t="str">
        <f ca="1">IFERROR(__xludf.DUMMYFUNCTION("""COMPUTED_VALUE"""),"https://drive.google.com/open?id=1a6OxM_ZsH6kdmA_kCSOn_5CXmf_km6Ar")</f>
        <v>https://drive.google.com/open?id=1a6OxM_ZsH6kdmA_kCSOn_5CXmf_km6Ar</v>
      </c>
      <c r="O540" s="5">
        <f ca="1">IFERROR(__xludf.DUMMYFUNCTION("""COMPUTED_VALUE"""),4225001066)</f>
        <v>4225001066</v>
      </c>
      <c r="P540" s="5" t="str">
        <f ca="1">IFERROR(__xludf.DUMMYFUNCTION("""COMPUTED_VALUE"""),"(310) 927-8072")</f>
        <v>(310) 927-8072</v>
      </c>
      <c r="Q540" s="5"/>
      <c r="R540" s="5"/>
      <c r="S540" s="5"/>
      <c r="T540" s="5"/>
    </row>
    <row r="541" spans="1:20" ht="12.75">
      <c r="A541" s="24">
        <f ca="1">IFERROR(__xludf.DUMMYFUNCTION("""COMPUTED_VALUE"""),45670.6360124652)</f>
        <v>45670.636012465198</v>
      </c>
      <c r="B541" s="5" t="str">
        <f ca="1">IFERROR(__xludf.DUMMYFUNCTION("""COMPUTED_VALUE"""),"10923 Ayres Ave #1")</f>
        <v>10923 Ayres Ave #1</v>
      </c>
      <c r="C541" s="5" t="str">
        <f ca="1">IFERROR(__xludf.DUMMYFUNCTION("""COMPUTED_VALUE"""),"Los Angeles")</f>
        <v>Los Angeles</v>
      </c>
      <c r="D541" s="5" t="str">
        <f ca="1">IFERROR(__xludf.DUMMYFUNCTION("""COMPUTED_VALUE"""),"CA")</f>
        <v>CA</v>
      </c>
      <c r="E541" s="5">
        <f ca="1">IFERROR(__xludf.DUMMYFUNCTION("""COMPUTED_VALUE"""),90064)</f>
        <v>90064</v>
      </c>
      <c r="F541" s="19">
        <f ca="1">IFERROR(__xludf.DUMMYFUNCTION("""COMPUTED_VALUE"""),8500)</f>
        <v>8500</v>
      </c>
      <c r="G541" s="19">
        <f ca="1">IFERROR(__xludf.DUMMYFUNCTION("""COMPUTED_VALUE"""),9500)</f>
        <v>9500</v>
      </c>
      <c r="H541" s="18">
        <f ca="1">IFERROR(__xludf.DUMMYFUNCTION("""COMPUTED_VALUE"""),45667)</f>
        <v>45667</v>
      </c>
      <c r="I541" s="5" t="str">
        <f ca="1">IFERROR(__xludf.DUMMYFUNCTION("""COMPUTED_VALUE"""),"Zillow")</f>
        <v>Zillow</v>
      </c>
      <c r="J541" s="25" t="str">
        <f ca="1">IFERROR(__xludf.DUMMYFUNCTION("""COMPUTED_VALUE"""),"https://www.zillow.com/homedetails/10923-Ayres-Ave-1-Los-Angeles-CA-90064/440958563_zpid/")</f>
        <v>https://www.zillow.com/homedetails/10923-Ayres-Ave-1-Los-Angeles-CA-90064/440958563_zpid/</v>
      </c>
      <c r="K541" s="5"/>
      <c r="L541" s="5" t="str">
        <f ca="1">IFERROR(__xludf.DUMMYFUNCTION("""COMPUTED_VALUE"""),"Albert Sarfati")</f>
        <v>Albert Sarfati</v>
      </c>
      <c r="M541" s="5"/>
      <c r="N541" s="5" t="str">
        <f ca="1">IFERROR(__xludf.DUMMYFUNCTION("""COMPUTED_VALUE"""),"https://drive.google.com/open?id=1rNGTi5jgLAPUYMX_fh6xV8SiBME4Jikw, https://drive.google.com/open?id=17CX2SpcCp-pAswBmNLUETkl-DFIiGist")</f>
        <v>https://drive.google.com/open?id=1rNGTi5jgLAPUYMX_fh6xV8SiBME4Jikw, https://drive.google.com/open?id=17CX2SpcCp-pAswBmNLUETkl-DFIiGist</v>
      </c>
      <c r="O541" s="5" t="str">
        <f ca="1">IFERROR(__xludf.DUMMYFUNCTION("""COMPUTED_VALUE"""),"NA")</f>
        <v>NA</v>
      </c>
      <c r="P541" s="5"/>
      <c r="Q541" s="5"/>
      <c r="R541" s="5">
        <f ca="1">IFERROR(__xludf.DUMMYFUNCTION("""COMPUTED_VALUE"""),3106000639)</f>
        <v>3106000639</v>
      </c>
      <c r="S541" s="5"/>
      <c r="T541" s="5"/>
    </row>
    <row r="542" spans="1:20" ht="12.75">
      <c r="A542" s="24">
        <f ca="1">IFERROR(__xludf.DUMMYFUNCTION("""COMPUTED_VALUE"""),45670.6366527546)</f>
        <v>45670.636652754598</v>
      </c>
      <c r="B542" s="5" t="str">
        <f ca="1">IFERROR(__xludf.DUMMYFUNCTION("""COMPUTED_VALUE"""),"15701 Royal Ridge Rd")</f>
        <v>15701 Royal Ridge Rd</v>
      </c>
      <c r="C542" s="5" t="str">
        <f ca="1">IFERROR(__xludf.DUMMYFUNCTION("""COMPUTED_VALUE"""),"Sherman Oaks")</f>
        <v>Sherman Oaks</v>
      </c>
      <c r="D542" s="5" t="str">
        <f ca="1">IFERROR(__xludf.DUMMYFUNCTION("""COMPUTED_VALUE"""),"CA")</f>
        <v>CA</v>
      </c>
      <c r="E542" s="5">
        <f ca="1">IFERROR(__xludf.DUMMYFUNCTION("""COMPUTED_VALUE"""),91403)</f>
        <v>91403</v>
      </c>
      <c r="F542" s="19">
        <f ca="1">IFERROR(__xludf.DUMMYFUNCTION("""COMPUTED_VALUE"""),8995)</f>
        <v>8995</v>
      </c>
      <c r="G542" s="19">
        <f ca="1">IFERROR(__xludf.DUMMYFUNCTION("""COMPUTED_VALUE"""),9900)</f>
        <v>9900</v>
      </c>
      <c r="H542" s="18">
        <f ca="1">IFERROR(__xludf.DUMMYFUNCTION("""COMPUTED_VALUE"""),45664)</f>
        <v>45664</v>
      </c>
      <c r="I542" s="5" t="str">
        <f ca="1">IFERROR(__xludf.DUMMYFUNCTION("""COMPUTED_VALUE"""),"Zillow")</f>
        <v>Zillow</v>
      </c>
      <c r="J542" s="25" t="str">
        <f ca="1">IFERROR(__xludf.DUMMYFUNCTION("""COMPUTED_VALUE"""),"https://www.zillow.com/homedetails/15701-Royal-Ridge-Rd-Sherman-Oaks-CA-91403/19990414_zpid/")</f>
        <v>https://www.zillow.com/homedetails/15701-Royal-Ridge-Rd-Sherman-Oaks-CA-91403/19990414_zpid/</v>
      </c>
      <c r="K542" s="5" t="str">
        <f ca="1">IFERROR(__xludf.DUMMYFUNCTION("""COMPUTED_VALUE"""),"Rich Garzelli (Keller Williams)")</f>
        <v>Rich Garzelli (Keller Williams)</v>
      </c>
      <c r="L542" s="5"/>
      <c r="M542" s="5"/>
      <c r="N542" s="26" t="str">
        <f ca="1">IFERROR(__xludf.DUMMYFUNCTION("""COMPUTED_VALUE"""),"https://drive.google.com/open?id=1eLKH_QuR-TneeFee01sC_eITXv__L3Ud")</f>
        <v>https://drive.google.com/open?id=1eLKH_QuR-TneeFee01sC_eITXv__L3Ud</v>
      </c>
      <c r="O542" s="5">
        <f ca="1">IFERROR(__xludf.DUMMYFUNCTION("""COMPUTED_VALUE"""),2280006031)</f>
        <v>2280006031</v>
      </c>
      <c r="P542" s="5" t="str">
        <f ca="1">IFERROR(__xludf.DUMMYFUNCTION("""COMPUTED_VALUE"""),"(559) 215-8174")</f>
        <v>(559) 215-8174</v>
      </c>
      <c r="Q542" s="5"/>
      <c r="R542" s="5"/>
      <c r="S542" s="5"/>
      <c r="T542" s="5"/>
    </row>
    <row r="543" spans="1:20" ht="12.75">
      <c r="A543" s="24">
        <f ca="1">IFERROR(__xludf.DUMMYFUNCTION("""COMPUTED_VALUE"""),45670.637829155)</f>
        <v>45670.637829154999</v>
      </c>
      <c r="B543" s="5" t="str">
        <f ca="1">IFERROR(__xludf.DUMMYFUNCTION("""COMPUTED_VALUE"""),"2084 N Vine St")</f>
        <v>2084 N Vine St</v>
      </c>
      <c r="C543" s="5" t="str">
        <f ca="1">IFERROR(__xludf.DUMMYFUNCTION("""COMPUTED_VALUE"""),"Los Angeles")</f>
        <v>Los Angeles</v>
      </c>
      <c r="D543" s="5" t="str">
        <f ca="1">IFERROR(__xludf.DUMMYFUNCTION("""COMPUTED_VALUE"""),"CA")</f>
        <v>CA</v>
      </c>
      <c r="E543" s="5">
        <f ca="1">IFERROR(__xludf.DUMMYFUNCTION("""COMPUTED_VALUE"""),90068)</f>
        <v>90068</v>
      </c>
      <c r="F543" s="19">
        <f ca="1">IFERROR(__xludf.DUMMYFUNCTION("""COMPUTED_VALUE"""),17499)</f>
        <v>17499</v>
      </c>
      <c r="G543" s="19">
        <f ca="1">IFERROR(__xludf.DUMMYFUNCTION("""COMPUTED_VALUE"""),29995)</f>
        <v>29995</v>
      </c>
      <c r="H543" s="18">
        <f ca="1">IFERROR(__xludf.DUMMYFUNCTION("""COMPUTED_VALUE"""),45670)</f>
        <v>45670</v>
      </c>
      <c r="I543" s="5" t="str">
        <f ca="1">IFERROR(__xludf.DUMMYFUNCTION("""COMPUTED_VALUE"""),"Zillow")</f>
        <v>Zillow</v>
      </c>
      <c r="J543" s="25" t="str">
        <f ca="1">IFERROR(__xludf.DUMMYFUNCTION("""COMPUTED_VALUE"""),"https://www.zillow.com/homedetails/2084-N-Vine-St-Los-Angeles-CA-90068/2080260263_zpid/")</f>
        <v>https://www.zillow.com/homedetails/2084-N-Vine-St-Los-Angeles-CA-90068/2080260263_zpid/</v>
      </c>
      <c r="K543" s="5" t="str">
        <f ca="1">IFERROR(__xludf.DUMMYFUNCTION("""COMPUTED_VALUE"""),"Lux Living Hospitality")</f>
        <v>Lux Living Hospitality</v>
      </c>
      <c r="L543" s="5"/>
      <c r="M543" s="5"/>
      <c r="N543" s="5" t="str">
        <f ca="1">IFERROR(__xludf.DUMMYFUNCTION("""COMPUTED_VALUE"""),"https://drive.google.com/open?id=1FdYsHc2A8UU9EfD51o17dyZCnZsZAfop, https://drive.google.com/open?id=1o-QvL7t84IpxRPz7aBDm1yhkrECArsVf")</f>
        <v>https://drive.google.com/open?id=1FdYsHc2A8UU9EfD51o17dyZCnZsZAfop, https://drive.google.com/open?id=1o-QvL7t84IpxRPz7aBDm1yhkrECArsVf</v>
      </c>
      <c r="O543" s="5" t="str">
        <f ca="1">IFERROR(__xludf.DUMMYFUNCTION("""COMPUTED_VALUE"""),"NA")</f>
        <v>NA</v>
      </c>
      <c r="P543" s="5">
        <f ca="1">IFERROR(__xludf.DUMMYFUNCTION("""COMPUTED_VALUE"""),4244603594)</f>
        <v>4244603594</v>
      </c>
      <c r="Q543" s="5" t="str">
        <f ca="1">IFERROR(__xludf.DUMMYFUNCTION("""COMPUTED_VALUE"""),"INFO@LUXLIVINGHOSPITALITY.COM")</f>
        <v>INFO@LUXLIVINGHOSPITALITY.COM</v>
      </c>
      <c r="R543" s="5"/>
      <c r="S543" s="5"/>
      <c r="T543" s="5"/>
    </row>
    <row r="544" spans="1:20" ht="12.75">
      <c r="A544" s="24">
        <f ca="1">IFERROR(__xludf.DUMMYFUNCTION("""COMPUTED_VALUE"""),45670.6378590162)</f>
        <v>45670.637859016198</v>
      </c>
      <c r="B544" s="5" t="str">
        <f ca="1">IFERROR(__xludf.DUMMYFUNCTION("""COMPUTED_VALUE"""),"5344 Leghorn Ave")</f>
        <v>5344 Leghorn Ave</v>
      </c>
      <c r="C544" s="5" t="str">
        <f ca="1">IFERROR(__xludf.DUMMYFUNCTION("""COMPUTED_VALUE"""),"Van Nuys")</f>
        <v>Van Nuys</v>
      </c>
      <c r="D544" s="5" t="str">
        <f ca="1">IFERROR(__xludf.DUMMYFUNCTION("""COMPUTED_VALUE"""),"CA")</f>
        <v>CA</v>
      </c>
      <c r="E544" s="5">
        <f ca="1">IFERROR(__xludf.DUMMYFUNCTION("""COMPUTED_VALUE"""),91401)</f>
        <v>91401</v>
      </c>
      <c r="F544" s="19">
        <f ca="1">IFERROR(__xludf.DUMMYFUNCTION("""COMPUTED_VALUE"""),20000)</f>
        <v>20000</v>
      </c>
      <c r="G544" s="19">
        <f ca="1">IFERROR(__xludf.DUMMYFUNCTION("""COMPUTED_VALUE"""),36000)</f>
        <v>36000</v>
      </c>
      <c r="H544" s="18">
        <f ca="1">IFERROR(__xludf.DUMMYFUNCTION("""COMPUTED_VALUE"""),45670)</f>
        <v>45670</v>
      </c>
      <c r="I544" s="5" t="str">
        <f ca="1">IFERROR(__xludf.DUMMYFUNCTION("""COMPUTED_VALUE"""),"Zillow")</f>
        <v>Zillow</v>
      </c>
      <c r="J544" s="25" t="str">
        <f ca="1">IFERROR(__xludf.DUMMYFUNCTION("""COMPUTED_VALUE"""),"https://www.zillow.com/homedetails/5344-Leghorn-Ave-Van-Nuys-CA-91401/20015679_zpid/")</f>
        <v>https://www.zillow.com/homedetails/5344-Leghorn-Ave-Van-Nuys-CA-91401/20015679_zpid/</v>
      </c>
      <c r="K544" s="5" t="str">
        <f ca="1">IFERROR(__xludf.DUMMYFUNCTION("""COMPUTED_VALUE"""),"Avi Shabtai")</f>
        <v>Avi Shabtai</v>
      </c>
      <c r="L544" s="5"/>
      <c r="M544" s="5" t="str">
        <f ca="1">IFERROR(__xludf.DUMMYFUNCTION("""COMPUTED_VALUE"""),"Listing was taken down 2/7/22 and not put up again until 1/13/25, 80% increase from price in 2022")</f>
        <v>Listing was taken down 2/7/22 and not put up again until 1/13/25, 80% increase from price in 2022</v>
      </c>
      <c r="N544" s="5" t="str">
        <f ca="1">IFERROR(__xludf.DUMMYFUNCTION("""COMPUTED_VALUE"""),"https://drive.google.com/open?id=1CUs4AYlzUDOs5X0n-2jjF4H8pzUX8Cwn, https://drive.google.com/open?id=1aJmrLENZjOTvwNtE0T3ACKvAUY9PP4S9")</f>
        <v>https://drive.google.com/open?id=1CUs4AYlzUDOs5X0n-2jjF4H8pzUX8Cwn, https://drive.google.com/open?id=1aJmrLENZjOTvwNtE0T3ACKvAUY9PP4S9</v>
      </c>
      <c r="O544" s="5">
        <f ca="1">IFERROR(__xludf.DUMMYFUNCTION("""COMPUTED_VALUE"""),2345016001)</f>
        <v>2345016001</v>
      </c>
      <c r="P544" s="5" t="str">
        <f ca="1">IFERROR(__xludf.DUMMYFUNCTION("""COMPUTED_VALUE"""),"(213)642-1490")</f>
        <v>(213)642-1490</v>
      </c>
      <c r="Q544" s="5"/>
      <c r="R544" s="5"/>
      <c r="S544" s="5"/>
      <c r="T544" s="5"/>
    </row>
    <row r="545" spans="1:20" ht="12.75">
      <c r="A545" s="24">
        <f ca="1">IFERROR(__xludf.DUMMYFUNCTION("""COMPUTED_VALUE"""),45670.6414354861)</f>
        <v>45670.641435486097</v>
      </c>
      <c r="B545" s="5" t="str">
        <f ca="1">IFERROR(__xludf.DUMMYFUNCTION("""COMPUTED_VALUE"""),"3701 Royal Meadow Rd")</f>
        <v>3701 Royal Meadow Rd</v>
      </c>
      <c r="C545" s="5" t="str">
        <f ca="1">IFERROR(__xludf.DUMMYFUNCTION("""COMPUTED_VALUE"""),"Sherman Oaks")</f>
        <v>Sherman Oaks</v>
      </c>
      <c r="D545" s="5" t="str">
        <f ca="1">IFERROR(__xludf.DUMMYFUNCTION("""COMPUTED_VALUE"""),"CA")</f>
        <v>CA</v>
      </c>
      <c r="E545" s="5">
        <f ca="1">IFERROR(__xludf.DUMMYFUNCTION("""COMPUTED_VALUE"""),91403)</f>
        <v>91403</v>
      </c>
      <c r="F545" s="19">
        <f ca="1">IFERROR(__xludf.DUMMYFUNCTION("""COMPUTED_VALUE"""),9950)</f>
        <v>9950</v>
      </c>
      <c r="G545" s="19">
        <f ca="1">IFERROR(__xludf.DUMMYFUNCTION("""COMPUTED_VALUE"""),15000)</f>
        <v>15000</v>
      </c>
      <c r="H545" s="18">
        <f ca="1">IFERROR(__xludf.DUMMYFUNCTION("""COMPUTED_VALUE"""),45665)</f>
        <v>45665</v>
      </c>
      <c r="I545" s="5" t="str">
        <f ca="1">IFERROR(__xludf.DUMMYFUNCTION("""COMPUTED_VALUE"""),"Zillow")</f>
        <v>Zillow</v>
      </c>
      <c r="J545" s="25" t="str">
        <f ca="1">IFERROR(__xludf.DUMMYFUNCTION("""COMPUTED_VALUE"""),"https://www.zillow.com/homedetails/3701-Royal-Meadow-Rd-Sherman-Oaks-CA-91403/19990560_zpid/")</f>
        <v>https://www.zillow.com/homedetails/3701-Royal-Meadow-Rd-Sherman-Oaks-CA-91403/19990560_zpid/</v>
      </c>
      <c r="K545" s="5" t="str">
        <f ca="1">IFERROR(__xludf.DUMMYFUNCTION("""COMPUTED_VALUE"""),"bruce lavi (Keller Williams)")</f>
        <v>bruce lavi (Keller Williams)</v>
      </c>
      <c r="L545" s="5" t="str">
        <f ca="1">IFERROR(__xludf.DUMMYFUNCTION("""COMPUTED_VALUE"""),"Bruce Lavi")</f>
        <v>Bruce Lavi</v>
      </c>
      <c r="M545" s="5" t="str">
        <f ca="1">IFERROR(__xludf.DUMMYFUNCTION("""COMPUTED_VALUE"""),"Raised prices by 50.8% on 1/8/25, then lowered their price 27.3% on 1/11/25 (still the overall price has risen enough to be illegal)")</f>
        <v>Raised prices by 50.8% on 1/8/25, then lowered their price 27.3% on 1/11/25 (still the overall price has risen enough to be illegal)</v>
      </c>
      <c r="N545" s="26" t="str">
        <f ca="1">IFERROR(__xludf.DUMMYFUNCTION("""COMPUTED_VALUE"""),"https://drive.google.com/open?id=1zQy_r3JN941ZOrOhvPzV9Tm7nRPlY_GG")</f>
        <v>https://drive.google.com/open?id=1zQy_r3JN941ZOrOhvPzV9Tm7nRPlY_GG</v>
      </c>
      <c r="O545" s="5">
        <f ca="1">IFERROR(__xludf.DUMMYFUNCTION("""COMPUTED_VALUE"""),2280012039)</f>
        <v>2280012039</v>
      </c>
      <c r="P545" s="5" t="str">
        <f ca="1">IFERROR(__xludf.DUMMYFUNCTION("""COMPUTED_VALUE"""),"(213) 539-4377")</f>
        <v>(213) 539-4377</v>
      </c>
      <c r="Q545" s="5"/>
      <c r="R545" s="5" t="str">
        <f ca="1">IFERROR(__xludf.DUMMYFUNCTION("""COMPUTED_VALUE"""),"(213) 539-4377")</f>
        <v>(213) 539-4377</v>
      </c>
      <c r="S545" s="5"/>
      <c r="T545" s="5"/>
    </row>
    <row r="546" spans="1:20" ht="12.75">
      <c r="A546" s="24">
        <f ca="1">IFERROR(__xludf.DUMMYFUNCTION("""COMPUTED_VALUE"""),45670.6434598379)</f>
        <v>45670.643459837898</v>
      </c>
      <c r="B546" s="5" t="str">
        <f ca="1">IFERROR(__xludf.DUMMYFUNCTION("""COMPUTED_VALUE"""),"306 N Venice Blvd")</f>
        <v>306 N Venice Blvd</v>
      </c>
      <c r="C546" s="5" t="str">
        <f ca="1">IFERROR(__xludf.DUMMYFUNCTION("""COMPUTED_VALUE"""),"Venice")</f>
        <v>Venice</v>
      </c>
      <c r="D546" s="5" t="str">
        <f ca="1">IFERROR(__xludf.DUMMYFUNCTION("""COMPUTED_VALUE"""),"CA")</f>
        <v>CA</v>
      </c>
      <c r="E546" s="5">
        <f ca="1">IFERROR(__xludf.DUMMYFUNCTION("""COMPUTED_VALUE"""),90291)</f>
        <v>90291</v>
      </c>
      <c r="F546" s="19">
        <f ca="1">IFERROR(__xludf.DUMMYFUNCTION("""COMPUTED_VALUE"""),2800)</f>
        <v>2800</v>
      </c>
      <c r="G546" s="19">
        <f ca="1">IFERROR(__xludf.DUMMYFUNCTION("""COMPUTED_VALUE"""),5000)</f>
        <v>5000</v>
      </c>
      <c r="H546" s="18">
        <f ca="1">IFERROR(__xludf.DUMMYFUNCTION("""COMPUTED_VALUE"""),45669)</f>
        <v>45669</v>
      </c>
      <c r="I546" s="5" t="str">
        <f ca="1">IFERROR(__xludf.DUMMYFUNCTION("""COMPUTED_VALUE"""),"Zillow")</f>
        <v>Zillow</v>
      </c>
      <c r="J546" s="25" t="str">
        <f ca="1">IFERROR(__xludf.DUMMYFUNCTION("""COMPUTED_VALUE"""),"https://www.zillow.com/homedetails/306-N-Venice-Blvd-Venice-CA-90291/20450581_zpid/")</f>
        <v>https://www.zillow.com/homedetails/306-N-Venice-Blvd-Venice-CA-90291/20450581_zpid/</v>
      </c>
      <c r="K546" s="5" t="str">
        <f ca="1">IFERROR(__xludf.DUMMYFUNCTION("""COMPUTED_VALUE"""),"Lisa Detamore")</f>
        <v>Lisa Detamore</v>
      </c>
      <c r="L546" s="5"/>
      <c r="M546" s="5" t="str">
        <f ca="1">IFERROR(__xludf.DUMMYFUNCTION("""COMPUTED_VALUE"""),"Last listed in 2009, listing added again on 1/12/2025")</f>
        <v>Last listed in 2009, listing added again on 1/12/2025</v>
      </c>
      <c r="N546" s="5" t="str">
        <f ca="1">IFERROR(__xludf.DUMMYFUNCTION("""COMPUTED_VALUE"""),"https://drive.google.com/open?id=1wD2nfMFxezLpu6xPnVVIEMOi87wdpnB6, https://drive.google.com/open?id=1Ow1sNt-_QBmAN33qmnKpIb9bljBLmP_a")</f>
        <v>https://drive.google.com/open?id=1wD2nfMFxezLpu6xPnVVIEMOi87wdpnB6, https://drive.google.com/open?id=1Ow1sNt-_QBmAN33qmnKpIb9bljBLmP_a</v>
      </c>
      <c r="O546" s="5">
        <f ca="1">IFERROR(__xludf.DUMMYFUNCTION("""COMPUTED_VALUE"""),4238024021)</f>
        <v>4238024021</v>
      </c>
      <c r="P546" s="5" t="str">
        <f ca="1">IFERROR(__xludf.DUMMYFUNCTION("""COMPUTED_VALUE"""),"(213)463-5020")</f>
        <v>(213)463-5020</v>
      </c>
      <c r="Q546" s="5"/>
      <c r="R546" s="5"/>
      <c r="S546" s="5"/>
      <c r="T546" s="5"/>
    </row>
    <row r="547" spans="1:20" ht="12.75">
      <c r="A547" s="24">
        <f ca="1">IFERROR(__xludf.DUMMYFUNCTION("""COMPUTED_VALUE"""),45670.6475660648)</f>
        <v>45670.647566064799</v>
      </c>
      <c r="B547" s="5" t="str">
        <f ca="1">IFERROR(__xludf.DUMMYFUNCTION("""COMPUTED_VALUE"""),"10802 Wilkins Ave")</f>
        <v>10802 Wilkins Ave</v>
      </c>
      <c r="C547" s="5" t="str">
        <f ca="1">IFERROR(__xludf.DUMMYFUNCTION("""COMPUTED_VALUE"""),"Los Angeles")</f>
        <v>Los Angeles</v>
      </c>
      <c r="D547" s="5" t="str">
        <f ca="1">IFERROR(__xludf.DUMMYFUNCTION("""COMPUTED_VALUE"""),"CA")</f>
        <v>CA</v>
      </c>
      <c r="E547" s="5">
        <f ca="1">IFERROR(__xludf.DUMMYFUNCTION("""COMPUTED_VALUE"""),90024)</f>
        <v>90024</v>
      </c>
      <c r="F547" s="19">
        <f ca="1">IFERROR(__xludf.DUMMYFUNCTION("""COMPUTED_VALUE"""),2500)</f>
        <v>2500</v>
      </c>
      <c r="G547" s="19">
        <f ca="1">IFERROR(__xludf.DUMMYFUNCTION("""COMPUTED_VALUE"""),2800)</f>
        <v>2800</v>
      </c>
      <c r="H547" s="18">
        <f ca="1">IFERROR(__xludf.DUMMYFUNCTION("""COMPUTED_VALUE"""),45669)</f>
        <v>45669</v>
      </c>
      <c r="I547" s="5" t="str">
        <f ca="1">IFERROR(__xludf.DUMMYFUNCTION("""COMPUTED_VALUE"""),"Zillow")</f>
        <v>Zillow</v>
      </c>
      <c r="J547" s="25" t="str">
        <f ca="1">IFERROR(__xludf.DUMMYFUNCTION("""COMPUTED_VALUE"""),"https://www.zillow.com/homedetails/10802-Wilkins-Ave-Los-Angeles-CA-90024/2053179796_zpid/")</f>
        <v>https://www.zillow.com/homedetails/10802-Wilkins-Ave-Los-Angeles-CA-90024/2053179796_zpid/</v>
      </c>
      <c r="K547" s="5" t="str">
        <f ca="1">IFERROR(__xludf.DUMMYFUNCTION("""COMPUTED_VALUE"""),"Innis Casey")</f>
        <v>Innis Casey</v>
      </c>
      <c r="L547" s="5"/>
      <c r="M547" s="5" t="str">
        <f ca="1">IFERROR(__xludf.DUMMYFUNCTION("""COMPUTED_VALUE"""),"Listing was removed on 2/1/24 and then reposted on 1/12/25")</f>
        <v>Listing was removed on 2/1/24 and then reposted on 1/12/25</v>
      </c>
      <c r="N547" s="5" t="str">
        <f ca="1">IFERROR(__xludf.DUMMYFUNCTION("""COMPUTED_VALUE"""),"https://drive.google.com/open?id=1yfZDRIVV8onw8RYZfkg6VuGeONtWwUKj, https://drive.google.com/open?id=15dUWLZpZK8J2R0FrGRZqlfna-mHHQWTq")</f>
        <v>https://drive.google.com/open?id=1yfZDRIVV8onw8RYZfkg6VuGeONtWwUKj, https://drive.google.com/open?id=15dUWLZpZK8J2R0FrGRZqlfna-mHHQWTq</v>
      </c>
      <c r="O547" s="5" t="str">
        <f ca="1">IFERROR(__xludf.DUMMYFUNCTION("""COMPUTED_VALUE"""),"NA")</f>
        <v>NA</v>
      </c>
      <c r="P547" s="5" t="str">
        <f ca="1">IFERROR(__xludf.DUMMYFUNCTION("""COMPUTED_VALUE"""),"(213)566-7087")</f>
        <v>(213)566-7087</v>
      </c>
      <c r="Q547" s="5"/>
      <c r="R547" s="5"/>
      <c r="S547" s="5"/>
      <c r="T547" s="5"/>
    </row>
    <row r="548" spans="1:20" ht="12.75">
      <c r="A548" s="24">
        <f ca="1">IFERROR(__xludf.DUMMYFUNCTION("""COMPUTED_VALUE"""),45670.6505244213)</f>
        <v>45670.650524421297</v>
      </c>
      <c r="B548" s="5" t="str">
        <f ca="1">IFERROR(__xludf.DUMMYFUNCTION("""COMPUTED_VALUE"""),"15541 Aqua Verde Dr")</f>
        <v>15541 Aqua Verde Dr</v>
      </c>
      <c r="C548" s="5" t="str">
        <f ca="1">IFERROR(__xludf.DUMMYFUNCTION("""COMPUTED_VALUE"""),"Los Angeles")</f>
        <v>Los Angeles</v>
      </c>
      <c r="D548" s="5" t="str">
        <f ca="1">IFERROR(__xludf.DUMMYFUNCTION("""COMPUTED_VALUE"""),"CA")</f>
        <v>CA</v>
      </c>
      <c r="E548" s="5">
        <f ca="1">IFERROR(__xludf.DUMMYFUNCTION("""COMPUTED_VALUE"""),90077)</f>
        <v>90077</v>
      </c>
      <c r="F548" s="19">
        <f ca="1">IFERROR(__xludf.DUMMYFUNCTION("""COMPUTED_VALUE"""),19000)</f>
        <v>19000</v>
      </c>
      <c r="G548" s="19">
        <f ca="1">IFERROR(__xludf.DUMMYFUNCTION("""COMPUTED_VALUE"""),25000)</f>
        <v>25000</v>
      </c>
      <c r="H548" s="18">
        <f ca="1">IFERROR(__xludf.DUMMYFUNCTION("""COMPUTED_VALUE"""),45670)</f>
        <v>45670</v>
      </c>
      <c r="I548" s="5" t="str">
        <f ca="1">IFERROR(__xludf.DUMMYFUNCTION("""COMPUTED_VALUE"""),"Redfin")</f>
        <v>Redfin</v>
      </c>
      <c r="J548" s="25" t="str">
        <f ca="1">IFERROR(__xludf.DUMMYFUNCTION("""COMPUTED_VALUE"""),"https://www.redfin.com/CA/Los-Angeles/15541-Aqua-Verde-Dr-90077/home/6831653#property-history")</f>
        <v>https://www.redfin.com/CA/Los-Angeles/15541-Aqua-Verde-Dr-90077/home/6831653#property-history</v>
      </c>
      <c r="K548" s="5" t="str">
        <f ca="1">IFERROR(__xludf.DUMMYFUNCTION("""COMPUTED_VALUE"""),"Simon Mills")</f>
        <v>Simon Mills</v>
      </c>
      <c r="L548" s="5"/>
      <c r="M548" s="5"/>
      <c r="N548" s="26" t="str">
        <f ca="1">IFERROR(__xludf.DUMMYFUNCTION("""COMPUTED_VALUE"""),"https://drive.google.com/open?id=1mtOIovnQcc2__4BoJWkF76gXQY7idyIT")</f>
        <v>https://drive.google.com/open?id=1mtOIovnQcc2__4BoJWkF76gXQY7idyIT</v>
      </c>
      <c r="O548" s="5" t="str">
        <f ca="1">IFERROR(__xludf.DUMMYFUNCTION("""COMPUTED_VALUE"""),"NA")</f>
        <v>NA</v>
      </c>
      <c r="P548" s="5" t="str">
        <f ca="1">IFERROR(__xludf.DUMMYFUNCTION("""COMPUTED_VALUE"""),"818-642-2224 ")</f>
        <v xml:space="preserve">818-642-2224 </v>
      </c>
      <c r="Q548" s="5"/>
      <c r="R548" s="5"/>
      <c r="S548" s="5"/>
      <c r="T548" s="5"/>
    </row>
    <row r="549" spans="1:20" ht="12.75">
      <c r="A549" s="24">
        <f ca="1">IFERROR(__xludf.DUMMYFUNCTION("""COMPUTED_VALUE"""),45670.6546314004)</f>
        <v>45670.654631400401</v>
      </c>
      <c r="B549" s="5" t="str">
        <f ca="1">IFERROR(__xludf.DUMMYFUNCTION("""COMPUTED_VALUE"""),"14320 Hortense St")</f>
        <v>14320 Hortense St</v>
      </c>
      <c r="C549" s="5" t="str">
        <f ca="1">IFERROR(__xludf.DUMMYFUNCTION("""COMPUTED_VALUE"""),"Sherman Oaks")</f>
        <v>Sherman Oaks</v>
      </c>
      <c r="D549" s="5" t="str">
        <f ca="1">IFERROR(__xludf.DUMMYFUNCTION("""COMPUTED_VALUE"""),"CA")</f>
        <v>CA</v>
      </c>
      <c r="E549" s="5">
        <f ca="1">IFERROR(__xludf.DUMMYFUNCTION("""COMPUTED_VALUE"""),91423)</f>
        <v>91423</v>
      </c>
      <c r="F549" s="19">
        <f ca="1">IFERROR(__xludf.DUMMYFUNCTION("""COMPUTED_VALUE"""),6495)</f>
        <v>6495</v>
      </c>
      <c r="G549" s="19">
        <f ca="1">IFERROR(__xludf.DUMMYFUNCTION("""COMPUTED_VALUE"""),7200)</f>
        <v>7200</v>
      </c>
      <c r="H549" s="18">
        <f ca="1">IFERROR(__xludf.DUMMYFUNCTION("""COMPUTED_VALUE"""),45667)</f>
        <v>45667</v>
      </c>
      <c r="I549" s="5" t="str">
        <f ca="1">IFERROR(__xludf.DUMMYFUNCTION("""COMPUTED_VALUE"""),"Zillow")</f>
        <v>Zillow</v>
      </c>
      <c r="J549" s="25" t="str">
        <f ca="1">IFERROR(__xludf.DUMMYFUNCTION("""COMPUTED_VALUE"""),"https://www.zillow.com/homedetails/14320-Hortense-St-Sherman-Oaks-CA-91423/19984223_zpid/")</f>
        <v>https://www.zillow.com/homedetails/14320-Hortense-St-Sherman-Oaks-CA-91423/19984223_zpid/</v>
      </c>
      <c r="K549" s="5"/>
      <c r="L549" s="5" t="str">
        <f ca="1">IFERROR(__xludf.DUMMYFUNCTION("""COMPUTED_VALUE"""),"Paul Valles (Poly Properties)")</f>
        <v>Paul Valles (Poly Properties)</v>
      </c>
      <c r="M549" s="5"/>
      <c r="N549" s="26" t="str">
        <f ca="1">IFERROR(__xludf.DUMMYFUNCTION("""COMPUTED_VALUE"""),"https://drive.google.com/open?id=10mthTV-x6G6EP7BEQDNLjodFoxOXfjY0")</f>
        <v>https://drive.google.com/open?id=10mthTV-x6G6EP7BEQDNLjodFoxOXfjY0</v>
      </c>
      <c r="O549" s="5">
        <f ca="1">IFERROR(__xludf.DUMMYFUNCTION("""COMPUTED_VALUE"""),2265016044)</f>
        <v>2265016044</v>
      </c>
      <c r="P549" s="5"/>
      <c r="Q549" s="5"/>
      <c r="R549" s="5" t="str">
        <f ca="1">IFERROR(__xludf.DUMMYFUNCTION("""COMPUTED_VALUE"""),"(213) 267-9489")</f>
        <v>(213) 267-9489</v>
      </c>
      <c r="S549" s="5"/>
      <c r="T549" s="5"/>
    </row>
    <row r="550" spans="1:20" ht="12.75">
      <c r="A550" s="24">
        <f ca="1">IFERROR(__xludf.DUMMYFUNCTION("""COMPUTED_VALUE"""),45670.6595464583)</f>
        <v>45670.659546458301</v>
      </c>
      <c r="B550" s="5" t="str">
        <f ca="1">IFERROR(__xludf.DUMMYFUNCTION("""COMPUTED_VALUE"""),"714 South St")</f>
        <v>714 South St</v>
      </c>
      <c r="C550" s="5" t="str">
        <f ca="1">IFERROR(__xludf.DUMMYFUNCTION("""COMPUTED_VALUE"""),"Glendale")</f>
        <v>Glendale</v>
      </c>
      <c r="D550" s="5" t="str">
        <f ca="1">IFERROR(__xludf.DUMMYFUNCTION("""COMPUTED_VALUE"""),"CA")</f>
        <v>CA</v>
      </c>
      <c r="E550" s="5">
        <f ca="1">IFERROR(__xludf.DUMMYFUNCTION("""COMPUTED_VALUE"""),91202)</f>
        <v>91202</v>
      </c>
      <c r="F550" s="19">
        <f ca="1">IFERROR(__xludf.DUMMYFUNCTION("""COMPUTED_VALUE"""),8950)</f>
        <v>8950</v>
      </c>
      <c r="G550" s="19">
        <f ca="1">IFERROR(__xludf.DUMMYFUNCTION("""COMPUTED_VALUE"""),11000)</f>
        <v>11000</v>
      </c>
      <c r="H550" s="18">
        <f ca="1">IFERROR(__xludf.DUMMYFUNCTION("""COMPUTED_VALUE"""),45670)</f>
        <v>45670</v>
      </c>
      <c r="I550" s="26" t="str">
        <f ca="1">IFERROR(__xludf.DUMMYFUNCTION("""COMPUTED_VALUE"""),"Compass.com")</f>
        <v>Compass.com</v>
      </c>
      <c r="J550" s="25" t="str">
        <f ca="1">IFERROR(__xludf.DUMMYFUNCTION("""COMPUTED_VALUE"""),"https://www.compass.com/listing/714-south-street-glendale-ca-91202/1690164355320241993/?origin=listing_page&amp;origin_type=copy_url&amp;agent_id=625f3a90c7a8cf0001c3ab8d")</f>
        <v>https://www.compass.com/listing/714-south-street-glendale-ca-91202/1690164355320241993/?origin=listing_page&amp;origin_type=copy_url&amp;agent_id=625f3a90c7a8cf0001c3ab8d</v>
      </c>
      <c r="K550" s="5" t="str">
        <f ca="1">IFERROR(__xludf.DUMMYFUNCTION("""COMPUTED_VALUE"""),"Lar Chouljian CAL DRE 01932135")</f>
        <v>Lar Chouljian CAL DRE 01932135</v>
      </c>
      <c r="L550" s="5" t="str">
        <f ca="1">IFERROR(__xludf.DUMMYFUNCTION("""COMPUTED_VALUE"""),"Myasnik Poghosyan")</f>
        <v>Myasnik Poghosyan</v>
      </c>
      <c r="M550" s="5" t="str">
        <f ca="1">IFERROR(__xludf.DUMMYFUNCTION("""COMPUTED_VALUE"""),"My family's home was severely damaged in the Eaton fire, and I am looking for a rental for them to reside in while they wait for remediation/repair. My mother (67 years old), grandmother (89 years old), and brother (28 years old) are seeking a single-stor"&amp;"y one-bedroom home to rent while we remediate the damage. I had our real estate agent reach out requesting to rent the property. My family is well-qualified and able to pay the posted rent of $8,950/month. The agent responded to our agent saying that ""mu"&amp;"ltiple people wanted the property"" and that the landlord gave her a response saying that ""he is likely putting the property on airbnb"" so he could list for ""$16,000 a month for a 2-month rental or $14,000 for 3-months."" We just heard back that they a"&amp;"ccepted the highest offer at $11,000/month for 6 month even though we tried to apply first, and even offered to pay an additional $600/month for utilities. I have attached texts between his agent and our agent, and the original listing.")</f>
        <v>My family's home was severely damaged in the Eaton fire, and I am looking for a rental for them to reside in while they wait for remediation/repair. My mother (67 years old), grandmother (89 years old), and brother (28 years old) are seeking a single-story one-bedroom home to rent while we remediate the damage. I had our real estate agent reach out requesting to rent the property. My family is well-qualified and able to pay the posted rent of $8,950/month. The agent responded to our agent saying that "multiple people wanted the property" and that the landlord gave her a response saying that "he is likely putting the property on airbnb" so he could list for "$16,000 a month for a 2-month rental or $14,000 for 3-months." We just heard back that they accepted the highest offer at $11,000/month for 6 month even though we tried to apply first, and even offered to pay an additional $600/month for utilities. I have attached texts between his agent and our agent, and the original listing.</v>
      </c>
      <c r="N550" s="5" t="str">
        <f ca="1">IFERROR(__xludf.DUMMYFUNCTION("""COMPUTED_VALUE"""),"https://drive.google.com/open?id=157SCjeqBykl2ViZuv7EK24t0Io094wmX, https://drive.google.com/open?id=1pNgtP3UvyfmF5JGUdYlOYL9AAYxL5oF6, https://drive.google.com/open?id=1BWxODKK05z3lZym3pTyAqnJE_hJvPdnd")</f>
        <v>https://drive.google.com/open?id=157SCjeqBykl2ViZuv7EK24t0Io094wmX, https://drive.google.com/open?id=1pNgtP3UvyfmF5JGUdYlOYL9AAYxL5oF6, https://drive.google.com/open?id=1BWxODKK05z3lZym3pTyAqnJE_hJvPdnd</v>
      </c>
      <c r="O550" s="5">
        <f ca="1">IFERROR(__xludf.DUMMYFUNCTION("""COMPUTED_VALUE"""),5634021015)</f>
        <v>5634021015</v>
      </c>
      <c r="P550" s="5" t="str">
        <f ca="1">IFERROR(__xludf.DUMMYFUNCTION("""COMPUTED_VALUE"""),"818-261-3604")</f>
        <v>818-261-3604</v>
      </c>
      <c r="Q550" s="5" t="str">
        <f ca="1">IFERROR(__xludf.DUMMYFUNCTION("""COMPUTED_VALUE"""),"lar@teamrockproperties.com")</f>
        <v>lar@teamrockproperties.com</v>
      </c>
      <c r="R550" s="5"/>
      <c r="S550" s="5"/>
      <c r="T550" s="5"/>
    </row>
    <row r="551" spans="1:20" ht="12.75">
      <c r="A551" s="24">
        <f ca="1">IFERROR(__xludf.DUMMYFUNCTION("""COMPUTED_VALUE"""),45670.6602989351)</f>
        <v>45670.660298935101</v>
      </c>
      <c r="B551" s="5" t="str">
        <f ca="1">IFERROR(__xludf.DUMMYFUNCTION("""COMPUTED_VALUE"""),"11633 Chenault St #202")</f>
        <v>11633 Chenault St #202</v>
      </c>
      <c r="C551" s="5" t="str">
        <f ca="1">IFERROR(__xludf.DUMMYFUNCTION("""COMPUTED_VALUE"""),"Brentwood")</f>
        <v>Brentwood</v>
      </c>
      <c r="D551" s="5" t="str">
        <f ca="1">IFERROR(__xludf.DUMMYFUNCTION("""COMPUTED_VALUE"""),"CA")</f>
        <v>CA</v>
      </c>
      <c r="E551" s="5">
        <f ca="1">IFERROR(__xludf.DUMMYFUNCTION("""COMPUTED_VALUE"""),90049)</f>
        <v>90049</v>
      </c>
      <c r="F551" s="19">
        <f ca="1">IFERROR(__xludf.DUMMYFUNCTION("""COMPUTED_VALUE"""),4995)</f>
        <v>4995</v>
      </c>
      <c r="G551" s="19">
        <f ca="1">IFERROR(__xludf.DUMMYFUNCTION("""COMPUTED_VALUE"""),7500)</f>
        <v>7500</v>
      </c>
      <c r="H551" s="18">
        <f ca="1">IFERROR(__xludf.DUMMYFUNCTION("""COMPUTED_VALUE"""),45670)</f>
        <v>45670</v>
      </c>
      <c r="I551" s="5" t="str">
        <f ca="1">IFERROR(__xludf.DUMMYFUNCTION("""COMPUTED_VALUE"""),"Redfin")</f>
        <v>Redfin</v>
      </c>
      <c r="J551" s="25" t="str">
        <f ca="1">IFERROR(__xludf.DUMMYFUNCTION("""COMPUTED_VALUE"""),"https://www.redfin.com/CA/Los-Angeles/11633-Chenault-St-90049/unit-202/home/51587417#property-history")</f>
        <v>https://www.redfin.com/CA/Los-Angeles/11633-Chenault-St-90049/unit-202/home/51587417#property-history</v>
      </c>
      <c r="K551" s="5" t="str">
        <f ca="1">IFERROR(__xludf.DUMMYFUNCTION("""COMPUTED_VALUE"""),"Kevin Stirdivant")</f>
        <v>Kevin Stirdivant</v>
      </c>
      <c r="L551" s="5"/>
      <c r="M551" s="5"/>
      <c r="N551" s="26" t="str">
        <f ca="1">IFERROR(__xludf.DUMMYFUNCTION("""COMPUTED_VALUE"""),"https://drive.google.com/open?id=14zkeT4FH4-C5xn2FnnO2dILmRpAyGPkM")</f>
        <v>https://drive.google.com/open?id=14zkeT4FH4-C5xn2FnnO2dILmRpAyGPkM</v>
      </c>
      <c r="O551" s="5" t="str">
        <f ca="1">IFERROR(__xludf.DUMMYFUNCTION("""COMPUTED_VALUE"""),"NA")</f>
        <v>NA</v>
      </c>
      <c r="P551" s="5" t="str">
        <f ca="1">IFERROR(__xludf.DUMMYFUNCTION("""COMPUTED_VALUE"""),"949) 355-5947")</f>
        <v>949) 355-5947</v>
      </c>
      <c r="Q551" s="5"/>
      <c r="R551" s="5"/>
      <c r="S551" s="5"/>
      <c r="T551" s="5"/>
    </row>
    <row r="552" spans="1:20" ht="12.75">
      <c r="A552" s="24">
        <f ca="1">IFERROR(__xludf.DUMMYFUNCTION("""COMPUTED_VALUE"""),45670.6622465856)</f>
        <v>45670.662246585598</v>
      </c>
      <c r="B552" s="5" t="str">
        <f ca="1">IFERROR(__xludf.DUMMYFUNCTION("""COMPUTED_VALUE"""),"6617 S Sherbourne Dr")</f>
        <v>6617 S Sherbourne Dr</v>
      </c>
      <c r="C552" s="5" t="str">
        <f ca="1">IFERROR(__xludf.DUMMYFUNCTION("""COMPUTED_VALUE"""),"los angeles")</f>
        <v>los angeles</v>
      </c>
      <c r="D552" s="5" t="str">
        <f ca="1">IFERROR(__xludf.DUMMYFUNCTION("""COMPUTED_VALUE"""),"CA")</f>
        <v>CA</v>
      </c>
      <c r="E552" s="5">
        <f ca="1">IFERROR(__xludf.DUMMYFUNCTION("""COMPUTED_VALUE"""),90056)</f>
        <v>90056</v>
      </c>
      <c r="F552" s="19">
        <f ca="1">IFERROR(__xludf.DUMMYFUNCTION("""COMPUTED_VALUE"""),10500)</f>
        <v>10500</v>
      </c>
      <c r="G552" s="19">
        <f ca="1">IFERROR(__xludf.DUMMYFUNCTION("""COMPUTED_VALUE"""),16600)</f>
        <v>16600</v>
      </c>
      <c r="H552" s="18">
        <f ca="1">IFERROR(__xludf.DUMMYFUNCTION("""COMPUTED_VALUE"""),45669)</f>
        <v>45669</v>
      </c>
      <c r="I552" s="5" t="str">
        <f ca="1">IFERROR(__xludf.DUMMYFUNCTION("""COMPUTED_VALUE"""),"Zillow")</f>
        <v>Zillow</v>
      </c>
      <c r="J552" s="25" t="str">
        <f ca="1">IFERROR(__xludf.DUMMYFUNCTION("""COMPUTED_VALUE"""),"https://www.zillow.com/homedetails/6617-S-Sherbourne-Dr-Los-Angeles-CA-90056/20377951_zpid/")</f>
        <v>https://www.zillow.com/homedetails/6617-S-Sherbourne-Dr-Los-Angeles-CA-90056/20377951_zpid/</v>
      </c>
      <c r="K552" s="5" t="str">
        <f ca="1">IFERROR(__xludf.DUMMYFUNCTION("""COMPUTED_VALUE"""),"Grena Lofton")</f>
        <v>Grena Lofton</v>
      </c>
      <c r="L552" s="5"/>
      <c r="M552" s="5" t="str">
        <f ca="1">IFERROR(__xludf.DUMMYFUNCTION("""COMPUTED_VALUE"""),"The advantageous date of the price increase and there is no reason stated for it (example: price change reflects furnished home). ")</f>
        <v xml:space="preserve">The advantageous date of the price increase and there is no reason stated for it (example: price change reflects furnished home). </v>
      </c>
      <c r="N552" s="26" t="str">
        <f ca="1">IFERROR(__xludf.DUMMYFUNCTION("""COMPUTED_VALUE"""),"https://drive.google.com/open?id=1AjqN0aQ8AXSsOa1iOn7lwpshsYqdDf2X")</f>
        <v>https://drive.google.com/open?id=1AjqN0aQ8AXSsOa1iOn7lwpshsYqdDf2X</v>
      </c>
      <c r="O552" s="5">
        <f ca="1">IFERROR(__xludf.DUMMYFUNCTION("""COMPUTED_VALUE"""),4102013016)</f>
        <v>4102013016</v>
      </c>
      <c r="P552" s="5">
        <f ca="1">IFERROR(__xludf.DUMMYFUNCTION("""COMPUTED_VALUE"""),2135772699)</f>
        <v>2135772699</v>
      </c>
      <c r="Q552" s="5"/>
      <c r="R552" s="5"/>
      <c r="S552" s="5"/>
      <c r="T552" s="5"/>
    </row>
    <row r="553" spans="1:20" ht="12.75">
      <c r="A553" s="24">
        <f ca="1">IFERROR(__xludf.DUMMYFUNCTION("""COMPUTED_VALUE"""),45670.6703853819)</f>
        <v>45670.670385381898</v>
      </c>
      <c r="B553" s="5" t="str">
        <f ca="1">IFERROR(__xludf.DUMMYFUNCTION("""COMPUTED_VALUE"""),"325 Woodcliffe Rd")</f>
        <v>325 Woodcliffe Rd</v>
      </c>
      <c r="C553" s="5" t="str">
        <f ca="1">IFERROR(__xludf.DUMMYFUNCTION("""COMPUTED_VALUE"""),"Pasadena")</f>
        <v>Pasadena</v>
      </c>
      <c r="D553" s="5" t="str">
        <f ca="1">IFERROR(__xludf.DUMMYFUNCTION("""COMPUTED_VALUE"""),"CA")</f>
        <v>CA</v>
      </c>
      <c r="E553" s="5">
        <f ca="1">IFERROR(__xludf.DUMMYFUNCTION("""COMPUTED_VALUE"""),91105)</f>
        <v>91105</v>
      </c>
      <c r="F553" s="19">
        <f ca="1">IFERROR(__xludf.DUMMYFUNCTION("""COMPUTED_VALUE"""),1510000)</f>
        <v>1510000</v>
      </c>
      <c r="G553" s="19">
        <f ca="1">IFERROR(__xludf.DUMMYFUNCTION("""COMPUTED_VALUE"""),2174900)</f>
        <v>2174900</v>
      </c>
      <c r="H553" s="18">
        <f ca="1">IFERROR(__xludf.DUMMYFUNCTION("""COMPUTED_VALUE"""),45664)</f>
        <v>45664</v>
      </c>
      <c r="I553" s="5" t="str">
        <f ca="1">IFERROR(__xludf.DUMMYFUNCTION("""COMPUTED_VALUE"""),"Zillow")</f>
        <v>Zillow</v>
      </c>
      <c r="J553" s="25" t="str">
        <f ca="1">IFERROR(__xludf.DUMMYFUNCTION("""COMPUTED_VALUE"""),"https://www.zillow.com/homedetails/325-Woodcliffe-Rd-Pasadena-CA-91105/20856334_zpid/")</f>
        <v>https://www.zillow.com/homedetails/325-Woodcliffe-Rd-Pasadena-CA-91105/20856334_zpid/</v>
      </c>
      <c r="K553" s="5" t="str">
        <f ca="1">IFERROR(__xludf.DUMMYFUNCTION("""COMPUTED_VALUE"""),"Rosa A. Garcia DRE # 01373253 818-671-8891,  Delta Global Enterprises, Inc. 818-723-0816")</f>
        <v>Rosa A. Garcia DRE # 01373253 818-671-8891,  Delta Global Enterprises, Inc. 818-723-0816</v>
      </c>
      <c r="L553" s="5"/>
      <c r="M553" s="5"/>
      <c r="N553" s="26" t="str">
        <f ca="1">IFERROR(__xludf.DUMMYFUNCTION("""COMPUTED_VALUE"""),"https://drive.google.com/open?id=18N2SpT-HqRXVtkNuJwfD4IwY8mcxrDrh")</f>
        <v>https://drive.google.com/open?id=18N2SpT-HqRXVtkNuJwfD4IwY8mcxrDrh</v>
      </c>
      <c r="O553" s="5">
        <f ca="1">IFERROR(__xludf.DUMMYFUNCTION("""COMPUTED_VALUE"""),5707023018)</f>
        <v>5707023018</v>
      </c>
      <c r="P553" s="5" t="str">
        <f ca="1">IFERROR(__xludf.DUMMYFUNCTION("""COMPUTED_VALUE"""),"818-671-8891")</f>
        <v>818-671-8891</v>
      </c>
      <c r="Q553" s="5"/>
      <c r="R553" s="5"/>
      <c r="S553" s="5"/>
      <c r="T553" s="5"/>
    </row>
    <row r="554" spans="1:20" ht="12.75">
      <c r="A554" s="24">
        <f ca="1">IFERROR(__xludf.DUMMYFUNCTION("""COMPUTED_VALUE"""),45670.6714079629)</f>
        <v>45670.671407962902</v>
      </c>
      <c r="B554" s="5" t="str">
        <f ca="1">IFERROR(__xludf.DUMMYFUNCTION("""COMPUTED_VALUE"""),"3945 Eagle Rock Blvd Unit 49")</f>
        <v>3945 Eagle Rock Blvd Unit 49</v>
      </c>
      <c r="C554" s="5" t="str">
        <f ca="1">IFERROR(__xludf.DUMMYFUNCTION("""COMPUTED_VALUE"""),"Los Angeles")</f>
        <v>Los Angeles</v>
      </c>
      <c r="D554" s="5" t="str">
        <f ca="1">IFERROR(__xludf.DUMMYFUNCTION("""COMPUTED_VALUE"""),"CA")</f>
        <v>CA</v>
      </c>
      <c r="E554" s="5">
        <f ca="1">IFERROR(__xludf.DUMMYFUNCTION("""COMPUTED_VALUE"""),90065)</f>
        <v>90065</v>
      </c>
      <c r="F554" s="19">
        <f ca="1">IFERROR(__xludf.DUMMYFUNCTION("""COMPUTED_VALUE"""),4250)</f>
        <v>4250</v>
      </c>
      <c r="G554" s="19">
        <f ca="1">IFERROR(__xludf.DUMMYFUNCTION("""COMPUTED_VALUE"""),4350)</f>
        <v>4350</v>
      </c>
      <c r="H554" s="18">
        <f ca="1">IFERROR(__xludf.DUMMYFUNCTION("""COMPUTED_VALUE"""),45670)</f>
        <v>45670</v>
      </c>
      <c r="I554" s="5" t="str">
        <f ca="1">IFERROR(__xludf.DUMMYFUNCTION("""COMPUTED_VALUE"""),"Zillow")</f>
        <v>Zillow</v>
      </c>
      <c r="J554" s="25" t="str">
        <f ca="1">IFERROR(__xludf.DUMMYFUNCTION("""COMPUTED_VALUE"""),"https://www.zillow.com/homedetails/3945-Eagle-Rock-Blvd-UNIT-49-Los-Angeles-CA-90065/124212301_zpid/")</f>
        <v>https://www.zillow.com/homedetails/3945-Eagle-Rock-Blvd-UNIT-49-Los-Angeles-CA-90065/124212301_zpid/</v>
      </c>
      <c r="K554" s="5"/>
      <c r="L554" s="5" t="str">
        <f ca="1">IFERROR(__xludf.DUMMYFUNCTION("""COMPUTED_VALUE"""),"Rebecca Doten")</f>
        <v>Rebecca Doten</v>
      </c>
      <c r="M554" s="5"/>
      <c r="N554" s="5" t="str">
        <f ca="1">IFERROR(__xludf.DUMMYFUNCTION("""COMPUTED_VALUE"""),"https://drive.google.com/open?id=1cIQqYmosJXOiSrJdCKv4Da2K1WYxydV6, https://drive.google.com/open?id=1rdu4nbQBEpACtxdyMJo_Q3-on6xS-2Rd, https://drive.google.com/open?id=1x0-LJLi2Vt3r7uVd2FJh6_qmYYxGQ0-A, https://drive.google.com/open?id=1GHmKoAr_5Fk7YCy1w"&amp;"DakK-0mbpAp1bBI")</f>
        <v>https://drive.google.com/open?id=1cIQqYmosJXOiSrJdCKv4Da2K1WYxydV6, https://drive.google.com/open?id=1rdu4nbQBEpACtxdyMJo_Q3-on6xS-2Rd, https://drive.google.com/open?id=1x0-LJLi2Vt3r7uVd2FJh6_qmYYxGQ0-A, https://drive.google.com/open?id=1GHmKoAr_5Fk7YCy1wDakK-0mbpAp1bBI</v>
      </c>
      <c r="O554" s="5">
        <f ca="1">IFERROR(__xludf.DUMMYFUNCTION("""COMPUTED_VALUE"""),5460001092)</f>
        <v>5460001092</v>
      </c>
      <c r="P554" s="5"/>
      <c r="Q554" s="5"/>
      <c r="R554" s="5">
        <f ca="1">IFERROR(__xludf.DUMMYFUNCTION("""COMPUTED_VALUE"""),2133404762)</f>
        <v>2133404762</v>
      </c>
      <c r="S554" s="5"/>
      <c r="T554" s="5"/>
    </row>
    <row r="555" spans="1:20" ht="12.75">
      <c r="A555" s="24">
        <f ca="1">IFERROR(__xludf.DUMMYFUNCTION("""COMPUTED_VALUE"""),45670.6740884375)</f>
        <v>45670.674088437503</v>
      </c>
      <c r="B555" s="5" t="str">
        <f ca="1">IFERROR(__xludf.DUMMYFUNCTION("""COMPUTED_VALUE"""),"5117 Bakman Ave")</f>
        <v>5117 Bakman Ave</v>
      </c>
      <c r="C555" s="5" t="str">
        <f ca="1">IFERROR(__xludf.DUMMYFUNCTION("""COMPUTED_VALUE"""),"North Hollywood")</f>
        <v>North Hollywood</v>
      </c>
      <c r="D555" s="5" t="str">
        <f ca="1">IFERROR(__xludf.DUMMYFUNCTION("""COMPUTED_VALUE"""),"CA")</f>
        <v>CA</v>
      </c>
      <c r="E555" s="5">
        <f ca="1">IFERROR(__xludf.DUMMYFUNCTION("""COMPUTED_VALUE"""),91601)</f>
        <v>91601</v>
      </c>
      <c r="F555" s="19">
        <f ca="1">IFERROR(__xludf.DUMMYFUNCTION("""COMPUTED_VALUE"""),3400)</f>
        <v>3400</v>
      </c>
      <c r="G555" s="19">
        <f ca="1">IFERROR(__xludf.DUMMYFUNCTION("""COMPUTED_VALUE"""),5000)</f>
        <v>5000</v>
      </c>
      <c r="H555" s="18">
        <f ca="1">IFERROR(__xludf.DUMMYFUNCTION("""COMPUTED_VALUE"""),45670)</f>
        <v>45670</v>
      </c>
      <c r="I555" s="5" t="str">
        <f ca="1">IFERROR(__xludf.DUMMYFUNCTION("""COMPUTED_VALUE"""),"Zillow")</f>
        <v>Zillow</v>
      </c>
      <c r="J555" s="25" t="str">
        <f ca="1">IFERROR(__xludf.DUMMYFUNCTION("""COMPUTED_VALUE"""),"https://www.zillow.com/homedetails/5117-Bakman-Ave-North-Hollywood-CA-91601/2131031938_zpid/")</f>
        <v>https://www.zillow.com/homedetails/5117-Bakman-Ave-North-Hollywood-CA-91601/2131031938_zpid/</v>
      </c>
      <c r="K555" s="5" t="str">
        <f ca="1">IFERROR(__xludf.DUMMYFUNCTION("""COMPUTED_VALUE"""),"Sean,  Socal Rent")</f>
        <v>Sean,  Socal Rent</v>
      </c>
      <c r="L555" s="5"/>
      <c r="M555" s="5"/>
      <c r="N555" s="5" t="str">
        <f ca="1">IFERROR(__xludf.DUMMYFUNCTION("""COMPUTED_VALUE"""),"https://drive.google.com/open?id=1DiT1nD71AmLOGjsovxW6zzTkg-QW47D-, https://drive.google.com/open?id=1AWYvTXyGmqrJAL6av2RJUbFulmoozxEs")</f>
        <v>https://drive.google.com/open?id=1DiT1nD71AmLOGjsovxW6zzTkg-QW47D-, https://drive.google.com/open?id=1AWYvTXyGmqrJAL6av2RJUbFulmoozxEs</v>
      </c>
      <c r="O555" s="5" t="str">
        <f ca="1">IFERROR(__xludf.DUMMYFUNCTION("""COMPUTED_VALUE"""),"NA")</f>
        <v>NA</v>
      </c>
      <c r="P555" s="5" t="str">
        <f ca="1">IFERROR(__xludf.DUMMYFUNCTION("""COMPUTED_VALUE"""),"(714) 920-4710")</f>
        <v>(714) 920-4710</v>
      </c>
      <c r="Q555" s="5"/>
      <c r="R555" s="5"/>
      <c r="S555" s="5"/>
      <c r="T555" s="5"/>
    </row>
    <row r="556" spans="1:20" ht="12.75">
      <c r="A556" s="24">
        <f ca="1">IFERROR(__xludf.DUMMYFUNCTION("""COMPUTED_VALUE"""),45670.6756252662)</f>
        <v>45670.675625266202</v>
      </c>
      <c r="B556" s="5" t="str">
        <f ca="1">IFERROR(__xludf.DUMMYFUNCTION("""COMPUTED_VALUE"""),"878 Hartglen Ave")</f>
        <v>878 Hartglen Ave</v>
      </c>
      <c r="C556" s="5" t="str">
        <f ca="1">IFERROR(__xludf.DUMMYFUNCTION("""COMPUTED_VALUE"""),"Westlake Village")</f>
        <v>Westlake Village</v>
      </c>
      <c r="D556" s="5" t="str">
        <f ca="1">IFERROR(__xludf.DUMMYFUNCTION("""COMPUTED_VALUE"""),"CA")</f>
        <v>CA</v>
      </c>
      <c r="E556" s="5">
        <f ca="1">IFERROR(__xludf.DUMMYFUNCTION("""COMPUTED_VALUE"""),91361)</f>
        <v>91361</v>
      </c>
      <c r="F556" s="19">
        <f ca="1">IFERROR(__xludf.DUMMYFUNCTION("""COMPUTED_VALUE"""),6250)</f>
        <v>6250</v>
      </c>
      <c r="G556" s="19">
        <f ca="1">IFERROR(__xludf.DUMMYFUNCTION("""COMPUTED_VALUE"""),6900)</f>
        <v>6900</v>
      </c>
      <c r="H556" s="18">
        <f ca="1">IFERROR(__xludf.DUMMYFUNCTION("""COMPUTED_VALUE"""),45671)</f>
        <v>45671</v>
      </c>
      <c r="I556" s="5" t="str">
        <f ca="1">IFERROR(__xludf.DUMMYFUNCTION("""COMPUTED_VALUE"""),"Zillow")</f>
        <v>Zillow</v>
      </c>
      <c r="J556" s="25" t="str">
        <f ca="1">IFERROR(__xludf.DUMMYFUNCTION("""COMPUTED_VALUE"""),"https://www.zillow.com/homedetails/878-Hartglen-Ave-Westlake-Village-CA-91361/16492149_zpid/")</f>
        <v>https://www.zillow.com/homedetails/878-Hartglen-Ave-Westlake-Village-CA-91361/16492149_zpid/</v>
      </c>
      <c r="K556" s="5"/>
      <c r="L556" s="5" t="str">
        <f ca="1">IFERROR(__xludf.DUMMYFUNCTION("""COMPUTED_VALUE"""),"Ash S")</f>
        <v>Ash S</v>
      </c>
      <c r="M556" s="5"/>
      <c r="N556" s="5" t="str">
        <f ca="1">IFERROR(__xludf.DUMMYFUNCTION("""COMPUTED_VALUE"""),"https://drive.google.com/open?id=15d1C977dwJcB2uOUF8N3BL_84I-tT2Ud, https://drive.google.com/open?id=179sHifJFvhpaecUOjOkEnJbjPTbJLWit")</f>
        <v>https://drive.google.com/open?id=15d1C977dwJcB2uOUF8N3BL_84I-tT2Ud, https://drive.google.com/open?id=179sHifJFvhpaecUOjOkEnJbjPTbJLWit</v>
      </c>
      <c r="O556" s="5">
        <f ca="1">IFERROR(__xludf.DUMMYFUNCTION("""COMPUTED_VALUE"""),6960241205)</f>
        <v>6960241205</v>
      </c>
      <c r="P556" s="5"/>
      <c r="Q556" s="5"/>
      <c r="R556" s="5" t="str">
        <f ca="1">IFERROR(__xludf.DUMMYFUNCTION("""COMPUTED_VALUE"""),"(805) 719-7244")</f>
        <v>(805) 719-7244</v>
      </c>
      <c r="S556" s="5"/>
      <c r="T556" s="5"/>
    </row>
    <row r="557" spans="1:20" ht="12.75">
      <c r="A557" s="24">
        <f ca="1">IFERROR(__xludf.DUMMYFUNCTION("""COMPUTED_VALUE"""),45670.6783117013)</f>
        <v>45670.678311701296</v>
      </c>
      <c r="B557" s="5" t="str">
        <f ca="1">IFERROR(__xludf.DUMMYFUNCTION("""COMPUTED_VALUE"""),"610 N Foothill Rd")</f>
        <v>610 N Foothill Rd</v>
      </c>
      <c r="C557" s="5" t="str">
        <f ca="1">IFERROR(__xludf.DUMMYFUNCTION("""COMPUTED_VALUE"""),"Beverly Hills")</f>
        <v>Beverly Hills</v>
      </c>
      <c r="D557" s="5" t="str">
        <f ca="1">IFERROR(__xludf.DUMMYFUNCTION("""COMPUTED_VALUE"""),"CA")</f>
        <v>CA</v>
      </c>
      <c r="E557" s="5">
        <f ca="1">IFERROR(__xludf.DUMMYFUNCTION("""COMPUTED_VALUE"""),90210)</f>
        <v>90210</v>
      </c>
      <c r="F557" s="19">
        <f ca="1">IFERROR(__xludf.DUMMYFUNCTION("""COMPUTED_VALUE"""),69500)</f>
        <v>69500</v>
      </c>
      <c r="G557" s="19">
        <f ca="1">IFERROR(__xludf.DUMMYFUNCTION("""COMPUTED_VALUE"""),95000)</f>
        <v>95000</v>
      </c>
      <c r="H557" s="18">
        <f ca="1">IFERROR(__xludf.DUMMYFUNCTION("""COMPUTED_VALUE"""),45666)</f>
        <v>45666</v>
      </c>
      <c r="I557" s="5" t="str">
        <f ca="1">IFERROR(__xludf.DUMMYFUNCTION("""COMPUTED_VALUE"""),"The MLS")</f>
        <v>The MLS</v>
      </c>
      <c r="J557" s="25" t="str">
        <f ca="1">IFERROR(__xludf.DUMMYFUNCTION("""COMPUTED_VALUE"""),"https://www.themls.com/Share/YWFmaWFkZmZp")</f>
        <v>https://www.themls.com/Share/YWFmaWFkZmZp</v>
      </c>
      <c r="K557" s="5" t="str">
        <f ca="1">IFERROR(__xludf.DUMMYFUNCTION("""COMPUTED_VALUE"""),"Natalie Zamir")</f>
        <v>Natalie Zamir</v>
      </c>
      <c r="L557" s="5" t="str">
        <f ca="1">IFERROR(__xludf.DUMMYFUNCTION("""COMPUTED_VALUE"""),"Zamir Yosef")</f>
        <v>Zamir Yosef</v>
      </c>
      <c r="M557" s="5"/>
      <c r="N557" s="26" t="str">
        <f ca="1">IFERROR(__xludf.DUMMYFUNCTION("""COMPUTED_VALUE"""),"https://drive.google.com/open?id=1n_zEv5aXfX1mS5kdOU2sU1dmIqKoaHv9")</f>
        <v>https://drive.google.com/open?id=1n_zEv5aXfX1mS5kdOU2sU1dmIqKoaHv9</v>
      </c>
      <c r="O557" s="5" t="str">
        <f ca="1">IFERROR(__xludf.DUMMYFUNCTION("""COMPUTED_VALUE"""),"4341-021-005")</f>
        <v>4341-021-005</v>
      </c>
      <c r="P557" s="5" t="str">
        <f ca="1">IFERROR(__xludf.DUMMYFUNCTION("""COMPUTED_VALUE"""),"323-509-9814")</f>
        <v>323-509-9814</v>
      </c>
      <c r="Q557" s="5" t="str">
        <f ca="1">IFERROR(__xludf.DUMMYFUNCTION("""COMPUTED_VALUE"""),"nataliezzamir@gmail.com")</f>
        <v>nataliezzamir@gmail.com</v>
      </c>
      <c r="R557" s="5"/>
      <c r="S557" s="5"/>
      <c r="T557" s="5"/>
    </row>
    <row r="558" spans="1:20" ht="12.75">
      <c r="A558" s="24">
        <f ca="1">IFERROR(__xludf.DUMMYFUNCTION("""COMPUTED_VALUE"""),45670.6786534953)</f>
        <v>45670.678653495299</v>
      </c>
      <c r="B558" s="5" t="str">
        <f ca="1">IFERROR(__xludf.DUMMYFUNCTION("""COMPUTED_VALUE"""),"1933 N Vista Del Mar Ave")</f>
        <v>1933 N Vista Del Mar Ave</v>
      </c>
      <c r="C558" s="5" t="str">
        <f ca="1">IFERROR(__xludf.DUMMYFUNCTION("""COMPUTED_VALUE"""),"Los Angeles")</f>
        <v>Los Angeles</v>
      </c>
      <c r="D558" s="5" t="str">
        <f ca="1">IFERROR(__xludf.DUMMYFUNCTION("""COMPUTED_VALUE"""),"CA")</f>
        <v>CA</v>
      </c>
      <c r="E558" s="5">
        <f ca="1">IFERROR(__xludf.DUMMYFUNCTION("""COMPUTED_VALUE"""),90068)</f>
        <v>90068</v>
      </c>
      <c r="F558" s="19">
        <f ca="1">IFERROR(__xludf.DUMMYFUNCTION("""COMPUTED_VALUE"""),5500)</f>
        <v>5500</v>
      </c>
      <c r="G558" s="19">
        <f ca="1">IFERROR(__xludf.DUMMYFUNCTION("""COMPUTED_VALUE"""),6495)</f>
        <v>6495</v>
      </c>
      <c r="H558" s="18">
        <f ca="1">IFERROR(__xludf.DUMMYFUNCTION("""COMPUTED_VALUE"""),45670)</f>
        <v>45670</v>
      </c>
      <c r="I558" s="5" t="str">
        <f ca="1">IFERROR(__xludf.DUMMYFUNCTION("""COMPUTED_VALUE"""),"Zillow")</f>
        <v>Zillow</v>
      </c>
      <c r="J558" s="25" t="str">
        <f ca="1">IFERROR(__xludf.DUMMYFUNCTION("""COMPUTED_VALUE"""),"https://www.zillow.com/homedetails/1933-N-Vista-Del-Mar-Ave-Los-Angeles-CA-90068/20807472_zpid/")</f>
        <v>https://www.zillow.com/homedetails/1933-N-Vista-Del-Mar-Ave-Los-Angeles-CA-90068/20807472_zpid/</v>
      </c>
      <c r="K558" s="5" t="str">
        <f ca="1">IFERROR(__xludf.DUMMYFUNCTION("""COMPUTED_VALUE"""),"Hana Cohen, Avenue 8")</f>
        <v>Hana Cohen, Avenue 8</v>
      </c>
      <c r="L558" s="5"/>
      <c r="M558" s="5" t="str">
        <f ca="1">IFERROR(__xludf.DUMMYFUNCTION("""COMPUTED_VALUE"""),"Here's the realtor's instagram https://www.instagram.com/hanacohen.realtor/")</f>
        <v>Here's the realtor's instagram https://www.instagram.com/hanacohen.realtor/</v>
      </c>
      <c r="N558" s="5" t="str">
        <f ca="1">IFERROR(__xludf.DUMMYFUNCTION("""COMPUTED_VALUE"""),"https://drive.google.com/open?id=15DInATnf1lEvjdXqGUJN6CZXwYvBo7hM, https://drive.google.com/open?id=1DCfdJVmTFHzrjBhZCY9JuT3kPGsanalH")</f>
        <v>https://drive.google.com/open?id=15DInATnf1lEvjdXqGUJN6CZXwYvBo7hM, https://drive.google.com/open?id=1DCfdJVmTFHzrjBhZCY9JuT3kPGsanalH</v>
      </c>
      <c r="O558" s="5">
        <f ca="1">IFERROR(__xludf.DUMMYFUNCTION("""COMPUTED_VALUE"""),5586006006)</f>
        <v>5586006006</v>
      </c>
      <c r="P558" s="5" t="str">
        <f ca="1">IFERROR(__xludf.DUMMYFUNCTION("""COMPUTED_VALUE"""),"(310) 882-1670")</f>
        <v>(310) 882-1670</v>
      </c>
      <c r="Q558" s="5"/>
      <c r="R558" s="5"/>
      <c r="S558" s="5"/>
      <c r="T558" s="5"/>
    </row>
    <row r="559" spans="1:20" ht="12.75">
      <c r="A559" s="24">
        <f ca="1">IFERROR(__xludf.DUMMYFUNCTION("""COMPUTED_VALUE"""),45670.6789668171)</f>
        <v>45670.678966817097</v>
      </c>
      <c r="B559" s="5" t="str">
        <f ca="1">IFERROR(__xludf.DUMMYFUNCTION("""COMPUTED_VALUE"""),"1719 Wellesly Ave.")</f>
        <v>1719 Wellesly Ave.</v>
      </c>
      <c r="C559" s="5" t="str">
        <f ca="1">IFERROR(__xludf.DUMMYFUNCTION("""COMPUTED_VALUE"""),"West LA")</f>
        <v>West LA</v>
      </c>
      <c r="D559" s="5" t="str">
        <f ca="1">IFERROR(__xludf.DUMMYFUNCTION("""COMPUTED_VALUE"""),"CA")</f>
        <v>CA</v>
      </c>
      <c r="E559" s="5">
        <f ca="1">IFERROR(__xludf.DUMMYFUNCTION("""COMPUTED_VALUE"""),90025)</f>
        <v>90025</v>
      </c>
      <c r="F559" s="19">
        <f ca="1">IFERROR(__xludf.DUMMYFUNCTION("""COMPUTED_VALUE"""),8495)</f>
        <v>8495</v>
      </c>
      <c r="G559" s="19">
        <f ca="1">IFERROR(__xludf.DUMMYFUNCTION("""COMPUTED_VALUE"""),14995)</f>
        <v>14995</v>
      </c>
      <c r="H559" s="18">
        <f ca="1">IFERROR(__xludf.DUMMYFUNCTION("""COMPUTED_VALUE"""),45669)</f>
        <v>45669</v>
      </c>
      <c r="I559" s="5" t="str">
        <f ca="1">IFERROR(__xludf.DUMMYFUNCTION("""COMPUTED_VALUE"""),"Redfin")</f>
        <v>Redfin</v>
      </c>
      <c r="J559" s="25" t="str">
        <f ca="1">IFERROR(__xludf.DUMMYFUNCTION("""COMPUTED_VALUE"""),"https://www.redfin.com/CA/Los-Angeles/1719-Wellesley-Ave-90025/home/6756075#property-history")</f>
        <v>https://www.redfin.com/CA/Los-Angeles/1719-Wellesley-Ave-90025/home/6756075#property-history</v>
      </c>
      <c r="K559" s="5" t="str">
        <f ca="1">IFERROR(__xludf.DUMMYFUNCTION("""COMPUTED_VALUE"""),"Chadwick Railey")</f>
        <v>Chadwick Railey</v>
      </c>
      <c r="L559" s="5"/>
      <c r="M559" s="5"/>
      <c r="N559" s="26" t="str">
        <f ca="1">IFERROR(__xludf.DUMMYFUNCTION("""COMPUTED_VALUE"""),"https://drive.google.com/open?id=1qTq2JWwniDfHjbIDdDVfW_I468Qv23Vw")</f>
        <v>https://drive.google.com/open?id=1qTq2JWwniDfHjbIDdDVfW_I468Qv23Vw</v>
      </c>
      <c r="O559" s="5" t="str">
        <f ca="1">IFERROR(__xludf.DUMMYFUNCTION("""COMPUTED_VALUE"""),"NA")</f>
        <v>NA</v>
      </c>
      <c r="P559" s="5" t="str">
        <f ca="1">IFERROR(__xludf.DUMMYFUNCTION("""COMPUTED_VALUE"""),"310-331-8883")</f>
        <v>310-331-8883</v>
      </c>
      <c r="Q559" s="5" t="str">
        <f ca="1">IFERROR(__xludf.DUMMYFUNCTION("""COMPUTED_VALUE"""),"newhomeinlanewhomeinla@gmail.com")</f>
        <v>newhomeinlanewhomeinla@gmail.com</v>
      </c>
      <c r="R559" s="5"/>
      <c r="S559" s="5"/>
      <c r="T559" s="5"/>
    </row>
    <row r="560" spans="1:20" ht="12.75">
      <c r="A560" s="24">
        <f ca="1">IFERROR(__xludf.DUMMYFUNCTION("""COMPUTED_VALUE"""),45670.681577199)</f>
        <v>45670.681577199</v>
      </c>
      <c r="B560" s="5" t="str">
        <f ca="1">IFERROR(__xludf.DUMMYFUNCTION("""COMPUTED_VALUE"""),"7171 La Presa Dr")</f>
        <v>7171 La Presa Dr</v>
      </c>
      <c r="C560" s="5" t="str">
        <f ca="1">IFERROR(__xludf.DUMMYFUNCTION("""COMPUTED_VALUE"""),"Los Angeles")</f>
        <v>Los Angeles</v>
      </c>
      <c r="D560" s="5" t="str">
        <f ca="1">IFERROR(__xludf.DUMMYFUNCTION("""COMPUTED_VALUE"""),"CA")</f>
        <v>CA</v>
      </c>
      <c r="E560" s="5">
        <f ca="1">IFERROR(__xludf.DUMMYFUNCTION("""COMPUTED_VALUE"""),90068)</f>
        <v>90068</v>
      </c>
      <c r="F560" s="19">
        <f ca="1">IFERROR(__xludf.DUMMYFUNCTION("""COMPUTED_VALUE"""),19500)</f>
        <v>19500</v>
      </c>
      <c r="G560" s="19">
        <f ca="1">IFERROR(__xludf.DUMMYFUNCTION("""COMPUTED_VALUE"""),29950)</f>
        <v>29950</v>
      </c>
      <c r="H560" s="18">
        <f ca="1">IFERROR(__xludf.DUMMYFUNCTION("""COMPUTED_VALUE"""),45670)</f>
        <v>45670</v>
      </c>
      <c r="I560" s="5" t="str">
        <f ca="1">IFERROR(__xludf.DUMMYFUNCTION("""COMPUTED_VALUE"""),"Zillow")</f>
        <v>Zillow</v>
      </c>
      <c r="J560" s="25" t="str">
        <f ca="1">IFERROR(__xludf.DUMMYFUNCTION("""COMPUTED_VALUE"""),"https://www.zillow.com/homedetails/7171-La-Presa-Dr-Los-Angeles-CA-90068/20793583_zpid/")</f>
        <v>https://www.zillow.com/homedetails/7171-La-Presa-Dr-Los-Angeles-CA-90068/20793583_zpid/</v>
      </c>
      <c r="K560" s="5"/>
      <c r="L560" s="5"/>
      <c r="M560" s="5"/>
      <c r="N560" s="26" t="str">
        <f ca="1">IFERROR(__xludf.DUMMYFUNCTION("""COMPUTED_VALUE"""),"https://drive.google.com/open?id=18ANVW2RhU7_XDtzSOZkq307Gca7zU3h0")</f>
        <v>https://drive.google.com/open?id=18ANVW2RhU7_XDtzSOZkq307Gca7zU3h0</v>
      </c>
      <c r="O560" s="5" t="str">
        <f ca="1">IFERROR(__xludf.DUMMYFUNCTION("""COMPUTED_VALUE"""),"na")</f>
        <v>na</v>
      </c>
      <c r="P560" s="5"/>
      <c r="Q560" s="5"/>
      <c r="R560" s="5"/>
      <c r="S560" s="5"/>
      <c r="T560" s="5"/>
    </row>
    <row r="561" spans="1:20" ht="12.75">
      <c r="A561" s="24">
        <f ca="1">IFERROR(__xludf.DUMMYFUNCTION("""COMPUTED_VALUE"""),45670.6835248958)</f>
        <v>45670.683524895801</v>
      </c>
      <c r="B561" s="5" t="str">
        <f ca="1">IFERROR(__xludf.DUMMYFUNCTION("""COMPUTED_VALUE"""),"Uundisclosed but IDed as 1026 Echo Park Ave")</f>
        <v>Uundisclosed but IDed as 1026 Echo Park Ave</v>
      </c>
      <c r="C561" s="5" t="str">
        <f ca="1">IFERROR(__xludf.DUMMYFUNCTION("""COMPUTED_VALUE"""),"Los Angeles")</f>
        <v>Los Angeles</v>
      </c>
      <c r="D561" s="5" t="str">
        <f ca="1">IFERROR(__xludf.DUMMYFUNCTION("""COMPUTED_VALUE"""),"CA")</f>
        <v>CA</v>
      </c>
      <c r="E561" s="5">
        <f ca="1">IFERROR(__xludf.DUMMYFUNCTION("""COMPUTED_VALUE"""),90026)</f>
        <v>90026</v>
      </c>
      <c r="F561" s="19">
        <f ca="1">IFERROR(__xludf.DUMMYFUNCTION("""COMPUTED_VALUE"""),5995)</f>
        <v>5995</v>
      </c>
      <c r="G561" s="19">
        <f ca="1">IFERROR(__xludf.DUMMYFUNCTION("""COMPUTED_VALUE"""),9995)</f>
        <v>9995</v>
      </c>
      <c r="H561" s="18">
        <f ca="1">IFERROR(__xludf.DUMMYFUNCTION("""COMPUTED_VALUE"""),45671)</f>
        <v>45671</v>
      </c>
      <c r="I561" s="5" t="str">
        <f ca="1">IFERROR(__xludf.DUMMYFUNCTION("""COMPUTED_VALUE"""),"Zillow")</f>
        <v>Zillow</v>
      </c>
      <c r="J561" s="25" t="str">
        <f ca="1">IFERROR(__xludf.DUMMYFUNCTION("""COMPUTED_VALUE"""),"https://www.zillow.com/homedetails/Los-Angeles-CA-90026/20739765_zpid/?")</f>
        <v>https://www.zillow.com/homedetails/Los-Angeles-CA-90026/20739765_zpid/?</v>
      </c>
      <c r="K561" s="5" t="str">
        <f ca="1">IFERROR(__xludf.DUMMYFUNCTION("""COMPUTED_VALUE"""),"Melanie Middien  Caring Realty  Property owner")</f>
        <v>Melanie Middien  Caring Realty  Property owner</v>
      </c>
      <c r="L561" s="5"/>
      <c r="M561" s="5"/>
      <c r="N561" s="5" t="str">
        <f ca="1">IFERROR(__xludf.DUMMYFUNCTION("""COMPUTED_VALUE"""),"https://drive.google.com/open?id=1UwwTzGaR3Q81r1_z4sOT6VZr4vKJLOQV, https://drive.google.com/open?id=18G1hZdYYdXGV2yomnvm2_ezGJRNOBuuO, https://drive.google.com/open?id=1eURGWOBSVqXV5DhVdsCCRfWLUIn1U_4a")</f>
        <v>https://drive.google.com/open?id=1UwwTzGaR3Q81r1_z4sOT6VZr4vKJLOQV, https://drive.google.com/open?id=18G1hZdYYdXGV2yomnvm2_ezGJRNOBuuO, https://drive.google.com/open?id=1eURGWOBSVqXV5DhVdsCCRfWLUIn1U_4a</v>
      </c>
      <c r="O561" s="5">
        <f ca="1">IFERROR(__xludf.DUMMYFUNCTION("""COMPUTED_VALUE"""),5404019008)</f>
        <v>5404019008</v>
      </c>
      <c r="P561" s="5" t="str">
        <f ca="1">IFERROR(__xludf.DUMMYFUNCTION("""COMPUTED_VALUE"""),"(310) 435-5450")</f>
        <v>(310) 435-5450</v>
      </c>
      <c r="Q561" s="5"/>
      <c r="R561" s="5"/>
      <c r="S561" s="5"/>
      <c r="T561" s="5"/>
    </row>
    <row r="562" spans="1:20" ht="12.75">
      <c r="A562" s="24">
        <f ca="1">IFERROR(__xludf.DUMMYFUNCTION("""COMPUTED_VALUE"""),45670.6838820601)</f>
        <v>45670.683882060097</v>
      </c>
      <c r="B562" s="5" t="str">
        <f ca="1">IFERROR(__xludf.DUMMYFUNCTION("""COMPUTED_VALUE"""),"3108 Yale Ave")</f>
        <v>3108 Yale Ave</v>
      </c>
      <c r="C562" s="5" t="str">
        <f ca="1">IFERROR(__xludf.DUMMYFUNCTION("""COMPUTED_VALUE"""),"Marina Del Rey")</f>
        <v>Marina Del Rey</v>
      </c>
      <c r="D562" s="5" t="str">
        <f ca="1">IFERROR(__xludf.DUMMYFUNCTION("""COMPUTED_VALUE"""),"CA")</f>
        <v>CA</v>
      </c>
      <c r="E562" s="5">
        <f ca="1">IFERROR(__xludf.DUMMYFUNCTION("""COMPUTED_VALUE"""),90292)</f>
        <v>90292</v>
      </c>
      <c r="F562" s="19">
        <f ca="1">IFERROR(__xludf.DUMMYFUNCTION("""COMPUTED_VALUE"""),13000)</f>
        <v>13000</v>
      </c>
      <c r="G562" s="19">
        <f ca="1">IFERROR(__xludf.DUMMYFUNCTION("""COMPUTED_VALUE"""),25000)</f>
        <v>25000</v>
      </c>
      <c r="H562" s="18">
        <f ca="1">IFERROR(__xludf.DUMMYFUNCTION("""COMPUTED_VALUE"""),45669)</f>
        <v>45669</v>
      </c>
      <c r="I562" s="5" t="str">
        <f ca="1">IFERROR(__xludf.DUMMYFUNCTION("""COMPUTED_VALUE"""),"Zillow")</f>
        <v>Zillow</v>
      </c>
      <c r="J562" s="25" t="str">
        <f ca="1">IFERROR(__xludf.DUMMYFUNCTION("""COMPUTED_VALUE"""),"https://www.zillow.com/homedetails/3108-Yale-Ave-Marina-Del-Rey-CA-90292/20445056_zpid/")</f>
        <v>https://www.zillow.com/homedetails/3108-Yale-Ave-Marina-Del-Rey-CA-90292/20445056_zpid/</v>
      </c>
      <c r="K562" s="5" t="str">
        <f ca="1">IFERROR(__xludf.DUMMYFUNCTION("""COMPUTED_VALUE"""),"F. Ron Smith Compass")</f>
        <v>F. Ron Smith Compass</v>
      </c>
      <c r="L562" s="5"/>
      <c r="M562" s="5" t="str">
        <f ca="1">IFERROR(__xludf.DUMMYFUNCTION("""COMPUTED_VALUE"""),"rent increased to $25K on 1/12/2025 from $13K in 2020. No mention of price change reflecting furnishing or renovations.")</f>
        <v>rent increased to $25K on 1/12/2025 from $13K in 2020. No mention of price change reflecting furnishing or renovations.</v>
      </c>
      <c r="N562" s="26" t="str">
        <f ca="1">IFERROR(__xludf.DUMMYFUNCTION("""COMPUTED_VALUE"""),"https://drive.google.com/open?id=1UTLbM8N6A4irbIHWeR3y03YCRdvzED8c")</f>
        <v>https://drive.google.com/open?id=1UTLbM8N6A4irbIHWeR3y03YCRdvzED8c</v>
      </c>
      <c r="O562" s="5">
        <f ca="1">IFERROR(__xludf.DUMMYFUNCTION("""COMPUTED_VALUE"""),4229006075)</f>
        <v>4229006075</v>
      </c>
      <c r="P562" s="5" t="str">
        <f ca="1">IFERROR(__xludf.DUMMYFUNCTION("""COMPUTED_VALUE"""),"(310) 500-3931")</f>
        <v>(310) 500-3931</v>
      </c>
      <c r="Q562" s="5"/>
      <c r="R562" s="5"/>
      <c r="S562" s="5"/>
      <c r="T562" s="5"/>
    </row>
    <row r="563" spans="1:20" ht="12.75">
      <c r="A563" s="24">
        <f ca="1">IFERROR(__xludf.DUMMYFUNCTION("""COMPUTED_VALUE"""),45670.6856604745)</f>
        <v>45670.685660474497</v>
      </c>
      <c r="B563" s="5" t="str">
        <f ca="1">IFERROR(__xludf.DUMMYFUNCTION("""COMPUTED_VALUE"""),"18220 Fallenleaf Cir")</f>
        <v>18220 Fallenleaf Cir</v>
      </c>
      <c r="C563" s="5" t="str">
        <f ca="1">IFERROR(__xludf.DUMMYFUNCTION("""COMPUTED_VALUE"""),"Fountain Valley")</f>
        <v>Fountain Valley</v>
      </c>
      <c r="D563" s="5" t="str">
        <f ca="1">IFERROR(__xludf.DUMMYFUNCTION("""COMPUTED_VALUE"""),"CA")</f>
        <v>CA</v>
      </c>
      <c r="E563" s="5">
        <f ca="1">IFERROR(__xludf.DUMMYFUNCTION("""COMPUTED_VALUE"""),92708)</f>
        <v>92708</v>
      </c>
      <c r="F563" s="19">
        <f ca="1">IFERROR(__xludf.DUMMYFUNCTION("""COMPUTED_VALUE"""),5800)</f>
        <v>5800</v>
      </c>
      <c r="G563" s="19">
        <f ca="1">IFERROR(__xludf.DUMMYFUNCTION("""COMPUTED_VALUE"""),8000)</f>
        <v>8000</v>
      </c>
      <c r="H563" s="18">
        <f ca="1">IFERROR(__xludf.DUMMYFUNCTION("""COMPUTED_VALUE"""),45670)</f>
        <v>45670</v>
      </c>
      <c r="I563" s="5" t="str">
        <f ca="1">IFERROR(__xludf.DUMMYFUNCTION("""COMPUTED_VALUE"""),"Zillow")</f>
        <v>Zillow</v>
      </c>
      <c r="J563" s="25" t="str">
        <f ca="1">IFERROR(__xludf.DUMMYFUNCTION("""COMPUTED_VALUE"""),"https://www.zillow.com/homedetails/18220-Fallenleaf-Cir-Fountain-Valley-CA-92708/25284910_zpid/")</f>
        <v>https://www.zillow.com/homedetails/18220-Fallenleaf-Cir-Fountain-Valley-CA-92708/25284910_zpid/</v>
      </c>
      <c r="K563" s="5" t="str">
        <f ca="1">IFERROR(__xludf.DUMMYFUNCTION("""COMPUTED_VALUE"""),"Allen Duan")</f>
        <v>Allen Duan</v>
      </c>
      <c r="L563" s="5"/>
      <c r="M563" s="5"/>
      <c r="N563" s="5" t="str">
        <f ca="1">IFERROR(__xludf.DUMMYFUNCTION("""COMPUTED_VALUE"""),"https://drive.google.com/open?id=1_-vMA51ge4sAy5mBpbZQK-KcUXVo7ov_, https://drive.google.com/open?id=1Nn3ZYq5arKVSiyO-Xe0GzgnnqsESpwQz")</f>
        <v>https://drive.google.com/open?id=1_-vMA51ge4sAy5mBpbZQK-KcUXVo7ov_, https://drive.google.com/open?id=1Nn3ZYq5arKVSiyO-Xe0GzgnnqsESpwQz</v>
      </c>
      <c r="O563" s="5">
        <f ca="1">IFERROR(__xludf.DUMMYFUNCTION("""COMPUTED_VALUE"""),15711169)</f>
        <v>15711169</v>
      </c>
      <c r="P563" s="5" t="str">
        <f ca="1">IFERROR(__xludf.DUMMYFUNCTION("""COMPUTED_VALUE"""),"(781) 512-6397")</f>
        <v>(781) 512-6397</v>
      </c>
      <c r="Q563" s="5"/>
      <c r="R563" s="5"/>
      <c r="S563" s="5"/>
      <c r="T563" s="5"/>
    </row>
    <row r="564" spans="1:20" ht="12.75">
      <c r="A564" s="24">
        <f ca="1">IFERROR(__xludf.DUMMYFUNCTION("""COMPUTED_VALUE"""),45670.6863946412)</f>
        <v>45670.686394641198</v>
      </c>
      <c r="B564" s="5" t="str">
        <f ca="1">IFERROR(__xludf.DUMMYFUNCTION("""COMPUTED_VALUE"""),"6111 San Vincente Blvd")</f>
        <v>6111 San Vincente Blvd</v>
      </c>
      <c r="C564" s="5" t="str">
        <f ca="1">IFERROR(__xludf.DUMMYFUNCTION("""COMPUTED_VALUE"""),"Los Angeles")</f>
        <v>Los Angeles</v>
      </c>
      <c r="D564" s="5" t="str">
        <f ca="1">IFERROR(__xludf.DUMMYFUNCTION("""COMPUTED_VALUE"""),"CA")</f>
        <v>CA</v>
      </c>
      <c r="E564" s="5">
        <f ca="1">IFERROR(__xludf.DUMMYFUNCTION("""COMPUTED_VALUE"""),90048)</f>
        <v>90048</v>
      </c>
      <c r="F564" s="19">
        <f ca="1">IFERROR(__xludf.DUMMYFUNCTION("""COMPUTED_VALUE"""),6950)</f>
        <v>6950</v>
      </c>
      <c r="G564" s="19">
        <f ca="1">IFERROR(__xludf.DUMMYFUNCTION("""COMPUTED_VALUE"""),14950)</f>
        <v>14950</v>
      </c>
      <c r="H564" s="18">
        <f ca="1">IFERROR(__xludf.DUMMYFUNCTION("""COMPUTED_VALUE"""),45665)</f>
        <v>45665</v>
      </c>
      <c r="I564" s="5" t="str">
        <f ca="1">IFERROR(__xludf.DUMMYFUNCTION("""COMPUTED_VALUE"""),"Zillow")</f>
        <v>Zillow</v>
      </c>
      <c r="J564" s="25" t="str">
        <f ca="1">IFERROR(__xludf.DUMMYFUNCTION("""COMPUTED_VALUE"""),"https://www.zillow.com/homedetails/6111-San-Vicente-Blvd-Los-Angeles-CA-90048/20609731_zpid/")</f>
        <v>https://www.zillow.com/homedetails/6111-San-Vicente-Blvd-Los-Angeles-CA-90048/20609731_zpid/</v>
      </c>
      <c r="K564" s="5"/>
      <c r="L564" s="5" t="str">
        <f ca="1">IFERROR(__xludf.DUMMYFUNCTION("""COMPUTED_VALUE"""),"Bryan")</f>
        <v>Bryan</v>
      </c>
      <c r="M564" s="5" t="str">
        <f ca="1">IFERROR(__xludf.DUMMYFUNCTION("""COMPUTED_VALUE"""),"Property listing was removed in 2014 and then relisted after the fires began")</f>
        <v>Property listing was removed in 2014 and then relisted after the fires began</v>
      </c>
      <c r="N564" s="5" t="str">
        <f ca="1">IFERROR(__xludf.DUMMYFUNCTION("""COMPUTED_VALUE"""),"https://drive.google.com/open?id=1F4KvfS972iFxL5eRT8ZYfoaTz1Uh-rxa, https://drive.google.com/open?id=1cIESnqlLR_8mwruWVANbwKjup44P1a3m")</f>
        <v>https://drive.google.com/open?id=1F4KvfS972iFxL5eRT8ZYfoaTz1Uh-rxa, https://drive.google.com/open?id=1cIESnqlLR_8mwruWVANbwKjup44P1a3m</v>
      </c>
      <c r="O564" s="5">
        <f ca="1">IFERROR(__xludf.DUMMYFUNCTION("""COMPUTED_VALUE"""),5088004056)</f>
        <v>5088004056</v>
      </c>
      <c r="P564" s="5"/>
      <c r="Q564" s="5"/>
      <c r="R564" s="5" t="str">
        <f ca="1">IFERROR(__xludf.DUMMYFUNCTION("""COMPUTED_VALUE"""),"(213)354-7384")</f>
        <v>(213)354-7384</v>
      </c>
      <c r="S564" s="5"/>
      <c r="T564" s="5"/>
    </row>
    <row r="565" spans="1:20" ht="12.75">
      <c r="A565" s="24">
        <f ca="1">IFERROR(__xludf.DUMMYFUNCTION("""COMPUTED_VALUE"""),45670.6869553703)</f>
        <v>45670.6869553703</v>
      </c>
      <c r="B565" s="5" t="str">
        <f ca="1">IFERROR(__xludf.DUMMYFUNCTION("""COMPUTED_VALUE"""),"6119 Maryland Dr")</f>
        <v>6119 Maryland Dr</v>
      </c>
      <c r="C565" s="5" t="str">
        <f ca="1">IFERROR(__xludf.DUMMYFUNCTION("""COMPUTED_VALUE"""),"Los Angeles")</f>
        <v>Los Angeles</v>
      </c>
      <c r="D565" s="5" t="str">
        <f ca="1">IFERROR(__xludf.DUMMYFUNCTION("""COMPUTED_VALUE"""),"CA")</f>
        <v>CA</v>
      </c>
      <c r="E565" s="5">
        <f ca="1">IFERROR(__xludf.DUMMYFUNCTION("""COMPUTED_VALUE"""),90048)</f>
        <v>90048</v>
      </c>
      <c r="F565" s="19">
        <f ca="1">IFERROR(__xludf.DUMMYFUNCTION("""COMPUTED_VALUE"""),19500)</f>
        <v>19500</v>
      </c>
      <c r="G565" s="19">
        <f ca="1">IFERROR(__xludf.DUMMYFUNCTION("""COMPUTED_VALUE"""),23500)</f>
        <v>23500</v>
      </c>
      <c r="H565" s="18">
        <f ca="1">IFERROR(__xludf.DUMMYFUNCTION("""COMPUTED_VALUE"""),45670)</f>
        <v>45670</v>
      </c>
      <c r="I565" s="5" t="str">
        <f ca="1">IFERROR(__xludf.DUMMYFUNCTION("""COMPUTED_VALUE"""),"Zillow")</f>
        <v>Zillow</v>
      </c>
      <c r="J565" s="25" t="str">
        <f ca="1">IFERROR(__xludf.DUMMYFUNCTION("""COMPUTED_VALUE"""),"https://www.zillow.com/homedetails/6119-Maryland-Dr-Los-Angeles-CA-90048/20776184_zpid/")</f>
        <v>https://www.zillow.com/homedetails/6119-Maryland-Dr-Los-Angeles-CA-90048/20776184_zpid/</v>
      </c>
      <c r="K565" s="5" t="str">
        <f ca="1">IFERROR(__xludf.DUMMYFUNCTION("""COMPUTED_VALUE"""),"Ashlie Fisher Angel City Leasing LLC")</f>
        <v>Ashlie Fisher Angel City Leasing LLC</v>
      </c>
      <c r="L565" s="5"/>
      <c r="M565" s="5"/>
      <c r="N565" s="26" t="str">
        <f ca="1">IFERROR(__xludf.DUMMYFUNCTION("""COMPUTED_VALUE"""),"https://drive.google.com/open?id=1veaTH5QtlflQ135A_CB4PzTcd0ay3zZN")</f>
        <v>https://drive.google.com/open?id=1veaTH5QtlflQ135A_CB4PzTcd0ay3zZN</v>
      </c>
      <c r="O565" s="5">
        <f ca="1">IFERROR(__xludf.DUMMYFUNCTION("""COMPUTED_VALUE"""),5510011002)</f>
        <v>5510011002</v>
      </c>
      <c r="P565" s="5" t="str">
        <f ca="1">IFERROR(__xludf.DUMMYFUNCTION("""COMPUTED_VALUE"""),"(310) 908-0896")</f>
        <v>(310) 908-0896</v>
      </c>
      <c r="Q565" s="5" t="str">
        <f ca="1">IFERROR(__xludf.DUMMYFUNCTION("""COMPUTED_VALUE"""),"hello@liveangelcity.com")</f>
        <v>hello@liveangelcity.com</v>
      </c>
      <c r="R565" s="5"/>
      <c r="S565" s="5"/>
      <c r="T565" s="5"/>
    </row>
    <row r="566" spans="1:20" ht="12.75">
      <c r="A566" s="24">
        <f ca="1">IFERROR(__xludf.DUMMYFUNCTION("""COMPUTED_VALUE"""),45670.6877758912)</f>
        <v>45670.687775891201</v>
      </c>
      <c r="B566" s="5" t="str">
        <f ca="1">IFERROR(__xludf.DUMMYFUNCTION("""COMPUTED_VALUE"""),"14550 Round Valley Dr")</f>
        <v>14550 Round Valley Dr</v>
      </c>
      <c r="C566" s="5" t="str">
        <f ca="1">IFERROR(__xludf.DUMMYFUNCTION("""COMPUTED_VALUE"""),"Sherman Oaks")</f>
        <v>Sherman Oaks</v>
      </c>
      <c r="D566" s="5" t="str">
        <f ca="1">IFERROR(__xludf.DUMMYFUNCTION("""COMPUTED_VALUE"""),"CA")</f>
        <v>CA</v>
      </c>
      <c r="E566" s="5">
        <f ca="1">IFERROR(__xludf.DUMMYFUNCTION("""COMPUTED_VALUE"""),91403)</f>
        <v>91403</v>
      </c>
      <c r="F566" s="19">
        <f ca="1">IFERROR(__xludf.DUMMYFUNCTION("""COMPUTED_VALUE"""),8950)</f>
        <v>8950</v>
      </c>
      <c r="G566" s="19">
        <f ca="1">IFERROR(__xludf.DUMMYFUNCTION("""COMPUTED_VALUE"""),13000)</f>
        <v>13000</v>
      </c>
      <c r="H566" s="18">
        <f ca="1">IFERROR(__xludf.DUMMYFUNCTION("""COMPUTED_VALUE"""),45670)</f>
        <v>45670</v>
      </c>
      <c r="I566" s="5" t="str">
        <f ca="1">IFERROR(__xludf.DUMMYFUNCTION("""COMPUTED_VALUE"""),"Zillow")</f>
        <v>Zillow</v>
      </c>
      <c r="J566" s="25" t="str">
        <f ca="1">IFERROR(__xludf.DUMMYFUNCTION("""COMPUTED_VALUE"""),"https://www.zillow.com/homedetails/14550-Round-Valley-Dr-Sherman-Oaks-CA-91403/19987851_zpid/")</f>
        <v>https://www.zillow.com/homedetails/14550-Round-Valley-Dr-Sherman-Oaks-CA-91403/19987851_zpid/</v>
      </c>
      <c r="K566" s="5" t="str">
        <f ca="1">IFERROR(__xludf.DUMMYFUNCTION("""COMPUTED_VALUE"""),"Aram Afshar, Coldwell Banker Residential Brokerage - Beverly Hills")</f>
        <v>Aram Afshar, Coldwell Banker Residential Brokerage - Beverly Hills</v>
      </c>
      <c r="L566" s="5"/>
      <c r="M566" s="5"/>
      <c r="N566" s="5" t="str">
        <f ca="1">IFERROR(__xludf.DUMMYFUNCTION("""COMPUTED_VALUE"""),"https://drive.google.com/open?id=1aBvNZ5KL5b9xFUt4Vy1XJjG04-gofTV3, https://drive.google.com/open?id=1WExFugaE-A6S7JP6Rk532pxS5No7oIMy")</f>
        <v>https://drive.google.com/open?id=1aBvNZ5KL5b9xFUt4Vy1XJjG04-gofTV3, https://drive.google.com/open?id=1WExFugaE-A6S7JP6Rk532pxS5No7oIMy</v>
      </c>
      <c r="O566" s="5">
        <f ca="1">IFERROR(__xludf.DUMMYFUNCTION("""COMPUTED_VALUE"""),2275009015)</f>
        <v>2275009015</v>
      </c>
      <c r="P566" s="5" t="str">
        <f ca="1">IFERROR(__xludf.DUMMYFUNCTION("""COMPUTED_VALUE"""),"(310) 702-0583")</f>
        <v>(310) 702-0583</v>
      </c>
      <c r="Q566" s="5"/>
      <c r="R566" s="5"/>
      <c r="S566" s="5"/>
      <c r="T566" s="5"/>
    </row>
    <row r="567" spans="1:20" ht="12.75">
      <c r="A567" s="24">
        <f ca="1">IFERROR(__xludf.DUMMYFUNCTION("""COMPUTED_VALUE"""),45670.6920949537)</f>
        <v>45670.692094953702</v>
      </c>
      <c r="B567" s="5" t="str">
        <f ca="1">IFERROR(__xludf.DUMMYFUNCTION("""COMPUTED_VALUE"""),"undisclosed address")</f>
        <v>undisclosed address</v>
      </c>
      <c r="C567" s="5" t="str">
        <f ca="1">IFERROR(__xludf.DUMMYFUNCTION("""COMPUTED_VALUE"""),"Woodland Hills")</f>
        <v>Woodland Hills</v>
      </c>
      <c r="D567" s="5" t="str">
        <f ca="1">IFERROR(__xludf.DUMMYFUNCTION("""COMPUTED_VALUE"""),"CA")</f>
        <v>CA</v>
      </c>
      <c r="E567" s="5">
        <f ca="1">IFERROR(__xludf.DUMMYFUNCTION("""COMPUTED_VALUE"""),91367)</f>
        <v>91367</v>
      </c>
      <c r="F567" s="19">
        <f ca="1">IFERROR(__xludf.DUMMYFUNCTION("""COMPUTED_VALUE"""),3300)</f>
        <v>3300</v>
      </c>
      <c r="G567" s="19">
        <f ca="1">IFERROR(__xludf.DUMMYFUNCTION("""COMPUTED_VALUE"""),4600)</f>
        <v>4600</v>
      </c>
      <c r="H567" s="18">
        <f ca="1">IFERROR(__xludf.DUMMYFUNCTION("""COMPUTED_VALUE"""),45670)</f>
        <v>45670</v>
      </c>
      <c r="I567" s="5" t="str">
        <f ca="1">IFERROR(__xludf.DUMMYFUNCTION("""COMPUTED_VALUE"""),"Zillow")</f>
        <v>Zillow</v>
      </c>
      <c r="J567" s="25" t="str">
        <f ca="1">IFERROR(__xludf.DUMMYFUNCTION("""COMPUTED_VALUE"""),"https://www.zillow.com/homedetails/Woodland-Hills-CA-91367/19878327_zpid/")</f>
        <v>https://www.zillow.com/homedetails/Woodland-Hills-CA-91367/19878327_zpid/</v>
      </c>
      <c r="K567" s="5" t="str">
        <f ca="1">IFERROR(__xludf.DUMMYFUNCTION("""COMPUTED_VALUE"""),"Allon Shelly")</f>
        <v>Allon Shelly</v>
      </c>
      <c r="L567" s="5"/>
      <c r="M567" s="5" t="str">
        <f ca="1">IFERROR(__xludf.DUMMYFUNCTION("""COMPUTED_VALUE"""),"Listing was removed on 10/6/22 and then relisted 1/13/25")</f>
        <v>Listing was removed on 10/6/22 and then relisted 1/13/25</v>
      </c>
      <c r="N567" s="5" t="str">
        <f ca="1">IFERROR(__xludf.DUMMYFUNCTION("""COMPUTED_VALUE"""),"https://drive.google.com/open?id=1kqTbIo9wvKjIK3HpbSpir0KF-nMkWUZG, https://drive.google.com/open?id=15zImWICD9gSS_XWD5k8asYy7KyOna6Vp")</f>
        <v>https://drive.google.com/open?id=1kqTbIo9wvKjIK3HpbSpir0KF-nMkWUZG, https://drive.google.com/open?id=15zImWICD9gSS_XWD5k8asYy7KyOna6Vp</v>
      </c>
      <c r="O567" s="5" t="str">
        <f ca="1">IFERROR(__xludf.DUMMYFUNCTION("""COMPUTED_VALUE"""),"NA")</f>
        <v>NA</v>
      </c>
      <c r="P567" s="5" t="str">
        <f ca="1">IFERROR(__xludf.DUMMYFUNCTION("""COMPUTED_VALUE"""),"(213)772-4723")</f>
        <v>(213)772-4723</v>
      </c>
      <c r="Q567" s="5"/>
      <c r="R567" s="5"/>
      <c r="S567" s="5"/>
      <c r="T567" s="5"/>
    </row>
    <row r="568" spans="1:20" ht="12.75">
      <c r="A568" s="24">
        <f ca="1">IFERROR(__xludf.DUMMYFUNCTION("""COMPUTED_VALUE"""),45670.6925081134)</f>
        <v>45670.692508113403</v>
      </c>
      <c r="B568" s="5" t="str">
        <f ca="1">IFERROR(__xludf.DUMMYFUNCTION("""COMPUTED_VALUE"""),"16412 Ardsley Cir")</f>
        <v>16412 Ardsley Cir</v>
      </c>
      <c r="C568" s="5" t="str">
        <f ca="1">IFERROR(__xludf.DUMMYFUNCTION("""COMPUTED_VALUE"""),"Huntington Beach")</f>
        <v>Huntington Beach</v>
      </c>
      <c r="D568" s="5" t="str">
        <f ca="1">IFERROR(__xludf.DUMMYFUNCTION("""COMPUTED_VALUE"""),"CA")</f>
        <v>CA</v>
      </c>
      <c r="E568" s="5">
        <f ca="1">IFERROR(__xludf.DUMMYFUNCTION("""COMPUTED_VALUE"""),92649)</f>
        <v>92649</v>
      </c>
      <c r="F568" s="19">
        <f ca="1">IFERROR(__xludf.DUMMYFUNCTION("""COMPUTED_VALUE"""),25000)</f>
        <v>25000</v>
      </c>
      <c r="G568" s="19">
        <f ca="1">IFERROR(__xludf.DUMMYFUNCTION("""COMPUTED_VALUE"""),29000)</f>
        <v>29000</v>
      </c>
      <c r="H568" s="18">
        <f ca="1">IFERROR(__xludf.DUMMYFUNCTION("""COMPUTED_VALUE"""),45670)</f>
        <v>45670</v>
      </c>
      <c r="I568" s="5" t="str">
        <f ca="1">IFERROR(__xludf.DUMMYFUNCTION("""COMPUTED_VALUE"""),"Zillow")</f>
        <v>Zillow</v>
      </c>
      <c r="J568" s="25" t="str">
        <f ca="1">IFERROR(__xludf.DUMMYFUNCTION("""COMPUTED_VALUE"""),"https://www.zillow.com/homedetails/16412-Ardsley-Cir-Huntington-Beach-CA-92649/25298727_zpid/")</f>
        <v>https://www.zillow.com/homedetails/16412-Ardsley-Cir-Huntington-Beach-CA-92649/25298727_zpid/</v>
      </c>
      <c r="K568" s="5"/>
      <c r="L568" s="5" t="str">
        <f ca="1">IFERROR(__xludf.DUMMYFUNCTION("""COMPUTED_VALUE"""),"Antoinette Naddour")</f>
        <v>Antoinette Naddour</v>
      </c>
      <c r="M568" s="5"/>
      <c r="N568" s="5" t="str">
        <f ca="1">IFERROR(__xludf.DUMMYFUNCTION("""COMPUTED_VALUE"""),"https://drive.google.com/open?id=1Ew-1RWSMGL0doMKNV0lJsxDTlwsrJAIG, https://drive.google.com/open?id=165xPVHPFwJCD4ia2L7BXEoQtSmhZ_oip")</f>
        <v>https://drive.google.com/open?id=1Ew-1RWSMGL0doMKNV0lJsxDTlwsrJAIG, https://drive.google.com/open?id=165xPVHPFwJCD4ia2L7BXEoQtSmhZ_oip</v>
      </c>
      <c r="O568" s="5">
        <f ca="1">IFERROR(__xludf.DUMMYFUNCTION("""COMPUTED_VALUE"""),17806232)</f>
        <v>17806232</v>
      </c>
      <c r="P568" s="5"/>
      <c r="Q568" s="5"/>
      <c r="R568" s="5" t="str">
        <f ca="1">IFERROR(__xludf.DUMMYFUNCTION("""COMPUTED_VALUE"""),"(949) 787-3096")</f>
        <v>(949) 787-3096</v>
      </c>
      <c r="S568" s="5"/>
      <c r="T568" s="5"/>
    </row>
    <row r="569" spans="1:20" ht="12.75">
      <c r="A569" s="24">
        <f ca="1">IFERROR(__xludf.DUMMYFUNCTION("""COMPUTED_VALUE"""),45670.6942400347)</f>
        <v>45670.694240034703</v>
      </c>
      <c r="B569" s="5" t="str">
        <f ca="1">IFERROR(__xludf.DUMMYFUNCTION("""COMPUTED_VALUE"""),"534 Wilcox Ave")</f>
        <v>534 Wilcox Ave</v>
      </c>
      <c r="C569" s="5" t="str">
        <f ca="1">IFERROR(__xludf.DUMMYFUNCTION("""COMPUTED_VALUE"""),"Los Angeles")</f>
        <v>Los Angeles</v>
      </c>
      <c r="D569" s="5" t="str">
        <f ca="1">IFERROR(__xludf.DUMMYFUNCTION("""COMPUTED_VALUE"""),"CA")</f>
        <v>CA</v>
      </c>
      <c r="E569" s="5">
        <f ca="1">IFERROR(__xludf.DUMMYFUNCTION("""COMPUTED_VALUE"""),90004)</f>
        <v>90004</v>
      </c>
      <c r="F569" s="19">
        <f ca="1">IFERROR(__xludf.DUMMYFUNCTION("""COMPUTED_VALUE"""),11995)</f>
        <v>11995</v>
      </c>
      <c r="G569" s="19">
        <f ca="1">IFERROR(__xludf.DUMMYFUNCTION("""COMPUTED_VALUE"""),13000)</f>
        <v>13000</v>
      </c>
      <c r="H569" s="18">
        <f ca="1">IFERROR(__xludf.DUMMYFUNCTION("""COMPUTED_VALUE"""),45668)</f>
        <v>45668</v>
      </c>
      <c r="I569" s="5" t="str">
        <f ca="1">IFERROR(__xludf.DUMMYFUNCTION("""COMPUTED_VALUE"""),"Zillow")</f>
        <v>Zillow</v>
      </c>
      <c r="J569" s="25" t="str">
        <f ca="1">IFERROR(__xludf.DUMMYFUNCTION("""COMPUTED_VALUE"""),"https://www.zillow.com/homedetails/534-Wilcox-Ave-Los-Angeles-CA-90004/20783361_zpid/")</f>
        <v>https://www.zillow.com/homedetails/534-Wilcox-Ave-Los-Angeles-CA-90004/20783361_zpid/</v>
      </c>
      <c r="K569" s="5"/>
      <c r="L569" s="5"/>
      <c r="M569" s="5"/>
      <c r="N569" s="26" t="str">
        <f ca="1">IFERROR(__xludf.DUMMYFUNCTION("""COMPUTED_VALUE"""),"https://drive.google.com/open?id=10GDwSNmrLyGEJe5GHqO-F7mD8dgyJL3y")</f>
        <v>https://drive.google.com/open?id=10GDwSNmrLyGEJe5GHqO-F7mD8dgyJL3y</v>
      </c>
      <c r="O569" s="5">
        <f ca="1">IFERROR(__xludf.DUMMYFUNCTION("""COMPUTED_VALUE"""),5523037022)</f>
        <v>5523037022</v>
      </c>
      <c r="P569" s="5"/>
      <c r="Q569" s="5"/>
      <c r="R569" s="5"/>
      <c r="S569" s="5"/>
      <c r="T569" s="5"/>
    </row>
    <row r="570" spans="1:20" ht="12.75">
      <c r="A570" s="24">
        <f ca="1">IFERROR(__xludf.DUMMYFUNCTION("""COMPUTED_VALUE"""),45670.6955040856)</f>
        <v>45670.695504085597</v>
      </c>
      <c r="B570" s="5" t="str">
        <f ca="1">IFERROR(__xludf.DUMMYFUNCTION("""COMPUTED_VALUE"""),"1612 Courtney Ave")</f>
        <v>1612 Courtney Ave</v>
      </c>
      <c r="C570" s="5" t="str">
        <f ca="1">IFERROR(__xludf.DUMMYFUNCTION("""COMPUTED_VALUE"""),"Hollywood")</f>
        <v>Hollywood</v>
      </c>
      <c r="D570" s="5" t="str">
        <f ca="1">IFERROR(__xludf.DUMMYFUNCTION("""COMPUTED_VALUE"""),"CA")</f>
        <v>CA</v>
      </c>
      <c r="E570" s="5">
        <f ca="1">IFERROR(__xludf.DUMMYFUNCTION("""COMPUTED_VALUE"""),90046)</f>
        <v>90046</v>
      </c>
      <c r="F570" s="19">
        <f ca="1">IFERROR(__xludf.DUMMYFUNCTION("""COMPUTED_VALUE"""),9000)</f>
        <v>9000</v>
      </c>
      <c r="G570" s="19">
        <f ca="1">IFERROR(__xludf.DUMMYFUNCTION("""COMPUTED_VALUE"""),10500)</f>
        <v>10500</v>
      </c>
      <c r="H570" s="18">
        <f ca="1">IFERROR(__xludf.DUMMYFUNCTION("""COMPUTED_VALUE"""),45668)</f>
        <v>45668</v>
      </c>
      <c r="I570" s="5" t="str">
        <f ca="1">IFERROR(__xludf.DUMMYFUNCTION("""COMPUTED_VALUE"""),"Redfin")</f>
        <v>Redfin</v>
      </c>
      <c r="J570" s="25" t="str">
        <f ca="1">IFERROR(__xludf.DUMMYFUNCTION("""COMPUTED_VALUE"""),"https://www.redfin.com/CA/Los-Angeles/1612-Courtney-Ave-90046/home/7115359#property-history")</f>
        <v>https://www.redfin.com/CA/Los-Angeles/1612-Courtney-Ave-90046/home/7115359#property-history</v>
      </c>
      <c r="K570" s="5" t="str">
        <f ca="1">IFERROR(__xludf.DUMMYFUNCTION("""COMPUTED_VALUE"""),"Robert Erickson")</f>
        <v>Robert Erickson</v>
      </c>
      <c r="L570" s="5"/>
      <c r="M570" s="5"/>
      <c r="N570" s="26" t="str">
        <f ca="1">IFERROR(__xludf.DUMMYFUNCTION("""COMPUTED_VALUE"""),"https://drive.google.com/open?id=1W9LOShcgzXNoMBqWjzRNkciX-Fda4QQk")</f>
        <v>https://drive.google.com/open?id=1W9LOShcgzXNoMBqWjzRNkciX-Fda4QQk</v>
      </c>
      <c r="O570" s="5" t="str">
        <f ca="1">IFERROR(__xludf.DUMMYFUNCTION("""COMPUTED_VALUE"""),"NA")</f>
        <v>NA</v>
      </c>
      <c r="P570" s="5" t="str">
        <f ca="1">IFERROR(__xludf.DUMMYFUNCTION("""COMPUTED_VALUE"""),"310) 890-7895")</f>
        <v>310) 890-7895</v>
      </c>
      <c r="Q570" s="5" t="str">
        <f ca="1">IFERROR(__xludf.DUMMYFUNCTION("""COMPUTED_VALUE"""),"robert@RobertEricksonRE.com")</f>
        <v>robert@RobertEricksonRE.com</v>
      </c>
      <c r="R570" s="5"/>
      <c r="S570" s="5"/>
      <c r="T570" s="5"/>
    </row>
    <row r="571" spans="1:20" ht="12.75">
      <c r="A571" s="24">
        <f ca="1">IFERROR(__xludf.DUMMYFUNCTION("""COMPUTED_VALUE"""),45670.7005688541)</f>
        <v>45670.700568854103</v>
      </c>
      <c r="B571" s="5" t="str">
        <f ca="1">IFERROR(__xludf.DUMMYFUNCTION("""COMPUTED_VALUE"""),"1030 Somera Rd")</f>
        <v>1030 Somera Rd</v>
      </c>
      <c r="C571" s="5" t="str">
        <f ca="1">IFERROR(__xludf.DUMMYFUNCTION("""COMPUTED_VALUE"""),"Los Angeles")</f>
        <v>Los Angeles</v>
      </c>
      <c r="D571" s="5" t="str">
        <f ca="1">IFERROR(__xludf.DUMMYFUNCTION("""COMPUTED_VALUE"""),"CA")</f>
        <v>CA</v>
      </c>
      <c r="E571" s="5">
        <f ca="1">IFERROR(__xludf.DUMMYFUNCTION("""COMPUTED_VALUE"""),90077)</f>
        <v>90077</v>
      </c>
      <c r="F571" s="19">
        <f ca="1">IFERROR(__xludf.DUMMYFUNCTION("""COMPUTED_VALUE"""),49000)</f>
        <v>49000</v>
      </c>
      <c r="G571" s="19">
        <f ca="1">IFERROR(__xludf.DUMMYFUNCTION("""COMPUTED_VALUE"""),70000)</f>
        <v>70000</v>
      </c>
      <c r="H571" s="18">
        <f ca="1">IFERROR(__xludf.DUMMYFUNCTION("""COMPUTED_VALUE"""),45667)</f>
        <v>45667</v>
      </c>
      <c r="I571" s="5" t="str">
        <f ca="1">IFERROR(__xludf.DUMMYFUNCTION("""COMPUTED_VALUE"""),"Excell doc with agent listings: https://docs.google.com/spreadsheets/d/1TNNyf-B4iWVPixM2Kghw6V919O3maoqr-IM6Gjh8ves/htmlview")</f>
        <v>Excell doc with agent listings: https://docs.google.com/spreadsheets/d/1TNNyf-B4iWVPixM2Kghw6V919O3maoqr-IM6Gjh8ves/htmlview</v>
      </c>
      <c r="J571" s="25" t="str">
        <f ca="1">IFERROR(__xludf.DUMMYFUNCTION("""COMPUTED_VALUE"""),"https://nicholeshanfeld.com/properties/1030-somera-road-los-angeles-ca-90077-23-335971")</f>
        <v>https://nicholeshanfeld.com/properties/1030-somera-road-los-angeles-ca-90077-23-335971</v>
      </c>
      <c r="K571" s="5" t="str">
        <f ca="1">IFERROR(__xludf.DUMMYFUNCTION("""COMPUTED_VALUE"""),"NIchole Shanfeld")</f>
        <v>NIchole Shanfeld</v>
      </c>
      <c r="L571" s="5"/>
      <c r="M571" s="5" t="str">
        <f ca="1">IFERROR(__xludf.DUMMYFUNCTION("""COMPUTED_VALUE"""),"The link to a doc has orobaby a lot of listings that are gouged ")</f>
        <v xml:space="preserve">The link to a doc has orobaby a lot of listings that are gouged </v>
      </c>
      <c r="N571" s="26" t="str">
        <f ca="1">IFERROR(__xludf.DUMMYFUNCTION("""COMPUTED_VALUE"""),"https://drive.google.com/open?id=10Wuv7N-4OEbjXsc4I3rQ5EIc1ncVnYOt")</f>
        <v>https://drive.google.com/open?id=10Wuv7N-4OEbjXsc4I3rQ5EIc1ncVnYOt</v>
      </c>
      <c r="O571" s="5">
        <f ca="1">IFERROR(__xludf.DUMMYFUNCTION("""COMPUTED_VALUE"""),4369033017)</f>
        <v>4369033017</v>
      </c>
      <c r="P571" s="5" t="str">
        <f ca="1">IFERROR(__xludf.DUMMYFUNCTION("""COMPUTED_VALUE"""),"310.499.8064")</f>
        <v>310.499.8064</v>
      </c>
      <c r="Q571" s="5"/>
      <c r="R571" s="5"/>
      <c r="S571" s="5"/>
      <c r="T571" s="5"/>
    </row>
    <row r="572" spans="1:20" ht="12.75">
      <c r="A572" s="24">
        <f ca="1">IFERROR(__xludf.DUMMYFUNCTION("""COMPUTED_VALUE"""),45670.70221375)</f>
        <v>45670.702213750003</v>
      </c>
      <c r="B572" s="5" t="str">
        <f ca="1">IFERROR(__xludf.DUMMYFUNCTION("""COMPUTED_VALUE"""),"undisclosed address")</f>
        <v>undisclosed address</v>
      </c>
      <c r="C572" s="5" t="str">
        <f ca="1">IFERROR(__xludf.DUMMYFUNCTION("""COMPUTED_VALUE"""),"Pacific Palisades")</f>
        <v>Pacific Palisades</v>
      </c>
      <c r="D572" s="5" t="str">
        <f ca="1">IFERROR(__xludf.DUMMYFUNCTION("""COMPUTED_VALUE"""),"CA")</f>
        <v>CA</v>
      </c>
      <c r="E572" s="5">
        <f ca="1">IFERROR(__xludf.DUMMYFUNCTION("""COMPUTED_VALUE"""),90272)</f>
        <v>90272</v>
      </c>
      <c r="F572" s="19">
        <f ca="1">IFERROR(__xludf.DUMMYFUNCTION("""COMPUTED_VALUE"""),8900)</f>
        <v>8900</v>
      </c>
      <c r="G572" s="19">
        <f ca="1">IFERROR(__xludf.DUMMYFUNCTION("""COMPUTED_VALUE"""),18500)</f>
        <v>18500</v>
      </c>
      <c r="H572" s="18">
        <f ca="1">IFERROR(__xludf.DUMMYFUNCTION("""COMPUTED_VALUE"""),45670)</f>
        <v>45670</v>
      </c>
      <c r="I572" s="5" t="str">
        <f ca="1">IFERROR(__xludf.DUMMYFUNCTION("""COMPUTED_VALUE"""),"Zillow")</f>
        <v>Zillow</v>
      </c>
      <c r="J572" s="25" t="str">
        <f ca="1">IFERROR(__xludf.DUMMYFUNCTION("""COMPUTED_VALUE"""),"https://www.zillow.com/homedetails/Pacific-Palisades-CA-90272/20542872_zpid/")</f>
        <v>https://www.zillow.com/homedetails/Pacific-Palisades-CA-90272/20542872_zpid/</v>
      </c>
      <c r="K572" s="5"/>
      <c r="L572" s="5" t="str">
        <f ca="1">IFERROR(__xludf.DUMMYFUNCTION("""COMPUTED_VALUE"""),"Anna P")</f>
        <v>Anna P</v>
      </c>
      <c r="M572" s="5" t="str">
        <f ca="1">IFERROR(__xludf.DUMMYFUNCTION("""COMPUTED_VALUE"""),"listing was removed 3/6/24 and relisted on 1/13/25")</f>
        <v>listing was removed 3/6/24 and relisted on 1/13/25</v>
      </c>
      <c r="N572" s="5" t="str">
        <f ca="1">IFERROR(__xludf.DUMMYFUNCTION("""COMPUTED_VALUE"""),"https://drive.google.com/open?id=1SEYrXqYahT8BgHjG5bx1XgC3YLQlg6_R, https://drive.google.com/open?id=1WCzwMMrB16VZRPiJvedE8i-K9Rg7bbbq")</f>
        <v>https://drive.google.com/open?id=1SEYrXqYahT8BgHjG5bx1XgC3YLQlg6_R, https://drive.google.com/open?id=1WCzwMMrB16VZRPiJvedE8i-K9Rg7bbbq</v>
      </c>
      <c r="O572" s="5" t="str">
        <f ca="1">IFERROR(__xludf.DUMMYFUNCTION("""COMPUTED_VALUE"""),"NA")</f>
        <v>NA</v>
      </c>
      <c r="P572" s="5"/>
      <c r="Q572" s="5"/>
      <c r="R572" s="5" t="str">
        <f ca="1">IFERROR(__xludf.DUMMYFUNCTION("""COMPUTED_VALUE"""),"(213)561-6952")</f>
        <v>(213)561-6952</v>
      </c>
      <c r="S572" s="5"/>
      <c r="T572" s="5"/>
    </row>
    <row r="573" spans="1:20" ht="12.75">
      <c r="A573" s="24">
        <f ca="1">IFERROR(__xludf.DUMMYFUNCTION("""COMPUTED_VALUE"""),45670.7086263425)</f>
        <v>45670.708626342501</v>
      </c>
      <c r="B573" s="5" t="str">
        <f ca="1">IFERROR(__xludf.DUMMYFUNCTION("""COMPUTED_VALUE"""),"2227 Pearl St")</f>
        <v>2227 Pearl St</v>
      </c>
      <c r="C573" s="5" t="str">
        <f ca="1">IFERROR(__xludf.DUMMYFUNCTION("""COMPUTED_VALUE"""),"Santa Monica")</f>
        <v>Santa Monica</v>
      </c>
      <c r="D573" s="5" t="str">
        <f ca="1">IFERROR(__xludf.DUMMYFUNCTION("""COMPUTED_VALUE"""),"CA")</f>
        <v>CA</v>
      </c>
      <c r="E573" s="5">
        <f ca="1">IFERROR(__xludf.DUMMYFUNCTION("""COMPUTED_VALUE"""),90405)</f>
        <v>90405</v>
      </c>
      <c r="F573" s="19">
        <f ca="1">IFERROR(__xludf.DUMMYFUNCTION("""COMPUTED_VALUE"""),7200)</f>
        <v>7200</v>
      </c>
      <c r="G573" s="19">
        <f ca="1">IFERROR(__xludf.DUMMYFUNCTION("""COMPUTED_VALUE"""),8400)</f>
        <v>8400</v>
      </c>
      <c r="H573" s="18">
        <f ca="1">IFERROR(__xludf.DUMMYFUNCTION("""COMPUTED_VALUE"""),45671)</f>
        <v>45671</v>
      </c>
      <c r="I573" s="5" t="str">
        <f ca="1">IFERROR(__xludf.DUMMYFUNCTION("""COMPUTED_VALUE"""),"Zillow")</f>
        <v>Zillow</v>
      </c>
      <c r="J573" s="25" t="str">
        <f ca="1">IFERROR(__xludf.DUMMYFUNCTION("""COMPUTED_VALUE"""),"https://www.zillow.com/homedetails/2227-Pearl-St-Santa-Monica-CA-90405/20472937_zpid/")</f>
        <v>https://www.zillow.com/homedetails/2227-Pearl-St-Santa-Monica-CA-90405/20472937_zpid/</v>
      </c>
      <c r="K573" s="5"/>
      <c r="L573" s="5" t="str">
        <f ca="1">IFERROR(__xludf.DUMMYFUNCTION("""COMPUTED_VALUE"""),"Eric Pemberton")</f>
        <v>Eric Pemberton</v>
      </c>
      <c r="M573" s="5" t="str">
        <f ca="1">IFERROR(__xludf.DUMMYFUNCTION("""COMPUTED_VALUE"""),"Posted that they will consider a short-term lease")</f>
        <v>Posted that they will consider a short-term lease</v>
      </c>
      <c r="N573" s="26" t="str">
        <f ca="1">IFERROR(__xludf.DUMMYFUNCTION("""COMPUTED_VALUE"""),"https://drive.google.com/open?id=10mu_QAdzwq6ueQS2HO-IoPsSXQSsU_7n")</f>
        <v>https://drive.google.com/open?id=10mu_QAdzwq6ueQS2HO-IoPsSXQSsU_7n</v>
      </c>
      <c r="O573" s="5">
        <f ca="1">IFERROR(__xludf.DUMMYFUNCTION("""COMPUTED_VALUE"""),4273005029)</f>
        <v>4273005029</v>
      </c>
      <c r="P573" s="5"/>
      <c r="Q573" s="5"/>
      <c r="R573" s="5"/>
      <c r="S573" s="5"/>
      <c r="T573" s="5"/>
    </row>
    <row r="574" spans="1:20" ht="12.75">
      <c r="A574" s="24">
        <f ca="1">IFERROR(__xludf.DUMMYFUNCTION("""COMPUTED_VALUE"""),45670.7088952546)</f>
        <v>45670.708895254596</v>
      </c>
      <c r="B574" s="5" t="str">
        <f ca="1">IFERROR(__xludf.DUMMYFUNCTION("""COMPUTED_VALUE"""),"2390 Nalin Dr.")</f>
        <v>2390 Nalin Dr.</v>
      </c>
      <c r="C574" s="5" t="str">
        <f ca="1">IFERROR(__xludf.DUMMYFUNCTION("""COMPUTED_VALUE"""),"Encino")</f>
        <v>Encino</v>
      </c>
      <c r="D574" s="5" t="str">
        <f ca="1">IFERROR(__xludf.DUMMYFUNCTION("""COMPUTED_VALUE"""),"CA")</f>
        <v>CA</v>
      </c>
      <c r="E574" s="5">
        <f ca="1">IFERROR(__xludf.DUMMYFUNCTION("""COMPUTED_VALUE"""),90077)</f>
        <v>90077</v>
      </c>
      <c r="F574" s="19">
        <f ca="1">IFERROR(__xludf.DUMMYFUNCTION("""COMPUTED_VALUE"""),8350)</f>
        <v>8350</v>
      </c>
      <c r="G574" s="19">
        <f ca="1">IFERROR(__xludf.DUMMYFUNCTION("""COMPUTED_VALUE"""),9950)</f>
        <v>9950</v>
      </c>
      <c r="H574" s="18">
        <f ca="1">IFERROR(__xludf.DUMMYFUNCTION("""COMPUTED_VALUE"""),45669)</f>
        <v>45669</v>
      </c>
      <c r="I574" s="5" t="str">
        <f ca="1">IFERROR(__xludf.DUMMYFUNCTION("""COMPUTED_VALUE"""),"Redfin")</f>
        <v>Redfin</v>
      </c>
      <c r="J574" s="25" t="str">
        <f ca="1">IFERROR(__xludf.DUMMYFUNCTION("""COMPUTED_VALUE"""),"https://www.redfin.com/CA/Los-Angeles/2390-Nalin-Dr-90077/home/6831567#property-history")</f>
        <v>https://www.redfin.com/CA/Los-Angeles/2390-Nalin-Dr-90077/home/6831567#property-history</v>
      </c>
      <c r="K574" s="5" t="str">
        <f ca="1">IFERROR(__xludf.DUMMYFUNCTION("""COMPUTED_VALUE"""),"Scott Saltzman")</f>
        <v>Scott Saltzman</v>
      </c>
      <c r="L574" s="5"/>
      <c r="M574" s="5"/>
      <c r="N574" s="26" t="str">
        <f ca="1">IFERROR(__xludf.DUMMYFUNCTION("""COMPUTED_VALUE"""),"https://drive.google.com/open?id=1gfYUzh7ZpO48bEZy7LB5YEUsQucAcZSg")</f>
        <v>https://drive.google.com/open?id=1gfYUzh7ZpO48bEZy7LB5YEUsQucAcZSg</v>
      </c>
      <c r="O574" s="5" t="str">
        <f ca="1">IFERROR(__xludf.DUMMYFUNCTION("""COMPUTED_VALUE"""),"NA")</f>
        <v>NA</v>
      </c>
      <c r="P574" s="5" t="str">
        <f ca="1">IFERROR(__xludf.DUMMYFUNCTION("""COMPUTED_VALUE"""),"818-802-8669 ")</f>
        <v xml:space="preserve">818-802-8669 </v>
      </c>
      <c r="Q574" s="5"/>
      <c r="R574" s="5"/>
      <c r="S574" s="5"/>
      <c r="T574" s="5"/>
    </row>
    <row r="575" spans="1:20" ht="12.75">
      <c r="A575" s="24">
        <f ca="1">IFERROR(__xludf.DUMMYFUNCTION("""COMPUTED_VALUE"""),45670.7093716319)</f>
        <v>45670.7093716319</v>
      </c>
      <c r="B575" s="5" t="str">
        <f ca="1">IFERROR(__xludf.DUMMYFUNCTION("""COMPUTED_VALUE"""),"10290 Seabury Ln")</f>
        <v>10290 Seabury Ln</v>
      </c>
      <c r="C575" s="5" t="str">
        <f ca="1">IFERROR(__xludf.DUMMYFUNCTION("""COMPUTED_VALUE"""),"Los Angeles")</f>
        <v>Los Angeles</v>
      </c>
      <c r="D575" s="5" t="str">
        <f ca="1">IFERROR(__xludf.DUMMYFUNCTION("""COMPUTED_VALUE"""),"CA")</f>
        <v>CA</v>
      </c>
      <c r="E575" s="5">
        <f ca="1">IFERROR(__xludf.DUMMYFUNCTION("""COMPUTED_VALUE"""),90077)</f>
        <v>90077</v>
      </c>
      <c r="F575" s="19">
        <f ca="1">IFERROR(__xludf.DUMMYFUNCTION("""COMPUTED_VALUE"""),10995)</f>
        <v>10995</v>
      </c>
      <c r="G575" s="19">
        <f ca="1">IFERROR(__xludf.DUMMYFUNCTION("""COMPUTED_VALUE"""),19500)</f>
        <v>19500</v>
      </c>
      <c r="H575" s="18">
        <f ca="1">IFERROR(__xludf.DUMMYFUNCTION("""COMPUTED_VALUE"""),45670)</f>
        <v>45670</v>
      </c>
      <c r="I575" s="5" t="str">
        <f ca="1">IFERROR(__xludf.DUMMYFUNCTION("""COMPUTED_VALUE"""),"Zillow")</f>
        <v>Zillow</v>
      </c>
      <c r="J575" s="25" t="str">
        <f ca="1">IFERROR(__xludf.DUMMYFUNCTION("""COMPUTED_VALUE"""),"https://www.zillow.com/homedetails/10290-Seabury-Ln-Los-Angeles-CA-90077/20531944_zpid/")</f>
        <v>https://www.zillow.com/homedetails/10290-Seabury-Ln-Los-Angeles-CA-90077/20531944_zpid/</v>
      </c>
      <c r="K575" s="5" t="str">
        <f ca="1">IFERROR(__xludf.DUMMYFUNCTION("""COMPUTED_VALUE"""),"Adam")</f>
        <v>Adam</v>
      </c>
      <c r="L575" s="5"/>
      <c r="M575" s="5"/>
      <c r="N575" s="26" t="str">
        <f ca="1">IFERROR(__xludf.DUMMYFUNCTION("""COMPUTED_VALUE"""),"https://drive.google.com/open?id=1Vq82Rao8nun98mKoX8rJCsJVvPd2KKyg")</f>
        <v>https://drive.google.com/open?id=1Vq82Rao8nun98mKoX8rJCsJVvPd2KKyg</v>
      </c>
      <c r="O575" s="5">
        <f ca="1">IFERROR(__xludf.DUMMYFUNCTION("""COMPUTED_VALUE"""),4380028023)</f>
        <v>4380028023</v>
      </c>
      <c r="P575" s="5" t="str">
        <f ca="1">IFERROR(__xludf.DUMMYFUNCTION("""COMPUTED_VALUE"""),"(818) 643-7243")</f>
        <v>(818) 643-7243</v>
      </c>
      <c r="Q575" s="5"/>
      <c r="R575" s="5"/>
      <c r="S575" s="5"/>
      <c r="T575" s="5"/>
    </row>
    <row r="576" spans="1:20" ht="12.75">
      <c r="A576" s="24">
        <f ca="1">IFERROR(__xludf.DUMMYFUNCTION("""COMPUTED_VALUE"""),45670.7100072453)</f>
        <v>45670.710007245303</v>
      </c>
      <c r="B576" s="5" t="str">
        <f ca="1">IFERROR(__xludf.DUMMYFUNCTION("""COMPUTED_VALUE"""),"NOT PROVIDED")</f>
        <v>NOT PROVIDED</v>
      </c>
      <c r="C576" s="5" t="str">
        <f ca="1">IFERROR(__xludf.DUMMYFUNCTION("""COMPUTED_VALUE"""),"NOT PROVIDED")</f>
        <v>NOT PROVIDED</v>
      </c>
      <c r="D576" s="5" t="str">
        <f ca="1">IFERROR(__xludf.DUMMYFUNCTION("""COMPUTED_VALUE"""),"CA")</f>
        <v>CA</v>
      </c>
      <c r="E576" s="5">
        <f ca="1">IFERROR(__xludf.DUMMYFUNCTION("""COMPUTED_VALUE"""),90046)</f>
        <v>90046</v>
      </c>
      <c r="F576" s="19">
        <f ca="1">IFERROR(__xludf.DUMMYFUNCTION("""COMPUTED_VALUE"""),11500)</f>
        <v>11500</v>
      </c>
      <c r="G576" s="19">
        <f ca="1">IFERROR(__xludf.DUMMYFUNCTION("""COMPUTED_VALUE"""),15000)</f>
        <v>15000</v>
      </c>
      <c r="H576" s="18">
        <f ca="1">IFERROR(__xludf.DUMMYFUNCTION("""COMPUTED_VALUE"""),45666)</f>
        <v>45666</v>
      </c>
      <c r="I576" s="5" t="str">
        <f ca="1">IFERROR(__xludf.DUMMYFUNCTION("""COMPUTED_VALUE"""),"Zillow")</f>
        <v>Zillow</v>
      </c>
      <c r="J576" s="25" t="str">
        <f ca="1">IFERROR(__xludf.DUMMYFUNCTION("""COMPUTED_VALUE"""),"https://www.zillow.com/homedetails/Los-Angeles-CA-90046/20803208_zpid/")</f>
        <v>https://www.zillow.com/homedetails/Los-Angeles-CA-90046/20803208_zpid/</v>
      </c>
      <c r="K576" s="5" t="str">
        <f ca="1">IFERROR(__xludf.DUMMYFUNCTION("""COMPUTED_VALUE"""),"echo 2 llc")</f>
        <v>echo 2 llc</v>
      </c>
      <c r="L576" s="5"/>
      <c r="M576" s="5"/>
      <c r="N576" s="5" t="str">
        <f ca="1">IFERROR(__xludf.DUMMYFUNCTION("""COMPUTED_VALUE"""),"https://drive.google.com/open?id=1GK1ko0982dHVgOXUCqkBdcpArE79vYMJ, https://drive.google.com/open?id=1AWFrdCGILHvRAOT0RjOgO6k-9OKL10Ns")</f>
        <v>https://drive.google.com/open?id=1GK1ko0982dHVgOXUCqkBdcpArE79vYMJ, https://drive.google.com/open?id=1AWFrdCGILHvRAOT0RjOgO6k-9OKL10Ns</v>
      </c>
      <c r="O576" s="5" t="str">
        <f ca="1">IFERROR(__xludf.DUMMYFUNCTION("""COMPUTED_VALUE"""),"NA")</f>
        <v>NA</v>
      </c>
      <c r="P576" s="5" t="str">
        <f ca="1">IFERROR(__xludf.DUMMYFUNCTION("""COMPUTED_VALUE"""),"(213) 393-6060")</f>
        <v>(213) 393-6060</v>
      </c>
      <c r="Q576" s="5"/>
      <c r="R576" s="5"/>
      <c r="S576" s="5"/>
      <c r="T576" s="5"/>
    </row>
    <row r="577" spans="1:20" ht="12.75">
      <c r="A577" s="24">
        <f ca="1">IFERROR(__xludf.DUMMYFUNCTION("""COMPUTED_VALUE"""),45670.7133195833)</f>
        <v>45670.713319583301</v>
      </c>
      <c r="B577" s="5" t="str">
        <f ca="1">IFERROR(__xludf.DUMMYFUNCTION("""COMPUTED_VALUE"""),"2071 Paramount Dr")</f>
        <v>2071 Paramount Dr</v>
      </c>
      <c r="C577" s="5" t="str">
        <f ca="1">IFERROR(__xludf.DUMMYFUNCTION("""COMPUTED_VALUE"""),"Los Angeles")</f>
        <v>Los Angeles</v>
      </c>
      <c r="D577" s="5" t="str">
        <f ca="1">IFERROR(__xludf.DUMMYFUNCTION("""COMPUTED_VALUE"""),"CA")</f>
        <v>CA</v>
      </c>
      <c r="E577" s="5">
        <f ca="1">IFERROR(__xludf.DUMMYFUNCTION("""COMPUTED_VALUE"""),90068)</f>
        <v>90068</v>
      </c>
      <c r="F577" s="19">
        <f ca="1">IFERROR(__xludf.DUMMYFUNCTION("""COMPUTED_VALUE"""),13500)</f>
        <v>13500</v>
      </c>
      <c r="G577" s="19">
        <f ca="1">IFERROR(__xludf.DUMMYFUNCTION("""COMPUTED_VALUE"""),17500)</f>
        <v>17500</v>
      </c>
      <c r="H577" s="18">
        <f ca="1">IFERROR(__xludf.DUMMYFUNCTION("""COMPUTED_VALUE"""),45670)</f>
        <v>45670</v>
      </c>
      <c r="I577" s="5" t="str">
        <f ca="1">IFERROR(__xludf.DUMMYFUNCTION("""COMPUTED_VALUE"""),"Zillow")</f>
        <v>Zillow</v>
      </c>
      <c r="J577" s="25" t="str">
        <f ca="1">IFERROR(__xludf.DUMMYFUNCTION("""COMPUTED_VALUE"""),"https://www.zillow.com/homedetails/2071-Paramount-Dr-Los-Angeles-CA-90068/442128547_zpid/")</f>
        <v>https://www.zillow.com/homedetails/2071-Paramount-Dr-Los-Angeles-CA-90068/442128547_zpid/</v>
      </c>
      <c r="K577" s="5"/>
      <c r="L577" s="5"/>
      <c r="M577" s="5"/>
      <c r="N577" s="5" t="str">
        <f ca="1">IFERROR(__xludf.DUMMYFUNCTION("""COMPUTED_VALUE"""),"https://drive.google.com/open?id=1TB7Yp4iuk2R2NqfU9cAJ9WcFmkuHnF5u, https://drive.google.com/open?id=1FH3Ym1rOI9_5epL2vMt4LQI1BF5ILNe1")</f>
        <v>https://drive.google.com/open?id=1TB7Yp4iuk2R2NqfU9cAJ9WcFmkuHnF5u, https://drive.google.com/open?id=1FH3Ym1rOI9_5epL2vMt4LQI1BF5ILNe1</v>
      </c>
      <c r="O577" s="5" t="str">
        <f ca="1">IFERROR(__xludf.DUMMYFUNCTION("""COMPUTED_VALUE"""),"NA")</f>
        <v>NA</v>
      </c>
      <c r="P577" s="5">
        <f ca="1">IFERROR(__xludf.DUMMYFUNCTION("""COMPUTED_VALUE"""),2135233372)</f>
        <v>2135233372</v>
      </c>
      <c r="Q577" s="5"/>
      <c r="R577" s="5"/>
      <c r="S577" s="5"/>
      <c r="T577" s="5"/>
    </row>
    <row r="578" spans="1:20" ht="12.75">
      <c r="A578" s="24">
        <f ca="1">IFERROR(__xludf.DUMMYFUNCTION("""COMPUTED_VALUE"""),45670.7145120717)</f>
        <v>45670.714512071703</v>
      </c>
      <c r="B578" s="5" t="str">
        <f ca="1">IFERROR(__xludf.DUMMYFUNCTION("""COMPUTED_VALUE"""),"10824 Chalon Rd")</f>
        <v>10824 Chalon Rd</v>
      </c>
      <c r="C578" s="5" t="str">
        <f ca="1">IFERROR(__xludf.DUMMYFUNCTION("""COMPUTED_VALUE"""),"Los Angeles")</f>
        <v>Los Angeles</v>
      </c>
      <c r="D578" s="5" t="str">
        <f ca="1">IFERROR(__xludf.DUMMYFUNCTION("""COMPUTED_VALUE"""),"CA")</f>
        <v>CA</v>
      </c>
      <c r="E578" s="5">
        <f ca="1">IFERROR(__xludf.DUMMYFUNCTION("""COMPUTED_VALUE"""),90077)</f>
        <v>90077</v>
      </c>
      <c r="F578" s="19">
        <f ca="1">IFERROR(__xludf.DUMMYFUNCTION("""COMPUTED_VALUE"""),65000)</f>
        <v>65000</v>
      </c>
      <c r="G578" s="19">
        <f ca="1">IFERROR(__xludf.DUMMYFUNCTION("""COMPUTED_VALUE"""),78000)</f>
        <v>78000</v>
      </c>
      <c r="H578" s="18">
        <f ca="1">IFERROR(__xludf.DUMMYFUNCTION("""COMPUTED_VALUE"""),45670)</f>
        <v>45670</v>
      </c>
      <c r="I578" s="5" t="str">
        <f ca="1">IFERROR(__xludf.DUMMYFUNCTION("""COMPUTED_VALUE"""),"Zillow")</f>
        <v>Zillow</v>
      </c>
      <c r="J578" s="25" t="str">
        <f ca="1">IFERROR(__xludf.DUMMYFUNCTION("""COMPUTED_VALUE"""),"https://www.zillow.com/homedetails/10824-Chalon-Rd-Los-Angeles-CA-90077/20529073_zpid/")</f>
        <v>https://www.zillow.com/homedetails/10824-Chalon-Rd-Los-Angeles-CA-90077/20529073_zpid/</v>
      </c>
      <c r="K578" s="5" t="str">
        <f ca="1">IFERROR(__xludf.DUMMYFUNCTION("""COMPUTED_VALUE"""),"Tara Kohan")</f>
        <v>Tara Kohan</v>
      </c>
      <c r="L578" s="5"/>
      <c r="M578" s="5" t="str">
        <f ca="1">IFERROR(__xludf.DUMMYFUNCTION("""COMPUTED_VALUE"""),"Listing was removed 9/12/24 and then relisted 1/13/25")</f>
        <v>Listing was removed 9/12/24 and then relisted 1/13/25</v>
      </c>
      <c r="N578" s="5" t="str">
        <f ca="1">IFERROR(__xludf.DUMMYFUNCTION("""COMPUTED_VALUE"""),"https://drive.google.com/open?id=1ItT3qLlF5NFbROP7S2kfnP4Br7EqA7a8, https://drive.google.com/open?id=1iHbLmaQ81IPtcIH-u2gMFiamX5Yy-TFy")</f>
        <v>https://drive.google.com/open?id=1ItT3qLlF5NFbROP7S2kfnP4Br7EqA7a8, https://drive.google.com/open?id=1iHbLmaQ81IPtcIH-u2gMFiamX5Yy-TFy</v>
      </c>
      <c r="O578" s="5">
        <f ca="1">IFERROR(__xludf.DUMMYFUNCTION("""COMPUTED_VALUE"""),4369022011)</f>
        <v>4369022011</v>
      </c>
      <c r="P578" s="5" t="str">
        <f ca="1">IFERROR(__xludf.DUMMYFUNCTION("""COMPUTED_VALUE"""),"(213)444-5617")</f>
        <v>(213)444-5617</v>
      </c>
      <c r="Q578" s="5"/>
      <c r="R578" s="5"/>
      <c r="S578" s="5"/>
      <c r="T578" s="5"/>
    </row>
    <row r="579" spans="1:20" ht="12.75">
      <c r="A579" s="24">
        <f ca="1">IFERROR(__xludf.DUMMYFUNCTION("""COMPUTED_VALUE"""),45670.7146518865)</f>
        <v>45670.714651886497</v>
      </c>
      <c r="B579" s="5" t="str">
        <f ca="1">IFERROR(__xludf.DUMMYFUNCTION("""COMPUTED_VALUE"""),"20300 Oxnard St")</f>
        <v>20300 Oxnard St</v>
      </c>
      <c r="C579" s="5" t="str">
        <f ca="1">IFERROR(__xludf.DUMMYFUNCTION("""COMPUTED_VALUE"""),"Woodland Hills")</f>
        <v>Woodland Hills</v>
      </c>
      <c r="D579" s="5" t="str">
        <f ca="1">IFERROR(__xludf.DUMMYFUNCTION("""COMPUTED_VALUE"""),"CA")</f>
        <v>CA</v>
      </c>
      <c r="E579" s="5">
        <f ca="1">IFERROR(__xludf.DUMMYFUNCTION("""COMPUTED_VALUE"""),91367)</f>
        <v>91367</v>
      </c>
      <c r="F579" s="19">
        <f ca="1">IFERROR(__xludf.DUMMYFUNCTION("""COMPUTED_VALUE"""),7250)</f>
        <v>7250</v>
      </c>
      <c r="G579" s="19">
        <f ca="1">IFERROR(__xludf.DUMMYFUNCTION("""COMPUTED_VALUE"""),8050)</f>
        <v>8050</v>
      </c>
      <c r="H579" s="18">
        <f ca="1">IFERROR(__xludf.DUMMYFUNCTION("""COMPUTED_VALUE"""),45669)</f>
        <v>45669</v>
      </c>
      <c r="I579" s="5" t="str">
        <f ca="1">IFERROR(__xludf.DUMMYFUNCTION("""COMPUTED_VALUE"""),"Zillow")</f>
        <v>Zillow</v>
      </c>
      <c r="J579" s="25" t="str">
        <f ca="1">IFERROR(__xludf.DUMMYFUNCTION("""COMPUTED_VALUE"""),"https://www.zillow.com/homedetails/20300-Oxnard-St-Woodland-Hills-CA-91367/19931424_zpid/?utm_campaign=iosappmessage&amp;utm_medium=referral&amp;utm_source=txtshare")</f>
        <v>https://www.zillow.com/homedetails/20300-Oxnard-St-Woodland-Hills-CA-91367/19931424_zpid/?utm_campaign=iosappmessage&amp;utm_medium=referral&amp;utm_source=txtshare</v>
      </c>
      <c r="K579" s="5" t="str">
        <f ca="1">IFERROR(__xludf.DUMMYFUNCTION("""COMPUTED_VALUE"""),"Breathe Deeper Rentals")</f>
        <v>Breathe Deeper Rentals</v>
      </c>
      <c r="L579" s="5" t="str">
        <f ca="1">IFERROR(__xludf.DUMMYFUNCTION("""COMPUTED_VALUE"""),"Breathe Deeper Rentals")</f>
        <v>Breathe Deeper Rentals</v>
      </c>
      <c r="M579" s="5"/>
      <c r="N579" s="5" t="str">
        <f ca="1">IFERROR(__xludf.DUMMYFUNCTION("""COMPUTED_VALUE"""),"https://drive.google.com/open?id=1C-C3pL1zEj8pVKlozycZU9d5T17tpMu-, https://drive.google.com/open?id=15LNyc0rhs1nmhhU2ZkF8TtKAuYLTijMS")</f>
        <v>https://drive.google.com/open?id=1C-C3pL1zEj8pVKlozycZU9d5T17tpMu-, https://drive.google.com/open?id=15LNyc0rhs1nmhhU2ZkF8TtKAuYLTijMS</v>
      </c>
      <c r="O579" s="5" t="str">
        <f ca="1">IFERROR(__xludf.DUMMYFUNCTION("""COMPUTED_VALUE"""),"Parcel number: 2151002008")</f>
        <v>Parcel number: 2151002008</v>
      </c>
      <c r="P579" s="5">
        <f ca="1">IFERROR(__xludf.DUMMYFUNCTION("""COMPUTED_VALUE"""),2134718081)</f>
        <v>2134718081</v>
      </c>
      <c r="Q579" s="5"/>
      <c r="R579" s="5"/>
      <c r="S579" s="5"/>
      <c r="T579" s="5"/>
    </row>
    <row r="580" spans="1:20" ht="12.75">
      <c r="A580" s="24">
        <f ca="1">IFERROR(__xludf.DUMMYFUNCTION("""COMPUTED_VALUE"""),45670.7175157523)</f>
        <v>45670.717515752302</v>
      </c>
      <c r="B580" s="5" t="str">
        <f ca="1">IFERROR(__xludf.DUMMYFUNCTION("""COMPUTED_VALUE"""),"6557 Laramie Ave")</f>
        <v>6557 Laramie Ave</v>
      </c>
      <c r="C580" s="5" t="str">
        <f ca="1">IFERROR(__xludf.DUMMYFUNCTION("""COMPUTED_VALUE"""),"Winnetka")</f>
        <v>Winnetka</v>
      </c>
      <c r="D580" s="5" t="str">
        <f ca="1">IFERROR(__xludf.DUMMYFUNCTION("""COMPUTED_VALUE"""),"CA")</f>
        <v>CA</v>
      </c>
      <c r="E580" s="5">
        <f ca="1">IFERROR(__xludf.DUMMYFUNCTION("""COMPUTED_VALUE"""),91306)</f>
        <v>91306</v>
      </c>
      <c r="F580" s="19">
        <f ca="1">IFERROR(__xludf.DUMMYFUNCTION("""COMPUTED_VALUE"""),6500)</f>
        <v>6500</v>
      </c>
      <c r="G580" s="19">
        <f ca="1">IFERROR(__xludf.DUMMYFUNCTION("""COMPUTED_VALUE"""),7500)</f>
        <v>7500</v>
      </c>
      <c r="H580" s="18">
        <f ca="1">IFERROR(__xludf.DUMMYFUNCTION("""COMPUTED_VALUE"""),45670)</f>
        <v>45670</v>
      </c>
      <c r="I580" s="5" t="str">
        <f ca="1">IFERROR(__xludf.DUMMYFUNCTION("""COMPUTED_VALUE"""),"Zillow")</f>
        <v>Zillow</v>
      </c>
      <c r="J580" s="25" t="str">
        <f ca="1">IFERROR(__xludf.DUMMYFUNCTION("""COMPUTED_VALUE"""),"https://www.zillow.com/homedetails/6557-Laramie-Ave-Winnetka-CA-91306/2057632822_zpid/")</f>
        <v>https://www.zillow.com/homedetails/6557-Laramie-Ave-Winnetka-CA-91306/2057632822_zpid/</v>
      </c>
      <c r="K580" s="5"/>
      <c r="L580" s="5" t="str">
        <f ca="1">IFERROR(__xludf.DUMMYFUNCTION("""COMPUTED_VALUE"""),"Tomer Eliyahoo")</f>
        <v>Tomer Eliyahoo</v>
      </c>
      <c r="M580" s="5" t="str">
        <f ca="1">IFERROR(__xludf.DUMMYFUNCTION("""COMPUTED_VALUE"""),"Originally listed for rent on 12/30/24 and price was changed on 1/13/25")</f>
        <v>Originally listed for rent on 12/30/24 and price was changed on 1/13/25</v>
      </c>
      <c r="N580" s="5" t="str">
        <f ca="1">IFERROR(__xludf.DUMMYFUNCTION("""COMPUTED_VALUE"""),"https://drive.google.com/open?id=1MAiBT6QvQrZCwPukqOGb9uTZPkm_r6LZ, https://drive.google.com/open?id=1iMv51sWuCNq7b8WklGfUEb70bXRF_GAZ")</f>
        <v>https://drive.google.com/open?id=1MAiBT6QvQrZCwPukqOGb9uTZPkm_r6LZ, https://drive.google.com/open?id=1iMv51sWuCNq7b8WklGfUEb70bXRF_GAZ</v>
      </c>
      <c r="O580" s="5" t="str">
        <f ca="1">IFERROR(__xludf.DUMMYFUNCTION("""COMPUTED_VALUE"""),"NA")</f>
        <v>NA</v>
      </c>
      <c r="P580" s="5"/>
      <c r="Q580" s="5"/>
      <c r="R580" s="5" t="str">
        <f ca="1">IFERROR(__xludf.DUMMYFUNCTION("""COMPUTED_VALUE"""),"(310)742-9125")</f>
        <v>(310)742-9125</v>
      </c>
      <c r="S580" s="5"/>
      <c r="T580" s="5"/>
    </row>
    <row r="581" spans="1:20" ht="12.75">
      <c r="A581" s="24">
        <f ca="1">IFERROR(__xludf.DUMMYFUNCTION("""COMPUTED_VALUE"""),45670.722942824)</f>
        <v>45670.722942824003</v>
      </c>
      <c r="B581" s="5" t="str">
        <f ca="1">IFERROR(__xludf.DUMMYFUNCTION("""COMPUTED_VALUE"""),"1524 N Sierra Bonita Ave")</f>
        <v>1524 N Sierra Bonita Ave</v>
      </c>
      <c r="C581" s="5" t="str">
        <f ca="1">IFERROR(__xludf.DUMMYFUNCTION("""COMPUTED_VALUE"""),"Los Angeles ")</f>
        <v xml:space="preserve">Los Angeles </v>
      </c>
      <c r="D581" s="5" t="str">
        <f ca="1">IFERROR(__xludf.DUMMYFUNCTION("""COMPUTED_VALUE"""),"CA")</f>
        <v>CA</v>
      </c>
      <c r="E581" s="5">
        <f ca="1">IFERROR(__xludf.DUMMYFUNCTION("""COMPUTED_VALUE"""),90046)</f>
        <v>90046</v>
      </c>
      <c r="F581" s="19">
        <f ca="1">IFERROR(__xludf.DUMMYFUNCTION("""COMPUTED_VALUE"""),15000)</f>
        <v>15000</v>
      </c>
      <c r="G581" s="19">
        <f ca="1">IFERROR(__xludf.DUMMYFUNCTION("""COMPUTED_VALUE"""),19500)</f>
        <v>19500</v>
      </c>
      <c r="H581" s="18">
        <f ca="1">IFERROR(__xludf.DUMMYFUNCTION("""COMPUTED_VALUE"""),45670)</f>
        <v>45670</v>
      </c>
      <c r="I581" s="5" t="str">
        <f ca="1">IFERROR(__xludf.DUMMYFUNCTION("""COMPUTED_VALUE"""),"Zillow")</f>
        <v>Zillow</v>
      </c>
      <c r="J581" s="25" t="str">
        <f ca="1">IFERROR(__xludf.DUMMYFUNCTION("""COMPUTED_VALUE"""),"https://www.zillow.com/homedetails/1524-N-Sierra-Bonita-Ave-Los-Angeles-CA-90046/20794339_zpid/")</f>
        <v>https://www.zillow.com/homedetails/1524-N-Sierra-Bonita-Ave-Los-Angeles-CA-90046/20794339_zpid/</v>
      </c>
      <c r="K581" s="5" t="str">
        <f ca="1">IFERROR(__xludf.DUMMYFUNCTION("""COMPUTED_VALUE"""),"Lindsay Segal (The Beverly Hills Estates)")</f>
        <v>Lindsay Segal (The Beverly Hills Estates)</v>
      </c>
      <c r="L581" s="5"/>
      <c r="M581" s="5" t="str">
        <f ca="1">IFERROR(__xludf.DUMMYFUNCTION("""COMPUTED_VALUE"""),"$39,000 security deposit ")</f>
        <v xml:space="preserve">$39,000 security deposit </v>
      </c>
      <c r="N581" s="26" t="str">
        <f ca="1">IFERROR(__xludf.DUMMYFUNCTION("""COMPUTED_VALUE"""),"https://drive.google.com/open?id=1LHBerSq90b20eNK7dRyZZujekGW9DcHu")</f>
        <v>https://drive.google.com/open?id=1LHBerSq90b20eNK7dRyZZujekGW9DcHu</v>
      </c>
      <c r="O581" s="5">
        <f ca="1">IFERROR(__xludf.DUMMYFUNCTION("""COMPUTED_VALUE"""),5550010013)</f>
        <v>5550010013</v>
      </c>
      <c r="P581" s="5" t="str">
        <f ca="1">IFERROR(__xludf.DUMMYFUNCTION("""COMPUTED_VALUE"""),"(310) 721-1383")</f>
        <v>(310) 721-1383</v>
      </c>
      <c r="Q581" s="5"/>
      <c r="R581" s="5"/>
      <c r="S581" s="5"/>
      <c r="T581" s="5"/>
    </row>
    <row r="582" spans="1:20" ht="12.75">
      <c r="A582" s="24">
        <f ca="1">IFERROR(__xludf.DUMMYFUNCTION("""COMPUTED_VALUE"""),45670.7235032986)</f>
        <v>45670.723503298599</v>
      </c>
      <c r="B582" s="5" t="str">
        <f ca="1">IFERROR(__xludf.DUMMYFUNCTION("""COMPUTED_VALUE"""),"6248 Teesdale Ave")</f>
        <v>6248 Teesdale Ave</v>
      </c>
      <c r="C582" s="5" t="str">
        <f ca="1">IFERROR(__xludf.DUMMYFUNCTION("""COMPUTED_VALUE"""),"North Hollywood")</f>
        <v>North Hollywood</v>
      </c>
      <c r="D582" s="5" t="str">
        <f ca="1">IFERROR(__xludf.DUMMYFUNCTION("""COMPUTED_VALUE"""),"CA")</f>
        <v>CA</v>
      </c>
      <c r="E582" s="5">
        <f ca="1">IFERROR(__xludf.DUMMYFUNCTION("""COMPUTED_VALUE"""),91606)</f>
        <v>91606</v>
      </c>
      <c r="F582" s="19">
        <f ca="1">IFERROR(__xludf.DUMMYFUNCTION("""COMPUTED_VALUE"""),1750)</f>
        <v>1750</v>
      </c>
      <c r="G582" s="19">
        <f ca="1">IFERROR(__xludf.DUMMYFUNCTION("""COMPUTED_VALUE"""),1950)</f>
        <v>1950</v>
      </c>
      <c r="H582" s="18">
        <f ca="1">IFERROR(__xludf.DUMMYFUNCTION("""COMPUTED_VALUE"""),45668)</f>
        <v>45668</v>
      </c>
      <c r="I582" s="5" t="str">
        <f ca="1">IFERROR(__xludf.DUMMYFUNCTION("""COMPUTED_VALUE"""),"Zillow")</f>
        <v>Zillow</v>
      </c>
      <c r="J582" s="25" t="str">
        <f ca="1">IFERROR(__xludf.DUMMYFUNCTION("""COMPUTED_VALUE"""),"https://www.zillow.com/homedetails/6248-Teesdale-Ave-North-Hollywood-CA-91606/20009083_zpid/")</f>
        <v>https://www.zillow.com/homedetails/6248-Teesdale-Ave-North-Hollywood-CA-91606/20009083_zpid/</v>
      </c>
      <c r="K582" s="5"/>
      <c r="L582" s="5" t="str">
        <f ca="1">IFERROR(__xludf.DUMMYFUNCTION("""COMPUTED_VALUE"""),"Adrianna Escalas")</f>
        <v>Adrianna Escalas</v>
      </c>
      <c r="M582" s="5" t="str">
        <f ca="1">IFERROR(__xludf.DUMMYFUNCTION("""COMPUTED_VALUE"""),"Listing was removed on 6/6/23 and relisted on 1/11/25 with increased rent")</f>
        <v>Listing was removed on 6/6/23 and relisted on 1/11/25 with increased rent</v>
      </c>
      <c r="N582" s="5" t="str">
        <f ca="1">IFERROR(__xludf.DUMMYFUNCTION("""COMPUTED_VALUE"""),"https://drive.google.com/open?id=1f1FJXJwTBlE_H_FKg9OLwHcgSpNBoDwd, https://drive.google.com/open?id=1DSOxOBKJbCU0c39w4e-btZAQRYupnHx8")</f>
        <v>https://drive.google.com/open?id=1f1FJXJwTBlE_H_FKg9OLwHcgSpNBoDwd, https://drive.google.com/open?id=1DSOxOBKJbCU0c39w4e-btZAQRYupnHx8</v>
      </c>
      <c r="O582" s="5">
        <f ca="1">IFERROR(__xludf.DUMMYFUNCTION("""COMPUTED_VALUE"""),2332013003)</f>
        <v>2332013003</v>
      </c>
      <c r="P582" s="5"/>
      <c r="Q582" s="5"/>
      <c r="R582" s="5" t="str">
        <f ca="1">IFERROR(__xludf.DUMMYFUNCTION("""COMPUTED_VALUE"""),"(213)568-6456")</f>
        <v>(213)568-6456</v>
      </c>
      <c r="S582" s="5"/>
      <c r="T582" s="5"/>
    </row>
    <row r="583" spans="1:20" ht="12.75">
      <c r="A583" s="24">
        <f ca="1">IFERROR(__xludf.DUMMYFUNCTION("""COMPUTED_VALUE"""),45670.7267897453)</f>
        <v>45670.726789745298</v>
      </c>
      <c r="B583" s="5" t="str">
        <f ca="1">IFERROR(__xludf.DUMMYFUNCTION("""COMPUTED_VALUE"""),"110 N Barrington Ave")</f>
        <v>110 N Barrington Ave</v>
      </c>
      <c r="C583" s="5" t="str">
        <f ca="1">IFERROR(__xludf.DUMMYFUNCTION("""COMPUTED_VALUE"""),"Los Angeles")</f>
        <v>Los Angeles</v>
      </c>
      <c r="D583" s="5" t="str">
        <f ca="1">IFERROR(__xludf.DUMMYFUNCTION("""COMPUTED_VALUE"""),"CA")</f>
        <v>CA</v>
      </c>
      <c r="E583" s="5">
        <f ca="1">IFERROR(__xludf.DUMMYFUNCTION("""COMPUTED_VALUE"""),90049)</f>
        <v>90049</v>
      </c>
      <c r="F583" s="19">
        <f ca="1">IFERROR(__xludf.DUMMYFUNCTION("""COMPUTED_VALUE"""),12000)</f>
        <v>12000</v>
      </c>
      <c r="G583" s="19">
        <f ca="1">IFERROR(__xludf.DUMMYFUNCTION("""COMPUTED_VALUE"""),15000)</f>
        <v>15000</v>
      </c>
      <c r="H583" s="18">
        <f ca="1">IFERROR(__xludf.DUMMYFUNCTION("""COMPUTED_VALUE"""),45670)</f>
        <v>45670</v>
      </c>
      <c r="I583" s="5" t="str">
        <f ca="1">IFERROR(__xludf.DUMMYFUNCTION("""COMPUTED_VALUE"""),"Zillow")</f>
        <v>Zillow</v>
      </c>
      <c r="J583" s="25" t="str">
        <f ca="1">IFERROR(__xludf.DUMMYFUNCTION("""COMPUTED_VALUE"""),"https://www.zillow.com/homedetails/110-N-Barrington-Ave-Los-Angeles-CA-90049/20547175_zpid/")</f>
        <v>https://www.zillow.com/homedetails/110-N-Barrington-Ave-Los-Angeles-CA-90049/20547175_zpid/</v>
      </c>
      <c r="K583" s="5"/>
      <c r="L583" s="5" t="str">
        <f ca="1">IFERROR(__xludf.DUMMYFUNCTION("""COMPUTED_VALUE"""),"Edward Kay")</f>
        <v>Edward Kay</v>
      </c>
      <c r="M583" s="5"/>
      <c r="N583" s="26" t="str">
        <f ca="1">IFERROR(__xludf.DUMMYFUNCTION("""COMPUTED_VALUE"""),"https://drive.google.com/open?id=1gc7qb35DXCkE2jgxJ-EWdis2JitTTe-x")</f>
        <v>https://drive.google.com/open?id=1gc7qb35DXCkE2jgxJ-EWdis2JitTTe-x</v>
      </c>
      <c r="O583" s="5">
        <f ca="1">IFERROR(__xludf.DUMMYFUNCTION("""COMPUTED_VALUE"""),4429024001)</f>
        <v>4429024001</v>
      </c>
      <c r="P583" s="5"/>
      <c r="Q583" s="5"/>
      <c r="R583" s="5" t="str">
        <f ca="1">IFERROR(__xludf.DUMMYFUNCTION("""COMPUTED_VALUE""")," (818) 401-8719")</f>
        <v xml:space="preserve"> (818) 401-8719</v>
      </c>
      <c r="S583" s="5"/>
      <c r="T583" s="5"/>
    </row>
    <row r="584" spans="1:20" ht="12.75">
      <c r="A584" s="24">
        <f ca="1">IFERROR(__xludf.DUMMYFUNCTION("""COMPUTED_VALUE"""),45670.7275087268)</f>
        <v>45670.727508726799</v>
      </c>
      <c r="B584" s="5" t="str">
        <f ca="1">IFERROR(__xludf.DUMMYFUNCTION("""COMPUTED_VALUE"""),"449 North Bonhill Road")</f>
        <v>449 North Bonhill Road</v>
      </c>
      <c r="C584" s="5" t="str">
        <f ca="1">IFERROR(__xludf.DUMMYFUNCTION("""COMPUTED_VALUE"""),"Los Angeles")</f>
        <v>Los Angeles</v>
      </c>
      <c r="D584" s="5" t="str">
        <f ca="1">IFERROR(__xludf.DUMMYFUNCTION("""COMPUTED_VALUE"""),"CA")</f>
        <v>CA</v>
      </c>
      <c r="E584" s="5">
        <f ca="1">IFERROR(__xludf.DUMMYFUNCTION("""COMPUTED_VALUE"""),90049)</f>
        <v>90049</v>
      </c>
      <c r="F584" s="19">
        <f ca="1">IFERROR(__xludf.DUMMYFUNCTION("""COMPUTED_VALUE"""),12500)</f>
        <v>12500</v>
      </c>
      <c r="G584" s="19">
        <f ca="1">IFERROR(__xludf.DUMMYFUNCTION("""COMPUTED_VALUE"""),20000)</f>
        <v>20000</v>
      </c>
      <c r="H584" s="18">
        <f ca="1">IFERROR(__xludf.DUMMYFUNCTION("""COMPUTED_VALUE"""),45667)</f>
        <v>45667</v>
      </c>
      <c r="I584" s="5" t="str">
        <f ca="1">IFERROR(__xludf.DUMMYFUNCTION("""COMPUTED_VALUE"""),"Redfin")</f>
        <v>Redfin</v>
      </c>
      <c r="J584" s="25" t="str">
        <f ca="1">IFERROR(__xludf.DUMMYFUNCTION("""COMPUTED_VALUE"""),"https://www.redfin.com/CA/Los-Angeles/449-N-Bonhill-Rd-90049/home/6860980")</f>
        <v>https://www.redfin.com/CA/Los-Angeles/449-N-Bonhill-Rd-90049/home/6860980</v>
      </c>
      <c r="K584" s="5" t="str">
        <f ca="1">IFERROR(__xludf.DUMMYFUNCTION("""COMPUTED_VALUE"""),"Brad Keyes")</f>
        <v>Brad Keyes</v>
      </c>
      <c r="L584" s="5" t="str">
        <f ca="1">IFERROR(__xludf.DUMMYFUNCTION("""COMPUTED_VALUE"""),"Gerben HOeksma")</f>
        <v>Gerben HOeksma</v>
      </c>
      <c r="M584" s="5" t="str">
        <f ca="1">IFERROR(__xludf.DUMMYFUNCTION("""COMPUTED_VALUE"""),"this rental was rented previously at 12K they were then going to rent it for 12,5K starting week of 1/6 and then post fires increased price to $20K.")</f>
        <v>this rental was rented previously at 12K they were then going to rent it for 12,5K starting week of 1/6 and then post fires increased price to $20K.</v>
      </c>
      <c r="N584" s="26" t="str">
        <f ca="1">IFERROR(__xludf.DUMMYFUNCTION("""COMPUTED_VALUE"""),"https://drive.google.com/open?id=1KoKu8vGLUrZuSHmgYiu0i-stxTuZkU2-")</f>
        <v>https://drive.google.com/open?id=1KoKu8vGLUrZuSHmgYiu0i-stxTuZkU2-</v>
      </c>
      <c r="O584" s="5" t="str">
        <f ca="1">IFERROR(__xludf.DUMMYFUNCTION("""COMPUTED_VALUE"""),"NA")</f>
        <v>NA</v>
      </c>
      <c r="P584" s="5">
        <f ca="1">IFERROR(__xludf.DUMMYFUNCTION("""COMPUTED_VALUE"""),3103673372)</f>
        <v>3103673372</v>
      </c>
      <c r="Q584" s="5"/>
      <c r="R584" s="5"/>
      <c r="S584" s="5"/>
      <c r="T584" s="5"/>
    </row>
    <row r="585" spans="1:20" ht="12.75">
      <c r="A585" s="24">
        <f ca="1">IFERROR(__xludf.DUMMYFUNCTION("""COMPUTED_VALUE"""),45670.7294381828)</f>
        <v>45670.729438182803</v>
      </c>
      <c r="B585" s="5" t="str">
        <f ca="1">IFERROR(__xludf.DUMMYFUNCTION("""COMPUTED_VALUE"""),"Undisclosed but IDed as 10290 Seabury Lane")</f>
        <v>Undisclosed but IDed as 10290 Seabury Lane</v>
      </c>
      <c r="C585" s="5" t="str">
        <f ca="1">IFERROR(__xludf.DUMMYFUNCTION("""COMPUTED_VALUE"""),"Los Angeles")</f>
        <v>Los Angeles</v>
      </c>
      <c r="D585" s="5" t="str">
        <f ca="1">IFERROR(__xludf.DUMMYFUNCTION("""COMPUTED_VALUE"""),"CA")</f>
        <v>CA</v>
      </c>
      <c r="E585" s="5">
        <f ca="1">IFERROR(__xludf.DUMMYFUNCTION("""COMPUTED_VALUE"""),90077)</f>
        <v>90077</v>
      </c>
      <c r="F585" s="19">
        <f ca="1">IFERROR(__xludf.DUMMYFUNCTION("""COMPUTED_VALUE"""),10995)</f>
        <v>10995</v>
      </c>
      <c r="G585" s="19">
        <f ca="1">IFERROR(__xludf.DUMMYFUNCTION("""COMPUTED_VALUE"""),19500)</f>
        <v>19500</v>
      </c>
      <c r="H585" s="18">
        <f ca="1">IFERROR(__xludf.DUMMYFUNCTION("""COMPUTED_VALUE"""),45671)</f>
        <v>45671</v>
      </c>
      <c r="I585" s="5" t="str">
        <f ca="1">IFERROR(__xludf.DUMMYFUNCTION("""COMPUTED_VALUE"""),"Zillow")</f>
        <v>Zillow</v>
      </c>
      <c r="J585" s="25" t="str">
        <f ca="1">IFERROR(__xludf.DUMMYFUNCTION("""COMPUTED_VALUE"""),"https://www.zillow.com/homedetails/Los-Angeles-CA-90077/20531944_zpid/?")</f>
        <v>https://www.zillow.com/homedetails/Los-Angeles-CA-90077/20531944_zpid/?</v>
      </c>
      <c r="K585" s="5"/>
      <c r="L585" s="5" t="str">
        <f ca="1">IFERROR(__xludf.DUMMYFUNCTION("""COMPUTED_VALUE"""),"Adam")</f>
        <v>Adam</v>
      </c>
      <c r="M585" s="5"/>
      <c r="N585" s="5" t="str">
        <f ca="1">IFERROR(__xludf.DUMMYFUNCTION("""COMPUTED_VALUE"""),"https://drive.google.com/open?id=1FpXSJutQ1ens7fRBUX6x0H_R_sBnKKel, https://drive.google.com/open?id=1ZMT8TGh8upcHiuLR2MLjwsbOdVtuezqU")</f>
        <v>https://drive.google.com/open?id=1FpXSJutQ1ens7fRBUX6x0H_R_sBnKKel, https://drive.google.com/open?id=1ZMT8TGh8upcHiuLR2MLjwsbOdVtuezqU</v>
      </c>
      <c r="O585" s="5">
        <f ca="1">IFERROR(__xludf.DUMMYFUNCTION("""COMPUTED_VALUE"""),4380028023)</f>
        <v>4380028023</v>
      </c>
      <c r="P585" s="5"/>
      <c r="Q585" s="5"/>
      <c r="R585" s="5" t="str">
        <f ca="1">IFERROR(__xludf.DUMMYFUNCTION("""COMPUTED_VALUE"""),"(818) 643-7243")</f>
        <v>(818) 643-7243</v>
      </c>
      <c r="S585" s="5"/>
      <c r="T585" s="5"/>
    </row>
    <row r="586" spans="1:20" ht="12.75">
      <c r="A586" s="24">
        <f ca="1">IFERROR(__xludf.DUMMYFUNCTION("""COMPUTED_VALUE"""),45670.7296554861)</f>
        <v>45670.729655486102</v>
      </c>
      <c r="B586" s="5" t="str">
        <f ca="1">IFERROR(__xludf.DUMMYFUNCTION("""COMPUTED_VALUE"""),"1250 S Beverly Glen Blvd APT 107")</f>
        <v>1250 S Beverly Glen Blvd APT 107</v>
      </c>
      <c r="C586" s="5" t="str">
        <f ca="1">IFERROR(__xludf.DUMMYFUNCTION("""COMPUTED_VALUE"""),"Los Angeles")</f>
        <v>Los Angeles</v>
      </c>
      <c r="D586" s="5" t="str">
        <f ca="1">IFERROR(__xludf.DUMMYFUNCTION("""COMPUTED_VALUE"""),"CA")</f>
        <v>CA</v>
      </c>
      <c r="E586" s="5">
        <f ca="1">IFERROR(__xludf.DUMMYFUNCTION("""COMPUTED_VALUE"""),90024)</f>
        <v>90024</v>
      </c>
      <c r="F586" s="19">
        <f ca="1">IFERROR(__xludf.DUMMYFUNCTION("""COMPUTED_VALUE"""),4195)</f>
        <v>4195</v>
      </c>
      <c r="G586" s="19">
        <f ca="1">IFERROR(__xludf.DUMMYFUNCTION("""COMPUTED_VALUE"""),5000)</f>
        <v>5000</v>
      </c>
      <c r="H586" s="18">
        <f ca="1">IFERROR(__xludf.DUMMYFUNCTION("""COMPUTED_VALUE"""),45670)</f>
        <v>45670</v>
      </c>
      <c r="I586" s="5" t="str">
        <f ca="1">IFERROR(__xludf.DUMMYFUNCTION("""COMPUTED_VALUE"""),"Zillow")</f>
        <v>Zillow</v>
      </c>
      <c r="J586" s="25" t="str">
        <f ca="1">IFERROR(__xludf.DUMMYFUNCTION("""COMPUTED_VALUE"""),"https://www.zillow.com/homedetails/1250-S-Beverly-Glen-Blvd-APT-107-Los-Angeles-CA-90024/20508096_zpid/")</f>
        <v>https://www.zillow.com/homedetails/1250-S-Beverly-Glen-Blvd-APT-107-Los-Angeles-CA-90024/20508096_zpid/</v>
      </c>
      <c r="K586" s="5" t="str">
        <f ca="1">IFERROR(__xludf.DUMMYFUNCTION("""COMPUTED_VALUE"""),"Nina Gabbay Christie's International Real Estate SoCal ")</f>
        <v xml:space="preserve">Nina Gabbay Christie's International Real Estate SoCal </v>
      </c>
      <c r="L586" s="5"/>
      <c r="M586" s="5"/>
      <c r="N586" s="26" t="str">
        <f ca="1">IFERROR(__xludf.DUMMYFUNCTION("""COMPUTED_VALUE"""),"https://drive.google.com/open?id=1rYM8FTeXTzErDh2ArKQiZ-rH_puvT29W")</f>
        <v>https://drive.google.com/open?id=1rYM8FTeXTzErDh2ArKQiZ-rH_puvT29W</v>
      </c>
      <c r="O586" s="5">
        <f ca="1">IFERROR(__xludf.DUMMYFUNCTION("""COMPUTED_VALUE"""),4327012067)</f>
        <v>4327012067</v>
      </c>
      <c r="P586" s="5" t="str">
        <f ca="1">IFERROR(__xludf.DUMMYFUNCTION("""COMPUTED_VALUE"""),"(310) 990-6166")</f>
        <v>(310) 990-6166</v>
      </c>
      <c r="Q586" s="5"/>
      <c r="R586" s="5"/>
      <c r="S586" s="5"/>
      <c r="T586" s="5"/>
    </row>
    <row r="587" spans="1:20" ht="12.75">
      <c r="A587" s="24">
        <f ca="1">IFERROR(__xludf.DUMMYFUNCTION("""COMPUTED_VALUE"""),45670.7366135995)</f>
        <v>45670.736613599503</v>
      </c>
      <c r="B587" s="5" t="str">
        <f ca="1">IFERROR(__xludf.DUMMYFUNCTION("""COMPUTED_VALUE"""),"2414 N Millstream Ln")</f>
        <v>2414 N Millstream Ln</v>
      </c>
      <c r="C587" s="5" t="str">
        <f ca="1">IFERROR(__xludf.DUMMYFUNCTION("""COMPUTED_VALUE"""),"Orange")</f>
        <v>Orange</v>
      </c>
      <c r="D587" s="5" t="str">
        <f ca="1">IFERROR(__xludf.DUMMYFUNCTION("""COMPUTED_VALUE"""),"CA")</f>
        <v>CA</v>
      </c>
      <c r="E587" s="5">
        <f ca="1">IFERROR(__xludf.DUMMYFUNCTION("""COMPUTED_VALUE"""),92865)</f>
        <v>92865</v>
      </c>
      <c r="F587" s="19">
        <f ca="1">IFERROR(__xludf.DUMMYFUNCTION("""COMPUTED_VALUE"""),3500)</f>
        <v>3500</v>
      </c>
      <c r="G587" s="19">
        <f ca="1">IFERROR(__xludf.DUMMYFUNCTION("""COMPUTED_VALUE"""),4500)</f>
        <v>4500</v>
      </c>
      <c r="H587" s="18">
        <f ca="1">IFERROR(__xludf.DUMMYFUNCTION("""COMPUTED_VALUE"""),45671)</f>
        <v>45671</v>
      </c>
      <c r="I587" s="5" t="str">
        <f ca="1">IFERROR(__xludf.DUMMYFUNCTION("""COMPUTED_VALUE"""),"Zillow")</f>
        <v>Zillow</v>
      </c>
      <c r="J587" s="25" t="str">
        <f ca="1">IFERROR(__xludf.DUMMYFUNCTION("""COMPUTED_VALUE"""),"https://www.zillow.com/homedetails/2414-N-Millstream-Ln-Orange-CA-92865/25424064_zpid/")</f>
        <v>https://www.zillow.com/homedetails/2414-N-Millstream-Ln-Orange-CA-92865/25424064_zpid/</v>
      </c>
      <c r="K587" s="5"/>
      <c r="L587" s="5" t="str">
        <f ca="1">IFERROR(__xludf.DUMMYFUNCTION("""COMPUTED_VALUE"""),"Denise Holt")</f>
        <v>Denise Holt</v>
      </c>
      <c r="M587" s="5"/>
      <c r="N587" s="5" t="str">
        <f ca="1">IFERROR(__xludf.DUMMYFUNCTION("""COMPUTED_VALUE"""),"https://drive.google.com/open?id=1aND8inr1hMYZclVyNrv7uwJ3m1yiNc0s, https://drive.google.com/open?id=1QGx9OlNm8Hi0ghzdOejAOIynSjzZ_AvQ")</f>
        <v>https://drive.google.com/open?id=1aND8inr1hMYZclVyNrv7uwJ3m1yiNc0s, https://drive.google.com/open?id=1QGx9OlNm8Hi0ghzdOejAOIynSjzZ_AvQ</v>
      </c>
      <c r="O587" s="5">
        <f ca="1">IFERROR(__xludf.DUMMYFUNCTION("""COMPUTED_VALUE"""),37474127)</f>
        <v>37474127</v>
      </c>
      <c r="P587" s="5"/>
      <c r="Q587" s="5"/>
      <c r="R587" s="5" t="str">
        <f ca="1">IFERROR(__xludf.DUMMYFUNCTION("""COMPUTED_VALUE"""),"(714) 321-6251")</f>
        <v>(714) 321-6251</v>
      </c>
      <c r="S587" s="5"/>
      <c r="T587" s="5"/>
    </row>
    <row r="588" spans="1:20" ht="12.75">
      <c r="A588" s="24">
        <f ca="1">IFERROR(__xludf.DUMMYFUNCTION("""COMPUTED_VALUE"""),45670.7373242824)</f>
        <v>45670.737324282403</v>
      </c>
      <c r="B588" s="5" t="str">
        <f ca="1">IFERROR(__xludf.DUMMYFUNCTION("""COMPUTED_VALUE"""),"550 San Juan Ave")</f>
        <v>550 San Juan Ave</v>
      </c>
      <c r="C588" s="5" t="str">
        <f ca="1">IFERROR(__xludf.DUMMYFUNCTION("""COMPUTED_VALUE"""),"Venice")</f>
        <v>Venice</v>
      </c>
      <c r="D588" s="5" t="str">
        <f ca="1">IFERROR(__xludf.DUMMYFUNCTION("""COMPUTED_VALUE"""),"CA")</f>
        <v>CA</v>
      </c>
      <c r="E588" s="5">
        <f ca="1">IFERROR(__xludf.DUMMYFUNCTION("""COMPUTED_VALUE"""),90291)</f>
        <v>90291</v>
      </c>
      <c r="F588" s="19">
        <f ca="1">IFERROR(__xludf.DUMMYFUNCTION("""COMPUTED_VALUE"""),30000)</f>
        <v>30000</v>
      </c>
      <c r="G588" s="19">
        <f ca="1">IFERROR(__xludf.DUMMYFUNCTION("""COMPUTED_VALUE"""),35000)</f>
        <v>35000</v>
      </c>
      <c r="H588" s="18">
        <f ca="1">IFERROR(__xludf.DUMMYFUNCTION("""COMPUTED_VALUE"""),45670)</f>
        <v>45670</v>
      </c>
      <c r="I588" s="5" t="str">
        <f ca="1">IFERROR(__xludf.DUMMYFUNCTION("""COMPUTED_VALUE"""),"Zillow")</f>
        <v>Zillow</v>
      </c>
      <c r="J588" s="25" t="str">
        <f ca="1">IFERROR(__xludf.DUMMYFUNCTION("""COMPUTED_VALUE"""),"https://www.zillow.com/homedetails/550-San-Juan-Ave-Venice-CA-90291/95663701_zpid/")</f>
        <v>https://www.zillow.com/homedetails/550-San-Juan-Ave-Venice-CA-90291/95663701_zpid/</v>
      </c>
      <c r="K588" s="5" t="str">
        <f ca="1">IFERROR(__xludf.DUMMYFUNCTION("""COMPUTED_VALUE"""),"Jennifer Tucker ")</f>
        <v xml:space="preserve">Jennifer Tucker </v>
      </c>
      <c r="L588" s="5"/>
      <c r="M588" s="5"/>
      <c r="N588" s="26" t="str">
        <f ca="1">IFERROR(__xludf.DUMMYFUNCTION("""COMPUTED_VALUE"""),"https://drive.google.com/open?id=1zJVbMvCnCjeFQWMzDS-qSUUZHv6l4A6s")</f>
        <v>https://drive.google.com/open?id=1zJVbMvCnCjeFQWMzDS-qSUUZHv6l4A6s</v>
      </c>
      <c r="O588" s="5">
        <f ca="1">IFERROR(__xludf.DUMMYFUNCTION("""COMPUTED_VALUE"""),4239026037)</f>
        <v>4239026037</v>
      </c>
      <c r="P588" s="5" t="str">
        <f ca="1">IFERROR(__xludf.DUMMYFUNCTION("""COMPUTED_VALUE"""),"(310) 702-3198")</f>
        <v>(310) 702-3198</v>
      </c>
      <c r="Q588" s="5"/>
      <c r="R588" s="5"/>
      <c r="S588" s="5"/>
      <c r="T588" s="5"/>
    </row>
    <row r="589" spans="1:20" ht="12.75">
      <c r="A589" s="24">
        <f ca="1">IFERROR(__xludf.DUMMYFUNCTION("""COMPUTED_VALUE"""),45670.7386731597)</f>
        <v>45670.7386731597</v>
      </c>
      <c r="B589" s="5" t="str">
        <f ca="1">IFERROR(__xludf.DUMMYFUNCTION("""COMPUTED_VALUE"""),"7320 Balboa Blvd")</f>
        <v>7320 Balboa Blvd</v>
      </c>
      <c r="C589" s="5" t="str">
        <f ca="1">IFERROR(__xludf.DUMMYFUNCTION("""COMPUTED_VALUE"""),"Van Nuys")</f>
        <v>Van Nuys</v>
      </c>
      <c r="D589" s="5" t="str">
        <f ca="1">IFERROR(__xludf.DUMMYFUNCTION("""COMPUTED_VALUE"""),"CA")</f>
        <v>CA</v>
      </c>
      <c r="E589" s="5">
        <f ca="1">IFERROR(__xludf.DUMMYFUNCTION("""COMPUTED_VALUE"""),91406)</f>
        <v>91406</v>
      </c>
      <c r="F589" s="19">
        <f ca="1">IFERROR(__xludf.DUMMYFUNCTION("""COMPUTED_VALUE"""),2950)</f>
        <v>2950</v>
      </c>
      <c r="G589" s="19">
        <f ca="1">IFERROR(__xludf.DUMMYFUNCTION("""COMPUTED_VALUE"""),3295)</f>
        <v>3295</v>
      </c>
      <c r="H589" s="18">
        <f ca="1">IFERROR(__xludf.DUMMYFUNCTION("""COMPUTED_VALUE"""),45668)</f>
        <v>45668</v>
      </c>
      <c r="I589" s="5" t="str">
        <f ca="1">IFERROR(__xludf.DUMMYFUNCTION("""COMPUTED_VALUE"""),"Zillow")</f>
        <v>Zillow</v>
      </c>
      <c r="J589" s="25" t="str">
        <f ca="1">IFERROR(__xludf.DUMMYFUNCTION("""COMPUTED_VALUE"""),"https://www.zillow.com/homedetails/7320-Balboa-Blvd-Van-Nuys-CA-91406/2076966998_zpid/")</f>
        <v>https://www.zillow.com/homedetails/7320-Balboa-Blvd-Van-Nuys-CA-91406/2076966998_zpid/</v>
      </c>
      <c r="K589" s="5" t="str">
        <f ca="1">IFERROR(__xludf.DUMMYFUNCTION("""COMPUTED_VALUE"""),"Sue Karns")</f>
        <v>Sue Karns</v>
      </c>
      <c r="L589" s="5"/>
      <c r="M589" s="5" t="str">
        <f ca="1">IFERROR(__xludf.DUMMYFUNCTION("""COMPUTED_VALUE"""),"Listed for rent 1/31/22, then removed 2/14/22; listed for sale 1/2/23 and removed by 2/1/23; relisted 1/11/25")</f>
        <v>Listed for rent 1/31/22, then removed 2/14/22; listed for sale 1/2/23 and removed by 2/1/23; relisted 1/11/25</v>
      </c>
      <c r="N589" s="5" t="str">
        <f ca="1">IFERROR(__xludf.DUMMYFUNCTION("""COMPUTED_VALUE"""),"https://drive.google.com/open?id=1WWJQd2GmPVV5sfOzVVtqnyeyiU4R8H0L, https://drive.google.com/open?id=14mdikuZ9oraTGzoQbhngw8gylJ17R4Rq")</f>
        <v>https://drive.google.com/open?id=1WWJQd2GmPVV5sfOzVVtqnyeyiU4R8H0L, https://drive.google.com/open?id=14mdikuZ9oraTGzoQbhngw8gylJ17R4Rq</v>
      </c>
      <c r="O589" s="5" t="str">
        <f ca="1">IFERROR(__xludf.DUMMYFUNCTION("""COMPUTED_VALUE"""),"NA")</f>
        <v>NA</v>
      </c>
      <c r="P589" s="5" t="str">
        <f ca="1">IFERROR(__xludf.DUMMYFUNCTION("""COMPUTED_VALUE"""),"(818)862-3134")</f>
        <v>(818)862-3134</v>
      </c>
      <c r="Q589" s="5"/>
      <c r="R589" s="5"/>
      <c r="S589" s="5"/>
      <c r="T589" s="5"/>
    </row>
    <row r="590" spans="1:20" ht="12.75">
      <c r="A590" s="24">
        <f ca="1">IFERROR(__xludf.DUMMYFUNCTION("""COMPUTED_VALUE"""),45670.739167037)</f>
        <v>45670.739167036998</v>
      </c>
      <c r="B590" s="5" t="str">
        <f ca="1">IFERROR(__xludf.DUMMYFUNCTION("""COMPUTED_VALUE"""),"2470 Venus Drive")</f>
        <v>2470 Venus Drive</v>
      </c>
      <c r="C590" s="5" t="str">
        <f ca="1">IFERROR(__xludf.DUMMYFUNCTION("""COMPUTED_VALUE"""),"Los angeles")</f>
        <v>Los angeles</v>
      </c>
      <c r="D590" s="5" t="str">
        <f ca="1">IFERROR(__xludf.DUMMYFUNCTION("""COMPUTED_VALUE"""),"CA")</f>
        <v>CA</v>
      </c>
      <c r="E590" s="5">
        <f ca="1">IFERROR(__xludf.DUMMYFUNCTION("""COMPUTED_VALUE"""),90046)</f>
        <v>90046</v>
      </c>
      <c r="F590" s="19">
        <f ca="1">IFERROR(__xludf.DUMMYFUNCTION("""COMPUTED_VALUE"""),13999)</f>
        <v>13999</v>
      </c>
      <c r="G590" s="19">
        <f ca="1">IFERROR(__xludf.DUMMYFUNCTION("""COMPUTED_VALUE"""),15999)</f>
        <v>15999</v>
      </c>
      <c r="H590" s="18">
        <f ca="1">IFERROR(__xludf.DUMMYFUNCTION("""COMPUTED_VALUE"""),45665)</f>
        <v>45665</v>
      </c>
      <c r="I590" s="5" t="str">
        <f ca="1">IFERROR(__xludf.DUMMYFUNCTION("""COMPUTED_VALUE"""),"Zillow")</f>
        <v>Zillow</v>
      </c>
      <c r="J590" s="25" t="str">
        <f ca="1">IFERROR(__xludf.DUMMYFUNCTION("""COMPUTED_VALUE"""),"https://www.zillow.com/homedetails/2470-Venus-Dr-Los-Angeles-CA-90046/20802366_zpid/?utm_campaign=iosappmessage&amp;utm_medium=referral&amp;utm_source=txtshare")</f>
        <v>https://www.zillow.com/homedetails/2470-Venus-Dr-Los-Angeles-CA-90046/20802366_zpid/?utm_campaign=iosappmessage&amp;utm_medium=referral&amp;utm_source=txtshare</v>
      </c>
      <c r="K590" s="5" t="str">
        <f ca="1">IFERROR(__xludf.DUMMYFUNCTION("""COMPUTED_VALUE"""),"Lara Kajajian")</f>
        <v>Lara Kajajian</v>
      </c>
      <c r="L590" s="5"/>
      <c r="M590" s="5"/>
      <c r="N590" s="5" t="str">
        <f ca="1">IFERROR(__xludf.DUMMYFUNCTION("""COMPUTED_VALUE"""),"https://drive.google.com/open?id=1oPbjPaUhIYvoOELqRRm8VFZpV8k8kZOs, https://drive.google.com/open?id=1aIsCzItZ_0GGniHJk2M4h6F4kg14ARPj")</f>
        <v>https://drive.google.com/open?id=1oPbjPaUhIYvoOELqRRm8VFZpV8k8kZOs, https://drive.google.com/open?id=1aIsCzItZ_0GGniHJk2M4h6F4kg14ARPj</v>
      </c>
      <c r="O590" s="5" t="str">
        <f ca="1">IFERROR(__xludf.DUMMYFUNCTION("""COMPUTED_VALUE"""),"Na")</f>
        <v>Na</v>
      </c>
      <c r="P590" s="5">
        <f ca="1">IFERROR(__xludf.DUMMYFUNCTION("""COMPUTED_VALUE"""),3107290156)</f>
        <v>3107290156</v>
      </c>
      <c r="Q590" s="5"/>
      <c r="R590" s="5"/>
      <c r="S590" s="5"/>
      <c r="T590" s="5"/>
    </row>
    <row r="591" spans="1:20" ht="12.75">
      <c r="A591" s="24">
        <f ca="1">IFERROR(__xludf.DUMMYFUNCTION("""COMPUTED_VALUE"""),45670.7395963194)</f>
        <v>45670.739596319399</v>
      </c>
      <c r="B591" s="5" t="str">
        <f ca="1">IFERROR(__xludf.DUMMYFUNCTION("""COMPUTED_VALUE"""),"1252 Masselin Ave")</f>
        <v>1252 Masselin Ave</v>
      </c>
      <c r="C591" s="5" t="str">
        <f ca="1">IFERROR(__xludf.DUMMYFUNCTION("""COMPUTED_VALUE"""),"Los Angeles")</f>
        <v>Los Angeles</v>
      </c>
      <c r="D591" s="5" t="str">
        <f ca="1">IFERROR(__xludf.DUMMYFUNCTION("""COMPUTED_VALUE"""),"CA")</f>
        <v>CA</v>
      </c>
      <c r="E591" s="5">
        <f ca="1">IFERROR(__xludf.DUMMYFUNCTION("""COMPUTED_VALUE"""),90019)</f>
        <v>90019</v>
      </c>
      <c r="F591" s="19">
        <f ca="1">IFERROR(__xludf.DUMMYFUNCTION("""COMPUTED_VALUE"""),6500)</f>
        <v>6500</v>
      </c>
      <c r="G591" s="19">
        <f ca="1">IFERROR(__xludf.DUMMYFUNCTION("""COMPUTED_VALUE"""),7900)</f>
        <v>7900</v>
      </c>
      <c r="H591" s="18">
        <f ca="1">IFERROR(__xludf.DUMMYFUNCTION("""COMPUTED_VALUE"""),45671)</f>
        <v>45671</v>
      </c>
      <c r="I591" s="5" t="str">
        <f ca="1">IFERROR(__xludf.DUMMYFUNCTION("""COMPUTED_VALUE"""),"Zillow")</f>
        <v>Zillow</v>
      </c>
      <c r="J591" s="25" t="str">
        <f ca="1">IFERROR(__xludf.DUMMYFUNCTION("""COMPUTED_VALUE"""),"https://www.zillow.com/homedetails/1252-Masselin-Ave-Los-Angeles-CA-90019/20608246_zpid/")</f>
        <v>https://www.zillow.com/homedetails/1252-Masselin-Ave-Los-Angeles-CA-90019/20608246_zpid/</v>
      </c>
      <c r="K591" s="5"/>
      <c r="L591" s="5" t="str">
        <f ca="1">IFERROR(__xludf.DUMMYFUNCTION("""COMPUTED_VALUE"""),"David Ocanas")</f>
        <v>David Ocanas</v>
      </c>
      <c r="M591" s="5" t="str">
        <f ca="1">IFERROR(__xludf.DUMMYFUNCTION("""COMPUTED_VALUE"""),"Owner was able to scrub price history from Zillow, but I found it listed from August priced at $6500")</f>
        <v>Owner was able to scrub price history from Zillow, but I found it listed from August priced at $6500</v>
      </c>
      <c r="N591" s="5" t="str">
        <f ca="1">IFERROR(__xludf.DUMMYFUNCTION("""COMPUTED_VALUE"""),"https://drive.google.com/open?id=1oJBR5u1mbtOpKNIDGsQ5-2xiD9RONQxP, https://drive.google.com/open?id=1G-dr8Hq7o3X0pLH3WOW8mcKRt9Aum2jF")</f>
        <v>https://drive.google.com/open?id=1oJBR5u1mbtOpKNIDGsQ5-2xiD9RONQxP, https://drive.google.com/open?id=1G-dr8Hq7o3X0pLH3WOW8mcKRt9Aum2jF</v>
      </c>
      <c r="O591" s="5">
        <f ca="1">IFERROR(__xludf.DUMMYFUNCTION("""COMPUTED_VALUE"""),5085019036)</f>
        <v>5085019036</v>
      </c>
      <c r="P591" s="5"/>
      <c r="Q591" s="5"/>
      <c r="R591" s="5" t="str">
        <f ca="1">IFERROR(__xludf.DUMMYFUNCTION("""COMPUTED_VALUE"""),"(310) 600-4969")</f>
        <v>(310) 600-4969</v>
      </c>
      <c r="S591" s="5"/>
      <c r="T591" s="5"/>
    </row>
    <row r="592" spans="1:20" ht="12.75">
      <c r="A592" s="24">
        <f ca="1">IFERROR(__xludf.DUMMYFUNCTION("""COMPUTED_VALUE"""),45670.7414838657)</f>
        <v>45670.741483865699</v>
      </c>
      <c r="B592" s="5" t="str">
        <f ca="1">IFERROR(__xludf.DUMMYFUNCTION("""COMPUTED_VALUE"""),"10767 Oregon Ave")</f>
        <v>10767 Oregon Ave</v>
      </c>
      <c r="C592" s="5" t="str">
        <f ca="1">IFERROR(__xludf.DUMMYFUNCTION("""COMPUTED_VALUE"""),"Culver City ")</f>
        <v xml:space="preserve">Culver City </v>
      </c>
      <c r="D592" s="5" t="str">
        <f ca="1">IFERROR(__xludf.DUMMYFUNCTION("""COMPUTED_VALUE"""),"CA")</f>
        <v>CA</v>
      </c>
      <c r="E592" s="5">
        <f ca="1">IFERROR(__xludf.DUMMYFUNCTION("""COMPUTED_VALUE"""),90232)</f>
        <v>90232</v>
      </c>
      <c r="F592" s="19">
        <f ca="1">IFERROR(__xludf.DUMMYFUNCTION("""COMPUTED_VALUE"""),8500)</f>
        <v>8500</v>
      </c>
      <c r="G592" s="19">
        <f ca="1">IFERROR(__xludf.DUMMYFUNCTION("""COMPUTED_VALUE"""),9250)</f>
        <v>9250</v>
      </c>
      <c r="H592" s="18">
        <f ca="1">IFERROR(__xludf.DUMMYFUNCTION("""COMPUTED_VALUE"""),45670)</f>
        <v>45670</v>
      </c>
      <c r="I592" s="5" t="str">
        <f ca="1">IFERROR(__xludf.DUMMYFUNCTION("""COMPUTED_VALUE"""),"Zillow")</f>
        <v>Zillow</v>
      </c>
      <c r="J592" s="25" t="str">
        <f ca="1">IFERROR(__xludf.DUMMYFUNCTION("""COMPUTED_VALUE"""),"https://www.zillow.com/homedetails/10767-Oregon-Ave-Culver-City-CA-90232/20432740_zpid/?utm_campaign=androidappmessage&amp;utm_medium=referral&amp;utm_source=txtshare")</f>
        <v>https://www.zillow.com/homedetails/10767-Oregon-Ave-Culver-City-CA-90232/20432740_zpid/?utm_campaign=androidappmessage&amp;utm_medium=referral&amp;utm_source=txtshare</v>
      </c>
      <c r="K592" s="5" t="str">
        <f ca="1">IFERROR(__xludf.DUMMYFUNCTION("""COMPUTED_VALUE"""),"Diana Muscianisi")</f>
        <v>Diana Muscianisi</v>
      </c>
      <c r="L592" s="5"/>
      <c r="M592" s="5" t="str">
        <f ca="1">IFERROR(__xludf.DUMMYFUNCTION("""COMPUTED_VALUE"""),"8.8% rent increase starting today")</f>
        <v>8.8% rent increase starting today</v>
      </c>
      <c r="N592" s="5" t="str">
        <f ca="1">IFERROR(__xludf.DUMMYFUNCTION("""COMPUTED_VALUE"""),"https://drive.google.com/open?id=1w4VXeRcmo4S4svrhMrVOxZZ9GC3XmEmC, https://drive.google.com/open?id=151KELN1epGLQwda1WM5yXnLO98SDp27l")</f>
        <v>https://drive.google.com/open?id=1w4VXeRcmo4S4svrhMrVOxZZ9GC3XmEmC, https://drive.google.com/open?id=151KELN1epGLQwda1WM5yXnLO98SDp27l</v>
      </c>
      <c r="O592" s="5">
        <f ca="1">IFERROR(__xludf.DUMMYFUNCTION("""COMPUTED_VALUE"""),4208015018)</f>
        <v>4208015018</v>
      </c>
      <c r="P592" s="5" t="str">
        <f ca="1">IFERROR(__xludf.DUMMYFUNCTION("""COMPUTED_VALUE"""),"(310) 714-1346")</f>
        <v>(310) 714-1346</v>
      </c>
      <c r="Q592" s="5"/>
      <c r="R592" s="5"/>
      <c r="S592" s="5"/>
      <c r="T592" s="5"/>
    </row>
    <row r="593" spans="1:20" ht="12.75">
      <c r="A593" s="24">
        <f ca="1">IFERROR(__xludf.DUMMYFUNCTION("""COMPUTED_VALUE"""),45670.7419751157)</f>
        <v>45670.741975115699</v>
      </c>
      <c r="B593" s="5" t="str">
        <f ca="1">IFERROR(__xludf.DUMMYFUNCTION("""COMPUTED_VALUE"""),"1318 S Roxbury Dr #111")</f>
        <v>1318 S Roxbury Dr #111</v>
      </c>
      <c r="C593" s="5" t="str">
        <f ca="1">IFERROR(__xludf.DUMMYFUNCTION("""COMPUTED_VALUE"""),"Los Angeles")</f>
        <v>Los Angeles</v>
      </c>
      <c r="D593" s="5" t="str">
        <f ca="1">IFERROR(__xludf.DUMMYFUNCTION("""COMPUTED_VALUE"""),"CA")</f>
        <v>CA</v>
      </c>
      <c r="E593" s="5">
        <f ca="1">IFERROR(__xludf.DUMMYFUNCTION("""COMPUTED_VALUE"""),90035)</f>
        <v>90035</v>
      </c>
      <c r="F593" s="19">
        <f ca="1">IFERROR(__xludf.DUMMYFUNCTION("""COMPUTED_VALUE"""),5490)</f>
        <v>5490</v>
      </c>
      <c r="G593" s="19">
        <f ca="1">IFERROR(__xludf.DUMMYFUNCTION("""COMPUTED_VALUE"""),7000)</f>
        <v>7000</v>
      </c>
      <c r="H593" s="18">
        <f ca="1">IFERROR(__xludf.DUMMYFUNCTION("""COMPUTED_VALUE"""),45671)</f>
        <v>45671</v>
      </c>
      <c r="I593" s="5" t="str">
        <f ca="1">IFERROR(__xludf.DUMMYFUNCTION("""COMPUTED_VALUE"""),"Zillow")</f>
        <v>Zillow</v>
      </c>
      <c r="J593" s="25" t="str">
        <f ca="1">IFERROR(__xludf.DUMMYFUNCTION("""COMPUTED_VALUE"""),"https://www.zillow.com/homedetails/1318-S-Roxbury-Dr-111-Los-Angeles-CA-90035/95527136_zpid/")</f>
        <v>https://www.zillow.com/homedetails/1318-S-Roxbury-Dr-111-Los-Angeles-CA-90035/95527136_zpid/</v>
      </c>
      <c r="K593" s="5" t="str">
        <f ca="1">IFERROR(__xludf.DUMMYFUNCTION("""COMPUTED_VALUE"""),"Luis Hong KW Executive")</f>
        <v>Luis Hong KW Executive</v>
      </c>
      <c r="L593" s="5"/>
      <c r="M593" s="5"/>
      <c r="N593" s="26" t="str">
        <f ca="1">IFERROR(__xludf.DUMMYFUNCTION("""COMPUTED_VALUE"""),"https://drive.google.com/open?id=1qQzgWuWAIsmaRGaH_1Qh1MqRkXZ9k70X")</f>
        <v>https://drive.google.com/open?id=1qQzgWuWAIsmaRGaH_1Qh1MqRkXZ9k70X</v>
      </c>
      <c r="O593" s="5">
        <f ca="1">IFERROR(__xludf.DUMMYFUNCTION("""COMPUTED_VALUE"""),4330013089)</f>
        <v>4330013089</v>
      </c>
      <c r="P593" s="5" t="str">
        <f ca="1">IFERROR(__xludf.DUMMYFUNCTION("""COMPUTED_VALUE"""),"(909) 918-7688")</f>
        <v>(909) 918-7688</v>
      </c>
      <c r="Q593" s="5"/>
      <c r="R593" s="5"/>
      <c r="S593" s="5"/>
      <c r="T593" s="5"/>
    </row>
    <row r="594" spans="1:20" ht="12.75">
      <c r="A594" s="24">
        <f ca="1">IFERROR(__xludf.DUMMYFUNCTION("""COMPUTED_VALUE"""),45670.7451721643)</f>
        <v>45670.745172164301</v>
      </c>
      <c r="B594" s="5" t="str">
        <f ca="1">IFERROR(__xludf.DUMMYFUNCTION("""COMPUTED_VALUE"""),"15705 Gun Tree Dr")</f>
        <v>15705 Gun Tree Dr</v>
      </c>
      <c r="C594" s="5" t="str">
        <f ca="1">IFERROR(__xludf.DUMMYFUNCTION("""COMPUTED_VALUE"""),"Hacienda Heights")</f>
        <v>Hacienda Heights</v>
      </c>
      <c r="D594" s="5" t="str">
        <f ca="1">IFERROR(__xludf.DUMMYFUNCTION("""COMPUTED_VALUE"""),"CA")</f>
        <v>CA</v>
      </c>
      <c r="E594" s="5">
        <f ca="1">IFERROR(__xludf.DUMMYFUNCTION("""COMPUTED_VALUE"""),91745)</f>
        <v>91745</v>
      </c>
      <c r="F594" s="19">
        <f ca="1">IFERROR(__xludf.DUMMYFUNCTION("""COMPUTED_VALUE"""),3950)</f>
        <v>3950</v>
      </c>
      <c r="G594" s="19">
        <f ca="1">IFERROR(__xludf.DUMMYFUNCTION("""COMPUTED_VALUE"""),5490)</f>
        <v>5490</v>
      </c>
      <c r="H594" s="18">
        <f ca="1">IFERROR(__xludf.DUMMYFUNCTION("""COMPUTED_VALUE"""),45671)</f>
        <v>45671</v>
      </c>
      <c r="I594" s="5" t="str">
        <f ca="1">IFERROR(__xludf.DUMMYFUNCTION("""COMPUTED_VALUE"""),"Zillow")</f>
        <v>Zillow</v>
      </c>
      <c r="J594" s="25" t="str">
        <f ca="1">IFERROR(__xludf.DUMMYFUNCTION("""COMPUTED_VALUE"""),"https://www.zillow.com/homedetails/15705-Gun-Tree-Dr-Hacienda-Heights-CA-91745/21492050_zpid/")</f>
        <v>https://www.zillow.com/homedetails/15705-Gun-Tree-Dr-Hacienda-Heights-CA-91745/21492050_zpid/</v>
      </c>
      <c r="K594" s="5" t="str">
        <f ca="1">IFERROR(__xludf.DUMMYFUNCTION("""COMPUTED_VALUE"""),"Agent Image Luis Hong  KW Executive")</f>
        <v>Agent Image Luis Hong  KW Executive</v>
      </c>
      <c r="L594" s="5"/>
      <c r="M594" s="5" t="str">
        <f ca="1">IFERROR(__xludf.DUMMYFUNCTION("""COMPUTED_VALUE"""),"Last listed rent was 2018, but still a 39% increase")</f>
        <v>Last listed rent was 2018, but still a 39% increase</v>
      </c>
      <c r="N594" s="5" t="str">
        <f ca="1">IFERROR(__xludf.DUMMYFUNCTION("""COMPUTED_VALUE"""),"https://drive.google.com/open?id=1h08WEsUKHO2pus6mKB8Z3d2mBXUaopQw, https://drive.google.com/open?id=1bsJPrNxzeuDQp19_e047zNAMaPRwNgbV")</f>
        <v>https://drive.google.com/open?id=1h08WEsUKHO2pus6mKB8Z3d2mBXUaopQw, https://drive.google.com/open?id=1bsJPrNxzeuDQp19_e047zNAMaPRwNgbV</v>
      </c>
      <c r="O594" s="5">
        <f ca="1">IFERROR(__xludf.DUMMYFUNCTION("""COMPUTED_VALUE"""),8291034049)</f>
        <v>8291034049</v>
      </c>
      <c r="P594" s="5" t="str">
        <f ca="1">IFERROR(__xludf.DUMMYFUNCTION("""COMPUTED_VALUE"""),"(909) 918-7688")</f>
        <v>(909) 918-7688</v>
      </c>
      <c r="Q594" s="5"/>
      <c r="R594" s="5"/>
      <c r="S594" s="5"/>
      <c r="T594" s="5"/>
    </row>
    <row r="595" spans="1:20" ht="12.75">
      <c r="A595" s="24">
        <f ca="1">IFERROR(__xludf.DUMMYFUNCTION("""COMPUTED_VALUE"""),45670.745265405)</f>
        <v>45670.745265404999</v>
      </c>
      <c r="B595" s="5" t="str">
        <f ca="1">IFERROR(__xludf.DUMMYFUNCTION("""COMPUTED_VALUE"""),"1318 South Roxbury Dr. #111")</f>
        <v>1318 South Roxbury Dr. #111</v>
      </c>
      <c r="C595" s="5" t="str">
        <f ca="1">IFERROR(__xludf.DUMMYFUNCTION("""COMPUTED_VALUE"""),"Los Angeles")</f>
        <v>Los Angeles</v>
      </c>
      <c r="D595" s="5" t="str">
        <f ca="1">IFERROR(__xludf.DUMMYFUNCTION("""COMPUTED_VALUE"""),"CA")</f>
        <v>CA</v>
      </c>
      <c r="E595" s="5">
        <f ca="1">IFERROR(__xludf.DUMMYFUNCTION("""COMPUTED_VALUE"""),90035)</f>
        <v>90035</v>
      </c>
      <c r="F595" s="19">
        <f ca="1">IFERROR(__xludf.DUMMYFUNCTION("""COMPUTED_VALUE"""),4590)</f>
        <v>4590</v>
      </c>
      <c r="G595" s="19">
        <f ca="1">IFERROR(__xludf.DUMMYFUNCTION("""COMPUTED_VALUE"""),7000)</f>
        <v>7000</v>
      </c>
      <c r="H595" s="18">
        <f ca="1">IFERROR(__xludf.DUMMYFUNCTION("""COMPUTED_VALUE"""),45670)</f>
        <v>45670</v>
      </c>
      <c r="I595" s="5" t="str">
        <f ca="1">IFERROR(__xludf.DUMMYFUNCTION("""COMPUTED_VALUE"""),"Zillow")</f>
        <v>Zillow</v>
      </c>
      <c r="J595" s="25" t="str">
        <f ca="1">IFERROR(__xludf.DUMMYFUNCTION("""COMPUTED_VALUE"""),"https://www.zillow.com/homedetails/1318-S-Roxbury-Dr-111-Los-Angeles-CA-90035/95527136_zpid/")</f>
        <v>https://www.zillow.com/homedetails/1318-S-Roxbury-Dr-111-Los-Angeles-CA-90035/95527136_zpid/</v>
      </c>
      <c r="K595" s="5" t="str">
        <f ca="1">IFERROR(__xludf.DUMMYFUNCTION("""COMPUTED_VALUE"""),"Luis Hong")</f>
        <v>Luis Hong</v>
      </c>
      <c r="L595" s="5"/>
      <c r="M595" s="5" t="str">
        <f ca="1">IFERROR(__xludf.DUMMYFUNCTION("""COMPUTED_VALUE"""),"The property is a condo. It was was listed for rent on 7/18/2024 for $5,490 and on 8/13/2024, the listing was removed. It was listed again today for $7,000 which is a 27.5% increase. It states that it is fully furnished and they are looking for it to be r"&amp;"ented from 30 days to a year. ")</f>
        <v xml:space="preserve">The property is a condo. It was was listed for rent on 7/18/2024 for $5,490 and on 8/13/2024, the listing was removed. It was listed again today for $7,000 which is a 27.5% increase. It states that it is fully furnished and they are looking for it to be rented from 30 days to a year. </v>
      </c>
      <c r="N595" s="5" t="str">
        <f ca="1">IFERROR(__xludf.DUMMYFUNCTION("""COMPUTED_VALUE"""),"https://drive.google.com/open?id=11CnGV3lALjbiMyokzloBQaivJL-XwOdd, https://drive.google.com/open?id=1M3GRXoAT2vBfw1w0Us7846NvkaM82a1J")</f>
        <v>https://drive.google.com/open?id=11CnGV3lALjbiMyokzloBQaivJL-XwOdd, https://drive.google.com/open?id=1M3GRXoAT2vBfw1w0Us7846NvkaM82a1J</v>
      </c>
      <c r="O595" s="5">
        <f ca="1">IFERROR(__xludf.DUMMYFUNCTION("""COMPUTED_VALUE"""),4330013089)</f>
        <v>4330013089</v>
      </c>
      <c r="P595" s="5" t="str">
        <f ca="1">IFERROR(__xludf.DUMMYFUNCTION("""COMPUTED_VALUE"""),"(909) 918-7688")</f>
        <v>(909) 918-7688</v>
      </c>
      <c r="Q595" s="5"/>
      <c r="R595" s="5"/>
      <c r="S595" s="5"/>
      <c r="T595" s="5"/>
    </row>
    <row r="596" spans="1:20" ht="12.75">
      <c r="A596" s="24">
        <f ca="1">IFERROR(__xludf.DUMMYFUNCTION("""COMPUTED_VALUE"""),45670.7461662615)</f>
        <v>45670.746166261502</v>
      </c>
      <c r="B596" s="5" t="str">
        <f ca="1">IFERROR(__xludf.DUMMYFUNCTION("""COMPUTED_VALUE"""),"10228 Encino Ave")</f>
        <v>10228 Encino Ave</v>
      </c>
      <c r="C596" s="5" t="str">
        <f ca="1">IFERROR(__xludf.DUMMYFUNCTION("""COMPUTED_VALUE"""),"Northridge")</f>
        <v>Northridge</v>
      </c>
      <c r="D596" s="5" t="str">
        <f ca="1">IFERROR(__xludf.DUMMYFUNCTION("""COMPUTED_VALUE"""),"CA")</f>
        <v>CA</v>
      </c>
      <c r="E596" s="5">
        <f ca="1">IFERROR(__xludf.DUMMYFUNCTION("""COMPUTED_VALUE"""),91325)</f>
        <v>91325</v>
      </c>
      <c r="F596" s="19">
        <f ca="1">IFERROR(__xludf.DUMMYFUNCTION("""COMPUTED_VALUE"""),3800)</f>
        <v>3800</v>
      </c>
      <c r="G596" s="19">
        <f ca="1">IFERROR(__xludf.DUMMYFUNCTION("""COMPUTED_VALUE"""),5900)</f>
        <v>5900</v>
      </c>
      <c r="H596" s="18">
        <f ca="1">IFERROR(__xludf.DUMMYFUNCTION("""COMPUTED_VALUE"""),45667)</f>
        <v>45667</v>
      </c>
      <c r="I596" s="5" t="str">
        <f ca="1">IFERROR(__xludf.DUMMYFUNCTION("""COMPUTED_VALUE"""),"Zillow")</f>
        <v>Zillow</v>
      </c>
      <c r="J596" s="25" t="str">
        <f ca="1">IFERROR(__xludf.DUMMYFUNCTION("""COMPUTED_VALUE"""),"https://www.zillow.com/homedetails/10228-Encino-Ave-Northridge-CA-91325/20169508_zpid/")</f>
        <v>https://www.zillow.com/homedetails/10228-Encino-Ave-Northridge-CA-91325/20169508_zpid/</v>
      </c>
      <c r="K596" s="5"/>
      <c r="L596" s="5" t="str">
        <f ca="1">IFERROR(__xludf.DUMMYFUNCTION("""COMPUTED_VALUE"""),"Abraham")</f>
        <v>Abraham</v>
      </c>
      <c r="M596" s="5" t="str">
        <f ca="1">IFERROR(__xludf.DUMMYFUNCTION("""COMPUTED_VALUE"""),"Listing removed 8/28/21 and relisted 1/10/25")</f>
        <v>Listing removed 8/28/21 and relisted 1/10/25</v>
      </c>
      <c r="N596" s="5" t="str">
        <f ca="1">IFERROR(__xludf.DUMMYFUNCTION("""COMPUTED_VALUE"""),"https://drive.google.com/open?id=1ImIBxRr_-mjWNyXStbe7wphRr296sOav, https://drive.google.com/open?id=1K1ua7bNY85WlGjxuWme9WDqvD0JaygRK")</f>
        <v>https://drive.google.com/open?id=1ImIBxRr_-mjWNyXStbe7wphRr296sOav, https://drive.google.com/open?id=1K1ua7bNY85WlGjxuWme9WDqvD0JaygRK</v>
      </c>
      <c r="O596" s="5">
        <f ca="1">IFERROR(__xludf.DUMMYFUNCTION("""COMPUTED_VALUE"""),2734026003)</f>
        <v>2734026003</v>
      </c>
      <c r="P596" s="5"/>
      <c r="Q596" s="5"/>
      <c r="R596" s="5" t="str">
        <f ca="1">IFERROR(__xludf.DUMMYFUNCTION("""COMPUTED_VALUE"""),"(213)894-9702")</f>
        <v>(213)894-9702</v>
      </c>
      <c r="S596" s="5"/>
      <c r="T596" s="5"/>
    </row>
    <row r="597" spans="1:20" ht="12.75">
      <c r="A597" s="24">
        <f ca="1">IFERROR(__xludf.DUMMYFUNCTION("""COMPUTED_VALUE"""),45670.751071574)</f>
        <v>45670.751071573999</v>
      </c>
      <c r="B597" s="5" t="str">
        <f ca="1">IFERROR(__xludf.DUMMYFUNCTION("""COMPUTED_VALUE"""),"2227 Pearl St")</f>
        <v>2227 Pearl St</v>
      </c>
      <c r="C597" s="5" t="str">
        <f ca="1">IFERROR(__xludf.DUMMYFUNCTION("""COMPUTED_VALUE"""),"Santa Monica")</f>
        <v>Santa Monica</v>
      </c>
      <c r="D597" s="5" t="str">
        <f ca="1">IFERROR(__xludf.DUMMYFUNCTION("""COMPUTED_VALUE"""),"CA")</f>
        <v>CA</v>
      </c>
      <c r="E597" s="5">
        <f ca="1">IFERROR(__xludf.DUMMYFUNCTION("""COMPUTED_VALUE"""),90405)</f>
        <v>90405</v>
      </c>
      <c r="F597" s="19">
        <f ca="1">IFERROR(__xludf.DUMMYFUNCTION("""COMPUTED_VALUE"""),7200)</f>
        <v>7200</v>
      </c>
      <c r="G597" s="19">
        <f ca="1">IFERROR(__xludf.DUMMYFUNCTION("""COMPUTED_VALUE"""),8400)</f>
        <v>8400</v>
      </c>
      <c r="H597" s="18">
        <f ca="1">IFERROR(__xludf.DUMMYFUNCTION("""COMPUTED_VALUE"""),45671)</f>
        <v>45671</v>
      </c>
      <c r="I597" s="5" t="str">
        <f ca="1">IFERROR(__xludf.DUMMYFUNCTION("""COMPUTED_VALUE"""),"Zillow")</f>
        <v>Zillow</v>
      </c>
      <c r="J597" s="25" t="str">
        <f ca="1">IFERROR(__xludf.DUMMYFUNCTION("""COMPUTED_VALUE"""),"https://www.zillow.com/homedetails/2227-Pearl-St-Santa-Monica-CA-90405/20472937_zpid/")</f>
        <v>https://www.zillow.com/homedetails/2227-Pearl-St-Santa-Monica-CA-90405/20472937_zpid/</v>
      </c>
      <c r="K597" s="5"/>
      <c r="L597" s="5" t="str">
        <f ca="1">IFERROR(__xludf.DUMMYFUNCTION("""COMPUTED_VALUE"""),"Eric Pemberton")</f>
        <v>Eric Pemberton</v>
      </c>
      <c r="M597" s="5" t="str">
        <f ca="1">IFERROR(__xludf.DUMMYFUNCTION("""COMPUTED_VALUE"""),"No number listed, but matching name and address found here: https://www.bizprofile.net/ca/santa-monica/eric-pemberton-plumbing-inc and the same company listed here: https://www.yelp.com/biz/pure-flow-plumbing-company-santa-monica")</f>
        <v>No number listed, but matching name and address found here: https://www.bizprofile.net/ca/santa-monica/eric-pemberton-plumbing-inc and the same company listed here: https://www.yelp.com/biz/pure-flow-plumbing-company-santa-monica</v>
      </c>
      <c r="N597" s="5" t="str">
        <f ca="1">IFERROR(__xludf.DUMMYFUNCTION("""COMPUTED_VALUE"""),"https://drive.google.com/open?id=1dU_QCV3Vgm690ORB6Q73a_L8w_pvLd0H, https://drive.google.com/open?id=1V4nYVQqwouI-BYTcF8MtylWl3uB0-sGx")</f>
        <v>https://drive.google.com/open?id=1dU_QCV3Vgm690ORB6Q73a_L8w_pvLd0H, https://drive.google.com/open?id=1V4nYVQqwouI-BYTcF8MtylWl3uB0-sGx</v>
      </c>
      <c r="O597" s="5">
        <f ca="1">IFERROR(__xludf.DUMMYFUNCTION("""COMPUTED_VALUE"""),4273005029)</f>
        <v>4273005029</v>
      </c>
      <c r="P597" s="5"/>
      <c r="Q597" s="5"/>
      <c r="R597" s="5"/>
      <c r="S597" s="5"/>
      <c r="T597" s="5"/>
    </row>
    <row r="598" spans="1:20" ht="12.75">
      <c r="A598" s="24">
        <f ca="1">IFERROR(__xludf.DUMMYFUNCTION("""COMPUTED_VALUE"""),45670.752041412)</f>
        <v>45670.752041412001</v>
      </c>
      <c r="B598" s="5" t="str">
        <f ca="1">IFERROR(__xludf.DUMMYFUNCTION("""COMPUTED_VALUE"""),"316 Market St, Venice, CA 90291")</f>
        <v>316 Market St, Venice, CA 90291</v>
      </c>
      <c r="C598" s="5" t="str">
        <f ca="1">IFERROR(__xludf.DUMMYFUNCTION("""COMPUTED_VALUE"""),"Venice")</f>
        <v>Venice</v>
      </c>
      <c r="D598" s="5" t="str">
        <f ca="1">IFERROR(__xludf.DUMMYFUNCTION("""COMPUTED_VALUE"""),"CA")</f>
        <v>CA</v>
      </c>
      <c r="E598" s="5">
        <f ca="1">IFERROR(__xludf.DUMMYFUNCTION("""COMPUTED_VALUE"""),90291)</f>
        <v>90291</v>
      </c>
      <c r="F598" s="19">
        <f ca="1">IFERROR(__xludf.DUMMYFUNCTION("""COMPUTED_VALUE"""),8000)</f>
        <v>8000</v>
      </c>
      <c r="G598" s="19">
        <f ca="1">IFERROR(__xludf.DUMMYFUNCTION("""COMPUTED_VALUE"""),11000)</f>
        <v>11000</v>
      </c>
      <c r="H598" s="18">
        <f ca="1">IFERROR(__xludf.DUMMYFUNCTION("""COMPUTED_VALUE"""),45666)</f>
        <v>45666</v>
      </c>
      <c r="I598" s="5" t="str">
        <f ca="1">IFERROR(__xludf.DUMMYFUNCTION("""COMPUTED_VALUE"""),"Zillow")</f>
        <v>Zillow</v>
      </c>
      <c r="J598" s="25" t="str">
        <f ca="1">IFERROR(__xludf.DUMMYFUNCTION("""COMPUTED_VALUE"""),"https://www.zillow.com/homedetails/(undisclosed-Address)-Venice-CA-90291/20450249_zpid/?utm_campaign=iosappmessage&amp;utm_medium=referral&amp;utm_source=txtshare")</f>
        <v>https://www.zillow.com/homedetails/(undisclosed-Address)-Venice-CA-90291/20450249_zpid/?utm_campaign=iosappmessage&amp;utm_medium=referral&amp;utm_source=txtshare</v>
      </c>
      <c r="K598" s="5"/>
      <c r="L598" s="5"/>
      <c r="M598" s="5"/>
      <c r="N598" s="5" t="str">
        <f ca="1">IFERROR(__xludf.DUMMYFUNCTION("""COMPUTED_VALUE"""),"https://drive.google.com/open?id=14VZ3cuN8nmRt4YXJKZCmpuZu0ccei2cj, https://drive.google.com/open?id=1pR-S_333V5QP2PPD03G8yYE0PGJE5dOC")</f>
        <v>https://drive.google.com/open?id=14VZ3cuN8nmRt4YXJKZCmpuZu0ccei2cj, https://drive.google.com/open?id=1pR-S_333V5QP2PPD03G8yYE0PGJE5dOC</v>
      </c>
      <c r="O598" s="5" t="str">
        <f ca="1">IFERROR(__xludf.DUMMYFUNCTION("""COMPUTED_VALUE"""),"Not listed ")</f>
        <v xml:space="preserve">Not listed </v>
      </c>
      <c r="P598" s="5"/>
      <c r="Q598" s="5"/>
      <c r="R598" s="5"/>
      <c r="S598" s="5"/>
      <c r="T598" s="5"/>
    </row>
    <row r="599" spans="1:20" ht="12.75">
      <c r="A599" s="24">
        <f ca="1">IFERROR(__xludf.DUMMYFUNCTION("""COMPUTED_VALUE"""),45670.7531293518)</f>
        <v>45670.753129351797</v>
      </c>
      <c r="B599" s="5" t="str">
        <f ca="1">IFERROR(__xludf.DUMMYFUNCTION("""COMPUTED_VALUE"""),"9907 National Blvd")</f>
        <v>9907 National Blvd</v>
      </c>
      <c r="C599" s="5" t="str">
        <f ca="1">IFERROR(__xludf.DUMMYFUNCTION("""COMPUTED_VALUE"""),"Los Angeles")</f>
        <v>Los Angeles</v>
      </c>
      <c r="D599" s="5" t="str">
        <f ca="1">IFERROR(__xludf.DUMMYFUNCTION("""COMPUTED_VALUE"""),"CA")</f>
        <v>CA</v>
      </c>
      <c r="E599" s="5">
        <f ca="1">IFERROR(__xludf.DUMMYFUNCTION("""COMPUTED_VALUE"""),90034)</f>
        <v>90034</v>
      </c>
      <c r="F599" s="19">
        <f ca="1">IFERROR(__xludf.DUMMYFUNCTION("""COMPUTED_VALUE"""),4000)</f>
        <v>4000</v>
      </c>
      <c r="G599" s="19">
        <f ca="1">IFERROR(__xludf.DUMMYFUNCTION("""COMPUTED_VALUE"""),5000)</f>
        <v>5000</v>
      </c>
      <c r="H599" s="18">
        <f ca="1">IFERROR(__xludf.DUMMYFUNCTION("""COMPUTED_VALUE"""),45664)</f>
        <v>45664</v>
      </c>
      <c r="I599" s="5" t="str">
        <f ca="1">IFERROR(__xludf.DUMMYFUNCTION("""COMPUTED_VALUE"""),"Zillow")</f>
        <v>Zillow</v>
      </c>
      <c r="J599" s="25" t="str">
        <f ca="1">IFERROR(__xludf.DUMMYFUNCTION("""COMPUTED_VALUE"""),"https://www.zillow.com/homedetails/9907-National-Blvd-Los-Angeles-CA-90034/402290876_zpid/")</f>
        <v>https://www.zillow.com/homedetails/9907-National-Blvd-Los-Angeles-CA-90034/402290876_zpid/</v>
      </c>
      <c r="K599" s="5" t="str">
        <f ca="1">IFERROR(__xludf.DUMMYFUNCTION("""COMPUTED_VALUE"""),"Teresa")</f>
        <v>Teresa</v>
      </c>
      <c r="L599" s="5"/>
      <c r="M599" s="5" t="str">
        <f ca="1">IFERROR(__xludf.DUMMYFUNCTION("""COMPUTED_VALUE"""),"Listing removed on 8/15/24 and then relisted 1/7/25")</f>
        <v>Listing removed on 8/15/24 and then relisted 1/7/25</v>
      </c>
      <c r="N599" s="5" t="str">
        <f ca="1">IFERROR(__xludf.DUMMYFUNCTION("""COMPUTED_VALUE"""),"https://drive.google.com/open?id=1Au5hpfLfUfrWx6FEwcVG3gwGO26ukwFc, https://drive.google.com/open?id=1ZOyumGC9MJT42hStRQRJ4UKaZuJBIrAA")</f>
        <v>https://drive.google.com/open?id=1Au5hpfLfUfrWx6FEwcVG3gwGO26ukwFc, https://drive.google.com/open?id=1ZOyumGC9MJT42hStRQRJ4UKaZuJBIrAA</v>
      </c>
      <c r="O599" s="5" t="str">
        <f ca="1">IFERROR(__xludf.DUMMYFUNCTION("""COMPUTED_VALUE"""),"NA")</f>
        <v>NA</v>
      </c>
      <c r="P599" s="5" t="str">
        <f ca="1">IFERROR(__xludf.DUMMYFUNCTION("""COMPUTED_VALUE"""),"(213)699-3155")</f>
        <v>(213)699-3155</v>
      </c>
      <c r="Q599" s="5"/>
      <c r="R599" s="5"/>
      <c r="S599" s="5"/>
      <c r="T599" s="5"/>
    </row>
    <row r="600" spans="1:20" ht="12.75">
      <c r="A600" s="24">
        <f ca="1">IFERROR(__xludf.DUMMYFUNCTION("""COMPUTED_VALUE"""),45670.753554618)</f>
        <v>45670.753554618001</v>
      </c>
      <c r="B600" s="5" t="str">
        <f ca="1">IFERROR(__xludf.DUMMYFUNCTION("""COMPUTED_VALUE"""),"709 E Manchester Blvd")</f>
        <v>709 E Manchester Blvd</v>
      </c>
      <c r="C600" s="5" t="str">
        <f ca="1">IFERROR(__xludf.DUMMYFUNCTION("""COMPUTED_VALUE"""),"Inglewood")</f>
        <v>Inglewood</v>
      </c>
      <c r="D600" s="5" t="str">
        <f ca="1">IFERROR(__xludf.DUMMYFUNCTION("""COMPUTED_VALUE"""),"CA")</f>
        <v>CA</v>
      </c>
      <c r="E600" s="5">
        <f ca="1">IFERROR(__xludf.DUMMYFUNCTION("""COMPUTED_VALUE"""),90301)</f>
        <v>90301</v>
      </c>
      <c r="F600" s="19">
        <f ca="1">IFERROR(__xludf.DUMMYFUNCTION("""COMPUTED_VALUE"""),3825)</f>
        <v>3825</v>
      </c>
      <c r="G600" s="19">
        <f ca="1">IFERROR(__xludf.DUMMYFUNCTION("""COMPUTED_VALUE"""),5000)</f>
        <v>5000</v>
      </c>
      <c r="H600" s="18">
        <f ca="1">IFERROR(__xludf.DUMMYFUNCTION("""COMPUTED_VALUE"""),45671)</f>
        <v>45671</v>
      </c>
      <c r="I600" s="5" t="str">
        <f ca="1">IFERROR(__xludf.DUMMYFUNCTION("""COMPUTED_VALUE"""),"Zillow")</f>
        <v>Zillow</v>
      </c>
      <c r="J600" s="25" t="str">
        <f ca="1">IFERROR(__xludf.DUMMYFUNCTION("""COMPUTED_VALUE"""),"https://www.zillow.com/homedetails/709-E-Manchester-Blvd-Inglewood-CA-90301/20336485_zpid/")</f>
        <v>https://www.zillow.com/homedetails/709-E-Manchester-Blvd-Inglewood-CA-90301/20336485_zpid/</v>
      </c>
      <c r="K600" s="5" t="str">
        <f ca="1">IFERROR(__xludf.DUMMYFUNCTION("""COMPUTED_VALUE"""),"Allen Duan")</f>
        <v>Allen Duan</v>
      </c>
      <c r="L600" s="5"/>
      <c r="M600" s="5" t="str">
        <f ca="1">IFERROR(__xludf.DUMMYFUNCTION("""COMPUTED_VALUE"""),"Repeat offender")</f>
        <v>Repeat offender</v>
      </c>
      <c r="N600" s="5" t="str">
        <f ca="1">IFERROR(__xludf.DUMMYFUNCTION("""COMPUTED_VALUE"""),"https://drive.google.com/open?id=1Is820YGYW2mRPBc63-RFypG1sr0NKdxJ, https://drive.google.com/open?id=1lzmqhYHW_bRxFtfBSXt86Lb3N4Gi0Z1v")</f>
        <v>https://drive.google.com/open?id=1Is820YGYW2mRPBc63-RFypG1sr0NKdxJ, https://drive.google.com/open?id=1lzmqhYHW_bRxFtfBSXt86Lb3N4Gi0Z1v</v>
      </c>
      <c r="O600" s="5">
        <f ca="1">IFERROR(__xludf.DUMMYFUNCTION("""COMPUTED_VALUE"""),4021027014)</f>
        <v>4021027014</v>
      </c>
      <c r="P600" s="5" t="str">
        <f ca="1">IFERROR(__xludf.DUMMYFUNCTION("""COMPUTED_VALUE"""),"(781) 512-6397")</f>
        <v>(781) 512-6397</v>
      </c>
      <c r="Q600" s="5"/>
      <c r="R600" s="5"/>
      <c r="S600" s="5"/>
      <c r="T600" s="5"/>
    </row>
    <row r="601" spans="1:20" ht="12.75">
      <c r="A601" s="24">
        <f ca="1">IFERROR(__xludf.DUMMYFUNCTION("""COMPUTED_VALUE"""),45670.7594426041)</f>
        <v>45670.759442604103</v>
      </c>
      <c r="B601" s="5" t="str">
        <f ca="1">IFERROR(__xludf.DUMMYFUNCTION("""COMPUTED_VALUE"""),"225 Sherman Canal Ct")</f>
        <v>225 Sherman Canal Ct</v>
      </c>
      <c r="C601" s="5" t="str">
        <f ca="1">IFERROR(__xludf.DUMMYFUNCTION("""COMPUTED_VALUE"""),"Venice")</f>
        <v>Venice</v>
      </c>
      <c r="D601" s="5" t="str">
        <f ca="1">IFERROR(__xludf.DUMMYFUNCTION("""COMPUTED_VALUE"""),"CA")</f>
        <v>CA</v>
      </c>
      <c r="E601" s="5">
        <f ca="1">IFERROR(__xludf.DUMMYFUNCTION("""COMPUTED_VALUE"""),90291)</f>
        <v>90291</v>
      </c>
      <c r="F601" s="19">
        <f ca="1">IFERROR(__xludf.DUMMYFUNCTION("""COMPUTED_VALUE"""),11000)</f>
        <v>11000</v>
      </c>
      <c r="G601" s="19">
        <f ca="1">IFERROR(__xludf.DUMMYFUNCTION("""COMPUTED_VALUE"""),15000)</f>
        <v>15000</v>
      </c>
      <c r="H601" s="18">
        <f ca="1">IFERROR(__xludf.DUMMYFUNCTION("""COMPUTED_VALUE"""),45666)</f>
        <v>45666</v>
      </c>
      <c r="I601" s="5" t="str">
        <f ca="1">IFERROR(__xludf.DUMMYFUNCTION("""COMPUTED_VALUE"""),"Zillow")</f>
        <v>Zillow</v>
      </c>
      <c r="J601" s="25" t="str">
        <f ca="1">IFERROR(__xludf.DUMMYFUNCTION("""COMPUTED_VALUE"""),"https://www.zillow.com/homedetails/225-Sherman-Canal-Venice-CA-90291/20444095_zpid/?utm_campaign=iosappmessage&amp;utm_medium=referral&amp;utm_source=txtshare")</f>
        <v>https://www.zillow.com/homedetails/225-Sherman-Canal-Venice-CA-90291/20444095_zpid/?utm_campaign=iosappmessage&amp;utm_medium=referral&amp;utm_source=txtshare</v>
      </c>
      <c r="K601" s="5"/>
      <c r="L601" s="5"/>
      <c r="M601" s="5"/>
      <c r="N601" s="5" t="str">
        <f ca="1">IFERROR(__xludf.DUMMYFUNCTION("""COMPUTED_VALUE"""),"https://drive.google.com/open?id=1XqZlgInh7t244FvwtkKxrIBRQcsAD4bA, https://drive.google.com/open?id=1QxH90tHzV1O0Qcic-oKeOjGMEU51aKjQ")</f>
        <v>https://drive.google.com/open?id=1XqZlgInh7t244FvwtkKxrIBRQcsAD4bA, https://drive.google.com/open?id=1QxH90tHzV1O0Qcic-oKeOjGMEU51aKjQ</v>
      </c>
      <c r="O601" s="5" t="str">
        <f ca="1">IFERROR(__xludf.DUMMYFUNCTION("""COMPUTED_VALUE"""),"Not listed ")</f>
        <v xml:space="preserve">Not listed </v>
      </c>
      <c r="P601" s="5"/>
      <c r="Q601" s="5"/>
      <c r="R601" s="5"/>
      <c r="S601" s="5"/>
      <c r="T601" s="5"/>
    </row>
    <row r="602" spans="1:20" ht="12.75">
      <c r="A602" s="24">
        <f ca="1">IFERROR(__xludf.DUMMYFUNCTION("""COMPUTED_VALUE"""),45670.7608762615)</f>
        <v>45670.760876261498</v>
      </c>
      <c r="B602" s="5" t="str">
        <f ca="1">IFERROR(__xludf.DUMMYFUNCTION("""COMPUTED_VALUE"""),"8590 Hollywood Boulevard")</f>
        <v>8590 Hollywood Boulevard</v>
      </c>
      <c r="C602" s="5" t="str">
        <f ca="1">IFERROR(__xludf.DUMMYFUNCTION("""COMPUTED_VALUE"""),"Los Angeles")</f>
        <v>Los Angeles</v>
      </c>
      <c r="D602" s="5" t="str">
        <f ca="1">IFERROR(__xludf.DUMMYFUNCTION("""COMPUTED_VALUE"""),"CA")</f>
        <v>CA</v>
      </c>
      <c r="E602" s="5">
        <f ca="1">IFERROR(__xludf.DUMMYFUNCTION("""COMPUTED_VALUE"""),90069)</f>
        <v>90069</v>
      </c>
      <c r="F602" s="19">
        <f ca="1">IFERROR(__xludf.DUMMYFUNCTION("""COMPUTED_VALUE"""),25000)</f>
        <v>25000</v>
      </c>
      <c r="G602" s="19">
        <f ca="1">IFERROR(__xludf.DUMMYFUNCTION("""COMPUTED_VALUE"""),55000)</f>
        <v>55000</v>
      </c>
      <c r="H602" s="18">
        <f ca="1">IFERROR(__xludf.DUMMYFUNCTION("""COMPUTED_VALUE"""),45671)</f>
        <v>45671</v>
      </c>
      <c r="I602" s="5" t="str">
        <f ca="1">IFERROR(__xludf.DUMMYFUNCTION("""COMPUTED_VALUE"""),"Zillow")</f>
        <v>Zillow</v>
      </c>
      <c r="J602" s="25" t="str">
        <f ca="1">IFERROR(__xludf.DUMMYFUNCTION("""COMPUTED_VALUE"""),"https://www.zillow.com/homedetails/8590-Hollywood-Blvd-Los-Angeles-CA-90069/20797372_zpid/")</f>
        <v>https://www.zillow.com/homedetails/8590-Hollywood-Blvd-Los-Angeles-CA-90069/20797372_zpid/</v>
      </c>
      <c r="K602" s="5"/>
      <c r="L602" s="5" t="str">
        <f ca="1">IFERROR(__xludf.DUMMYFUNCTION("""COMPUTED_VALUE"""),"Charla Nielsen")</f>
        <v>Charla Nielsen</v>
      </c>
      <c r="M602" s="5" t="str">
        <f ca="1">IFERROR(__xludf.DUMMYFUNCTION("""COMPUTED_VALUE"""),"This property was listed on 10/4/2024 for $25,000, removed on 10/29/2024, then listed again for $55,000 (a 120% increase) on 1/14/2024. I'm not sure how it says 1/14/2024 as that is tomorrow's date - perhaps it's scheduled to increase tomorrow. It says th"&amp;"e property is available January 20th, furnished and for ""short term lease."" ")</f>
        <v xml:space="preserve">This property was listed on 10/4/2024 for $25,000, removed on 10/29/2024, then listed again for $55,000 (a 120% increase) on 1/14/2024. I'm not sure how it says 1/14/2024 as that is tomorrow's date - perhaps it's scheduled to increase tomorrow. It says the property is available January 20th, furnished and for "short term lease." </v>
      </c>
      <c r="N602" s="5" t="str">
        <f ca="1">IFERROR(__xludf.DUMMYFUNCTION("""COMPUTED_VALUE"""),"https://drive.google.com/open?id=1nw32peEtMvI36eUjSZi0M47H82HWf7i-, https://drive.google.com/open?id=1O0lu9qiF00n7llkin5FaoELG3oeNcIaX, https://drive.google.com/open?id=1rtz-wMzpzGpx_W50xBHw6BIVbPwiyCT3")</f>
        <v>https://drive.google.com/open?id=1nw32peEtMvI36eUjSZi0M47H82HWf7i-, https://drive.google.com/open?id=1O0lu9qiF00n7llkin5FaoELG3oeNcIaX, https://drive.google.com/open?id=1rtz-wMzpzGpx_W50xBHw6BIVbPwiyCT3</v>
      </c>
      <c r="O602" s="5">
        <f ca="1">IFERROR(__xludf.DUMMYFUNCTION("""COMPUTED_VALUE"""),5555016012)</f>
        <v>5555016012</v>
      </c>
      <c r="P602" s="5"/>
      <c r="Q602" s="5"/>
      <c r="R602" s="5" t="str">
        <f ca="1">IFERROR(__xludf.DUMMYFUNCTION("""COMPUTED_VALUE"""),"(559) 269-2900")</f>
        <v>(559) 269-2900</v>
      </c>
      <c r="S602" s="5"/>
      <c r="T602" s="5"/>
    </row>
    <row r="603" spans="1:20" ht="12.75">
      <c r="A603" s="24">
        <f ca="1">IFERROR(__xludf.DUMMYFUNCTION("""COMPUTED_VALUE"""),45670.7641799537)</f>
        <v>45670.764179953701</v>
      </c>
      <c r="B603" s="5" t="str">
        <f ca="1">IFERROR(__xludf.DUMMYFUNCTION("""COMPUTED_VALUE"""),"1023 S Stanley Ave")</f>
        <v>1023 S Stanley Ave</v>
      </c>
      <c r="C603" s="5" t="str">
        <f ca="1">IFERROR(__xludf.DUMMYFUNCTION("""COMPUTED_VALUE"""),"Los Angeles")</f>
        <v>Los Angeles</v>
      </c>
      <c r="D603" s="5" t="str">
        <f ca="1">IFERROR(__xludf.DUMMYFUNCTION("""COMPUTED_VALUE"""),"CA")</f>
        <v>CA</v>
      </c>
      <c r="E603" s="5">
        <f ca="1">IFERROR(__xludf.DUMMYFUNCTION("""COMPUTED_VALUE"""),90019)</f>
        <v>90019</v>
      </c>
      <c r="F603" s="19">
        <f ca="1">IFERROR(__xludf.DUMMYFUNCTION("""COMPUTED_VALUE"""),5800)</f>
        <v>5800</v>
      </c>
      <c r="G603" s="19">
        <f ca="1">IFERROR(__xludf.DUMMYFUNCTION("""COMPUTED_VALUE"""),6500)</f>
        <v>6500</v>
      </c>
      <c r="H603" s="18">
        <f ca="1">IFERROR(__xludf.DUMMYFUNCTION("""COMPUTED_VALUE"""),45666)</f>
        <v>45666</v>
      </c>
      <c r="I603" s="5" t="str">
        <f ca="1">IFERROR(__xludf.DUMMYFUNCTION("""COMPUTED_VALUE"""),"Zillow")</f>
        <v>Zillow</v>
      </c>
      <c r="J603" s="25" t="str">
        <f ca="1">IFERROR(__xludf.DUMMYFUNCTION("""COMPUTED_VALUE"""),"https://www.zillow.com/homedetails/1023-S-Stanley-Ave-Los-Angeles-CA-90019/20607748_zpid/")</f>
        <v>https://www.zillow.com/homedetails/1023-S-Stanley-Ave-Los-Angeles-CA-90019/20607748_zpid/</v>
      </c>
      <c r="K603" s="5"/>
      <c r="L603" s="5" t="str">
        <f ca="1">IFERROR(__xludf.DUMMYFUNCTION("""COMPUTED_VALUE"""),"PM Mani")</f>
        <v>PM Mani</v>
      </c>
      <c r="M603" s="5" t="str">
        <f ca="1">IFERROR(__xludf.DUMMYFUNCTION("""COMPUTED_VALUE"""),"Listing was removed on 1/5/22 and then relisted 1/9/25")</f>
        <v>Listing was removed on 1/5/22 and then relisted 1/9/25</v>
      </c>
      <c r="N603" s="5" t="str">
        <f ca="1">IFERROR(__xludf.DUMMYFUNCTION("""COMPUTED_VALUE"""),"https://drive.google.com/open?id=11b1uPuBCno7yz-GPXVJWLrMG9aqyPZEC, https://drive.google.com/open?id=135qTqST8eZZ_2A-nQuIFRRC27_6Hu8gt")</f>
        <v>https://drive.google.com/open?id=11b1uPuBCno7yz-GPXVJWLrMG9aqyPZEC, https://drive.google.com/open?id=135qTqST8eZZ_2A-nQuIFRRC27_6Hu8gt</v>
      </c>
      <c r="O603" s="5">
        <f ca="1">IFERROR(__xludf.DUMMYFUNCTION("""COMPUTED_VALUE"""),5085001018)</f>
        <v>5085001018</v>
      </c>
      <c r="P603" s="5"/>
      <c r="Q603" s="5"/>
      <c r="R603" s="5" t="str">
        <f ca="1">IFERROR(__xludf.DUMMYFUNCTION("""COMPUTED_VALUE"""),"(213)933-7440")</f>
        <v>(213)933-7440</v>
      </c>
      <c r="S603" s="5"/>
      <c r="T603" s="5"/>
    </row>
    <row r="604" spans="1:20" ht="12.75">
      <c r="A604" s="24">
        <f ca="1">IFERROR(__xludf.DUMMYFUNCTION("""COMPUTED_VALUE"""),45670.7682118287)</f>
        <v>45670.768211828698</v>
      </c>
      <c r="B604" s="5" t="str">
        <f ca="1">IFERROR(__xludf.DUMMYFUNCTION("""COMPUTED_VALUE"""),"2333 Grand Canal Walk")</f>
        <v>2333 Grand Canal Walk</v>
      </c>
      <c r="C604" s="5" t="str">
        <f ca="1">IFERROR(__xludf.DUMMYFUNCTION("""COMPUTED_VALUE"""),"Venice")</f>
        <v>Venice</v>
      </c>
      <c r="D604" s="5" t="str">
        <f ca="1">IFERROR(__xludf.DUMMYFUNCTION("""COMPUTED_VALUE"""),"CA")</f>
        <v>CA</v>
      </c>
      <c r="E604" s="5">
        <f ca="1">IFERROR(__xludf.DUMMYFUNCTION("""COMPUTED_VALUE"""),90291)</f>
        <v>90291</v>
      </c>
      <c r="F604" s="19">
        <f ca="1">IFERROR(__xludf.DUMMYFUNCTION("""COMPUTED_VALUE"""),11000)</f>
        <v>11000</v>
      </c>
      <c r="G604" s="19">
        <f ca="1">IFERROR(__xludf.DUMMYFUNCTION("""COMPUTED_VALUE"""),16500)</f>
        <v>16500</v>
      </c>
      <c r="H604" s="18">
        <f ca="1">IFERROR(__xludf.DUMMYFUNCTION("""COMPUTED_VALUE"""),45666)</f>
        <v>45666</v>
      </c>
      <c r="I604" s="5" t="str">
        <f ca="1">IFERROR(__xludf.DUMMYFUNCTION("""COMPUTED_VALUE"""),"Zillow")</f>
        <v>Zillow</v>
      </c>
      <c r="J604" s="25" t="str">
        <f ca="1">IFERROR(__xludf.DUMMYFUNCTION("""COMPUTED_VALUE"""),"https://www.zillow.com/homedetails/(undisclosed-Address)-Venice-CA-90291/443897944_zpid/?utm_campaign=iosappmessage&amp;utm_medium=referral&amp;utm_source=txtshare")</f>
        <v>https://www.zillow.com/homedetails/(undisclosed-Address)-Venice-CA-90291/443897944_zpid/?utm_campaign=iosappmessage&amp;utm_medium=referral&amp;utm_source=txtshare</v>
      </c>
      <c r="K604" s="5" t="str">
        <f ca="1">IFERROR(__xludf.DUMMYFUNCTION("""COMPUTED_VALUE"""),"Donna Bohana")</f>
        <v>Donna Bohana</v>
      </c>
      <c r="L604" s="5"/>
      <c r="M604" s="5"/>
      <c r="N604" s="5" t="str">
        <f ca="1">IFERROR(__xludf.DUMMYFUNCTION("""COMPUTED_VALUE"""),"https://drive.google.com/open?id=1LOQfUgMf7LQWah7gcc2OQc6fjvYjm8eW, https://drive.google.com/open?id=15Ac3W1uY-vpAhy751PRjYcYh1vWMkl2l")</f>
        <v>https://drive.google.com/open?id=1LOQfUgMf7LQWah7gcc2OQc6fjvYjm8eW, https://drive.google.com/open?id=15Ac3W1uY-vpAhy751PRjYcYh1vWMkl2l</v>
      </c>
      <c r="O604" s="5" t="str">
        <f ca="1">IFERROR(__xludf.DUMMYFUNCTION("""COMPUTED_VALUE"""),"NA")</f>
        <v>NA</v>
      </c>
      <c r="P604" s="5"/>
      <c r="Q604" s="5"/>
      <c r="R604" s="5"/>
      <c r="S604" s="5"/>
      <c r="T604" s="5"/>
    </row>
    <row r="605" spans="1:20" ht="12.75">
      <c r="A605" s="24">
        <f ca="1">IFERROR(__xludf.DUMMYFUNCTION("""COMPUTED_VALUE"""),45670.7708522222)</f>
        <v>45670.770852222202</v>
      </c>
      <c r="B605" s="5" t="str">
        <f ca="1">IFERROR(__xludf.DUMMYFUNCTION("""COMPUTED_VALUE"""),"Undisclosed address")</f>
        <v>Undisclosed address</v>
      </c>
      <c r="C605" s="5" t="str">
        <f ca="1">IFERROR(__xludf.DUMMYFUNCTION("""COMPUTED_VALUE"""),"Tarzana")</f>
        <v>Tarzana</v>
      </c>
      <c r="D605" s="5" t="str">
        <f ca="1">IFERROR(__xludf.DUMMYFUNCTION("""COMPUTED_VALUE"""),"CA")</f>
        <v>CA</v>
      </c>
      <c r="E605" s="5">
        <f ca="1">IFERROR(__xludf.DUMMYFUNCTION("""COMPUTED_VALUE"""),91356)</f>
        <v>91356</v>
      </c>
      <c r="F605" s="19">
        <f ca="1">IFERROR(__xludf.DUMMYFUNCTION("""COMPUTED_VALUE"""),16000)</f>
        <v>16000</v>
      </c>
      <c r="G605" s="19">
        <f ca="1">IFERROR(__xludf.DUMMYFUNCTION("""COMPUTED_VALUE"""),24000)</f>
        <v>24000</v>
      </c>
      <c r="H605" s="18">
        <f ca="1">IFERROR(__xludf.DUMMYFUNCTION("""COMPUTED_VALUE"""),45666)</f>
        <v>45666</v>
      </c>
      <c r="I605" s="5" t="str">
        <f ca="1">IFERROR(__xludf.DUMMYFUNCTION("""COMPUTED_VALUE"""),"Zillow")</f>
        <v>Zillow</v>
      </c>
      <c r="J605" s="25" t="str">
        <f ca="1">IFERROR(__xludf.DUMMYFUNCTION("""COMPUTED_VALUE"""),"https://www.zillow.com/homedetails/Tarzana-CA-91356/19948070_zpid/")</f>
        <v>https://www.zillow.com/homedetails/Tarzana-CA-91356/19948070_zpid/</v>
      </c>
      <c r="K605" s="5"/>
      <c r="L605" s="5" t="str">
        <f ca="1">IFERROR(__xludf.DUMMYFUNCTION("""COMPUTED_VALUE"""),"E. yar")</f>
        <v>E. yar</v>
      </c>
      <c r="M605" s="5" t="str">
        <f ca="1">IFERROR(__xludf.DUMMYFUNCTION("""COMPUTED_VALUE"""),"listing was removed on 3/2/24 and relisted 1/9/25")</f>
        <v>listing was removed on 3/2/24 and relisted 1/9/25</v>
      </c>
      <c r="N605" s="5" t="str">
        <f ca="1">IFERROR(__xludf.DUMMYFUNCTION("""COMPUTED_VALUE"""),"https://drive.google.com/open?id=1RB1H_NaErj9GPtDdcSKOLrxB_gsdNZZL, https://drive.google.com/open?id=1gjVcv06nRyASpIy6pQvPzt8DwG1e4gY8")</f>
        <v>https://drive.google.com/open?id=1RB1H_NaErj9GPtDdcSKOLrxB_gsdNZZL, https://drive.google.com/open?id=1gjVcv06nRyASpIy6pQvPzt8DwG1e4gY8</v>
      </c>
      <c r="O605" s="5" t="str">
        <f ca="1">IFERROR(__xludf.DUMMYFUNCTION("""COMPUTED_VALUE"""),"NA")</f>
        <v>NA</v>
      </c>
      <c r="P605" s="5"/>
      <c r="Q605" s="5"/>
      <c r="R605" s="5" t="str">
        <f ca="1">IFERROR(__xludf.DUMMYFUNCTION("""COMPUTED_VALUE"""),"(820)500-4533")</f>
        <v>(820)500-4533</v>
      </c>
      <c r="S605" s="5"/>
      <c r="T605" s="5"/>
    </row>
    <row r="606" spans="1:20" ht="12.75">
      <c r="A606" s="24">
        <f ca="1">IFERROR(__xludf.DUMMYFUNCTION("""COMPUTED_VALUE"""),45670.7709926967)</f>
        <v>45670.7709926967</v>
      </c>
      <c r="B606" s="5" t="str">
        <f ca="1">IFERROR(__xludf.DUMMYFUNCTION("""COMPUTED_VALUE"""),"700 Main St UNIT 25")</f>
        <v>700 Main St UNIT 25</v>
      </c>
      <c r="C606" s="5" t="str">
        <f ca="1">IFERROR(__xludf.DUMMYFUNCTION("""COMPUTED_VALUE"""),"Venice")</f>
        <v>Venice</v>
      </c>
      <c r="D606" s="5" t="str">
        <f ca="1">IFERROR(__xludf.DUMMYFUNCTION("""COMPUTED_VALUE"""),"CA")</f>
        <v>CA</v>
      </c>
      <c r="E606" s="5">
        <f ca="1">IFERROR(__xludf.DUMMYFUNCTION("""COMPUTED_VALUE"""),90291)</f>
        <v>90291</v>
      </c>
      <c r="F606" s="19">
        <f ca="1">IFERROR(__xludf.DUMMYFUNCTION("""COMPUTED_VALUE"""),11000)</f>
        <v>11000</v>
      </c>
      <c r="G606" s="19">
        <f ca="1">IFERROR(__xludf.DUMMYFUNCTION("""COMPUTED_VALUE"""),15000)</f>
        <v>15000</v>
      </c>
      <c r="H606" s="18">
        <f ca="1">IFERROR(__xludf.DUMMYFUNCTION("""COMPUTED_VALUE"""),45667)</f>
        <v>45667</v>
      </c>
      <c r="I606" s="5" t="str">
        <f ca="1">IFERROR(__xludf.DUMMYFUNCTION("""COMPUTED_VALUE"""),"Zillow")</f>
        <v>Zillow</v>
      </c>
      <c r="J606" s="25" t="str">
        <f ca="1">IFERROR(__xludf.DUMMYFUNCTION("""COMPUTED_VALUE"""),"https://www.zillow.com/homedetails/700-Main-St-UNIT-25-Venice-CA-90291/82877585_zpid/?utm_campaign=iosappmessage&amp;utm_medium=referral&amp;utm_source=txtshare")</f>
        <v>https://www.zillow.com/homedetails/700-Main-St-UNIT-25-Venice-CA-90291/82877585_zpid/?utm_campaign=iosappmessage&amp;utm_medium=referral&amp;utm_source=txtshare</v>
      </c>
      <c r="K606" s="5"/>
      <c r="L606" s="5"/>
      <c r="M606" s="5"/>
      <c r="N606" s="5" t="str">
        <f ca="1">IFERROR(__xludf.DUMMYFUNCTION("""COMPUTED_VALUE"""),"https://drive.google.com/open?id=18kl2Vc5lBYwFNmlcTbLJFd4HHe-YQDbc, https://drive.google.com/open?id=1gmbYzT4vgpA9lRXQfkN7_t3Qf4sJSldQ")</f>
        <v>https://drive.google.com/open?id=18kl2Vc5lBYwFNmlcTbLJFd4HHe-YQDbc, https://drive.google.com/open?id=1gmbYzT4vgpA9lRXQfkN7_t3Qf4sJSldQ</v>
      </c>
      <c r="O606" s="5" t="str">
        <f ca="1">IFERROR(__xludf.DUMMYFUNCTION("""COMPUTED_VALUE"""),"NA")</f>
        <v>NA</v>
      </c>
      <c r="P606" s="5"/>
      <c r="Q606" s="5"/>
      <c r="R606" s="5"/>
      <c r="S606" s="5"/>
      <c r="T606" s="5"/>
    </row>
    <row r="607" spans="1:20" ht="12.75">
      <c r="A607" s="24">
        <f ca="1">IFERROR(__xludf.DUMMYFUNCTION("""COMPUTED_VALUE"""),45670.7748592939)</f>
        <v>45670.774859293902</v>
      </c>
      <c r="B607" s="5" t="str">
        <f ca="1">IFERROR(__xludf.DUMMYFUNCTION("""COMPUTED_VALUE"""),"15236 Hesby St")</f>
        <v>15236 Hesby St</v>
      </c>
      <c r="C607" s="5" t="str">
        <f ca="1">IFERROR(__xludf.DUMMYFUNCTION("""COMPUTED_VALUE"""),"Sherman Oaks")</f>
        <v>Sherman Oaks</v>
      </c>
      <c r="D607" s="5" t="str">
        <f ca="1">IFERROR(__xludf.DUMMYFUNCTION("""COMPUTED_VALUE"""),"CA")</f>
        <v>CA</v>
      </c>
      <c r="E607" s="5">
        <f ca="1">IFERROR(__xludf.DUMMYFUNCTION("""COMPUTED_VALUE"""),91403)</f>
        <v>91403</v>
      </c>
      <c r="F607" s="19">
        <f ca="1">IFERROR(__xludf.DUMMYFUNCTION("""COMPUTED_VALUE"""),3300)</f>
        <v>3300</v>
      </c>
      <c r="G607" s="19">
        <f ca="1">IFERROR(__xludf.DUMMYFUNCTION("""COMPUTED_VALUE"""),6450)</f>
        <v>6450</v>
      </c>
      <c r="H607" s="18">
        <f ca="1">IFERROR(__xludf.DUMMYFUNCTION("""COMPUTED_VALUE"""),45667)</f>
        <v>45667</v>
      </c>
      <c r="I607" s="5" t="str">
        <f ca="1">IFERROR(__xludf.DUMMYFUNCTION("""COMPUTED_VALUE"""),"Zillow")</f>
        <v>Zillow</v>
      </c>
      <c r="J607" s="25" t="str">
        <f ca="1">IFERROR(__xludf.DUMMYFUNCTION("""COMPUTED_VALUE"""),"https://www.zillow.com/homedetails/15236-Hesby-St-Sherman-Oaks-CA-91403/19982151_zpid/")</f>
        <v>https://www.zillow.com/homedetails/15236-Hesby-St-Sherman-Oaks-CA-91403/19982151_zpid/</v>
      </c>
      <c r="K607" s="5"/>
      <c r="L607" s="5" t="str">
        <f ca="1">IFERROR(__xludf.DUMMYFUNCTION("""COMPUTED_VALUE"""),"Andrew")</f>
        <v>Andrew</v>
      </c>
      <c r="M607" s="5" t="str">
        <f ca="1">IFERROR(__xludf.DUMMYFUNCTION("""COMPUTED_VALUE"""),"listing was removed 3/7/22 and relisted 1/10/25")</f>
        <v>listing was removed 3/7/22 and relisted 1/10/25</v>
      </c>
      <c r="N607" s="5" t="str">
        <f ca="1">IFERROR(__xludf.DUMMYFUNCTION("""COMPUTED_VALUE"""),"https://drive.google.com/open?id=1JIviA3JJEMwqKXJ88TGFiFgWPUw3VfA9, https://drive.google.com/open?id=1xxh0eTzaAOKFLtJU332YUI8tPD31GYKv")</f>
        <v>https://drive.google.com/open?id=1JIviA3JJEMwqKXJ88TGFiFgWPUw3VfA9, https://drive.google.com/open?id=1xxh0eTzaAOKFLtJU332YUI8tPD31GYKv</v>
      </c>
      <c r="O607" s="5">
        <f ca="1">IFERROR(__xludf.DUMMYFUNCTION("""COMPUTED_VALUE"""),2263016011)</f>
        <v>2263016011</v>
      </c>
      <c r="P607" s="5"/>
      <c r="Q607" s="5"/>
      <c r="R607" s="5" t="str">
        <f ca="1">IFERROR(__xludf.DUMMYFUNCTION("""COMPUTED_VALUE"""),"(213)377-6351")</f>
        <v>(213)377-6351</v>
      </c>
      <c r="S607" s="5"/>
      <c r="T607" s="5"/>
    </row>
    <row r="608" spans="1:20" ht="12.75">
      <c r="A608" s="24">
        <f ca="1">IFERROR(__xludf.DUMMYFUNCTION("""COMPUTED_VALUE"""),45670.7807667939)</f>
        <v>45670.780766793898</v>
      </c>
      <c r="B608" s="5" t="str">
        <f ca="1">IFERROR(__xludf.DUMMYFUNCTION("""COMPUTED_VALUE"""),"3138 Drew Street")</f>
        <v>3138 Drew Street</v>
      </c>
      <c r="C608" s="5" t="str">
        <f ca="1">IFERROR(__xludf.DUMMYFUNCTION("""COMPUTED_VALUE"""),"Los Angeles")</f>
        <v>Los Angeles</v>
      </c>
      <c r="D608" s="5" t="str">
        <f ca="1">IFERROR(__xludf.DUMMYFUNCTION("""COMPUTED_VALUE"""),"CA")</f>
        <v>CA</v>
      </c>
      <c r="E608" s="5">
        <f ca="1">IFERROR(__xludf.DUMMYFUNCTION("""COMPUTED_VALUE"""),90065)</f>
        <v>90065</v>
      </c>
      <c r="F608" s="19">
        <f ca="1">IFERROR(__xludf.DUMMYFUNCTION("""COMPUTED_VALUE"""),6372)</f>
        <v>6372</v>
      </c>
      <c r="G608" s="19">
        <f ca="1">IFERROR(__xludf.DUMMYFUNCTION("""COMPUTED_VALUE"""),8333)</f>
        <v>8333</v>
      </c>
      <c r="H608" s="18">
        <f ca="1">IFERROR(__xludf.DUMMYFUNCTION("""COMPUTED_VALUE"""),45669)</f>
        <v>45669</v>
      </c>
      <c r="I608" s="5" t="str">
        <f ca="1">IFERROR(__xludf.DUMMYFUNCTION("""COMPUTED_VALUE"""),"Airbnb")</f>
        <v>Airbnb</v>
      </c>
      <c r="J608" s="25" t="str">
        <f ca="1">IFERROR(__xludf.DUMMYFUNCTION("""COMPUTED_VALUE"""),"https://www.airbnb.com/l/1d4IivEK")</f>
        <v>https://www.airbnb.com/l/1d4IivEK</v>
      </c>
      <c r="K608" s="5" t="str">
        <f ca="1">IFERROR(__xludf.DUMMYFUNCTION("""COMPUTED_VALUE"""),"Property owner is listing agent")</f>
        <v>Property owner is listing agent</v>
      </c>
      <c r="L608" s="5" t="str">
        <f ca="1">IFERROR(__xludf.DUMMYFUNCTION("""COMPUTED_VALUE"""),"Elisabeth “Liz” Neumayr")</f>
        <v>Elisabeth “Liz” Neumayr</v>
      </c>
      <c r="M608" s="5" t="str">
        <f ca="1">IFERROR(__xludf.DUMMYFUNCTION("""COMPUTED_VALUE"""),"I was no-fault evicted of this RSO property as a protected disabled tenant 12/2023 for “owner occupancy.” Rent was $2950 when I was evicted and I filed right to return on time if she were within 2 years no longer occupy. 8/2024 she listed it on Airbnb. I "&amp;"happened to look at it on airbnb days before the fire and it was $6372/month (see screenshot) for the month and literally a week later she raised it to $8333/month. Making it an illegal rent increase, violating right to return (which she has been since Au"&amp;"gust) and illegal price gouging. I’m simply too fatigued due to my disabilities to fight this. Thank you for making this list. ")</f>
        <v xml:space="preserve">I was no-fault evicted of this RSO property as a protected disabled tenant 12/2023 for “owner occupancy.” Rent was $2950 when I was evicted and I filed right to return on time if she were within 2 years no longer occupy. 8/2024 she listed it on Airbnb. I happened to look at it on airbnb days before the fire and it was $6372/month (see screenshot) for the month and literally a week later she raised it to $8333/month. Making it an illegal rent increase, violating right to return (which she has been since August) and illegal price gouging. I’m simply too fatigued due to my disabilities to fight this. Thank you for making this list. </v>
      </c>
      <c r="N608" s="5" t="str">
        <f ca="1">IFERROR(__xludf.DUMMYFUNCTION("""COMPUTED_VALUE"""),"https://drive.google.com/open?id=1RpwwvKMSQz1S8Cesq3iNKeLr49BbhQ89, https://drive.google.com/open?id=1kHZlz1oPedcGkWmvN8Dp_Wc1zB4xN4lt")</f>
        <v>https://drive.google.com/open?id=1RpwwvKMSQz1S8Cesq3iNKeLr49BbhQ89, https://drive.google.com/open?id=1kHZlz1oPedcGkWmvN8Dp_Wc1zB4xN4lt</v>
      </c>
      <c r="O608" s="5" t="str">
        <f ca="1">IFERROR(__xludf.DUMMYFUNCTION("""COMPUTED_VALUE"""),"NA")</f>
        <v>NA</v>
      </c>
      <c r="P608" s="5" t="str">
        <f ca="1">IFERROR(__xludf.DUMMYFUNCTION("""COMPUTED_VALUE"""),"(323) 840-6402")</f>
        <v>(323) 840-6402</v>
      </c>
      <c r="Q608" s="5" t="str">
        <f ca="1">IFERROR(__xludf.DUMMYFUNCTION("""COMPUTED_VALUE"""),"Liz.neumayr@gmail.com")</f>
        <v>Liz.neumayr@gmail.com</v>
      </c>
      <c r="R608" s="5" t="str">
        <f ca="1">IFERROR(__xludf.DUMMYFUNCTION("""COMPUTED_VALUE"""),"(323) 840-6402")</f>
        <v>(323) 840-6402</v>
      </c>
      <c r="S608" s="5" t="str">
        <f ca="1">IFERROR(__xludf.DUMMYFUNCTION("""COMPUTED_VALUE"""),"Liz.neumayr@gmail.com")</f>
        <v>Liz.neumayr@gmail.com</v>
      </c>
      <c r="T608" s="5"/>
    </row>
    <row r="609" spans="1:20" ht="12.75">
      <c r="A609" s="24">
        <f ca="1">IFERROR(__xludf.DUMMYFUNCTION("""COMPUTED_VALUE"""),45670.7811692476)</f>
        <v>45670.781169247603</v>
      </c>
      <c r="B609" s="5" t="str">
        <f ca="1">IFERROR(__xludf.DUMMYFUNCTION("""COMPUTED_VALUE"""),"4952 N Figueroa St APT F")</f>
        <v>4952 N Figueroa St APT F</v>
      </c>
      <c r="C609" s="5" t="str">
        <f ca="1">IFERROR(__xludf.DUMMYFUNCTION("""COMPUTED_VALUE"""),"Los Angeles")</f>
        <v>Los Angeles</v>
      </c>
      <c r="D609" s="5" t="str">
        <f ca="1">IFERROR(__xludf.DUMMYFUNCTION("""COMPUTED_VALUE"""),"CA")</f>
        <v>CA</v>
      </c>
      <c r="E609" s="5">
        <f ca="1">IFERROR(__xludf.DUMMYFUNCTION("""COMPUTED_VALUE"""),90042)</f>
        <v>90042</v>
      </c>
      <c r="F609" s="19">
        <f ca="1">IFERROR(__xludf.DUMMYFUNCTION("""COMPUTED_VALUE"""),2888)</f>
        <v>2888</v>
      </c>
      <c r="G609" s="19">
        <f ca="1">IFERROR(__xludf.DUMMYFUNCTION("""COMPUTED_VALUE"""),3888)</f>
        <v>3888</v>
      </c>
      <c r="H609" s="18">
        <f ca="1">IFERROR(__xludf.DUMMYFUNCTION("""COMPUTED_VALUE"""),45670)</f>
        <v>45670</v>
      </c>
      <c r="I609" s="5" t="str">
        <f ca="1">IFERROR(__xludf.DUMMYFUNCTION("""COMPUTED_VALUE"""),"Zillow")</f>
        <v>Zillow</v>
      </c>
      <c r="J609" s="25" t="str">
        <f ca="1">IFERROR(__xludf.DUMMYFUNCTION("""COMPUTED_VALUE"""),"https://www.zillow.com/homedetails/4952-N-Figueroa-St-APT-F-Los-Angeles-CA-90042/2075141514_zpid/")</f>
        <v>https://www.zillow.com/homedetails/4952-N-Figueroa-St-APT-F-Los-Angeles-CA-90042/2075141514_zpid/</v>
      </c>
      <c r="K609" s="5"/>
      <c r="L609" s="5" t="str">
        <f ca="1">IFERROR(__xludf.DUMMYFUNCTION("""COMPUTED_VALUE"""),"Tom (I believe Tom &amp; Connie Jung)")</f>
        <v>Tom (I believe Tom &amp; Connie Jung)</v>
      </c>
      <c r="M609" s="5"/>
      <c r="N609" s="5" t="str">
        <f ca="1">IFERROR(__xludf.DUMMYFUNCTION("""COMPUTED_VALUE"""),"https://drive.google.com/open?id=1a92eAQyQgZAqVNt2EvuEPmCugXXIyEJa, https://drive.google.com/open?id=12LBIgud5r5XwBYd2924sjrQc7IHwoHo3, https://drive.google.com/open?id=10WzVTZwcnOF6uiE6CJKnLw2ktoCrYq4u, https://drive.google.com/open?id=1NlHrNTXX7niTetmPE"&amp;"w9fO0ESO_J5xdRl, https://drive.google.com/open?id=1kgN2jrt75C4juf6lFGKrmNv0jjGRHRox")</f>
        <v>https://drive.google.com/open?id=1a92eAQyQgZAqVNt2EvuEPmCugXXIyEJa, https://drive.google.com/open?id=12LBIgud5r5XwBYd2924sjrQc7IHwoHo3, https://drive.google.com/open?id=10WzVTZwcnOF6uiE6CJKnLw2ktoCrYq4u, https://drive.google.com/open?id=1NlHrNTXX7niTetmPEw9fO0ESO_J5xdRl, https://drive.google.com/open?id=1kgN2jrt75C4juf6lFGKrmNv0jjGRHRox</v>
      </c>
      <c r="O609" s="5" t="str">
        <f ca="1">IFERROR(__xludf.DUMMYFUNCTION("""COMPUTED_VALUE"""),"NA")</f>
        <v>NA</v>
      </c>
      <c r="P609" s="5"/>
      <c r="Q609" s="5"/>
      <c r="R609" s="5" t="str">
        <f ca="1">IFERROR(__xludf.DUMMYFUNCTION("""COMPUTED_VALUE"""),"Spouse - 310-613-2898 / Tom (Google Voice) 424-484-9082")</f>
        <v>Spouse - 310-613-2898 / Tom (Google Voice) 424-484-9082</v>
      </c>
      <c r="S609" s="5" t="str">
        <f ca="1">IFERROR(__xludf.DUMMYFUNCTION("""COMPUTED_VALUE"""),"cjung168@yahoo.com")</f>
        <v>cjung168@yahoo.com</v>
      </c>
      <c r="T609" s="5"/>
    </row>
    <row r="610" spans="1:20" ht="12.75">
      <c r="A610" s="24">
        <f ca="1">IFERROR(__xludf.DUMMYFUNCTION("""COMPUTED_VALUE"""),45670.7816680439)</f>
        <v>45670.781668043899</v>
      </c>
      <c r="B610" s="5" t="str">
        <f ca="1">IFERROR(__xludf.DUMMYFUNCTION("""COMPUTED_VALUE"""),"19500 Oxnard St")</f>
        <v>19500 Oxnard St</v>
      </c>
      <c r="C610" s="5" t="str">
        <f ca="1">IFERROR(__xludf.DUMMYFUNCTION("""COMPUTED_VALUE"""),"Tarzana")</f>
        <v>Tarzana</v>
      </c>
      <c r="D610" s="5" t="str">
        <f ca="1">IFERROR(__xludf.DUMMYFUNCTION("""COMPUTED_VALUE"""),"CA")</f>
        <v>CA</v>
      </c>
      <c r="E610" s="5">
        <f ca="1">IFERROR(__xludf.DUMMYFUNCTION("""COMPUTED_VALUE"""),91356)</f>
        <v>91356</v>
      </c>
      <c r="F610" s="19">
        <f ca="1">IFERROR(__xludf.DUMMYFUNCTION("""COMPUTED_VALUE"""),5500)</f>
        <v>5500</v>
      </c>
      <c r="G610" s="19">
        <f ca="1">IFERROR(__xludf.DUMMYFUNCTION("""COMPUTED_VALUE"""),6500)</f>
        <v>6500</v>
      </c>
      <c r="H610" s="18">
        <f ca="1">IFERROR(__xludf.DUMMYFUNCTION("""COMPUTED_VALUE"""),45666)</f>
        <v>45666</v>
      </c>
      <c r="I610" s="5" t="str">
        <f ca="1">IFERROR(__xludf.DUMMYFUNCTION("""COMPUTED_VALUE"""),"Zillow")</f>
        <v>Zillow</v>
      </c>
      <c r="J610" s="25" t="str">
        <f ca="1">IFERROR(__xludf.DUMMYFUNCTION("""COMPUTED_VALUE"""),"https://www.zillow.com/homedetails/19500-Oxnard-St-Tarzana-CA-91356/401888932_zpid/")</f>
        <v>https://www.zillow.com/homedetails/19500-Oxnard-St-Tarzana-CA-91356/401888932_zpid/</v>
      </c>
      <c r="K610" s="5"/>
      <c r="L610" s="5" t="str">
        <f ca="1">IFERROR(__xludf.DUMMYFUNCTION("""COMPUTED_VALUE"""),"Yoav Nagar")</f>
        <v>Yoav Nagar</v>
      </c>
      <c r="M610" s="5" t="str">
        <f ca="1">IFERROR(__xludf.DUMMYFUNCTION("""COMPUTED_VALUE"""),"listing removed 11/28/24 and relisted 1/9/25")</f>
        <v>listing removed 11/28/24 and relisted 1/9/25</v>
      </c>
      <c r="N610" s="5" t="str">
        <f ca="1">IFERROR(__xludf.DUMMYFUNCTION("""COMPUTED_VALUE"""),"https://drive.google.com/open?id=1A18fKADkL3LIwZi61UCCD4Lnsx7uRDQl, https://drive.google.com/open?id=1qa6AsjJNVO_U8iN6fnKBxjxW3hrsDfc3")</f>
        <v>https://drive.google.com/open?id=1A18fKADkL3LIwZi61UCCD4Lnsx7uRDQl, https://drive.google.com/open?id=1qa6AsjJNVO_U8iN6fnKBxjxW3hrsDfc3</v>
      </c>
      <c r="O610" s="5" t="str">
        <f ca="1">IFERROR(__xludf.DUMMYFUNCTION("""COMPUTED_VALUE"""),"NA")</f>
        <v>NA</v>
      </c>
      <c r="P610" s="5"/>
      <c r="Q610" s="5"/>
      <c r="R610" s="5" t="str">
        <f ca="1">IFERROR(__xludf.DUMMYFUNCTION("""COMPUTED_VALUE"""),"(818)646-5822")</f>
        <v>(818)646-5822</v>
      </c>
      <c r="S610" s="5"/>
      <c r="T610" s="5"/>
    </row>
    <row r="611" spans="1:20" ht="12.75">
      <c r="A611" s="24">
        <f ca="1">IFERROR(__xludf.DUMMYFUNCTION("""COMPUTED_VALUE"""),45670.7870175231)</f>
        <v>45670.7870175231</v>
      </c>
      <c r="B611" s="5" t="str">
        <f ca="1">IFERROR(__xludf.DUMMYFUNCTION("""COMPUTED_VALUE"""),"23863 Friar St")</f>
        <v>23863 Friar St</v>
      </c>
      <c r="C611" s="5" t="str">
        <f ca="1">IFERROR(__xludf.DUMMYFUNCTION("""COMPUTED_VALUE"""),"Woodland Hills")</f>
        <v>Woodland Hills</v>
      </c>
      <c r="D611" s="5" t="str">
        <f ca="1">IFERROR(__xludf.DUMMYFUNCTION("""COMPUTED_VALUE"""),"CA")</f>
        <v>CA</v>
      </c>
      <c r="E611" s="5">
        <f ca="1">IFERROR(__xludf.DUMMYFUNCTION("""COMPUTED_VALUE"""),91367)</f>
        <v>91367</v>
      </c>
      <c r="F611" s="19">
        <f ca="1">IFERROR(__xludf.DUMMYFUNCTION("""COMPUTED_VALUE"""),3300)</f>
        <v>3300</v>
      </c>
      <c r="G611" s="19">
        <f ca="1">IFERROR(__xludf.DUMMYFUNCTION("""COMPUTED_VALUE"""),4500)</f>
        <v>4500</v>
      </c>
      <c r="H611" s="18">
        <f ca="1">IFERROR(__xludf.DUMMYFUNCTION("""COMPUTED_VALUE"""),45668)</f>
        <v>45668</v>
      </c>
      <c r="I611" s="5" t="str">
        <f ca="1">IFERROR(__xludf.DUMMYFUNCTION("""COMPUTED_VALUE"""),"Zillow")</f>
        <v>Zillow</v>
      </c>
      <c r="J611" s="25" t="str">
        <f ca="1">IFERROR(__xludf.DUMMYFUNCTION("""COMPUTED_VALUE"""),"https://www.zillow.com/homedetails/23863-Friar-St-Woodland-Hills-CA-91367/19873812_zpid/")</f>
        <v>https://www.zillow.com/homedetails/23863-Friar-St-Woodland-Hills-CA-91367/19873812_zpid/</v>
      </c>
      <c r="K611" s="5"/>
      <c r="L611" s="5" t="str">
        <f ca="1">IFERROR(__xludf.DUMMYFUNCTION("""COMPUTED_VALUE"""),"Farah Mohsenian")</f>
        <v>Farah Mohsenian</v>
      </c>
      <c r="M611" s="5" t="str">
        <f ca="1">IFERROR(__xludf.DUMMYFUNCTION("""COMPUTED_VALUE"""),"Listing removed 7/11/20 and relisted 1/11/25")</f>
        <v>Listing removed 7/11/20 and relisted 1/11/25</v>
      </c>
      <c r="N611" s="5" t="str">
        <f ca="1">IFERROR(__xludf.DUMMYFUNCTION("""COMPUTED_VALUE"""),"https://drive.google.com/open?id=10mJeAk4ILxbNzxuXD0ACQrk0k-LXS5Ns, https://drive.google.com/open?id=1BLf5FZYRtYuRT3MT3w6Bq63uftCpHSTF")</f>
        <v>https://drive.google.com/open?id=10mJeAk4ILxbNzxuXD0ACQrk0k-LXS5Ns, https://drive.google.com/open?id=1BLf5FZYRtYuRT3MT3w6Bq63uftCpHSTF</v>
      </c>
      <c r="O611" s="5">
        <f ca="1">IFERROR(__xludf.DUMMYFUNCTION("""COMPUTED_VALUE"""),2033017030)</f>
        <v>2033017030</v>
      </c>
      <c r="P611" s="5"/>
      <c r="Q611" s="5"/>
      <c r="R611" s="5" t="str">
        <f ca="1">IFERROR(__xludf.DUMMYFUNCTION("""COMPUTED_VALUE"""),"(213)642-1710")</f>
        <v>(213)642-1710</v>
      </c>
      <c r="S611" s="5"/>
      <c r="T611" s="5"/>
    </row>
    <row r="612" spans="1:20" ht="12.75">
      <c r="A612" s="24">
        <f ca="1">IFERROR(__xludf.DUMMYFUNCTION("""COMPUTED_VALUE"""),45670.7918111342)</f>
        <v>45670.791811134201</v>
      </c>
      <c r="B612" s="5" t="str">
        <f ca="1">IFERROR(__xludf.DUMMYFUNCTION("""COMPUTED_VALUE"""),"18821 Kirkcolm Ln")</f>
        <v>18821 Kirkcolm Ln</v>
      </c>
      <c r="C612" s="5" t="str">
        <f ca="1">IFERROR(__xludf.DUMMYFUNCTION("""COMPUTED_VALUE"""),"Porter Ranch")</f>
        <v>Porter Ranch</v>
      </c>
      <c r="D612" s="5" t="str">
        <f ca="1">IFERROR(__xludf.DUMMYFUNCTION("""COMPUTED_VALUE"""),"CA")</f>
        <v>CA</v>
      </c>
      <c r="E612" s="5">
        <f ca="1">IFERROR(__xludf.DUMMYFUNCTION("""COMPUTED_VALUE"""),91326)</f>
        <v>91326</v>
      </c>
      <c r="F612" s="19">
        <f ca="1">IFERROR(__xludf.DUMMYFUNCTION("""COMPUTED_VALUE"""),3950)</f>
        <v>3950</v>
      </c>
      <c r="G612" s="19">
        <f ca="1">IFERROR(__xludf.DUMMYFUNCTION("""COMPUTED_VALUE"""),4850)</f>
        <v>4850</v>
      </c>
      <c r="H612" s="18">
        <f ca="1">IFERROR(__xludf.DUMMYFUNCTION("""COMPUTED_VALUE"""),45668)</f>
        <v>45668</v>
      </c>
      <c r="I612" s="5" t="str">
        <f ca="1">IFERROR(__xludf.DUMMYFUNCTION("""COMPUTED_VALUE"""),"Zillow")</f>
        <v>Zillow</v>
      </c>
      <c r="J612" s="25" t="str">
        <f ca="1">IFERROR(__xludf.DUMMYFUNCTION("""COMPUTED_VALUE"""),"https://www.zillow.com/homedetails/18821-Kirkcolm-Ln-Porter-Ranch-CA-91326/20199559_zpid/")</f>
        <v>https://www.zillow.com/homedetails/18821-Kirkcolm-Ln-Porter-Ranch-CA-91326/20199559_zpid/</v>
      </c>
      <c r="K612" s="5"/>
      <c r="L612" s="5" t="str">
        <f ca="1">IFERROR(__xludf.DUMMYFUNCTION("""COMPUTED_VALUE"""),"Keith")</f>
        <v>Keith</v>
      </c>
      <c r="M612" s="5" t="str">
        <f ca="1">IFERROR(__xludf.DUMMYFUNCTION("""COMPUTED_VALUE"""),"listing removed 6/21/21 and relisted 1/11/25")</f>
        <v>listing removed 6/21/21 and relisted 1/11/25</v>
      </c>
      <c r="N612" s="5" t="str">
        <f ca="1">IFERROR(__xludf.DUMMYFUNCTION("""COMPUTED_VALUE"""),"https://drive.google.com/open?id=1d6KOLihlzZAG6eTWpWxxNYZ-AcE24SIb, https://drive.google.com/open?id=1DTau-AgVDvpTwzh3Rg4CYIO8-mMqjBPK")</f>
        <v>https://drive.google.com/open?id=1d6KOLihlzZAG6eTWpWxxNYZ-AcE24SIb, https://drive.google.com/open?id=1DTau-AgVDvpTwzh3Rg4CYIO8-mMqjBPK</v>
      </c>
      <c r="O612" s="5">
        <f ca="1">IFERROR(__xludf.DUMMYFUNCTION("""COMPUTED_VALUE"""),2820017017)</f>
        <v>2820017017</v>
      </c>
      <c r="P612" s="5"/>
      <c r="Q612" s="5"/>
      <c r="R612" s="5" t="str">
        <f ca="1">IFERROR(__xludf.DUMMYFUNCTION("""COMPUTED_VALUE"""),"(213)682-3702")</f>
        <v>(213)682-3702</v>
      </c>
      <c r="S612" s="5"/>
      <c r="T612" s="5"/>
    </row>
    <row r="613" spans="1:20" ht="12.75">
      <c r="A613" s="24">
        <f ca="1">IFERROR(__xludf.DUMMYFUNCTION("""COMPUTED_VALUE"""),45670.7918892824)</f>
        <v>45670.791889282402</v>
      </c>
      <c r="B613" s="5" t="str">
        <f ca="1">IFERROR(__xludf.DUMMYFUNCTION("""COMPUTED_VALUE"""),"32802 Pacific Coast Hwy")</f>
        <v>32802 Pacific Coast Hwy</v>
      </c>
      <c r="C613" s="5" t="str">
        <f ca="1">IFERROR(__xludf.DUMMYFUNCTION("""COMPUTED_VALUE"""),"Malibu")</f>
        <v>Malibu</v>
      </c>
      <c r="D613" s="5" t="str">
        <f ca="1">IFERROR(__xludf.DUMMYFUNCTION("""COMPUTED_VALUE"""),"CA")</f>
        <v>CA</v>
      </c>
      <c r="E613" s="5">
        <f ca="1">IFERROR(__xludf.DUMMYFUNCTION("""COMPUTED_VALUE"""),90265)</f>
        <v>90265</v>
      </c>
      <c r="F613" s="19">
        <f ca="1">IFERROR(__xludf.DUMMYFUNCTION("""COMPUTED_VALUE"""),40000)</f>
        <v>40000</v>
      </c>
      <c r="G613" s="19">
        <f ca="1">IFERROR(__xludf.DUMMYFUNCTION("""COMPUTED_VALUE"""),50000)</f>
        <v>50000</v>
      </c>
      <c r="H613" s="18">
        <f ca="1">IFERROR(__xludf.DUMMYFUNCTION("""COMPUTED_VALUE"""),45671)</f>
        <v>45671</v>
      </c>
      <c r="I613" s="5" t="str">
        <f ca="1">IFERROR(__xludf.DUMMYFUNCTION("""COMPUTED_VALUE"""),"Zillow")</f>
        <v>Zillow</v>
      </c>
      <c r="J613" s="25" t="str">
        <f ca="1">IFERROR(__xludf.DUMMYFUNCTION("""COMPUTED_VALUE"""),"https://www.zillow.com/homedetails/32802-Pacific-Coast-Hwy-Malibu-CA-90265/20558217_zpid/")</f>
        <v>https://www.zillow.com/homedetails/32802-Pacific-Coast-Hwy-Malibu-CA-90265/20558217_zpid/</v>
      </c>
      <c r="K613" s="5" t="str">
        <f ca="1">IFERROR(__xludf.DUMMYFUNCTION("""COMPUTED_VALUE"""),"Lawrence Whalen, Compass")</f>
        <v>Lawrence Whalen, Compass</v>
      </c>
      <c r="L613" s="5"/>
      <c r="M613" s="5"/>
      <c r="N613" s="5" t="str">
        <f ca="1">IFERROR(__xludf.DUMMYFUNCTION("""COMPUTED_VALUE"""),"https://drive.google.com/open?id=1uMVC4Cme1pjnmdapSu3lTNo87IS825cX, https://drive.google.com/open?id=1myH6C95hZFmVLSE0r9IuIZJna6CWxV_Q")</f>
        <v>https://drive.google.com/open?id=1uMVC4Cme1pjnmdapSu3lTNo87IS825cX, https://drive.google.com/open?id=1myH6C95hZFmVLSE0r9IuIZJna6CWxV_Q</v>
      </c>
      <c r="O613" s="5">
        <f ca="1">IFERROR(__xludf.DUMMYFUNCTION("""COMPUTED_VALUE"""),4473016012)</f>
        <v>4473016012</v>
      </c>
      <c r="P613" s="5" t="str">
        <f ca="1">IFERROR(__xludf.DUMMYFUNCTION("""COMPUTED_VALUE"""),"(310) 435-0386")</f>
        <v>(310) 435-0386</v>
      </c>
      <c r="Q613" s="5"/>
      <c r="R613" s="5"/>
      <c r="S613" s="5"/>
      <c r="T613" s="5"/>
    </row>
    <row r="614" spans="1:20" ht="12.75">
      <c r="A614" s="24">
        <f ca="1">IFERROR(__xludf.DUMMYFUNCTION("""COMPUTED_VALUE"""),45670.7926513078)</f>
        <v>45670.792651307798</v>
      </c>
      <c r="B614" s="5" t="str">
        <f ca="1">IFERROR(__xludf.DUMMYFUNCTION("""COMPUTED_VALUE"""),"5344 Leghorn Ave")</f>
        <v>5344 Leghorn Ave</v>
      </c>
      <c r="C614" s="5" t="str">
        <f ca="1">IFERROR(__xludf.DUMMYFUNCTION("""COMPUTED_VALUE"""),"Van Nuys")</f>
        <v>Van Nuys</v>
      </c>
      <c r="D614" s="5" t="str">
        <f ca="1">IFERROR(__xludf.DUMMYFUNCTION("""COMPUTED_VALUE"""),"CA")</f>
        <v>CA</v>
      </c>
      <c r="E614" s="5">
        <f ca="1">IFERROR(__xludf.DUMMYFUNCTION("""COMPUTED_VALUE"""),91401)</f>
        <v>91401</v>
      </c>
      <c r="F614" s="19">
        <f ca="1">IFERROR(__xludf.DUMMYFUNCTION("""COMPUTED_VALUE"""),20000)</f>
        <v>20000</v>
      </c>
      <c r="G614" s="19">
        <f ca="1">IFERROR(__xludf.DUMMYFUNCTION("""COMPUTED_VALUE"""),36000)</f>
        <v>36000</v>
      </c>
      <c r="H614" s="18">
        <f ca="1">IFERROR(__xludf.DUMMYFUNCTION("""COMPUTED_VALUE"""),45670)</f>
        <v>45670</v>
      </c>
      <c r="I614" s="5" t="str">
        <f ca="1">IFERROR(__xludf.DUMMYFUNCTION("""COMPUTED_VALUE"""),"Zillow")</f>
        <v>Zillow</v>
      </c>
      <c r="J614" s="25" t="str">
        <f ca="1">IFERROR(__xludf.DUMMYFUNCTION("""COMPUTED_VALUE"""),"https://www.zillow.com/homedetails/5344-Leghorn-Ave-Van-Nuys-CA-91401/20015679_zpid/")</f>
        <v>https://www.zillow.com/homedetails/5344-Leghorn-Ave-Van-Nuys-CA-91401/20015679_zpid/</v>
      </c>
      <c r="K614" s="5" t="str">
        <f ca="1">IFERROR(__xludf.DUMMYFUNCTION("""COMPUTED_VALUE"""),"Avi Shabtai")</f>
        <v>Avi Shabtai</v>
      </c>
      <c r="L614" s="5"/>
      <c r="M614" s="5"/>
      <c r="N614" s="26" t="str">
        <f ca="1">IFERROR(__xludf.DUMMYFUNCTION("""COMPUTED_VALUE"""),"https://drive.google.com/open?id=1XHLGfqomqYwm4x9NZm3vCQxRLOY5d0DQ")</f>
        <v>https://drive.google.com/open?id=1XHLGfqomqYwm4x9NZm3vCQxRLOY5d0DQ</v>
      </c>
      <c r="O614" s="5">
        <f ca="1">IFERROR(__xludf.DUMMYFUNCTION("""COMPUTED_VALUE"""),2345016001)</f>
        <v>2345016001</v>
      </c>
      <c r="P614" s="5" t="str">
        <f ca="1">IFERROR(__xludf.DUMMYFUNCTION("""COMPUTED_VALUE"""),"(213) 642-1490")</f>
        <v>(213) 642-1490</v>
      </c>
      <c r="Q614" s="5"/>
      <c r="R614" s="5"/>
      <c r="S614" s="5"/>
      <c r="T614" s="5"/>
    </row>
    <row r="615" spans="1:20" ht="12.75">
      <c r="A615" s="24">
        <f ca="1">IFERROR(__xludf.DUMMYFUNCTION("""COMPUTED_VALUE"""),45670.7931524884)</f>
        <v>45670.793152488397</v>
      </c>
      <c r="B615" s="5" t="str">
        <f ca="1">IFERROR(__xludf.DUMMYFUNCTION("""COMPUTED_VALUE"""),"256 N Rafael Walk")</f>
        <v>256 N Rafael Walk</v>
      </c>
      <c r="C615" s="5" t="str">
        <f ca="1">IFERROR(__xludf.DUMMYFUNCTION("""COMPUTED_VALUE"""),"Long Beach")</f>
        <v>Long Beach</v>
      </c>
      <c r="D615" s="5" t="str">
        <f ca="1">IFERROR(__xludf.DUMMYFUNCTION("""COMPUTED_VALUE"""),"CA")</f>
        <v>CA</v>
      </c>
      <c r="E615" s="5">
        <f ca="1">IFERROR(__xludf.DUMMYFUNCTION("""COMPUTED_VALUE"""),90803)</f>
        <v>90803</v>
      </c>
      <c r="F615" s="19">
        <f ca="1">IFERROR(__xludf.DUMMYFUNCTION("""COMPUTED_VALUE"""),6500)</f>
        <v>6500</v>
      </c>
      <c r="G615" s="19">
        <f ca="1">IFERROR(__xludf.DUMMYFUNCTION("""COMPUTED_VALUE"""),15000)</f>
        <v>15000</v>
      </c>
      <c r="H615" s="18">
        <f ca="1">IFERROR(__xludf.DUMMYFUNCTION("""COMPUTED_VALUE"""),45668)</f>
        <v>45668</v>
      </c>
      <c r="I615" s="5" t="str">
        <f ca="1">IFERROR(__xludf.DUMMYFUNCTION("""COMPUTED_VALUE"""),"Zillow")</f>
        <v>Zillow</v>
      </c>
      <c r="J615" s="25" t="str">
        <f ca="1">IFERROR(__xludf.DUMMYFUNCTION("""COMPUTED_VALUE"""),"https://www.zillow.com/homedetails/256-N-Rafael-Walk-Long-Beach-CA-90803/21216243_zpid/?utm_campaign=iosappmessage&amp;utm_medium=referral&amp;utm_source=txtshare")</f>
        <v>https://www.zillow.com/homedetails/256-N-Rafael-Walk-Long-Beach-CA-90803/21216243_zpid/?utm_campaign=iosappmessage&amp;utm_medium=referral&amp;utm_source=txtshare</v>
      </c>
      <c r="K615" s="5" t="str">
        <f ca="1">IFERROR(__xludf.DUMMYFUNCTION("""COMPUTED_VALUE"""),"Bryce Bannerman")</f>
        <v>Bryce Bannerman</v>
      </c>
      <c r="L615" s="5"/>
      <c r="M615" s="5"/>
      <c r="N615" s="26" t="str">
        <f ca="1">IFERROR(__xludf.DUMMYFUNCTION("""COMPUTED_VALUE"""),"https://drive.google.com/open?id=1ruluOV0XIGaul23eknjFVTxQTxZ08LOA")</f>
        <v>https://drive.google.com/open?id=1ruluOV0XIGaul23eknjFVTxQTxZ08LOA</v>
      </c>
      <c r="O615" s="5" t="str">
        <f ca="1">IFERROR(__xludf.DUMMYFUNCTION("""COMPUTED_VALUE"""),"NA")</f>
        <v>NA</v>
      </c>
      <c r="P615" s="5" t="str">
        <f ca="1">IFERROR(__xludf.DUMMYFUNCTION("""COMPUTED_VALUE"""),"562-889-8810")</f>
        <v>562-889-8810</v>
      </c>
      <c r="Q615" s="5"/>
      <c r="R615" s="5"/>
      <c r="S615" s="5"/>
      <c r="T615" s="5"/>
    </row>
    <row r="616" spans="1:20" ht="12.75">
      <c r="A616" s="24">
        <f ca="1">IFERROR(__xludf.DUMMYFUNCTION("""COMPUTED_VALUE"""),45670.7972337037)</f>
        <v>45670.797233703699</v>
      </c>
      <c r="B616" s="5" t="str">
        <f ca="1">IFERROR(__xludf.DUMMYFUNCTION("""COMPUTED_VALUE"""),"1330 N Harper Ave #100")</f>
        <v>1330 N Harper Ave #100</v>
      </c>
      <c r="C616" s="5" t="str">
        <f ca="1">IFERROR(__xludf.DUMMYFUNCTION("""COMPUTED_VALUE"""),"Los Angeles")</f>
        <v>Los Angeles</v>
      </c>
      <c r="D616" s="5" t="str">
        <f ca="1">IFERROR(__xludf.DUMMYFUNCTION("""COMPUTED_VALUE"""),"CA")</f>
        <v>CA</v>
      </c>
      <c r="E616" s="5">
        <f ca="1">IFERROR(__xludf.DUMMYFUNCTION("""COMPUTED_VALUE"""),90046)</f>
        <v>90046</v>
      </c>
      <c r="F616" s="19">
        <f ca="1">IFERROR(__xludf.DUMMYFUNCTION("""COMPUTED_VALUE"""),3495)</f>
        <v>3495</v>
      </c>
      <c r="G616" s="19">
        <f ca="1">IFERROR(__xludf.DUMMYFUNCTION("""COMPUTED_VALUE"""),6950)</f>
        <v>6950</v>
      </c>
      <c r="H616" s="18">
        <f ca="1">IFERROR(__xludf.DUMMYFUNCTION("""COMPUTED_VALUE"""),45671)</f>
        <v>45671</v>
      </c>
      <c r="I616" s="5" t="str">
        <f ca="1">IFERROR(__xludf.DUMMYFUNCTION("""COMPUTED_VALUE"""),"Zillow")</f>
        <v>Zillow</v>
      </c>
      <c r="J616" s="25" t="str">
        <f ca="1">IFERROR(__xludf.DUMMYFUNCTION("""COMPUTED_VALUE"""),"https://www.zillow.com/homedetails/1330-N-Harper-Ave-100-Los-Angeles-CA-90046/2068797074_zpid/")</f>
        <v>https://www.zillow.com/homedetails/1330-N-Harper-Ave-100-Los-Angeles-CA-90046/2068797074_zpid/</v>
      </c>
      <c r="K616" s="5"/>
      <c r="L616" s="5" t="str">
        <f ca="1">IFERROR(__xludf.DUMMYFUNCTION("""COMPUTED_VALUE"""),"Allegra")</f>
        <v>Allegra</v>
      </c>
      <c r="M616" s="5"/>
      <c r="N616" s="5" t="str">
        <f ca="1">IFERROR(__xludf.DUMMYFUNCTION("""COMPUTED_VALUE"""),"https://drive.google.com/open?id=1LuoFLV9ltCfeJ8pWJO2pc6A_NK7sf6H7, https://drive.google.com/open?id=1ocTE0ub5xxtwkyMpTtmpNyT6_moMXsBb")</f>
        <v>https://drive.google.com/open?id=1LuoFLV9ltCfeJ8pWJO2pc6A_NK7sf6H7, https://drive.google.com/open?id=1ocTE0ub5xxtwkyMpTtmpNyT6_moMXsBb</v>
      </c>
      <c r="O616" s="5" t="str">
        <f ca="1">IFERROR(__xludf.DUMMYFUNCTION("""COMPUTED_VALUE"""),"NA")</f>
        <v>NA</v>
      </c>
      <c r="P616" s="5"/>
      <c r="Q616" s="5"/>
      <c r="R616" s="5" t="str">
        <f ca="1">IFERROR(__xludf.DUMMYFUNCTION("""COMPUTED_VALUE"""),"(310) 991-0474")</f>
        <v>(310) 991-0474</v>
      </c>
      <c r="S616" s="5"/>
      <c r="T616" s="5"/>
    </row>
    <row r="617" spans="1:20" ht="12.75">
      <c r="A617" s="24">
        <f ca="1">IFERROR(__xludf.DUMMYFUNCTION("""COMPUTED_VALUE"""),45670.79878728)</f>
        <v>45670.79878728</v>
      </c>
      <c r="B617" s="5" t="str">
        <f ca="1">IFERROR(__xludf.DUMMYFUNCTION("""COMPUTED_VALUE"""),"729 Raymond Ave")</f>
        <v>729 Raymond Ave</v>
      </c>
      <c r="C617" s="5" t="str">
        <f ca="1">IFERROR(__xludf.DUMMYFUNCTION("""COMPUTED_VALUE"""),"Santa Monica")</f>
        <v>Santa Monica</v>
      </c>
      <c r="D617" s="5" t="str">
        <f ca="1">IFERROR(__xludf.DUMMYFUNCTION("""COMPUTED_VALUE"""),"CA")</f>
        <v>CA</v>
      </c>
      <c r="E617" s="5">
        <f ca="1">IFERROR(__xludf.DUMMYFUNCTION("""COMPUTED_VALUE"""),90405)</f>
        <v>90405</v>
      </c>
      <c r="F617" s="19">
        <f ca="1">IFERROR(__xludf.DUMMYFUNCTION("""COMPUTED_VALUE"""),6950)</f>
        <v>6950</v>
      </c>
      <c r="G617" s="19">
        <f ca="1">IFERROR(__xludf.DUMMYFUNCTION("""COMPUTED_VALUE"""),8000)</f>
        <v>8000</v>
      </c>
      <c r="H617" s="18">
        <f ca="1">IFERROR(__xludf.DUMMYFUNCTION("""COMPUTED_VALUE"""),45666)</f>
        <v>45666</v>
      </c>
      <c r="I617" s="5" t="str">
        <f ca="1">IFERROR(__xludf.DUMMYFUNCTION("""COMPUTED_VALUE"""),"Zillow")</f>
        <v>Zillow</v>
      </c>
      <c r="J617" s="25" t="str">
        <f ca="1">IFERROR(__xludf.DUMMYFUNCTION("""COMPUTED_VALUE"""),"https://www.zillow.com/homedetails/729-Raymond-Ave-Santa-Monica-CA-90405/20482750_zpid/?utm_campaign=iosappmessage&amp;utm_medium=referral&amp;utm_source=txtshare")</f>
        <v>https://www.zillow.com/homedetails/729-Raymond-Ave-Santa-Monica-CA-90405/20482750_zpid/?utm_campaign=iosappmessage&amp;utm_medium=referral&amp;utm_source=txtshare</v>
      </c>
      <c r="K617" s="5"/>
      <c r="L617" s="5"/>
      <c r="M617" s="5"/>
      <c r="N617" s="5" t="str">
        <f ca="1">IFERROR(__xludf.DUMMYFUNCTION("""COMPUTED_VALUE"""),"https://drive.google.com/open?id=1P91XQz4q-lGshCfBMZlOcqBYAiq0jIDV, https://drive.google.com/open?id=1uuga28PueVKRPVerKOdKvIdG-ZquxSrr")</f>
        <v>https://drive.google.com/open?id=1P91XQz4q-lGshCfBMZlOcqBYAiq0jIDV, https://drive.google.com/open?id=1uuga28PueVKRPVerKOdKvIdG-ZquxSrr</v>
      </c>
      <c r="O617" s="5" t="str">
        <f ca="1">IFERROR(__xludf.DUMMYFUNCTION("""COMPUTED_VALUE"""),"NA")</f>
        <v>NA</v>
      </c>
      <c r="P617" s="5"/>
      <c r="Q617" s="5"/>
      <c r="R617" s="5"/>
      <c r="S617" s="5"/>
      <c r="T617" s="5"/>
    </row>
    <row r="618" spans="1:20" ht="12.75">
      <c r="A618" s="24">
        <f ca="1">IFERROR(__xludf.DUMMYFUNCTION("""COMPUTED_VALUE"""),45670.7990224537)</f>
        <v>45670.799022453699</v>
      </c>
      <c r="B618" s="5" t="str">
        <f ca="1">IFERROR(__xludf.DUMMYFUNCTION("""COMPUTED_VALUE"""),"5625 W 83rd St")</f>
        <v>5625 W 83rd St</v>
      </c>
      <c r="C618" s="5" t="str">
        <f ca="1">IFERROR(__xludf.DUMMYFUNCTION("""COMPUTED_VALUE"""),"Los Angeles")</f>
        <v>Los Angeles</v>
      </c>
      <c r="D618" s="5" t="str">
        <f ca="1">IFERROR(__xludf.DUMMYFUNCTION("""COMPUTED_VALUE"""),"CA")</f>
        <v>CA</v>
      </c>
      <c r="E618" s="5">
        <f ca="1">IFERROR(__xludf.DUMMYFUNCTION("""COMPUTED_VALUE"""),90045)</f>
        <v>90045</v>
      </c>
      <c r="F618" s="19">
        <f ca="1">IFERROR(__xludf.DUMMYFUNCTION("""COMPUTED_VALUE"""),4495)</f>
        <v>4495</v>
      </c>
      <c r="G618" s="19">
        <f ca="1">IFERROR(__xludf.DUMMYFUNCTION("""COMPUTED_VALUE"""),4995)</f>
        <v>4995</v>
      </c>
      <c r="H618" s="18">
        <f ca="1">IFERROR(__xludf.DUMMYFUNCTION("""COMPUTED_VALUE"""),45671)</f>
        <v>45671</v>
      </c>
      <c r="I618" s="5" t="str">
        <f ca="1">IFERROR(__xludf.DUMMYFUNCTION("""COMPUTED_VALUE"""),"Zillow")</f>
        <v>Zillow</v>
      </c>
      <c r="J618" s="25" t="str">
        <f ca="1">IFERROR(__xludf.DUMMYFUNCTION("""COMPUTED_VALUE"""),"https://www.zillow.com/homedetails/5625-W-83rd-St-Los-Angeles-CA-90045/20379415_zpid/")</f>
        <v>https://www.zillow.com/homedetails/5625-W-83rd-St-Los-Angeles-CA-90045/20379415_zpid/</v>
      </c>
      <c r="K618" s="5" t="str">
        <f ca="1">IFERROR(__xludf.DUMMYFUNCTION("""COMPUTED_VALUE"""),"Heather, Zacha Homes Management company")</f>
        <v>Heather, Zacha Homes Management company</v>
      </c>
      <c r="L618" s="5"/>
      <c r="M618" s="5" t="str">
        <f ca="1">IFERROR(__xludf.DUMMYFUNCTION("""COMPUTED_VALUE"""),"Rent raised 11.1% from just two months ago")</f>
        <v>Rent raised 11.1% from just two months ago</v>
      </c>
      <c r="N618" s="5" t="str">
        <f ca="1">IFERROR(__xludf.DUMMYFUNCTION("""COMPUTED_VALUE"""),"https://drive.google.com/open?id=15jZ_JqoK-68_wbJQzWx-_297M4Va-CYB, https://drive.google.com/open?id=1cgsFm7FehqF6Zm5briuqAuMA2yAc2VXS")</f>
        <v>https://drive.google.com/open?id=15jZ_JqoK-68_wbJQzWx-_297M4Va-CYB, https://drive.google.com/open?id=1cgsFm7FehqF6Zm5briuqAuMA2yAc2VXS</v>
      </c>
      <c r="O618" s="5">
        <f ca="1">IFERROR(__xludf.DUMMYFUNCTION("""COMPUTED_VALUE"""),4105029001)</f>
        <v>4105029001</v>
      </c>
      <c r="P618" s="5" t="str">
        <f ca="1">IFERROR(__xludf.DUMMYFUNCTION("""COMPUTED_VALUE"""),"(310) 738-4779")</f>
        <v>(310) 738-4779</v>
      </c>
      <c r="Q618" s="5"/>
      <c r="R618" s="5"/>
      <c r="S618" s="5"/>
      <c r="T618" s="5"/>
    </row>
    <row r="619" spans="1:20" ht="12.75">
      <c r="A619" s="24">
        <f ca="1">IFERROR(__xludf.DUMMYFUNCTION("""COMPUTED_VALUE"""),45670.7997114699)</f>
        <v>45670.799711469903</v>
      </c>
      <c r="B619" s="5" t="str">
        <f ca="1">IFERROR(__xludf.DUMMYFUNCTION("""COMPUTED_VALUE"""),"5358 Baza Ave")</f>
        <v>5358 Baza Ave</v>
      </c>
      <c r="C619" s="5" t="str">
        <f ca="1">IFERROR(__xludf.DUMMYFUNCTION("""COMPUTED_VALUE"""),"Woodland Hills")</f>
        <v>Woodland Hills</v>
      </c>
      <c r="D619" s="5" t="str">
        <f ca="1">IFERROR(__xludf.DUMMYFUNCTION("""COMPUTED_VALUE"""),"CA")</f>
        <v>CA</v>
      </c>
      <c r="E619" s="5">
        <f ca="1">IFERROR(__xludf.DUMMYFUNCTION("""COMPUTED_VALUE"""),91364)</f>
        <v>91364</v>
      </c>
      <c r="F619" s="19">
        <f ca="1">IFERROR(__xludf.DUMMYFUNCTION("""COMPUTED_VALUE"""),4495)</f>
        <v>4495</v>
      </c>
      <c r="G619" s="19">
        <f ca="1">IFERROR(__xludf.DUMMYFUNCTION("""COMPUTED_VALUE"""),5495)</f>
        <v>5495</v>
      </c>
      <c r="H619" s="18">
        <f ca="1">IFERROR(__xludf.DUMMYFUNCTION("""COMPUTED_VALUE"""),45667)</f>
        <v>45667</v>
      </c>
      <c r="I619" s="5" t="str">
        <f ca="1">IFERROR(__xludf.DUMMYFUNCTION("""COMPUTED_VALUE"""),"Zillow")</f>
        <v>Zillow</v>
      </c>
      <c r="J619" s="25" t="str">
        <f ca="1">IFERROR(__xludf.DUMMYFUNCTION("""COMPUTED_VALUE"""),"https://www.zillow.com/homedetails/5358-Baza-Ave-Woodland-Hills-CA-91364/19942951_zpid/")</f>
        <v>https://www.zillow.com/homedetails/5358-Baza-Ave-Woodland-Hills-CA-91364/19942951_zpid/</v>
      </c>
      <c r="K619" s="5"/>
      <c r="L619" s="5" t="str">
        <f ca="1">IFERROR(__xludf.DUMMYFUNCTION("""COMPUTED_VALUE"""),"Tony")</f>
        <v>Tony</v>
      </c>
      <c r="M619" s="5"/>
      <c r="N619" s="26" t="str">
        <f ca="1">IFERROR(__xludf.DUMMYFUNCTION("""COMPUTED_VALUE"""),"https://drive.google.com/open?id=1qF7J94X0s9hNLYF1yJxogCGdypC-o_oq")</f>
        <v>https://drive.google.com/open?id=1qF7J94X0s9hNLYF1yJxogCGdypC-o_oq</v>
      </c>
      <c r="O619" s="5">
        <f ca="1">IFERROR(__xludf.DUMMYFUNCTION("""COMPUTED_VALUE"""),2168023047)</f>
        <v>2168023047</v>
      </c>
      <c r="P619" s="5"/>
      <c r="Q619" s="5"/>
      <c r="R619" s="5" t="str">
        <f ca="1">IFERROR(__xludf.DUMMYFUNCTION("""COMPUTED_VALUE"""),"(213) 320-5069")</f>
        <v>(213) 320-5069</v>
      </c>
      <c r="S619" s="5"/>
      <c r="T619" s="5"/>
    </row>
    <row r="620" spans="1:20" ht="12.75">
      <c r="A620" s="24">
        <f ca="1">IFERROR(__xludf.DUMMYFUNCTION("""COMPUTED_VALUE"""),45670.8011311458)</f>
        <v>45670.801131145803</v>
      </c>
      <c r="B620" s="5" t="str">
        <f ca="1">IFERROR(__xludf.DUMMYFUNCTION("""COMPUTED_VALUE"""),"822 S Plymouth Blvd #2")</f>
        <v>822 S Plymouth Blvd #2</v>
      </c>
      <c r="C620" s="5" t="str">
        <f ca="1">IFERROR(__xludf.DUMMYFUNCTION("""COMPUTED_VALUE"""),"Los Angeles")</f>
        <v>Los Angeles</v>
      </c>
      <c r="D620" s="5" t="str">
        <f ca="1">IFERROR(__xludf.DUMMYFUNCTION("""COMPUTED_VALUE"""),"CA")</f>
        <v>CA</v>
      </c>
      <c r="E620" s="5">
        <f ca="1">IFERROR(__xludf.DUMMYFUNCTION("""COMPUTED_VALUE"""),90005)</f>
        <v>90005</v>
      </c>
      <c r="F620" s="19">
        <f ca="1">IFERROR(__xludf.DUMMYFUNCTION("""COMPUTED_VALUE"""),5900)</f>
        <v>5900</v>
      </c>
      <c r="G620" s="19">
        <f ca="1">IFERROR(__xludf.DUMMYFUNCTION("""COMPUTED_VALUE"""),6700)</f>
        <v>6700</v>
      </c>
      <c r="H620" s="18">
        <f ca="1">IFERROR(__xludf.DUMMYFUNCTION("""COMPUTED_VALUE"""),45671)</f>
        <v>45671</v>
      </c>
      <c r="I620" s="5" t="str">
        <f ca="1">IFERROR(__xludf.DUMMYFUNCTION("""COMPUTED_VALUE"""),"Zillow")</f>
        <v>Zillow</v>
      </c>
      <c r="J620" s="25" t="str">
        <f ca="1">IFERROR(__xludf.DUMMYFUNCTION("""COMPUTED_VALUE"""),"https://www.zillow.com/homedetails/822-S-Plymouth-Blvd-2-Los-Angeles-CA-90005/339398724_zpid/")</f>
        <v>https://www.zillow.com/homedetails/822-S-Plymouth-Blvd-2-Los-Angeles-CA-90005/339398724_zpid/</v>
      </c>
      <c r="K620" s="5" t="str">
        <f ca="1">IFERROR(__xludf.DUMMYFUNCTION("""COMPUTED_VALUE"""),"Jasmine Choi, Keller Williams Executive")</f>
        <v>Jasmine Choi, Keller Williams Executive</v>
      </c>
      <c r="L620" s="5"/>
      <c r="M620" s="5"/>
      <c r="N620" s="5" t="str">
        <f ca="1">IFERROR(__xludf.DUMMYFUNCTION("""COMPUTED_VALUE"""),"https://drive.google.com/open?id=1p8W8mbTFp--UIUWMNlewwpPQmPYm4YGV, https://drive.google.com/open?id=1rp7b6hVnIeu_YEuWLUhWdiTYrwZveH0Y")</f>
        <v>https://drive.google.com/open?id=1p8W8mbTFp--UIUWMNlewwpPQmPYm4YGV, https://drive.google.com/open?id=1rp7b6hVnIeu_YEuWLUhWdiTYrwZveH0Y</v>
      </c>
      <c r="O620" s="5">
        <f ca="1">IFERROR(__xludf.DUMMYFUNCTION("""COMPUTED_VALUE"""),5090028052)</f>
        <v>5090028052</v>
      </c>
      <c r="P620" s="5" t="str">
        <f ca="1">IFERROR(__xludf.DUMMYFUNCTION("""COMPUTED_VALUE"""),"(213) 220-6565")</f>
        <v>(213) 220-6565</v>
      </c>
      <c r="Q620" s="5"/>
      <c r="R620" s="5"/>
      <c r="S620" s="5"/>
      <c r="T620" s="5"/>
    </row>
    <row r="621" spans="1:20" ht="12.75">
      <c r="A621" s="24">
        <f ca="1">IFERROR(__xludf.DUMMYFUNCTION("""COMPUTED_VALUE"""),45670.8056423842)</f>
        <v>45670.805642384199</v>
      </c>
      <c r="B621" s="5" t="str">
        <f ca="1">IFERROR(__xludf.DUMMYFUNCTION("""COMPUTED_VALUE"""),"52004 Etiwanda Ave")</f>
        <v>52004 Etiwanda Ave</v>
      </c>
      <c r="C621" s="5" t="str">
        <f ca="1">IFERROR(__xludf.DUMMYFUNCTION("""COMPUTED_VALUE"""),"Tarzana")</f>
        <v>Tarzana</v>
      </c>
      <c r="D621" s="5" t="str">
        <f ca="1">IFERROR(__xludf.DUMMYFUNCTION("""COMPUTED_VALUE"""),"CA")</f>
        <v>CA</v>
      </c>
      <c r="E621" s="5">
        <f ca="1">IFERROR(__xludf.DUMMYFUNCTION("""COMPUTED_VALUE"""),91356)</f>
        <v>91356</v>
      </c>
      <c r="F621" s="19">
        <f ca="1">IFERROR(__xludf.DUMMYFUNCTION("""COMPUTED_VALUE"""),5795)</f>
        <v>5795</v>
      </c>
      <c r="G621" s="19">
        <f ca="1">IFERROR(__xludf.DUMMYFUNCTION("""COMPUTED_VALUE"""),6500)</f>
        <v>6500</v>
      </c>
      <c r="H621" s="18">
        <f ca="1">IFERROR(__xludf.DUMMYFUNCTION("""COMPUTED_VALUE"""),45667)</f>
        <v>45667</v>
      </c>
      <c r="I621" s="5" t="str">
        <f ca="1">IFERROR(__xludf.DUMMYFUNCTION("""COMPUTED_VALUE"""),"Zillow")</f>
        <v>Zillow</v>
      </c>
      <c r="J621" s="25" t="str">
        <f ca="1">IFERROR(__xludf.DUMMYFUNCTION("""COMPUTED_VALUE"""),"https://www.zillow.com/homedetails/5204-Etiwanda-Ave-Tarzana-CA-91356/19949467_zpid/")</f>
        <v>https://www.zillow.com/homedetails/5204-Etiwanda-Ave-Tarzana-CA-91356/19949467_zpid/</v>
      </c>
      <c r="K621" s="5" t="str">
        <f ca="1">IFERROR(__xludf.DUMMYFUNCTION("""COMPUTED_VALUE"""),"Shirley")</f>
        <v>Shirley</v>
      </c>
      <c r="L621" s="5"/>
      <c r="M621" s="5" t="str">
        <f ca="1">IFERROR(__xludf.DUMMYFUNCTION("""COMPUTED_VALUE"""),"Listed from 4/11/2024 - 4/19/2024 for $4,995")</f>
        <v>Listed from 4/11/2024 - 4/19/2024 for $4,995</v>
      </c>
      <c r="N621" s="26" t="str">
        <f ca="1">IFERROR(__xludf.DUMMYFUNCTION("""COMPUTED_VALUE"""),"https://drive.google.com/open?id=1S4sFn4ROyHa1rDJbRDirdIvc2bLwlljk")</f>
        <v>https://drive.google.com/open?id=1S4sFn4ROyHa1rDJbRDirdIvc2bLwlljk</v>
      </c>
      <c r="O621" s="5">
        <f ca="1">IFERROR(__xludf.DUMMYFUNCTION("""COMPUTED_VALUE"""),2181010005)</f>
        <v>2181010005</v>
      </c>
      <c r="P621" s="5" t="str">
        <f ca="1">IFERROR(__xludf.DUMMYFUNCTION("""COMPUTED_VALUE"""),"(213) 642-1669")</f>
        <v>(213) 642-1669</v>
      </c>
      <c r="Q621" s="5"/>
      <c r="R621" s="5"/>
      <c r="S621" s="5"/>
      <c r="T621" s="5"/>
    </row>
    <row r="622" spans="1:20" ht="12.75">
      <c r="A622" s="24">
        <f ca="1">IFERROR(__xludf.DUMMYFUNCTION("""COMPUTED_VALUE"""),45670.8156508217)</f>
        <v>45670.8156508217</v>
      </c>
      <c r="B622" s="5" t="str">
        <f ca="1">IFERROR(__xludf.DUMMYFUNCTION("""COMPUTED_VALUE"""),"14729 Otsego Street")</f>
        <v>14729 Otsego Street</v>
      </c>
      <c r="C622" s="5" t="str">
        <f ca="1">IFERROR(__xludf.DUMMYFUNCTION("""COMPUTED_VALUE"""),"Sherman Oaks")</f>
        <v>Sherman Oaks</v>
      </c>
      <c r="D622" s="5" t="str">
        <f ca="1">IFERROR(__xludf.DUMMYFUNCTION("""COMPUTED_VALUE"""),"CA")</f>
        <v>CA</v>
      </c>
      <c r="E622" s="5">
        <f ca="1">IFERROR(__xludf.DUMMYFUNCTION("""COMPUTED_VALUE"""),91403)</f>
        <v>91403</v>
      </c>
      <c r="F622" s="19">
        <f ca="1">IFERROR(__xludf.DUMMYFUNCTION("""COMPUTED_VALUE"""),18000)</f>
        <v>18000</v>
      </c>
      <c r="G622" s="19">
        <f ca="1">IFERROR(__xludf.DUMMYFUNCTION("""COMPUTED_VALUE"""),29500)</f>
        <v>29500</v>
      </c>
      <c r="H622" s="18">
        <f ca="1">IFERROR(__xludf.DUMMYFUNCTION("""COMPUTED_VALUE"""),45668)</f>
        <v>45668</v>
      </c>
      <c r="I622" s="5" t="str">
        <f ca="1">IFERROR(__xludf.DUMMYFUNCTION("""COMPUTED_VALUE"""),"Compass")</f>
        <v>Compass</v>
      </c>
      <c r="J622" s="25" t="str">
        <f ca="1">IFERROR(__xludf.DUMMYFUNCTION("""COMPUTED_VALUE"""),"https://www.compass.com/listing/14729-otsego-street-sherman-oaks-ca-91403/1751946698597328937/")</f>
        <v>https://www.compass.com/listing/14729-otsego-street-sherman-oaks-ca-91403/1751946698597328937/</v>
      </c>
      <c r="K622" s="5" t="str">
        <f ca="1">IFERROR(__xludf.DUMMYFUNCTION("""COMPUTED_VALUE"""),"Noelle Lesinski")</f>
        <v>Noelle Lesinski</v>
      </c>
      <c r="L622" s="5"/>
      <c r="M622" s="5"/>
      <c r="N622" s="26" t="str">
        <f ca="1">IFERROR(__xludf.DUMMYFUNCTION("""COMPUTED_VALUE"""),"https://drive.google.com/open?id=1vXjfny69IBRHtjQTu2feytrPcfxAzACP")</f>
        <v>https://drive.google.com/open?id=1vXjfny69IBRHtjQTu2feytrPcfxAzACP</v>
      </c>
      <c r="O622" s="5" t="str">
        <f ca="1">IFERROR(__xludf.DUMMYFUNCTION("""COMPUTED_VALUE"""),"NA")</f>
        <v>NA</v>
      </c>
      <c r="P622" s="5" t="str">
        <f ca="1">IFERROR(__xludf.DUMMYFUNCTION("""COMPUTED_VALUE"""),"(310)-623-1300")</f>
        <v>(310)-623-1300</v>
      </c>
      <c r="Q622" s="5" t="str">
        <f ca="1">IFERROR(__xludf.DUMMYFUNCTION("""COMPUTED_VALUE"""),"noelle930@gmail.com")</f>
        <v>noelle930@gmail.com</v>
      </c>
      <c r="R622" s="5"/>
      <c r="S622" s="5"/>
      <c r="T622" s="5"/>
    </row>
    <row r="623" spans="1:20" ht="12.75">
      <c r="A623" s="24">
        <f ca="1">IFERROR(__xludf.DUMMYFUNCTION("""COMPUTED_VALUE"""),45670.815825625)</f>
        <v>45670.815825625003</v>
      </c>
      <c r="B623" s="5" t="str">
        <f ca="1">IFERROR(__xludf.DUMMYFUNCTION("""COMPUTED_VALUE"""),"Undisclosed Address (likely 3142 Drew Street)")</f>
        <v>Undisclosed Address (likely 3142 Drew Street)</v>
      </c>
      <c r="C623" s="5" t="str">
        <f ca="1">IFERROR(__xludf.DUMMYFUNCTION("""COMPUTED_VALUE"""),"Los Angeles")</f>
        <v>Los Angeles</v>
      </c>
      <c r="D623" s="5" t="str">
        <f ca="1">IFERROR(__xludf.DUMMYFUNCTION("""COMPUTED_VALUE"""),"CA")</f>
        <v>CA</v>
      </c>
      <c r="E623" s="5">
        <f ca="1">IFERROR(__xludf.DUMMYFUNCTION("""COMPUTED_VALUE"""),90065)</f>
        <v>90065</v>
      </c>
      <c r="F623" s="19">
        <f ca="1">IFERROR(__xludf.DUMMYFUNCTION("""COMPUTED_VALUE"""),4400)</f>
        <v>4400</v>
      </c>
      <c r="G623" s="19">
        <f ca="1">IFERROR(__xludf.DUMMYFUNCTION("""COMPUTED_VALUE"""),5000)</f>
        <v>5000</v>
      </c>
      <c r="H623" s="18">
        <f ca="1">IFERROR(__xludf.DUMMYFUNCTION("""COMPUTED_VALUE"""),45671)</f>
        <v>45671</v>
      </c>
      <c r="I623" s="5" t="str">
        <f ca="1">IFERROR(__xludf.DUMMYFUNCTION("""COMPUTED_VALUE"""),"Zillow")</f>
        <v>Zillow</v>
      </c>
      <c r="J623" s="25" t="str">
        <f ca="1">IFERROR(__xludf.DUMMYFUNCTION("""COMPUTED_VALUE"""),"https://www.zillow.com/homedetails/Los-Angeles-CA-90065/443611488_zpid/?")</f>
        <v>https://www.zillow.com/homedetails/Los-Angeles-CA-90065/443611488_zpid/?</v>
      </c>
      <c r="K623" s="5"/>
      <c r="L623" s="5" t="str">
        <f ca="1">IFERROR(__xludf.DUMMYFUNCTION("""COMPUTED_VALUE"""),"""Lix Neumayr""")</f>
        <v>"Lix Neumayr"</v>
      </c>
      <c r="M623" s="5" t="str">
        <f ca="1">IFERROR(__xludf.DUMMYFUNCTION("""COMPUTED_VALUE"""),"Name is probably Liz Neumayr. Price raised 13.6% from just three weeks ago")</f>
        <v>Name is probably Liz Neumayr. Price raised 13.6% from just three weeks ago</v>
      </c>
      <c r="N623" s="5" t="str">
        <f ca="1">IFERROR(__xludf.DUMMYFUNCTION("""COMPUTED_VALUE"""),"https://drive.google.com/open?id=1_Z36SCWCndzwYZqU2a14YlhUrCK8j0iU, https://drive.google.com/open?id=1YYLtccNpBFsaFlVgxLPrZlgpTX3y0uMU")</f>
        <v>https://drive.google.com/open?id=1_Z36SCWCndzwYZqU2a14YlhUrCK8j0iU, https://drive.google.com/open?id=1YYLtccNpBFsaFlVgxLPrZlgpTX3y0uMU</v>
      </c>
      <c r="O623" s="5">
        <f ca="1">IFERROR(__xludf.DUMMYFUNCTION("""COMPUTED_VALUE"""),5762005019)</f>
        <v>5762005019</v>
      </c>
      <c r="P623" s="5"/>
      <c r="Q623" s="5"/>
      <c r="R623" s="5"/>
      <c r="S623" s="5"/>
      <c r="T623" s="5"/>
    </row>
    <row r="624" spans="1:20" ht="12.75">
      <c r="A624" s="24">
        <f ca="1">IFERROR(__xludf.DUMMYFUNCTION("""COMPUTED_VALUE"""),45670.8161938657)</f>
        <v>45670.816193865699</v>
      </c>
      <c r="B624" s="5" t="str">
        <f ca="1">IFERROR(__xludf.DUMMYFUNCTION("""COMPUTED_VALUE"""),"6617 S Sherbourne Drive")</f>
        <v>6617 S Sherbourne Drive</v>
      </c>
      <c r="C624" s="5" t="str">
        <f ca="1">IFERROR(__xludf.DUMMYFUNCTION("""COMPUTED_VALUE"""),"Los Angeles")</f>
        <v>Los Angeles</v>
      </c>
      <c r="D624" s="5" t="str">
        <f ca="1">IFERROR(__xludf.DUMMYFUNCTION("""COMPUTED_VALUE"""),"CA")</f>
        <v>CA</v>
      </c>
      <c r="E624" s="5">
        <f ca="1">IFERROR(__xludf.DUMMYFUNCTION("""COMPUTED_VALUE"""),90056)</f>
        <v>90056</v>
      </c>
      <c r="F624" s="19">
        <f ca="1">IFERROR(__xludf.DUMMYFUNCTION("""COMPUTED_VALUE"""),10500)</f>
        <v>10500</v>
      </c>
      <c r="G624" s="19">
        <f ca="1">IFERROR(__xludf.DUMMYFUNCTION("""COMPUTED_VALUE"""),16600)</f>
        <v>16600</v>
      </c>
      <c r="H624" s="18">
        <f ca="1">IFERROR(__xludf.DUMMYFUNCTION("""COMPUTED_VALUE"""),45669)</f>
        <v>45669</v>
      </c>
      <c r="I624" s="5" t="str">
        <f ca="1">IFERROR(__xludf.DUMMYFUNCTION("""COMPUTED_VALUE"""),"Zillow")</f>
        <v>Zillow</v>
      </c>
      <c r="J624" s="25" t="str">
        <f ca="1">IFERROR(__xludf.DUMMYFUNCTION("""COMPUTED_VALUE"""),"https://www.zillow.com/homedetails/6617-S-Sherbourne-Dr-Los-Angeles-CA-90056/20377951_zpid/?utm_campaign=iosappmessage&amp;utm_medium=referral&amp;utm_source=txtshare")</f>
        <v>https://www.zillow.com/homedetails/6617-S-Sherbourne-Dr-Los-Angeles-CA-90056/20377951_zpid/?utm_campaign=iosappmessage&amp;utm_medium=referral&amp;utm_source=txtshare</v>
      </c>
      <c r="K624" s="5" t="str">
        <f ca="1">IFERROR(__xludf.DUMMYFUNCTION("""COMPUTED_VALUE"""),"Gena Lofton, Passive Income Advisors LLC")</f>
        <v>Gena Lofton, Passive Income Advisors LLC</v>
      </c>
      <c r="L624" s="5" t="str">
        <f ca="1">IFERROR(__xludf.DUMMYFUNCTION("""COMPUTED_VALUE"""),"N/A")</f>
        <v>N/A</v>
      </c>
      <c r="M624" s="5" t="str">
        <f ca="1">IFERROR(__xludf.DUMMYFUNCTION("""COMPUTED_VALUE"""),"Originally listed at 10,500 in the summer of 2024, then price jumped to 16000 1/10/25 and by $600 more on 1/12/25")</f>
        <v>Originally listed at 10,500 in the summer of 2024, then price jumped to 16000 1/10/25 and by $600 more on 1/12/25</v>
      </c>
      <c r="N624" s="26" t="str">
        <f ca="1">IFERROR(__xludf.DUMMYFUNCTION("""COMPUTED_VALUE"""),"https://drive.google.com/open?id=14z21zG9jQy0iQg-dRfcjVS0O7vPSChrS")</f>
        <v>https://drive.google.com/open?id=14z21zG9jQy0iQg-dRfcjVS0O7vPSChrS</v>
      </c>
      <c r="O624" s="5">
        <f ca="1">IFERROR(__xludf.DUMMYFUNCTION("""COMPUTED_VALUE"""),4102013016)</f>
        <v>4102013016</v>
      </c>
      <c r="P624" s="5">
        <f ca="1">IFERROR(__xludf.DUMMYFUNCTION("""COMPUTED_VALUE"""),2135772699)</f>
        <v>2135772699</v>
      </c>
      <c r="Q624" s="5"/>
      <c r="R624" s="5" t="str">
        <f ca="1">IFERROR(__xludf.DUMMYFUNCTION("""COMPUTED_VALUE"""),"N/A")</f>
        <v>N/A</v>
      </c>
      <c r="S624" s="5"/>
      <c r="T624" s="5"/>
    </row>
    <row r="625" spans="1:20" ht="12.75">
      <c r="A625" s="24">
        <f ca="1">IFERROR(__xludf.DUMMYFUNCTION("""COMPUTED_VALUE"""),45670.8163189699)</f>
        <v>45670.816318969897</v>
      </c>
      <c r="B625" s="5" t="str">
        <f ca="1">IFERROR(__xludf.DUMMYFUNCTION("""COMPUTED_VALUE"""),"3055 Landa Street")</f>
        <v>3055 Landa Street</v>
      </c>
      <c r="C625" s="5" t="str">
        <f ca="1">IFERROR(__xludf.DUMMYFUNCTION("""COMPUTED_VALUE"""),"Los Ángeles ")</f>
        <v xml:space="preserve">Los Ángeles </v>
      </c>
      <c r="D625" s="5" t="str">
        <f ca="1">IFERROR(__xludf.DUMMYFUNCTION("""COMPUTED_VALUE"""),"CA")</f>
        <v>CA</v>
      </c>
      <c r="E625" s="5">
        <f ca="1">IFERROR(__xludf.DUMMYFUNCTION("""COMPUTED_VALUE"""),90039)</f>
        <v>90039</v>
      </c>
      <c r="F625" s="19">
        <f ca="1">IFERROR(__xludf.DUMMYFUNCTION("""COMPUTED_VALUE"""),9000)</f>
        <v>9000</v>
      </c>
      <c r="G625" s="19">
        <f ca="1">IFERROR(__xludf.DUMMYFUNCTION("""COMPUTED_VALUE"""),12000)</f>
        <v>12000</v>
      </c>
      <c r="H625" s="18">
        <f ca="1">IFERROR(__xludf.DUMMYFUNCTION("""COMPUTED_VALUE"""),45668)</f>
        <v>45668</v>
      </c>
      <c r="I625" s="5" t="str">
        <f ca="1">IFERROR(__xludf.DUMMYFUNCTION("""COMPUTED_VALUE"""),"Zillow")</f>
        <v>Zillow</v>
      </c>
      <c r="J625" s="25" t="str">
        <f ca="1">IFERROR(__xludf.DUMMYFUNCTION("""COMPUTED_VALUE"""),"alreadypulleddown.com")</f>
        <v>alreadypulleddown.com</v>
      </c>
      <c r="K625" s="5" t="str">
        <f ca="1">IFERROR(__xludf.DUMMYFUNCTION("""COMPUTED_VALUE"""),"Edward kay")</f>
        <v>Edward kay</v>
      </c>
      <c r="L625" s="5"/>
      <c r="M625" s="5"/>
      <c r="N625" s="5" t="str">
        <f ca="1">IFERROR(__xludf.DUMMYFUNCTION("""COMPUTED_VALUE"""),"https://drive.google.com/open?id=1h-20KKVzP3KpKeJ-M--fXcd4QpjzBIOa, https://drive.google.com/open?id=1poDF9kx3E96aMJU2n7HjhJDQlbpfLsT3")</f>
        <v>https://drive.google.com/open?id=1h-20KKVzP3KpKeJ-M--fXcd4QpjzBIOa, https://drive.google.com/open?id=1poDF9kx3E96aMJU2n7HjhJDQlbpfLsT3</v>
      </c>
      <c r="O625" s="5" t="str">
        <f ca="1">IFERROR(__xludf.DUMMYFUNCTION("""COMPUTED_VALUE"""),"Na")</f>
        <v>Na</v>
      </c>
      <c r="P625" s="5">
        <f ca="1">IFERROR(__xludf.DUMMYFUNCTION("""COMPUTED_VALUE"""),8184018791)</f>
        <v>8184018791</v>
      </c>
      <c r="Q625" s="5"/>
      <c r="R625" s="5"/>
      <c r="S625" s="5"/>
      <c r="T625" s="5"/>
    </row>
    <row r="626" spans="1:20" ht="12.75">
      <c r="A626" s="24">
        <f ca="1">IFERROR(__xludf.DUMMYFUNCTION("""COMPUTED_VALUE"""),45670.8175999768)</f>
        <v>45670.817599976799</v>
      </c>
      <c r="B626" s="5" t="str">
        <f ca="1">IFERROR(__xludf.DUMMYFUNCTION("""COMPUTED_VALUE"""),"10097 Tujunga Canyon Blvd")</f>
        <v>10097 Tujunga Canyon Blvd</v>
      </c>
      <c r="C626" s="5" t="str">
        <f ca="1">IFERROR(__xludf.DUMMYFUNCTION("""COMPUTED_VALUE"""),"Tujunga")</f>
        <v>Tujunga</v>
      </c>
      <c r="D626" s="5" t="str">
        <f ca="1">IFERROR(__xludf.DUMMYFUNCTION("""COMPUTED_VALUE"""),"CA")</f>
        <v>CA</v>
      </c>
      <c r="E626" s="5">
        <f ca="1">IFERROR(__xludf.DUMMYFUNCTION("""COMPUTED_VALUE"""),91042)</f>
        <v>91042</v>
      </c>
      <c r="F626" s="19">
        <f ca="1">IFERROR(__xludf.DUMMYFUNCTION("""COMPUTED_VALUE"""),1800)</f>
        <v>1800</v>
      </c>
      <c r="G626" s="19">
        <f ca="1">IFERROR(__xludf.DUMMYFUNCTION("""COMPUTED_VALUE"""),2495)</f>
        <v>2495</v>
      </c>
      <c r="H626" s="18">
        <f ca="1">IFERROR(__xludf.DUMMYFUNCTION("""COMPUTED_VALUE"""),45671)</f>
        <v>45671</v>
      </c>
      <c r="I626" s="5" t="str">
        <f ca="1">IFERROR(__xludf.DUMMYFUNCTION("""COMPUTED_VALUE"""),"Zillow")</f>
        <v>Zillow</v>
      </c>
      <c r="J626" s="25" t="str">
        <f ca="1">IFERROR(__xludf.DUMMYFUNCTION("""COMPUTED_VALUE"""),"https://www.zillow.com/homedetails/10097-Tujunga-Canyon-Blvd-Tujunga-CA-91042/2080530432_zpid/")</f>
        <v>https://www.zillow.com/homedetails/10097-Tujunga-Canyon-Blvd-Tujunga-CA-91042/2080530432_zpid/</v>
      </c>
      <c r="K626" s="5" t="str">
        <f ca="1">IFERROR(__xludf.DUMMYFUNCTION("""COMPUTED_VALUE"""),"Annette")</f>
        <v>Annette</v>
      </c>
      <c r="L626" s="5"/>
      <c r="M626" s="5"/>
      <c r="N626" s="5" t="str">
        <f ca="1">IFERROR(__xludf.DUMMYFUNCTION("""COMPUTED_VALUE"""),"https://drive.google.com/open?id=1bIULYHZrdEFEgh_UdZoCsZwozsY_MmWt, https://drive.google.com/open?id=151L0twrAzXYUBcwsbnQfZmttmgVryJd_")</f>
        <v>https://drive.google.com/open?id=1bIULYHZrdEFEgh_UdZoCsZwozsY_MmWt, https://drive.google.com/open?id=151L0twrAzXYUBcwsbnQfZmttmgVryJd_</v>
      </c>
      <c r="O626" s="5" t="str">
        <f ca="1">IFERROR(__xludf.DUMMYFUNCTION("""COMPUTED_VALUE"""),"NA")</f>
        <v>NA</v>
      </c>
      <c r="P626" s="5" t="str">
        <f ca="1">IFERROR(__xludf.DUMMYFUNCTION("""COMPUTED_VALUE"""),"(818) 476-2251")</f>
        <v>(818) 476-2251</v>
      </c>
      <c r="Q626" s="5"/>
      <c r="R626" s="5"/>
      <c r="S626" s="5"/>
      <c r="T626" s="5"/>
    </row>
    <row r="627" spans="1:20" ht="12.75">
      <c r="A627" s="24">
        <f ca="1">IFERROR(__xludf.DUMMYFUNCTION("""COMPUTED_VALUE"""),45670.8186023379)</f>
        <v>45670.818602337902</v>
      </c>
      <c r="B627" s="5">
        <f ca="1">IFERROR(__xludf.DUMMYFUNCTION("""COMPUTED_VALUE"""),13918)</f>
        <v>13918</v>
      </c>
      <c r="C627" s="5" t="str">
        <f ca="1">IFERROR(__xludf.DUMMYFUNCTION("""COMPUTED_VALUE"""),"Van Nuys")</f>
        <v>Van Nuys</v>
      </c>
      <c r="D627" s="5" t="str">
        <f ca="1">IFERROR(__xludf.DUMMYFUNCTION("""COMPUTED_VALUE"""),"CA")</f>
        <v>CA</v>
      </c>
      <c r="E627" s="5">
        <f ca="1">IFERROR(__xludf.DUMMYFUNCTION("""COMPUTED_VALUE"""),91401)</f>
        <v>91401</v>
      </c>
      <c r="F627" s="19">
        <f ca="1">IFERROR(__xludf.DUMMYFUNCTION("""COMPUTED_VALUE"""),35000)</f>
        <v>35000</v>
      </c>
      <c r="G627" s="19">
        <f ca="1">IFERROR(__xludf.DUMMYFUNCTION("""COMPUTED_VALUE"""),50000)</f>
        <v>50000</v>
      </c>
      <c r="H627" s="18">
        <f ca="1">IFERROR(__xludf.DUMMYFUNCTION("""COMPUTED_VALUE"""),45670)</f>
        <v>45670</v>
      </c>
      <c r="I627" s="5" t="str">
        <f ca="1">IFERROR(__xludf.DUMMYFUNCTION("""COMPUTED_VALUE"""),"Zillow")</f>
        <v>Zillow</v>
      </c>
      <c r="J627" s="25" t="str">
        <f ca="1">IFERROR(__xludf.DUMMYFUNCTION("""COMPUTED_VALUE"""),"https://www.zillow.com/homedetails/13918-Chandler-Blvd-Van-Nuys-CA-91401/19974663_zpid/")</f>
        <v>https://www.zillow.com/homedetails/13918-Chandler-Blvd-Van-Nuys-CA-91401/19974663_zpid/</v>
      </c>
      <c r="K627" s="5" t="str">
        <f ca="1">IFERROR(__xludf.DUMMYFUNCTION("""COMPUTED_VALUE"""),"Abi Shabtai")</f>
        <v>Abi Shabtai</v>
      </c>
      <c r="L627" s="5"/>
      <c r="M627" s="5" t="str">
        <f ca="1">IFERROR(__xludf.DUMMYFUNCTION("""COMPUTED_VALUE"""),"It's been for rent since 2011, its been off the market since 2023 and suddenly up for rent today for a 42.9% increase")</f>
        <v>It's been for rent since 2011, its been off the market since 2023 and suddenly up for rent today for a 42.9% increase</v>
      </c>
      <c r="N627" s="5" t="str">
        <f ca="1">IFERROR(__xludf.DUMMYFUNCTION("""COMPUTED_VALUE"""),"https://drive.google.com/open?id=1gYoO7mflM3aAsL19ghj70EA4FF9sNNVT, https://drive.google.com/open?id=1JjhnwtWsvBHIs8Wr3pqX7jh8BIKjoQwg")</f>
        <v>https://drive.google.com/open?id=1gYoO7mflM3aAsL19ghj70EA4FF9sNNVT, https://drive.google.com/open?id=1JjhnwtWsvBHIs8Wr3pqX7jh8BIKjoQwg</v>
      </c>
      <c r="O627" s="5" t="str">
        <f ca="1">IFERROR(__xludf.DUMMYFUNCTION("""COMPUTED_VALUE"""),"N/A")</f>
        <v>N/A</v>
      </c>
      <c r="P627" s="5" t="str">
        <f ca="1">IFERROR(__xludf.DUMMYFUNCTION("""COMPUTED_VALUE"""),"747-227-7261")</f>
        <v>747-227-7261</v>
      </c>
      <c r="Q627" s="5"/>
      <c r="R627" s="5"/>
      <c r="S627" s="5"/>
      <c r="T627" s="5"/>
    </row>
    <row r="628" spans="1:20" ht="12.75">
      <c r="A628" s="24">
        <f ca="1">IFERROR(__xludf.DUMMYFUNCTION("""COMPUTED_VALUE"""),45670.824549537)</f>
        <v>45670.824549536999</v>
      </c>
      <c r="B628" s="5" t="str">
        <f ca="1">IFERROR(__xludf.DUMMYFUNCTION("""COMPUTED_VALUE"""),"5222 Ventura Canyon Ave")</f>
        <v>5222 Ventura Canyon Ave</v>
      </c>
      <c r="C628" s="5" t="str">
        <f ca="1">IFERROR(__xludf.DUMMYFUNCTION("""COMPUTED_VALUE"""),"Sherman Oaks")</f>
        <v>Sherman Oaks</v>
      </c>
      <c r="D628" s="5" t="str">
        <f ca="1">IFERROR(__xludf.DUMMYFUNCTION("""COMPUTED_VALUE"""),"CA")</f>
        <v>CA</v>
      </c>
      <c r="E628" s="5">
        <f ca="1">IFERROR(__xludf.DUMMYFUNCTION("""COMPUTED_VALUE"""),91401)</f>
        <v>91401</v>
      </c>
      <c r="F628" s="19">
        <f ca="1">IFERROR(__xludf.DUMMYFUNCTION("""COMPUTED_VALUE"""),18000)</f>
        <v>18000</v>
      </c>
      <c r="G628" s="19">
        <f ca="1">IFERROR(__xludf.DUMMYFUNCTION("""COMPUTED_VALUE"""),21000)</f>
        <v>21000</v>
      </c>
      <c r="H628" s="18">
        <f ca="1">IFERROR(__xludf.DUMMYFUNCTION("""COMPUTED_VALUE"""),45664)</f>
        <v>45664</v>
      </c>
      <c r="I628" s="5" t="str">
        <f ca="1">IFERROR(__xludf.DUMMYFUNCTION("""COMPUTED_VALUE"""),"Compass")</f>
        <v>Compass</v>
      </c>
      <c r="J628" s="25" t="str">
        <f ca="1">IFERROR(__xludf.DUMMYFUNCTION("""COMPUTED_VALUE"""),"https://www.compass.com/listing/5222-ventura-canyon-avenue-sherman-oaks-ca-91401/1749053077309590265/#propertyHistory")</f>
        <v>https://www.compass.com/listing/5222-ventura-canyon-avenue-sherman-oaks-ca-91401/1749053077309590265/#propertyHistory</v>
      </c>
      <c r="K628" s="5" t="str">
        <f ca="1">IFERROR(__xludf.DUMMYFUNCTION("""COMPUTED_VALUE"""),"Noelle Lesinski")</f>
        <v>Noelle Lesinski</v>
      </c>
      <c r="L628" s="5"/>
      <c r="M628" s="5" t="str">
        <f ca="1">IFERROR(__xludf.DUMMYFUNCTION("""COMPUTED_VALUE"""),"$38k security deposit ")</f>
        <v xml:space="preserve">$38k security deposit </v>
      </c>
      <c r="N628" s="26" t="str">
        <f ca="1">IFERROR(__xludf.DUMMYFUNCTION("""COMPUTED_VALUE"""),"https://drive.google.com/open?id=1CPsz1i4P39bm_gC1B3uui3oF4OQJs0c1")</f>
        <v>https://drive.google.com/open?id=1CPsz1i4P39bm_gC1B3uui3oF4OQJs0c1</v>
      </c>
      <c r="O628" s="5" t="str">
        <f ca="1">IFERROR(__xludf.DUMMYFUNCTION("""COMPUTED_VALUE"""),"NA")</f>
        <v>NA</v>
      </c>
      <c r="P628" s="5" t="str">
        <f ca="1">IFERROR(__xludf.DUMMYFUNCTION("""COMPUTED_VALUE"""),"(818)-426-6380")</f>
        <v>(818)-426-6380</v>
      </c>
      <c r="Q628" s="5" t="str">
        <f ca="1">IFERROR(__xludf.DUMMYFUNCTION("""COMPUTED_VALUE"""),"noelle930@gmail.com")</f>
        <v>noelle930@gmail.com</v>
      </c>
      <c r="R628" s="5"/>
      <c r="S628" s="5"/>
      <c r="T628" s="5"/>
    </row>
    <row r="629" spans="1:20" ht="12.75">
      <c r="A629" s="24">
        <f ca="1">IFERROR(__xludf.DUMMYFUNCTION("""COMPUTED_VALUE"""),45670.8258296759)</f>
        <v>45670.825829675901</v>
      </c>
      <c r="B629" s="5" t="str">
        <f ca="1">IFERROR(__xludf.DUMMYFUNCTION("""COMPUTED_VALUE"""),"6130 Galahad Rd ")</f>
        <v xml:space="preserve">6130 Galahad Rd </v>
      </c>
      <c r="C629" s="5" t="str">
        <f ca="1">IFERROR(__xludf.DUMMYFUNCTION("""COMPUTED_VALUE"""),"Malibu")</f>
        <v>Malibu</v>
      </c>
      <c r="D629" s="5" t="str">
        <f ca="1">IFERROR(__xludf.DUMMYFUNCTION("""COMPUTED_VALUE"""),"CA")</f>
        <v>CA</v>
      </c>
      <c r="E629" s="5">
        <f ca="1">IFERROR(__xludf.DUMMYFUNCTION("""COMPUTED_VALUE"""),90265)</f>
        <v>90265</v>
      </c>
      <c r="F629" s="19">
        <f ca="1">IFERROR(__xludf.DUMMYFUNCTION("""COMPUTED_VALUE"""),19000)</f>
        <v>19000</v>
      </c>
      <c r="G629" s="19">
        <f ca="1">IFERROR(__xludf.DUMMYFUNCTION("""COMPUTED_VALUE"""),24750)</f>
        <v>24750</v>
      </c>
      <c r="H629" s="18">
        <f ca="1">IFERROR(__xludf.DUMMYFUNCTION("""COMPUTED_VALUE"""),45670)</f>
        <v>45670</v>
      </c>
      <c r="I629" s="5" t="str">
        <f ca="1">IFERROR(__xludf.DUMMYFUNCTION("""COMPUTED_VALUE"""),"Redfin")</f>
        <v>Redfin</v>
      </c>
      <c r="J629" s="25" t="str">
        <f ca="1">IFERROR(__xludf.DUMMYFUNCTION("""COMPUTED_VALUE"""),"https://www.redfin.com/CA/Malibu/6130-Galahad-Rd-90265/home/22137187")</f>
        <v>https://www.redfin.com/CA/Malibu/6130-Galahad-Rd-90265/home/22137187</v>
      </c>
      <c r="K629" s="5" t="str">
        <f ca="1">IFERROR(__xludf.DUMMYFUNCTION("""COMPUTED_VALUE"""),"Emil Hartoonian")</f>
        <v>Emil Hartoonian</v>
      </c>
      <c r="L629" s="5"/>
      <c r="M629" s="5" t="str">
        <f ca="1">IFERROR(__xludf.DUMMYFUNCTION("""COMPUTED_VALUE"""),"30% rental increase ")</f>
        <v xml:space="preserve">30% rental increase </v>
      </c>
      <c r="N629" s="26" t="str">
        <f ca="1">IFERROR(__xludf.DUMMYFUNCTION("""COMPUTED_VALUE"""),"https://drive.google.com/open?id=1yzeDZzMJ5jrnVlKKivqSiJZTn03DEIx7")</f>
        <v>https://drive.google.com/open?id=1yzeDZzMJ5jrnVlKKivqSiJZTn03DEIx7</v>
      </c>
      <c r="O629" s="5" t="str">
        <f ca="1">IFERROR(__xludf.DUMMYFUNCTION("""COMPUTED_VALUE"""),"NA")</f>
        <v>NA</v>
      </c>
      <c r="P629" s="5" t="str">
        <f ca="1">IFERROR(__xludf.DUMMYFUNCTION("""COMPUTED_VALUE"""),"310-990-0063")</f>
        <v>310-990-0063</v>
      </c>
      <c r="Q629" s="5" t="str">
        <f ca="1">IFERROR(__xludf.DUMMYFUNCTION("""COMPUTED_VALUE"""),"EHartoonian@TheAgencyRE.com")</f>
        <v>EHartoonian@TheAgencyRE.com</v>
      </c>
      <c r="R629" s="5"/>
      <c r="S629" s="5"/>
      <c r="T629" s="5"/>
    </row>
    <row r="630" spans="1:20" ht="12.75">
      <c r="A630" s="24">
        <f ca="1">IFERROR(__xludf.DUMMYFUNCTION("""COMPUTED_VALUE"""),45670.8289263773)</f>
        <v>45670.828926377297</v>
      </c>
      <c r="B630" s="5" t="str">
        <f ca="1">IFERROR(__xludf.DUMMYFUNCTION("""COMPUTED_VALUE"""),"3351 N Knoll Dr")</f>
        <v>3351 N Knoll Dr</v>
      </c>
      <c r="C630" s="5" t="str">
        <f ca="1">IFERROR(__xludf.DUMMYFUNCTION("""COMPUTED_VALUE"""),"Los Angeles")</f>
        <v>Los Angeles</v>
      </c>
      <c r="D630" s="5" t="str">
        <f ca="1">IFERROR(__xludf.DUMMYFUNCTION("""COMPUTED_VALUE"""),"CA")</f>
        <v>CA</v>
      </c>
      <c r="E630" s="5">
        <f ca="1">IFERROR(__xludf.DUMMYFUNCTION("""COMPUTED_VALUE"""),90068)</f>
        <v>90068</v>
      </c>
      <c r="F630" s="19">
        <f ca="1">IFERROR(__xludf.DUMMYFUNCTION("""COMPUTED_VALUE"""),16000)</f>
        <v>16000</v>
      </c>
      <c r="G630" s="19">
        <f ca="1">IFERROR(__xludf.DUMMYFUNCTION("""COMPUTED_VALUE"""),18500)</f>
        <v>18500</v>
      </c>
      <c r="H630" s="18">
        <f ca="1">IFERROR(__xludf.DUMMYFUNCTION("""COMPUTED_VALUE"""),45670)</f>
        <v>45670</v>
      </c>
      <c r="I630" s="5" t="str">
        <f ca="1">IFERROR(__xludf.DUMMYFUNCTION("""COMPUTED_VALUE"""),"Redfin")</f>
        <v>Redfin</v>
      </c>
      <c r="J630" s="25" t="str">
        <f ca="1">IFERROR(__xludf.DUMMYFUNCTION("""COMPUTED_VALUE"""),"https://www.redfin.com/CA/Los-Angeles/3351-N-Knoll-Dr-90068/home/8181304")</f>
        <v>https://www.redfin.com/CA/Los-Angeles/3351-N-Knoll-Dr-90068/home/8181304</v>
      </c>
      <c r="K630" s="5" t="str">
        <f ca="1">IFERROR(__xludf.DUMMYFUNCTION("""COMPUTED_VALUE"""),"Dag Eliason")</f>
        <v>Dag Eliason</v>
      </c>
      <c r="L630" s="5"/>
      <c r="M630" s="5" t="str">
        <f ca="1">IFERROR(__xludf.DUMMYFUNCTION("""COMPUTED_VALUE"""),"15% rent increase ")</f>
        <v xml:space="preserve">15% rent increase </v>
      </c>
      <c r="N630" s="26" t="str">
        <f ca="1">IFERROR(__xludf.DUMMYFUNCTION("""COMPUTED_VALUE"""),"https://drive.google.com/open?id=197ATC5H295tlnPyEPvRqeA0jF7QK3c2r")</f>
        <v>https://drive.google.com/open?id=197ATC5H295tlnPyEPvRqeA0jF7QK3c2r</v>
      </c>
      <c r="O630" s="5" t="str">
        <f ca="1">IFERROR(__xludf.DUMMYFUNCTION("""COMPUTED_VALUE"""),"NA")</f>
        <v>NA</v>
      </c>
      <c r="P630" s="5" t="str">
        <f ca="1">IFERROR(__xludf.DUMMYFUNCTION("""COMPUTED_VALUE"""),"424-230-8493 ")</f>
        <v xml:space="preserve">424-230-8493 </v>
      </c>
      <c r="Q630" s="5" t="str">
        <f ca="1">IFERROR(__xludf.DUMMYFUNCTION("""COMPUTED_VALUE"""),"dag@hiltonhyland.com")</f>
        <v>dag@hiltonhyland.com</v>
      </c>
      <c r="R630" s="5"/>
      <c r="S630" s="5"/>
      <c r="T630" s="5"/>
    </row>
    <row r="631" spans="1:20" ht="12.75">
      <c r="A631" s="24">
        <f ca="1">IFERROR(__xludf.DUMMYFUNCTION("""COMPUTED_VALUE"""),45670.831806574)</f>
        <v>45670.831806574002</v>
      </c>
      <c r="B631" s="5" t="str">
        <f ca="1">IFERROR(__xludf.DUMMYFUNCTION("""COMPUTED_VALUE"""),"626 University Ave")</f>
        <v>626 University Ave</v>
      </c>
      <c r="C631" s="5" t="str">
        <f ca="1">IFERROR(__xludf.DUMMYFUNCTION("""COMPUTED_VALUE"""),"Burbank")</f>
        <v>Burbank</v>
      </c>
      <c r="D631" s="5" t="str">
        <f ca="1">IFERROR(__xludf.DUMMYFUNCTION("""COMPUTED_VALUE"""),"CA")</f>
        <v>CA</v>
      </c>
      <c r="E631" s="5">
        <f ca="1">IFERROR(__xludf.DUMMYFUNCTION("""COMPUTED_VALUE"""),91504)</f>
        <v>91504</v>
      </c>
      <c r="F631" s="19">
        <f ca="1">IFERROR(__xludf.DUMMYFUNCTION("""COMPUTED_VALUE"""),4299)</f>
        <v>4299</v>
      </c>
      <c r="G631" s="19">
        <f ca="1">IFERROR(__xludf.DUMMYFUNCTION("""COMPUTED_VALUE"""),5999)</f>
        <v>5999</v>
      </c>
      <c r="H631" s="18">
        <f ca="1">IFERROR(__xludf.DUMMYFUNCTION("""COMPUTED_VALUE"""),45670)</f>
        <v>45670</v>
      </c>
      <c r="I631" s="5" t="str">
        <f ca="1">IFERROR(__xludf.DUMMYFUNCTION("""COMPUTED_VALUE"""),"Zillow")</f>
        <v>Zillow</v>
      </c>
      <c r="J631" s="25" t="str">
        <f ca="1">IFERROR(__xludf.DUMMYFUNCTION("""COMPUTED_VALUE"""),"https://www.zillow.com/homedetails/626-University-Ave-Burbank-CA-91504/2062931190_zpid/")</f>
        <v>https://www.zillow.com/homedetails/626-University-Ave-Burbank-CA-91504/2062931190_zpid/</v>
      </c>
      <c r="K631" s="5" t="str">
        <f ca="1">IFERROR(__xludf.DUMMYFUNCTION("""COMPUTED_VALUE"""),"University Ave LLC")</f>
        <v>University Ave LLC</v>
      </c>
      <c r="L631" s="5"/>
      <c r="M631" s="5"/>
      <c r="N631" s="5" t="str">
        <f ca="1">IFERROR(__xludf.DUMMYFUNCTION("""COMPUTED_VALUE"""),"https://drive.google.com/open?id=105WnS3WagVmLhv0TH3sJLHrkeR5QkBfZ, https://drive.google.com/open?id=1O_Mny6c7KJa4An7QxXdEYNcI_XnXf2Uw")</f>
        <v>https://drive.google.com/open?id=105WnS3WagVmLhv0TH3sJLHrkeR5QkBfZ, https://drive.google.com/open?id=1O_Mny6c7KJa4An7QxXdEYNcI_XnXf2Uw</v>
      </c>
      <c r="O631" s="5" t="str">
        <f ca="1">IFERROR(__xludf.DUMMYFUNCTION("""COMPUTED_VALUE"""),"NA")</f>
        <v>NA</v>
      </c>
      <c r="P631" s="5" t="str">
        <f ca="1">IFERROR(__xludf.DUMMYFUNCTION("""COMPUTED_VALUE"""),"818) 399-7196")</f>
        <v>818) 399-7196</v>
      </c>
      <c r="Q631" s="5"/>
      <c r="R631" s="5"/>
      <c r="S631" s="5"/>
      <c r="T631" s="5"/>
    </row>
    <row r="632" spans="1:20" ht="12.75">
      <c r="A632" s="24">
        <f ca="1">IFERROR(__xludf.DUMMYFUNCTION("""COMPUTED_VALUE"""),45670.8341792013)</f>
        <v>45670.834179201302</v>
      </c>
      <c r="B632" s="5" t="str">
        <f ca="1">IFERROR(__xludf.DUMMYFUNCTION("""COMPUTED_VALUE"""),"166 S McCadden Pl")</f>
        <v>166 S McCadden Pl</v>
      </c>
      <c r="C632" s="5" t="str">
        <f ca="1">IFERROR(__xludf.DUMMYFUNCTION("""COMPUTED_VALUE"""),"Los Angeles")</f>
        <v>Los Angeles</v>
      </c>
      <c r="D632" s="5" t="str">
        <f ca="1">IFERROR(__xludf.DUMMYFUNCTION("""COMPUTED_VALUE"""),"CA")</f>
        <v>CA</v>
      </c>
      <c r="E632" s="5">
        <f ca="1">IFERROR(__xludf.DUMMYFUNCTION("""COMPUTED_VALUE"""),90004)</f>
        <v>90004</v>
      </c>
      <c r="F632" s="19">
        <f ca="1">IFERROR(__xludf.DUMMYFUNCTION("""COMPUTED_VALUE"""),16500)</f>
        <v>16500</v>
      </c>
      <c r="G632" s="19">
        <f ca="1">IFERROR(__xludf.DUMMYFUNCTION("""COMPUTED_VALUE"""),20000)</f>
        <v>20000</v>
      </c>
      <c r="H632" s="18">
        <f ca="1">IFERROR(__xludf.DUMMYFUNCTION("""COMPUTED_VALUE"""),45665)</f>
        <v>45665</v>
      </c>
      <c r="I632" s="5" t="str">
        <f ca="1">IFERROR(__xludf.DUMMYFUNCTION("""COMPUTED_VALUE"""),"Zillow")</f>
        <v>Zillow</v>
      </c>
      <c r="J632" s="25" t="str">
        <f ca="1">IFERROR(__xludf.DUMMYFUNCTION("""COMPUTED_VALUE"""),"https://www.zillow.com/homedetails/166-S-McCadden-Pl-Los-Angeles-CA-90004/20778258_zpid/")</f>
        <v>https://www.zillow.com/homedetails/166-S-McCadden-Pl-Los-Angeles-CA-90004/20778258_zpid/</v>
      </c>
      <c r="K632" s="5" t="str">
        <f ca="1">IFERROR(__xludf.DUMMYFUNCTION("""COMPUTED_VALUE"""),"Basya Gradon")</f>
        <v>Basya Gradon</v>
      </c>
      <c r="L632" s="5"/>
      <c r="M632" s="5"/>
      <c r="N632" s="26" t="str">
        <f ca="1">IFERROR(__xludf.DUMMYFUNCTION("""COMPUTED_VALUE"""),"https://drive.google.com/open?id=1gUX306YX_uGOQEDkiuZvo-KeeNS6sd3P")</f>
        <v>https://drive.google.com/open?id=1gUX306YX_uGOQEDkiuZvo-KeeNS6sd3P</v>
      </c>
      <c r="O632" s="5">
        <f ca="1">IFERROR(__xludf.DUMMYFUNCTION("""COMPUTED_VALUE"""),5513012010)</f>
        <v>5513012010</v>
      </c>
      <c r="P632" s="5" t="str">
        <f ca="1">IFERROR(__xludf.DUMMYFUNCTION("""COMPUTED_VALUE"""),"(323) 447-7331")</f>
        <v>(323) 447-7331</v>
      </c>
      <c r="Q632" s="5"/>
      <c r="R632" s="5"/>
      <c r="S632" s="5"/>
      <c r="T632" s="5"/>
    </row>
    <row r="633" spans="1:20" ht="12.75">
      <c r="A633" s="24">
        <f ca="1">IFERROR(__xludf.DUMMYFUNCTION("""COMPUTED_VALUE"""),45670.8379952199)</f>
        <v>45670.837995219903</v>
      </c>
      <c r="B633" s="5" t="str">
        <f ca="1">IFERROR(__xludf.DUMMYFUNCTION("""COMPUTED_VALUE"""),"710 Longfellow Ave")</f>
        <v>710 Longfellow Ave</v>
      </c>
      <c r="C633" s="5" t="str">
        <f ca="1">IFERROR(__xludf.DUMMYFUNCTION("""COMPUTED_VALUE"""),"Hermosa Beach")</f>
        <v>Hermosa Beach</v>
      </c>
      <c r="D633" s="5" t="str">
        <f ca="1">IFERROR(__xludf.DUMMYFUNCTION("""COMPUTED_VALUE"""),"CA")</f>
        <v>CA</v>
      </c>
      <c r="E633" s="5">
        <f ca="1">IFERROR(__xludf.DUMMYFUNCTION("""COMPUTED_VALUE"""),90254)</f>
        <v>90254</v>
      </c>
      <c r="F633" s="19">
        <f ca="1">IFERROR(__xludf.DUMMYFUNCTION("""COMPUTED_VALUE"""),5999)</f>
        <v>5999</v>
      </c>
      <c r="G633" s="19">
        <f ca="1">IFERROR(__xludf.DUMMYFUNCTION("""COMPUTED_VALUE"""),6999)</f>
        <v>6999</v>
      </c>
      <c r="H633" s="18">
        <f ca="1">IFERROR(__xludf.DUMMYFUNCTION("""COMPUTED_VALUE"""),45670)</f>
        <v>45670</v>
      </c>
      <c r="I633" s="5" t="str">
        <f ca="1">IFERROR(__xludf.DUMMYFUNCTION("""COMPUTED_VALUE"""),"Zillow")</f>
        <v>Zillow</v>
      </c>
      <c r="J633" s="25" t="str">
        <f ca="1">IFERROR(__xludf.DUMMYFUNCTION("""COMPUTED_VALUE"""),"https://www.zillow.com/homedetails/710-Longfellow-Ave-Hermosa-Beach-CA-90254/20416512_zpid/")</f>
        <v>https://www.zillow.com/homedetails/710-Longfellow-Ave-Hermosa-Beach-CA-90254/20416512_zpid/</v>
      </c>
      <c r="K633" s="5" t="str">
        <f ca="1">IFERROR(__xludf.DUMMYFUNCTION("""COMPUTED_VALUE"""),"Mark B")</f>
        <v>Mark B</v>
      </c>
      <c r="L633" s="5"/>
      <c r="M633" s="5"/>
      <c r="N633" s="5" t="str">
        <f ca="1">IFERROR(__xludf.DUMMYFUNCTION("""COMPUTED_VALUE"""),"https://drive.google.com/open?id=1J6BlIOMp7ZylUzlQJq0MWHz6-1I9WBJg, https://drive.google.com/open?id=1eM5uHjr4otFZe2yGfB7bkw1AbE2AcHg5")</f>
        <v>https://drive.google.com/open?id=1J6BlIOMp7ZylUzlQJq0MWHz6-1I9WBJg, https://drive.google.com/open?id=1eM5uHjr4otFZe2yGfB7bkw1AbE2AcHg5</v>
      </c>
      <c r="O633" s="5">
        <f ca="1">IFERROR(__xludf.DUMMYFUNCTION("""COMPUTED_VALUE"""),4169029003)</f>
        <v>4169029003</v>
      </c>
      <c r="P633" s="5" t="str">
        <f ca="1">IFERROR(__xludf.DUMMYFUNCTION("""COMPUTED_VALUE"""),"(617) 678-9087")</f>
        <v>(617) 678-9087</v>
      </c>
      <c r="Q633" s="5"/>
      <c r="R633" s="5"/>
      <c r="S633" s="5"/>
      <c r="T633" s="5"/>
    </row>
    <row r="634" spans="1:20" ht="12.75">
      <c r="A634" s="24">
        <f ca="1">IFERROR(__xludf.DUMMYFUNCTION("""COMPUTED_VALUE"""),45670.840353206)</f>
        <v>45670.840353205997</v>
      </c>
      <c r="B634" s="5" t="str">
        <f ca="1">IFERROR(__xludf.DUMMYFUNCTION("""COMPUTED_VALUE"""),"1516 N Beverly Glen Blvd")</f>
        <v>1516 N Beverly Glen Blvd</v>
      </c>
      <c r="C634" s="5" t="str">
        <f ca="1">IFERROR(__xludf.DUMMYFUNCTION("""COMPUTED_VALUE"""),"Los Angeles")</f>
        <v>Los Angeles</v>
      </c>
      <c r="D634" s="5" t="str">
        <f ca="1">IFERROR(__xludf.DUMMYFUNCTION("""COMPUTED_VALUE"""),"CA")</f>
        <v>CA</v>
      </c>
      <c r="E634" s="5">
        <f ca="1">IFERROR(__xludf.DUMMYFUNCTION("""COMPUTED_VALUE"""),90077)</f>
        <v>90077</v>
      </c>
      <c r="F634" s="19">
        <f ca="1">IFERROR(__xludf.DUMMYFUNCTION("""COMPUTED_VALUE"""),12000)</f>
        <v>12000</v>
      </c>
      <c r="G634" s="19">
        <f ca="1">IFERROR(__xludf.DUMMYFUNCTION("""COMPUTED_VALUE"""),15000)</f>
        <v>15000</v>
      </c>
      <c r="H634" s="18">
        <f ca="1">IFERROR(__xludf.DUMMYFUNCTION("""COMPUTED_VALUE"""),45670)</f>
        <v>45670</v>
      </c>
      <c r="I634" s="5" t="str">
        <f ca="1">IFERROR(__xludf.DUMMYFUNCTION("""COMPUTED_VALUE"""),"Zillow")</f>
        <v>Zillow</v>
      </c>
      <c r="J634" s="25" t="str">
        <f ca="1">IFERROR(__xludf.DUMMYFUNCTION("""COMPUTED_VALUE"""),"https://www.zillow.com/homedetails/1516-N-Beverly-Glen-Blvd-Los-Angeles-CA-90077/250219152_zpid/?utm_campaign=iosappmessage&amp;utm_medium=referral&amp;utm_source=txtshare")</f>
        <v>https://www.zillow.com/homedetails/1516-N-Beverly-Glen-Blvd-Los-Angeles-CA-90077/250219152_zpid/?utm_campaign=iosappmessage&amp;utm_medium=referral&amp;utm_source=txtshare</v>
      </c>
      <c r="K634" s="5" t="str">
        <f ca="1">IFERROR(__xludf.DUMMYFUNCTION("""COMPUTED_VALUE"""),"West Reliable Investment, Inc. ")</f>
        <v xml:space="preserve">West Reliable Investment, Inc. </v>
      </c>
      <c r="L634" s="5"/>
      <c r="M634" s="5"/>
      <c r="N634" s="5" t="str">
        <f ca="1">IFERROR(__xludf.DUMMYFUNCTION("""COMPUTED_VALUE"""),"https://drive.google.com/open?id=1_d83ViJfrW8b3x7ANjQHFb_6NRD80HPF, https://drive.google.com/open?id=1H9gTkcpSvdvE1Z17OWDny16ilIkQmsd-")</f>
        <v>https://drive.google.com/open?id=1_d83ViJfrW8b3x7ANjQHFb_6NRD80HPF, https://drive.google.com/open?id=1H9gTkcpSvdvE1Z17OWDny16ilIkQmsd-</v>
      </c>
      <c r="O634" s="5">
        <f ca="1">IFERROR(__xludf.DUMMYFUNCTION("""COMPUTED_VALUE"""),4371037038)</f>
        <v>4371037038</v>
      </c>
      <c r="P634" s="5" t="str">
        <f ca="1">IFERROR(__xludf.DUMMYFUNCTION("""COMPUTED_VALUE"""),"(562) 716-5920")</f>
        <v>(562) 716-5920</v>
      </c>
      <c r="Q634" s="5"/>
      <c r="R634" s="5"/>
      <c r="S634" s="5"/>
      <c r="T634" s="5"/>
    </row>
    <row r="635" spans="1:20" ht="12.75">
      <c r="A635" s="24">
        <f ca="1">IFERROR(__xludf.DUMMYFUNCTION("""COMPUTED_VALUE"""),45670.8412447569)</f>
        <v>45670.841244756899</v>
      </c>
      <c r="B635" s="5" t="str">
        <f ca="1">IFERROR(__xludf.DUMMYFUNCTION("""COMPUTED_VALUE"""),"208 Marine Ave")</f>
        <v>208 Marine Ave</v>
      </c>
      <c r="C635" s="5" t="str">
        <f ca="1">IFERROR(__xludf.DUMMYFUNCTION("""COMPUTED_VALUE"""),"Manhattan Beach")</f>
        <v>Manhattan Beach</v>
      </c>
      <c r="D635" s="5" t="str">
        <f ca="1">IFERROR(__xludf.DUMMYFUNCTION("""COMPUTED_VALUE"""),"CA")</f>
        <v>CA</v>
      </c>
      <c r="E635" s="5">
        <f ca="1">IFERROR(__xludf.DUMMYFUNCTION("""COMPUTED_VALUE"""),90266)</f>
        <v>90266</v>
      </c>
      <c r="F635" s="19">
        <f ca="1">IFERROR(__xludf.DUMMYFUNCTION("""COMPUTED_VALUE"""),7900)</f>
        <v>7900</v>
      </c>
      <c r="G635" s="19">
        <f ca="1">IFERROR(__xludf.DUMMYFUNCTION("""COMPUTED_VALUE"""),8900)</f>
        <v>8900</v>
      </c>
      <c r="H635" s="18">
        <f ca="1">IFERROR(__xludf.DUMMYFUNCTION("""COMPUTED_VALUE"""),45670)</f>
        <v>45670</v>
      </c>
      <c r="I635" s="5" t="str">
        <f ca="1">IFERROR(__xludf.DUMMYFUNCTION("""COMPUTED_VALUE"""),"Zillow")</f>
        <v>Zillow</v>
      </c>
      <c r="J635" s="25" t="str">
        <f ca="1">IFERROR(__xludf.DUMMYFUNCTION("""COMPUTED_VALUE"""),"https://www.zillow.com/homedetails/208-Marine-Ave-Manhattan-Beach-CA-90266/20421873_zpid/")</f>
        <v>https://www.zillow.com/homedetails/208-Marine-Ave-Manhattan-Beach-CA-90266/20421873_zpid/</v>
      </c>
      <c r="K635" s="5" t="str">
        <f ca="1">IFERROR(__xludf.DUMMYFUNCTION("""COMPUTED_VALUE"""),"Justin Miller")</f>
        <v>Justin Miller</v>
      </c>
      <c r="L635" s="5"/>
      <c r="M635" s="5"/>
      <c r="N635" s="5" t="str">
        <f ca="1">IFERROR(__xludf.DUMMYFUNCTION("""COMPUTED_VALUE"""),"https://drive.google.com/open?id=1s2_t_BRt7-8N3v7ZdD-qKiriL0YPl_Vn, https://drive.google.com/open?id=1ldY9drzp8FsOSCiLxo5uS1LBw8jJUw4Q")</f>
        <v>https://drive.google.com/open?id=1s2_t_BRt7-8N3v7ZdD-qKiriL0YPl_Vn, https://drive.google.com/open?id=1ldY9drzp8FsOSCiLxo5uS1LBw8jJUw4Q</v>
      </c>
      <c r="O635" s="5">
        <f ca="1">IFERROR(__xludf.DUMMYFUNCTION("""COMPUTED_VALUE"""),4178013054)</f>
        <v>4178013054</v>
      </c>
      <c r="P635" s="5" t="str">
        <f ca="1">IFERROR(__xludf.DUMMYFUNCTION("""COMPUTED_VALUE"""),"(310) 619-9389")</f>
        <v>(310) 619-9389</v>
      </c>
      <c r="Q635" s="5" t="str">
        <f ca="1">IFERROR(__xludf.DUMMYFUNCTION("""COMPUTED_VALUE"""),"justin@themillergroup-bcb.com")</f>
        <v>justin@themillergroup-bcb.com</v>
      </c>
      <c r="R635" s="5"/>
      <c r="S635" s="5"/>
      <c r="T635" s="5"/>
    </row>
    <row r="636" spans="1:20" ht="12.75">
      <c r="A636" s="24">
        <f ca="1">IFERROR(__xludf.DUMMYFUNCTION("""COMPUTED_VALUE"""),45670.8427133449)</f>
        <v>45670.8427133449</v>
      </c>
      <c r="B636" s="5" t="str">
        <f ca="1">IFERROR(__xludf.DUMMYFUNCTION("""COMPUTED_VALUE"""),"27553 Country Glen Rd")</f>
        <v>27553 Country Glen Rd</v>
      </c>
      <c r="C636" s="5" t="str">
        <f ca="1">IFERROR(__xludf.DUMMYFUNCTION("""COMPUTED_VALUE"""),"Agoura Hills")</f>
        <v>Agoura Hills</v>
      </c>
      <c r="D636" s="5" t="str">
        <f ca="1">IFERROR(__xludf.DUMMYFUNCTION("""COMPUTED_VALUE"""),"CA")</f>
        <v>CA</v>
      </c>
      <c r="E636" s="5">
        <f ca="1">IFERROR(__xludf.DUMMYFUNCTION("""COMPUTED_VALUE"""),91301)</f>
        <v>91301</v>
      </c>
      <c r="F636" s="19">
        <f ca="1">IFERROR(__xludf.DUMMYFUNCTION("""COMPUTED_VALUE"""),9000)</f>
        <v>9000</v>
      </c>
      <c r="G636" s="19">
        <f ca="1">IFERROR(__xludf.DUMMYFUNCTION("""COMPUTED_VALUE"""),10477)</f>
        <v>10477</v>
      </c>
      <c r="H636" s="18">
        <f ca="1">IFERROR(__xludf.DUMMYFUNCTION("""COMPUTED_VALUE"""),45665)</f>
        <v>45665</v>
      </c>
      <c r="I636" s="5" t="str">
        <f ca="1">IFERROR(__xludf.DUMMYFUNCTION("""COMPUTED_VALUE"""),"Zillow")</f>
        <v>Zillow</v>
      </c>
      <c r="J636" s="25" t="str">
        <f ca="1">IFERROR(__xludf.DUMMYFUNCTION("""COMPUTED_VALUE"""),"https://www.zillow.com/homedetails/27553-Country-Glen-Rd-Agoura-Hills-CA-91301/19894551_zpid/")</f>
        <v>https://www.zillow.com/homedetails/27553-Country-Glen-Rd-Agoura-Hills-CA-91301/19894551_zpid/</v>
      </c>
      <c r="K636" s="5"/>
      <c r="L636" s="5" t="str">
        <f ca="1">IFERROR(__xludf.DUMMYFUNCTION("""COMPUTED_VALUE"""),"Ofir Shemesh")</f>
        <v>Ofir Shemesh</v>
      </c>
      <c r="M636" s="5" t="str">
        <f ca="1">IFERROR(__xludf.DUMMYFUNCTION("""COMPUTED_VALUE"""),"Listed for rent at $9,000 12/24, price increased to $10,477 1/8")</f>
        <v>Listed for rent at $9,000 12/24, price increased to $10,477 1/8</v>
      </c>
      <c r="N636" s="26" t="str">
        <f ca="1">IFERROR(__xludf.DUMMYFUNCTION("""COMPUTED_VALUE"""),"https://drive.google.com/open?id=1AVTg7Hjv1_eq1FnZ-hO4O3Ckrhvxxwel")</f>
        <v>https://drive.google.com/open?id=1AVTg7Hjv1_eq1FnZ-hO4O3Ckrhvxxwel</v>
      </c>
      <c r="O636" s="5">
        <f ca="1">IFERROR(__xludf.DUMMYFUNCTION("""COMPUTED_VALUE"""),2064007013)</f>
        <v>2064007013</v>
      </c>
      <c r="P636" s="5"/>
      <c r="Q636" s="5"/>
      <c r="R636" s="5" t="str">
        <f ca="1">IFERROR(__xludf.DUMMYFUNCTION("""COMPUTED_VALUE"""),"(720) 442-6472")</f>
        <v>(720) 442-6472</v>
      </c>
      <c r="S636" s="5"/>
      <c r="T636" s="5"/>
    </row>
    <row r="637" spans="1:20" ht="12.75">
      <c r="A637" s="24">
        <f ca="1">IFERROR(__xludf.DUMMYFUNCTION("""COMPUTED_VALUE"""),45670.8437823032)</f>
        <v>45670.8437823032</v>
      </c>
      <c r="B637" s="5" t="str">
        <f ca="1">IFERROR(__xludf.DUMMYFUNCTION("""COMPUTED_VALUE"""),"16 Park Ave")</f>
        <v>16 Park Ave</v>
      </c>
      <c r="C637" s="5" t="str">
        <f ca="1">IFERROR(__xludf.DUMMYFUNCTION("""COMPUTED_VALUE"""),"venice")</f>
        <v>venice</v>
      </c>
      <c r="D637" s="5" t="str">
        <f ca="1">IFERROR(__xludf.DUMMYFUNCTION("""COMPUTED_VALUE"""),"CA")</f>
        <v>CA</v>
      </c>
      <c r="E637" s="5">
        <f ca="1">IFERROR(__xludf.DUMMYFUNCTION("""COMPUTED_VALUE"""),90291)</f>
        <v>90291</v>
      </c>
      <c r="F637" s="19">
        <f ca="1">IFERROR(__xludf.DUMMYFUNCTION("""COMPUTED_VALUE"""),7995)</f>
        <v>7995</v>
      </c>
      <c r="G637" s="19">
        <f ca="1">IFERROR(__xludf.DUMMYFUNCTION("""COMPUTED_VALUE"""),30000)</f>
        <v>30000</v>
      </c>
      <c r="H637" s="18">
        <f ca="1">IFERROR(__xludf.DUMMYFUNCTION("""COMPUTED_VALUE"""),45670)</f>
        <v>45670</v>
      </c>
      <c r="I637" s="5" t="str">
        <f ca="1">IFERROR(__xludf.DUMMYFUNCTION("""COMPUTED_VALUE"""),"Zillow")</f>
        <v>Zillow</v>
      </c>
      <c r="J637" s="25" t="str">
        <f ca="1">IFERROR(__xludf.DUMMYFUNCTION("""COMPUTED_VALUE"""),"https://www.zillow.com/homedetails/16-Park-Ave-Venice-CA-90291/20482259_zpid/?utm_campaign=iosappmessage&amp;utm_medium=referral&amp;utm_source=txtshare")</f>
        <v>https://www.zillow.com/homedetails/16-Park-Ave-Venice-CA-90291/20482259_zpid/?utm_campaign=iosappmessage&amp;utm_medium=referral&amp;utm_source=txtshare</v>
      </c>
      <c r="K637" s="5" t="str">
        <f ca="1">IFERROR(__xludf.DUMMYFUNCTION("""COMPUTED_VALUE"""),"Kevin Krakower")</f>
        <v>Kevin Krakower</v>
      </c>
      <c r="L637" s="5"/>
      <c r="M637" s="5"/>
      <c r="N637" s="26" t="str">
        <f ca="1">IFERROR(__xludf.DUMMYFUNCTION("""COMPUTED_VALUE"""),"https://drive.google.com/open?id=1ojAz8CInNNo_u3TSdbHu5vFrbWfE02U0")</f>
        <v>https://drive.google.com/open?id=1ojAz8CInNNo_u3TSdbHu5vFrbWfE02U0</v>
      </c>
      <c r="O637" s="5" t="str">
        <f ca="1">IFERROR(__xludf.DUMMYFUNCTION("""COMPUTED_VALUE"""),"zNa")</f>
        <v>zNa</v>
      </c>
      <c r="P637" s="5" t="str">
        <f ca="1">IFERROR(__xludf.DUMMYFUNCTION("""COMPUTED_VALUE"""),"310-493-9895")</f>
        <v>310-493-9895</v>
      </c>
      <c r="Q637" s="5"/>
      <c r="R637" s="5"/>
      <c r="S637" s="5"/>
      <c r="T637" s="5"/>
    </row>
    <row r="638" spans="1:20" ht="12.75">
      <c r="A638" s="24">
        <f ca="1">IFERROR(__xludf.DUMMYFUNCTION("""COMPUTED_VALUE"""),45670.8457085532)</f>
        <v>45670.845708553199</v>
      </c>
      <c r="B638" s="5" t="str">
        <f ca="1">IFERROR(__xludf.DUMMYFUNCTION("""COMPUTED_VALUE"""),"1141 Summit Dr")</f>
        <v>1141 Summit Dr</v>
      </c>
      <c r="C638" s="5" t="str">
        <f ca="1">IFERROR(__xludf.DUMMYFUNCTION("""COMPUTED_VALUE"""),"Beverly Hills")</f>
        <v>Beverly Hills</v>
      </c>
      <c r="D638" s="5" t="str">
        <f ca="1">IFERROR(__xludf.DUMMYFUNCTION("""COMPUTED_VALUE"""),"CA")</f>
        <v>CA</v>
      </c>
      <c r="E638" s="5">
        <f ca="1">IFERROR(__xludf.DUMMYFUNCTION("""COMPUTED_VALUE"""),90210)</f>
        <v>90210</v>
      </c>
      <c r="F638" s="19">
        <f ca="1">IFERROR(__xludf.DUMMYFUNCTION("""COMPUTED_VALUE"""),175000)</f>
        <v>175000</v>
      </c>
      <c r="G638" s="19">
        <f ca="1">IFERROR(__xludf.DUMMYFUNCTION("""COMPUTED_VALUE"""),195000)</f>
        <v>195000</v>
      </c>
      <c r="H638" s="18">
        <f ca="1">IFERROR(__xludf.DUMMYFUNCTION("""COMPUTED_VALUE"""),45666)</f>
        <v>45666</v>
      </c>
      <c r="I638" s="5" t="str">
        <f ca="1">IFERROR(__xludf.DUMMYFUNCTION("""COMPUTED_VALUE"""),"Zillow")</f>
        <v>Zillow</v>
      </c>
      <c r="J638" s="25" t="str">
        <f ca="1">IFERROR(__xludf.DUMMYFUNCTION("""COMPUTED_VALUE"""),"https://www.zillow.com/homedetails/1141-Summit-Dr-Beverly-Hills-CA-90210/135433958_zpid/")</f>
        <v>https://www.zillow.com/homedetails/1141-Summit-Dr-Beverly-Hills-CA-90210/135433958_zpid/</v>
      </c>
      <c r="K638" s="5" t="str">
        <f ca="1">IFERROR(__xludf.DUMMYFUNCTION("""COMPUTED_VALUE"""),"Victor Noval")</f>
        <v>Victor Noval</v>
      </c>
      <c r="L638" s="5"/>
      <c r="M638" s="5" t="str">
        <f ca="1">IFERROR(__xludf.DUMMYFUNCTION("""COMPUTED_VALUE"""),"Listing was removed in November 2024 and posted again before fires began at 165k. 30k more 2 days later. ")</f>
        <v xml:space="preserve">Listing was removed in November 2024 and posted again before fires began at 165k. 30k more 2 days later. </v>
      </c>
      <c r="N638" s="5" t="str">
        <f ca="1">IFERROR(__xludf.DUMMYFUNCTION("""COMPUTED_VALUE"""),"https://drive.google.com/open?id=1hbLs-BZuuUluLLt8rjImWeOBJy83z9uJ, https://drive.google.com/open?id=1tJAHBnnrujM1ljRlHiyzfeWksXekwlgi")</f>
        <v>https://drive.google.com/open?id=1hbLs-BZuuUluLLt8rjImWeOBJy83z9uJ, https://drive.google.com/open?id=1tJAHBnnrujM1ljRlHiyzfeWksXekwlgi</v>
      </c>
      <c r="O638" s="5">
        <f ca="1">IFERROR(__xludf.DUMMYFUNCTION("""COMPUTED_VALUE"""),4348013030)</f>
        <v>4348013030</v>
      </c>
      <c r="P638" s="5" t="str">
        <f ca="1">IFERROR(__xludf.DUMMYFUNCTION("""COMPUTED_VALUE"""),"(310) 850-2102")</f>
        <v>(310) 850-2102</v>
      </c>
      <c r="Q638" s="5"/>
      <c r="R638" s="5"/>
      <c r="S638" s="5"/>
      <c r="T638" s="5"/>
    </row>
    <row r="639" spans="1:20" ht="12.75">
      <c r="A639" s="24">
        <f ca="1">IFERROR(__xludf.DUMMYFUNCTION("""COMPUTED_VALUE"""),45670.850376331)</f>
        <v>45670.850376331</v>
      </c>
      <c r="B639" s="5" t="str">
        <f ca="1">IFERROR(__xludf.DUMMYFUNCTION("""COMPUTED_VALUE"""),"220 Avenue A")</f>
        <v>220 Avenue A</v>
      </c>
      <c r="C639" s="5" t="str">
        <f ca="1">IFERROR(__xludf.DUMMYFUNCTION("""COMPUTED_VALUE"""),"Redondo Beach")</f>
        <v>Redondo Beach</v>
      </c>
      <c r="D639" s="5" t="str">
        <f ca="1">IFERROR(__xludf.DUMMYFUNCTION("""COMPUTED_VALUE"""),"CA")</f>
        <v>CA</v>
      </c>
      <c r="E639" s="5">
        <f ca="1">IFERROR(__xludf.DUMMYFUNCTION("""COMPUTED_VALUE"""),90277)</f>
        <v>90277</v>
      </c>
      <c r="F639" s="19">
        <f ca="1">IFERROR(__xludf.DUMMYFUNCTION("""COMPUTED_VALUE"""),7500)</f>
        <v>7500</v>
      </c>
      <c r="G639" s="19">
        <f ca="1">IFERROR(__xludf.DUMMYFUNCTION("""COMPUTED_VALUE"""),10000)</f>
        <v>10000</v>
      </c>
      <c r="H639" s="18">
        <f ca="1">IFERROR(__xludf.DUMMYFUNCTION("""COMPUTED_VALUE"""),45671)</f>
        <v>45671</v>
      </c>
      <c r="I639" s="5" t="str">
        <f ca="1">IFERROR(__xludf.DUMMYFUNCTION("""COMPUTED_VALUE"""),"Zillow")</f>
        <v>Zillow</v>
      </c>
      <c r="J639" s="25" t="str">
        <f ca="1">IFERROR(__xludf.DUMMYFUNCTION("""COMPUTED_VALUE"""),"https://www.zillow.com/homedetails/220-Avenue-A-Redondo-Beach-CA-90277/21322400_zpid/")</f>
        <v>https://www.zillow.com/homedetails/220-Avenue-A-Redondo-Beach-CA-90277/21322400_zpid/</v>
      </c>
      <c r="K639" s="5" t="str">
        <f ca="1">IFERROR(__xludf.DUMMYFUNCTION("""COMPUTED_VALUE"""),"J. Suzanne Rampe (Vista Sotheby's International Realty)")</f>
        <v>J. Suzanne Rampe (Vista Sotheby's International Realty)</v>
      </c>
      <c r="L639" s="5"/>
      <c r="M639" s="5" t="str">
        <f ca="1">IFERROR(__xludf.DUMMYFUNCTION("""COMPUTED_VALUE"""),"Initially raised price from $7,500 to $13,000 on Jan 10th, then back down to $10,000 shorly thereafter")</f>
        <v>Initially raised price from $7,500 to $13,000 on Jan 10th, then back down to $10,000 shorly thereafter</v>
      </c>
      <c r="N639" s="5" t="str">
        <f ca="1">IFERROR(__xludf.DUMMYFUNCTION("""COMPUTED_VALUE"""),"https://drive.google.com/open?id=12SBWJoPi7_-dp22l3EMJHEUIDS7Af4Xt, https://drive.google.com/open?id=15mkcMEIG3K_oX1NSJmJMTY5AASwteRmp, https://drive.google.com/open?id=1CCcQx1BT4fOgIyBdxqUduwBpFGM7RhvM")</f>
        <v>https://drive.google.com/open?id=12SBWJoPi7_-dp22l3EMJHEUIDS7Af4Xt, https://drive.google.com/open?id=15mkcMEIG3K_oX1NSJmJMTY5AASwteRmp, https://drive.google.com/open?id=1CCcQx1BT4fOgIyBdxqUduwBpFGM7RhvM</v>
      </c>
      <c r="O639" s="5">
        <f ca="1">IFERROR(__xludf.DUMMYFUNCTION("""COMPUTED_VALUE"""),7509003008)</f>
        <v>7509003008</v>
      </c>
      <c r="P639" s="5" t="str">
        <f ca="1">IFERROR(__xludf.DUMMYFUNCTION("""COMPUTED_VALUE"""),"(310) 844-5415")</f>
        <v>(310) 844-5415</v>
      </c>
      <c r="Q639" s="5" t="str">
        <f ca="1">IFERROR(__xludf.DUMMYFUNCTION("""COMPUTED_VALUE"""),"j.suzanne.rampe@gmail.com")</f>
        <v>j.suzanne.rampe@gmail.com</v>
      </c>
      <c r="R639" s="5"/>
      <c r="S639" s="5"/>
      <c r="T639" s="5"/>
    </row>
    <row r="640" spans="1:20" ht="12.75">
      <c r="A640" s="24">
        <f ca="1">IFERROR(__xludf.DUMMYFUNCTION("""COMPUTED_VALUE"""),45670.8510223842)</f>
        <v>45670.851022384202</v>
      </c>
      <c r="B640" s="5" t="str">
        <f ca="1">IFERROR(__xludf.DUMMYFUNCTION("""COMPUTED_VALUE"""),"220 Avenue A")</f>
        <v>220 Avenue A</v>
      </c>
      <c r="C640" s="5" t="str">
        <f ca="1">IFERROR(__xludf.DUMMYFUNCTION("""COMPUTED_VALUE"""),"Redondo beach")</f>
        <v>Redondo beach</v>
      </c>
      <c r="D640" s="5" t="str">
        <f ca="1">IFERROR(__xludf.DUMMYFUNCTION("""COMPUTED_VALUE"""),"CA")</f>
        <v>CA</v>
      </c>
      <c r="E640" s="5">
        <f ca="1">IFERROR(__xludf.DUMMYFUNCTION("""COMPUTED_VALUE"""),90277)</f>
        <v>90277</v>
      </c>
      <c r="F640" s="19">
        <f ca="1">IFERROR(__xludf.DUMMYFUNCTION("""COMPUTED_VALUE"""),8000)</f>
        <v>8000</v>
      </c>
      <c r="G640" s="19">
        <f ca="1">IFERROR(__xludf.DUMMYFUNCTION("""COMPUTED_VALUE"""),17500)</f>
        <v>17500</v>
      </c>
      <c r="H640" s="18">
        <f ca="1">IFERROR(__xludf.DUMMYFUNCTION("""COMPUTED_VALUE"""),45670)</f>
        <v>45670</v>
      </c>
      <c r="I640" s="5" t="str">
        <f ca="1">IFERROR(__xludf.DUMMYFUNCTION("""COMPUTED_VALUE"""),"Redfin")</f>
        <v>Redfin</v>
      </c>
      <c r="J640" s="25" t="str">
        <f ca="1">IFERROR(__xludf.DUMMYFUNCTION("""COMPUTED_VALUE"""),"https://www.redfin.com/CA/Redondo-Beach/220-Avenue-A-90277/home/7705462")</f>
        <v>https://www.redfin.com/CA/Redondo-Beach/220-Avenue-A-90277/home/7705462</v>
      </c>
      <c r="K640" s="5" t="str">
        <f ca="1">IFERROR(__xludf.DUMMYFUNCTION("""COMPUTED_VALUE"""),"J. Suzanne Rampe")</f>
        <v>J. Suzanne Rampe</v>
      </c>
      <c r="L640" s="5"/>
      <c r="M640" s="5"/>
      <c r="N640" s="5" t="str">
        <f ca="1">IFERROR(__xludf.DUMMYFUNCTION("""COMPUTED_VALUE"""),"https://drive.google.com/open?id=15cujACJg97LVm5qNxSu7zxjoZPQi1wYT, https://drive.google.com/open?id=16BATZO7nOEIZwvAAHg_ZMqKgXcNQUDNy, https://drive.google.com/open?id=1vog0_98GV_2mIK7z7Vfgm3VjCXR3B-Tb")</f>
        <v>https://drive.google.com/open?id=15cujACJg97LVm5qNxSu7zxjoZPQi1wYT, https://drive.google.com/open?id=16BATZO7nOEIZwvAAHg_ZMqKgXcNQUDNy, https://drive.google.com/open?id=1vog0_98GV_2mIK7z7Vfgm3VjCXR3B-Tb</v>
      </c>
      <c r="O640" s="5" t="str">
        <f ca="1">IFERROR(__xludf.DUMMYFUNCTION("""COMPUTED_VALUE"""),"NA")</f>
        <v>NA</v>
      </c>
      <c r="P640" s="5" t="str">
        <f ca="1">IFERROR(__xludf.DUMMYFUNCTION("""COMPUTED_VALUE"""),"310-844-5415")</f>
        <v>310-844-5415</v>
      </c>
      <c r="Q640" s="5"/>
      <c r="R640" s="5"/>
      <c r="S640" s="5"/>
      <c r="T640" s="5"/>
    </row>
    <row r="641" spans="1:20" ht="12.75">
      <c r="A641" s="24">
        <f ca="1">IFERROR(__xludf.DUMMYFUNCTION("""COMPUTED_VALUE"""),45670.8513991782)</f>
        <v>45670.851399178202</v>
      </c>
      <c r="B641" s="5" t="str">
        <f ca="1">IFERROR(__xludf.DUMMYFUNCTION("""COMPUTED_VALUE"""),"330 W California Blvd")</f>
        <v>330 W California Blvd</v>
      </c>
      <c r="C641" s="5" t="str">
        <f ca="1">IFERROR(__xludf.DUMMYFUNCTION("""COMPUTED_VALUE"""),"Pasadena")</f>
        <v>Pasadena</v>
      </c>
      <c r="D641" s="5" t="str">
        <f ca="1">IFERROR(__xludf.DUMMYFUNCTION("""COMPUTED_VALUE"""),"CA")</f>
        <v>CA</v>
      </c>
      <c r="E641" s="5">
        <f ca="1">IFERROR(__xludf.DUMMYFUNCTION("""COMPUTED_VALUE"""),91105)</f>
        <v>91105</v>
      </c>
      <c r="F641" s="19">
        <f ca="1">IFERROR(__xludf.DUMMYFUNCTION("""COMPUTED_VALUE"""),4750)</f>
        <v>4750</v>
      </c>
      <c r="G641" s="19">
        <f ca="1">IFERROR(__xludf.DUMMYFUNCTION("""COMPUTED_VALUE"""),4900)</f>
        <v>4900</v>
      </c>
      <c r="H641" s="18">
        <f ca="1">IFERROR(__xludf.DUMMYFUNCTION("""COMPUTED_VALUE"""),45671)</f>
        <v>45671</v>
      </c>
      <c r="I641" s="5" t="str">
        <f ca="1">IFERROR(__xludf.DUMMYFUNCTION("""COMPUTED_VALUE"""),"Zillow")</f>
        <v>Zillow</v>
      </c>
      <c r="J641" s="25" t="str">
        <f ca="1">IFERROR(__xludf.DUMMYFUNCTION("""COMPUTED_VALUE"""),"https://www.zillow.com/homedetails/330-W-California-Blvd-Pasadena-CA-91105/442831501_zpid/")</f>
        <v>https://www.zillow.com/homedetails/330-W-California-Blvd-Pasadena-CA-91105/442831501_zpid/</v>
      </c>
      <c r="K641" s="5" t="str">
        <f ca="1">IFERROR(__xludf.DUMMYFUNCTION("""COMPUTED_VALUE"""),"Linda Orfali (Keller Williams)")</f>
        <v>Linda Orfali (Keller Williams)</v>
      </c>
      <c r="L641" s="5"/>
      <c r="M641" s="5"/>
      <c r="N641" s="26" t="str">
        <f ca="1">IFERROR(__xludf.DUMMYFUNCTION("""COMPUTED_VALUE"""),"https://drive.google.com/open?id=15BzOv04_-SJsDsa-LYG2p7MdUrpzikZU")</f>
        <v>https://drive.google.com/open?id=15BzOv04_-SJsDsa-LYG2p7MdUrpzikZU</v>
      </c>
      <c r="O641" s="5" t="str">
        <f ca="1">IFERROR(__xludf.DUMMYFUNCTION("""COMPUTED_VALUE"""),"N/A")</f>
        <v>N/A</v>
      </c>
      <c r="P641" s="5" t="str">
        <f ca="1">IFERROR(__xludf.DUMMYFUNCTION("""COMPUTED_VALUE"""),"(626) 606-2409")</f>
        <v>(626) 606-2409</v>
      </c>
      <c r="Q641" s="5"/>
      <c r="R641" s="5"/>
      <c r="S641" s="5"/>
      <c r="T641" s="5"/>
    </row>
    <row r="642" spans="1:20" ht="12.75">
      <c r="A642" s="24">
        <f ca="1">IFERROR(__xludf.DUMMYFUNCTION("""COMPUTED_VALUE"""),45670.8556276273)</f>
        <v>45670.855627627301</v>
      </c>
      <c r="B642" s="5" t="str">
        <f ca="1">IFERROR(__xludf.DUMMYFUNCTION("""COMPUTED_VALUE"""),"5204 Etiwanda Ave")</f>
        <v>5204 Etiwanda Ave</v>
      </c>
      <c r="C642" s="5" t="str">
        <f ca="1">IFERROR(__xludf.DUMMYFUNCTION("""COMPUTED_VALUE"""),"Tarzana")</f>
        <v>Tarzana</v>
      </c>
      <c r="D642" s="5" t="str">
        <f ca="1">IFERROR(__xludf.DUMMYFUNCTION("""COMPUTED_VALUE"""),"CA")</f>
        <v>CA</v>
      </c>
      <c r="E642" s="5">
        <f ca="1">IFERROR(__xludf.DUMMYFUNCTION("""COMPUTED_VALUE"""),91356)</f>
        <v>91356</v>
      </c>
      <c r="F642" s="19">
        <f ca="1">IFERROR(__xludf.DUMMYFUNCTION("""COMPUTED_VALUE"""),5795)</f>
        <v>5795</v>
      </c>
      <c r="G642" s="19">
        <f ca="1">IFERROR(__xludf.DUMMYFUNCTION("""COMPUTED_VALUE"""),6500)</f>
        <v>6500</v>
      </c>
      <c r="H642" s="18">
        <f ca="1">IFERROR(__xludf.DUMMYFUNCTION("""COMPUTED_VALUE"""),45667)</f>
        <v>45667</v>
      </c>
      <c r="I642" s="5" t="str">
        <f ca="1">IFERROR(__xludf.DUMMYFUNCTION("""COMPUTED_VALUE"""),"Zillow")</f>
        <v>Zillow</v>
      </c>
      <c r="J642" s="25" t="str">
        <f ca="1">IFERROR(__xludf.DUMMYFUNCTION("""COMPUTED_VALUE"""),"https://www.zillow.com/homedetails/5204-Etiwanda-Ave-Tarzana-CA-91356/19949467_zpid/")</f>
        <v>https://www.zillow.com/homedetails/5204-Etiwanda-Ave-Tarzana-CA-91356/19949467_zpid/</v>
      </c>
      <c r="K642" s="5" t="str">
        <f ca="1">IFERROR(__xludf.DUMMYFUNCTION("""COMPUTED_VALUE"""),"Shirley")</f>
        <v>Shirley</v>
      </c>
      <c r="L642" s="5"/>
      <c r="M642" s="5" t="str">
        <f ca="1">IFERROR(__xludf.DUMMYFUNCTION("""COMPUTED_VALUE"""),"Listed on 1/2/25 for $5795, price increased to $6500 (12.2% increase) on 1/10/25")</f>
        <v>Listed on 1/2/25 for $5795, price increased to $6500 (12.2% increase) on 1/10/25</v>
      </c>
      <c r="N642" s="26" t="str">
        <f ca="1">IFERROR(__xludf.DUMMYFUNCTION("""COMPUTED_VALUE"""),"https://drive.google.com/open?id=1eGESJjHae58-xlfD4KX1nCkuNdSNih1g")</f>
        <v>https://drive.google.com/open?id=1eGESJjHae58-xlfD4KX1nCkuNdSNih1g</v>
      </c>
      <c r="O642" s="5">
        <f ca="1">IFERROR(__xludf.DUMMYFUNCTION("""COMPUTED_VALUE"""),2181010005)</f>
        <v>2181010005</v>
      </c>
      <c r="P642" s="5" t="str">
        <f ca="1">IFERROR(__xludf.DUMMYFUNCTION("""COMPUTED_VALUE"""),"(213) 642-1669")</f>
        <v>(213) 642-1669</v>
      </c>
      <c r="Q642" s="5"/>
      <c r="R642" s="5"/>
      <c r="S642" s="5"/>
      <c r="T642" s="5"/>
    </row>
    <row r="643" spans="1:20" ht="12.75">
      <c r="A643" s="24">
        <f ca="1">IFERROR(__xludf.DUMMYFUNCTION("""COMPUTED_VALUE"""),45670.8593907176)</f>
        <v>45670.859390717596</v>
      </c>
      <c r="B643" s="5" t="str">
        <f ca="1">IFERROR(__xludf.DUMMYFUNCTION("""COMPUTED_VALUE"""),"11633 Chenault St UNIT 202")</f>
        <v>11633 Chenault St UNIT 202</v>
      </c>
      <c r="C643" s="5" t="str">
        <f ca="1">IFERROR(__xludf.DUMMYFUNCTION("""COMPUTED_VALUE"""),"Los Angeles")</f>
        <v>Los Angeles</v>
      </c>
      <c r="D643" s="5" t="str">
        <f ca="1">IFERROR(__xludf.DUMMYFUNCTION("""COMPUTED_VALUE"""),"CA")</f>
        <v>CA</v>
      </c>
      <c r="E643" s="5">
        <f ca="1">IFERROR(__xludf.DUMMYFUNCTION("""COMPUTED_VALUE"""),90049)</f>
        <v>90049</v>
      </c>
      <c r="F643" s="19">
        <f ca="1">IFERROR(__xludf.DUMMYFUNCTION("""COMPUTED_VALUE"""),4995)</f>
        <v>4995</v>
      </c>
      <c r="G643" s="19">
        <f ca="1">IFERROR(__xludf.DUMMYFUNCTION("""COMPUTED_VALUE"""),7500)</f>
        <v>7500</v>
      </c>
      <c r="H643" s="18">
        <f ca="1">IFERROR(__xludf.DUMMYFUNCTION("""COMPUTED_VALUE"""),45304)</f>
        <v>45304</v>
      </c>
      <c r="I643" s="5" t="str">
        <f ca="1">IFERROR(__xludf.DUMMYFUNCTION("""COMPUTED_VALUE"""),"Zillow")</f>
        <v>Zillow</v>
      </c>
      <c r="J643" s="25" t="str">
        <f ca="1">IFERROR(__xludf.DUMMYFUNCTION("""COMPUTED_VALUE"""),"https://www.zillow.com/homedetails/11633-Chenault-St-UNIT-202-Los-Angeles-CA-90049/119677949_zpid/")</f>
        <v>https://www.zillow.com/homedetails/11633-Chenault-St-UNIT-202-Los-Angeles-CA-90049/119677949_zpid/</v>
      </c>
      <c r="K643" s="5" t="str">
        <f ca="1">IFERROR(__xludf.DUMMYFUNCTION("""COMPUTED_VALUE"""),"Keven Stirdivant  KASE Real Estate")</f>
        <v>Keven Stirdivant  KASE Real Estate</v>
      </c>
      <c r="L643" s="5"/>
      <c r="M643" s="5"/>
      <c r="N643" s="26" t="str">
        <f ca="1">IFERROR(__xludf.DUMMYFUNCTION("""COMPUTED_VALUE"""),"https://drive.google.com/open?id=1GyKRpvy_aPpMAU6qYFYqmNVRr43MmpYB")</f>
        <v>https://drive.google.com/open?id=1GyKRpvy_aPpMAU6qYFYqmNVRr43MmpYB</v>
      </c>
      <c r="O643" s="5">
        <f ca="1">IFERROR(__xludf.DUMMYFUNCTION("""COMPUTED_VALUE"""),4401026052)</f>
        <v>4401026052</v>
      </c>
      <c r="P643" s="5" t="str">
        <f ca="1">IFERROR(__xludf.DUMMYFUNCTION("""COMPUTED_VALUE"""),"949-545-8588")</f>
        <v>949-545-8588</v>
      </c>
      <c r="Q643" s="5"/>
      <c r="R643" s="5"/>
      <c r="S643" s="5"/>
      <c r="T643" s="5"/>
    </row>
    <row r="644" spans="1:20" ht="12.75">
      <c r="A644" s="24">
        <f ca="1">IFERROR(__xludf.DUMMYFUNCTION("""COMPUTED_VALUE"""),45670.8607794791)</f>
        <v>45670.860779479102</v>
      </c>
      <c r="B644" s="5" t="str">
        <f ca="1">IFERROR(__xludf.DUMMYFUNCTION("""COMPUTED_VALUE"""),"1165 Coldwater Canyon Dr")</f>
        <v>1165 Coldwater Canyon Dr</v>
      </c>
      <c r="C644" s="5" t="str">
        <f ca="1">IFERROR(__xludf.DUMMYFUNCTION("""COMPUTED_VALUE"""),"Beverly Hills")</f>
        <v>Beverly Hills</v>
      </c>
      <c r="D644" s="5" t="str">
        <f ca="1">IFERROR(__xludf.DUMMYFUNCTION("""COMPUTED_VALUE"""),"CA")</f>
        <v>CA</v>
      </c>
      <c r="E644" s="5">
        <f ca="1">IFERROR(__xludf.DUMMYFUNCTION("""COMPUTED_VALUE"""),90210)</f>
        <v>90210</v>
      </c>
      <c r="F644" s="19">
        <f ca="1">IFERROR(__xludf.DUMMYFUNCTION("""COMPUTED_VALUE"""),12900)</f>
        <v>12900</v>
      </c>
      <c r="G644" s="19">
        <f ca="1">IFERROR(__xludf.DUMMYFUNCTION("""COMPUTED_VALUE"""),15000)</f>
        <v>15000</v>
      </c>
      <c r="H644" s="18">
        <f ca="1">IFERROR(__xludf.DUMMYFUNCTION("""COMPUTED_VALUE"""),45666)</f>
        <v>45666</v>
      </c>
      <c r="I644" s="5" t="str">
        <f ca="1">IFERROR(__xludf.DUMMYFUNCTION("""COMPUTED_VALUE"""),"Zillow")</f>
        <v>Zillow</v>
      </c>
      <c r="J644" s="25" t="str">
        <f ca="1">IFERROR(__xludf.DUMMYFUNCTION("""COMPUTED_VALUE"""),"https://www.zillow.com/homedetails/1165-Coldwater-Canyon-Dr-Beverly-Hills-CA-90210/20522705_zpid/")</f>
        <v>https://www.zillow.com/homedetails/1165-Coldwater-Canyon-Dr-Beverly-Hills-CA-90210/20522705_zpid/</v>
      </c>
      <c r="K644" s="5" t="str">
        <f ca="1">IFERROR(__xludf.DUMMYFUNCTION("""COMPUTED_VALUE"""),"Ellie Ghaffari")</f>
        <v>Ellie Ghaffari</v>
      </c>
      <c r="L644" s="5"/>
      <c r="M644" s="5"/>
      <c r="N644" s="5" t="str">
        <f ca="1">IFERROR(__xludf.DUMMYFUNCTION("""COMPUTED_VALUE"""),"https://drive.google.com/open?id=1OnJ0RjFJHevg9ALYJaaD4Ozur-3492AQ, https://drive.google.com/open?id=1HYjVlj52S8WWcHbQoFK6zK4t_Tsn4nLS")</f>
        <v>https://drive.google.com/open?id=1OnJ0RjFJHevg9ALYJaaD4Ozur-3492AQ, https://drive.google.com/open?id=1HYjVlj52S8WWcHbQoFK6zK4t_Tsn4nLS</v>
      </c>
      <c r="O644" s="5">
        <f ca="1">IFERROR(__xludf.DUMMYFUNCTION("""COMPUTED_VALUE"""),4350019025)</f>
        <v>4350019025</v>
      </c>
      <c r="P644" s="5" t="str">
        <f ca="1">IFERROR(__xludf.DUMMYFUNCTION("""COMPUTED_VALUE"""),"(310) 988-0030")</f>
        <v>(310) 988-0030</v>
      </c>
      <c r="Q644" s="5"/>
      <c r="R644" s="5"/>
      <c r="S644" s="5"/>
      <c r="T644" s="5"/>
    </row>
    <row r="645" spans="1:20" ht="12.75">
      <c r="A645" s="24">
        <f ca="1">IFERROR(__xludf.DUMMYFUNCTION("""COMPUTED_VALUE"""),45670.861189618)</f>
        <v>45670.861189618001</v>
      </c>
      <c r="B645" s="5" t="str">
        <f ca="1">IFERROR(__xludf.DUMMYFUNCTION("""COMPUTED_VALUE"""),"12267 San Vicente Blvd")</f>
        <v>12267 San Vicente Blvd</v>
      </c>
      <c r="C645" s="5" t="str">
        <f ca="1">IFERROR(__xludf.DUMMYFUNCTION("""COMPUTED_VALUE"""),"Los Angeles")</f>
        <v>Los Angeles</v>
      </c>
      <c r="D645" s="5" t="str">
        <f ca="1">IFERROR(__xludf.DUMMYFUNCTION("""COMPUTED_VALUE"""),"CA")</f>
        <v>CA</v>
      </c>
      <c r="E645" s="5">
        <f ca="1">IFERROR(__xludf.DUMMYFUNCTION("""COMPUTED_VALUE"""),90049)</f>
        <v>90049</v>
      </c>
      <c r="F645" s="19">
        <f ca="1">IFERROR(__xludf.DUMMYFUNCTION("""COMPUTED_VALUE"""),29750)</f>
        <v>29750</v>
      </c>
      <c r="G645" s="19">
        <f ca="1">IFERROR(__xludf.DUMMYFUNCTION("""COMPUTED_VALUE"""),59500)</f>
        <v>59500</v>
      </c>
      <c r="H645" s="18">
        <f ca="1">IFERROR(__xludf.DUMMYFUNCTION("""COMPUTED_VALUE"""),45670)</f>
        <v>45670</v>
      </c>
      <c r="I645" s="5" t="str">
        <f ca="1">IFERROR(__xludf.DUMMYFUNCTION("""COMPUTED_VALUE"""),"Zillow")</f>
        <v>Zillow</v>
      </c>
      <c r="J645" s="25" t="str">
        <f ca="1">IFERROR(__xludf.DUMMYFUNCTION("""COMPUTED_VALUE"""),"https://www.zillow.com/homedetails/12267-San-Vicente-Blvd-Los-Angeles-CA-90049/20538212_zpid/")</f>
        <v>https://www.zillow.com/homedetails/12267-San-Vicente-Blvd-Los-Angeles-CA-90049/20538212_zpid/</v>
      </c>
      <c r="K645" s="5" t="str">
        <f ca="1">IFERROR(__xludf.DUMMYFUNCTION("""COMPUTED_VALUE"""),"Nina Hunt")</f>
        <v>Nina Hunt</v>
      </c>
      <c r="L645" s="5"/>
      <c r="M645" s="5"/>
      <c r="N645" s="26" t="str">
        <f ca="1">IFERROR(__xludf.DUMMYFUNCTION("""COMPUTED_VALUE"""),"https://drive.google.com/open?id=1HK85z-TzuplZPCfu_ZP6wtuKnnoV2VF-")</f>
        <v>https://drive.google.com/open?id=1HK85z-TzuplZPCfu_ZP6wtuKnnoV2VF-</v>
      </c>
      <c r="O645" s="5">
        <f ca="1">IFERROR(__xludf.DUMMYFUNCTION("""COMPUTED_VALUE"""),4405039006)</f>
        <v>4405039006</v>
      </c>
      <c r="P645" s="5" t="str">
        <f ca="1">IFERROR(__xludf.DUMMYFUNCTION("""COMPUTED_VALUE"""),"(760) 504-8271")</f>
        <v>(760) 504-8271</v>
      </c>
      <c r="Q645" s="5"/>
      <c r="R645" s="5"/>
      <c r="S645" s="5"/>
      <c r="T645" s="5"/>
    </row>
    <row r="646" spans="1:20" ht="12.75">
      <c r="A646" s="24">
        <f ca="1">IFERROR(__xludf.DUMMYFUNCTION("""COMPUTED_VALUE"""),45670.8627397453)</f>
        <v>45670.862739745302</v>
      </c>
      <c r="B646" s="5" t="str">
        <f ca="1">IFERROR(__xludf.DUMMYFUNCTION("""COMPUTED_VALUE"""),"1104 Casiano Rd")</f>
        <v>1104 Casiano Rd</v>
      </c>
      <c r="C646" s="5" t="str">
        <f ca="1">IFERROR(__xludf.DUMMYFUNCTION("""COMPUTED_VALUE"""),"Los Angeles")</f>
        <v>Los Angeles</v>
      </c>
      <c r="D646" s="5" t="str">
        <f ca="1">IFERROR(__xludf.DUMMYFUNCTION("""COMPUTED_VALUE"""),"CA")</f>
        <v>CA</v>
      </c>
      <c r="E646" s="5">
        <f ca="1">IFERROR(__xludf.DUMMYFUNCTION("""COMPUTED_VALUE"""),90049)</f>
        <v>90049</v>
      </c>
      <c r="F646" s="19">
        <f ca="1">IFERROR(__xludf.DUMMYFUNCTION("""COMPUTED_VALUE"""),9500)</f>
        <v>9500</v>
      </c>
      <c r="G646" s="19">
        <f ca="1">IFERROR(__xludf.DUMMYFUNCTION("""COMPUTED_VALUE"""),12500)</f>
        <v>12500</v>
      </c>
      <c r="H646" s="18">
        <f ca="1">IFERROR(__xludf.DUMMYFUNCTION("""COMPUTED_VALUE"""),45671)</f>
        <v>45671</v>
      </c>
      <c r="I646" s="5" t="str">
        <f ca="1">IFERROR(__xludf.DUMMYFUNCTION("""COMPUTED_VALUE"""),"Zillow")</f>
        <v>Zillow</v>
      </c>
      <c r="J646" s="25" t="str">
        <f ca="1">IFERROR(__xludf.DUMMYFUNCTION("""COMPUTED_VALUE"""),"https://www.zillow.com/homedetails/1104-Casiano-Rd-Los-Angeles-CA-90049/20528677_zpid/")</f>
        <v>https://www.zillow.com/homedetails/1104-Casiano-Rd-Los-Angeles-CA-90049/20528677_zpid/</v>
      </c>
      <c r="K646" s="5" t="str">
        <f ca="1">IFERROR(__xludf.DUMMYFUNCTION("""COMPUTED_VALUE"""),"Dina Goldstein")</f>
        <v>Dina Goldstein</v>
      </c>
      <c r="L646" s="5"/>
      <c r="M646" s="5" t="str">
        <f ca="1">IFERROR(__xludf.DUMMYFUNCTION("""COMPUTED_VALUE"""),"This property had two rapid price increases. Last posted price was $8950 on 11/2/24. On 1/9/25, jumped to $9500. THEN on 1/14/25, jumped to $12500!")</f>
        <v>This property had two rapid price increases. Last posted price was $8950 on 11/2/24. On 1/9/25, jumped to $9500. THEN on 1/14/25, jumped to $12500!</v>
      </c>
      <c r="N646" s="26" t="str">
        <f ca="1">IFERROR(__xludf.DUMMYFUNCTION("""COMPUTED_VALUE"""),"https://drive.google.com/open?id=1Bd4-4i90iQgmxewAba4Kn4cvVo8DWPdD")</f>
        <v>https://drive.google.com/open?id=1Bd4-4i90iQgmxewAba4Kn4cvVo8DWPdD</v>
      </c>
      <c r="O646" s="5">
        <f ca="1">IFERROR(__xludf.DUMMYFUNCTION("""COMPUTED_VALUE"""),4368011012)</f>
        <v>4368011012</v>
      </c>
      <c r="P646" s="5" t="str">
        <f ca="1">IFERROR(__xludf.DUMMYFUNCTION("""COMPUTED_VALUE"""),"(213) 772-5631")</f>
        <v>(213) 772-5631</v>
      </c>
      <c r="Q646" s="5"/>
      <c r="R646" s="5"/>
      <c r="S646" s="5"/>
      <c r="T646" s="5"/>
    </row>
    <row r="647" spans="1:20" ht="12.75">
      <c r="A647" s="24">
        <f ca="1">IFERROR(__xludf.DUMMYFUNCTION("""COMPUTED_VALUE"""),45670.8630131944)</f>
        <v>45670.863013194401</v>
      </c>
      <c r="B647" s="5" t="str">
        <f ca="1">IFERROR(__xludf.DUMMYFUNCTION("""COMPUTED_VALUE"""),"110 N Barrington Ave")</f>
        <v>110 N Barrington Ave</v>
      </c>
      <c r="C647" s="5" t="str">
        <f ca="1">IFERROR(__xludf.DUMMYFUNCTION("""COMPUTED_VALUE"""),"Los Angeles")</f>
        <v>Los Angeles</v>
      </c>
      <c r="D647" s="5" t="str">
        <f ca="1">IFERROR(__xludf.DUMMYFUNCTION("""COMPUTED_VALUE"""),"CA")</f>
        <v>CA</v>
      </c>
      <c r="E647" s="5">
        <f ca="1">IFERROR(__xludf.DUMMYFUNCTION("""COMPUTED_VALUE"""),90049)</f>
        <v>90049</v>
      </c>
      <c r="F647" s="19">
        <f ca="1">IFERROR(__xludf.DUMMYFUNCTION("""COMPUTED_VALUE"""),12000)</f>
        <v>12000</v>
      </c>
      <c r="G647" s="19">
        <f ca="1">IFERROR(__xludf.DUMMYFUNCTION("""COMPUTED_VALUE"""),15000)</f>
        <v>15000</v>
      </c>
      <c r="H647" s="18">
        <f ca="1">IFERROR(__xludf.DUMMYFUNCTION("""COMPUTED_VALUE"""),45670)</f>
        <v>45670</v>
      </c>
      <c r="I647" s="5" t="str">
        <f ca="1">IFERROR(__xludf.DUMMYFUNCTION("""COMPUTED_VALUE"""),"Zillow")</f>
        <v>Zillow</v>
      </c>
      <c r="J647" s="25" t="str">
        <f ca="1">IFERROR(__xludf.DUMMYFUNCTION("""COMPUTED_VALUE"""),"https://www.zillow.com/homedetails/110-N-Barrington-Ave-Los-Angeles-CA-90049/20547175_zpid/")</f>
        <v>https://www.zillow.com/homedetails/110-N-Barrington-Ave-Los-Angeles-CA-90049/20547175_zpid/</v>
      </c>
      <c r="K647" s="5"/>
      <c r="L647" s="5" t="str">
        <f ca="1">IFERROR(__xludf.DUMMYFUNCTION("""COMPUTED_VALUE"""),"Edward Kay")</f>
        <v>Edward Kay</v>
      </c>
      <c r="M647" s="5"/>
      <c r="N647" s="26" t="str">
        <f ca="1">IFERROR(__xludf.DUMMYFUNCTION("""COMPUTED_VALUE"""),"https://drive.google.com/open?id=1VT8sqZQLpQt71MiOm4jqzC6E-iMVYOQ0")</f>
        <v>https://drive.google.com/open?id=1VT8sqZQLpQt71MiOm4jqzC6E-iMVYOQ0</v>
      </c>
      <c r="O647" s="5">
        <f ca="1">IFERROR(__xludf.DUMMYFUNCTION("""COMPUTED_VALUE"""),4429024001)</f>
        <v>4429024001</v>
      </c>
      <c r="P647" s="5"/>
      <c r="Q647" s="5"/>
      <c r="R647" s="5" t="str">
        <f ca="1">IFERROR(__xludf.DUMMYFUNCTION("""COMPUTED_VALUE"""),"818-401-8719")</f>
        <v>818-401-8719</v>
      </c>
      <c r="S647" s="5"/>
      <c r="T647" s="5"/>
    </row>
    <row r="648" spans="1:20" ht="12.75">
      <c r="A648" s="24">
        <f ca="1">IFERROR(__xludf.DUMMYFUNCTION("""COMPUTED_VALUE"""),45670.864804699)</f>
        <v>45670.864804698998</v>
      </c>
      <c r="B648" s="5" t="str">
        <f ca="1">IFERROR(__xludf.DUMMYFUNCTION("""COMPUTED_VALUE"""),"380 Trousdale Pl")</f>
        <v>380 Trousdale Pl</v>
      </c>
      <c r="C648" s="5" t="str">
        <f ca="1">IFERROR(__xludf.DUMMYFUNCTION("""COMPUTED_VALUE"""),"Beverly Hills")</f>
        <v>Beverly Hills</v>
      </c>
      <c r="D648" s="5" t="str">
        <f ca="1">IFERROR(__xludf.DUMMYFUNCTION("""COMPUTED_VALUE"""),"CA")</f>
        <v>CA</v>
      </c>
      <c r="E648" s="5">
        <f ca="1">IFERROR(__xludf.DUMMYFUNCTION("""COMPUTED_VALUE"""),90210)</f>
        <v>90210</v>
      </c>
      <c r="F648" s="19">
        <f ca="1">IFERROR(__xludf.DUMMYFUNCTION("""COMPUTED_VALUE"""),50000)</f>
        <v>50000</v>
      </c>
      <c r="G648" s="19">
        <f ca="1">IFERROR(__xludf.DUMMYFUNCTION("""COMPUTED_VALUE"""),88000)</f>
        <v>88000</v>
      </c>
      <c r="H648" s="18">
        <f ca="1">IFERROR(__xludf.DUMMYFUNCTION("""COMPUTED_VALUE"""),45665)</f>
        <v>45665</v>
      </c>
      <c r="I648" s="5" t="str">
        <f ca="1">IFERROR(__xludf.DUMMYFUNCTION("""COMPUTED_VALUE"""),"Zillow")</f>
        <v>Zillow</v>
      </c>
      <c r="J648" s="25" t="str">
        <f ca="1">IFERROR(__xludf.DUMMYFUNCTION("""COMPUTED_VALUE"""),"https://www.zillow.com/homedetails/380-Trousdale-Pl-Beverly-Hills-CA-90210/20534471_zpid/")</f>
        <v>https://www.zillow.com/homedetails/380-Trousdale-Pl-Beverly-Hills-CA-90210/20534471_zpid/</v>
      </c>
      <c r="K648" s="5" t="str">
        <f ca="1">IFERROR(__xludf.DUMMYFUNCTION("""COMPUTED_VALUE"""),"Safir Shamsi - Rodeo Realty")</f>
        <v>Safir Shamsi - Rodeo Realty</v>
      </c>
      <c r="L648" s="5"/>
      <c r="M648" s="5"/>
      <c r="N648" s="5" t="str">
        <f ca="1">IFERROR(__xludf.DUMMYFUNCTION("""COMPUTED_VALUE"""),"https://drive.google.com/open?id=1gUZpYYzEvVj5clayaT3B_A944_EX1wal, https://drive.google.com/open?id=1Xk3iL-b8MnyzkmR4-L1mwi_o32uAAhyM")</f>
        <v>https://drive.google.com/open?id=1gUZpYYzEvVj5clayaT3B_A944_EX1wal, https://drive.google.com/open?id=1Xk3iL-b8MnyzkmR4-L1mwi_o32uAAhyM</v>
      </c>
      <c r="O648" s="5">
        <f ca="1">IFERROR(__xludf.DUMMYFUNCTION("""COMPUTED_VALUE"""),4391016004)</f>
        <v>4391016004</v>
      </c>
      <c r="P648" s="5" t="str">
        <f ca="1">IFERROR(__xludf.DUMMYFUNCTION("""COMPUTED_VALUE"""),"(310) 400-2046")</f>
        <v>(310) 400-2046</v>
      </c>
      <c r="Q648" s="5"/>
      <c r="R648" s="5"/>
      <c r="S648" s="5"/>
      <c r="T648" s="5"/>
    </row>
    <row r="649" spans="1:20" ht="12.75">
      <c r="A649" s="24">
        <f ca="1">IFERROR(__xludf.DUMMYFUNCTION("""COMPUTED_VALUE"""),45670.8652586226)</f>
        <v>45670.865258622602</v>
      </c>
      <c r="B649" s="5" t="str">
        <f ca="1">IFERROR(__xludf.DUMMYFUNCTION("""COMPUTED_VALUE"""),"11788 Bellagio Rd")</f>
        <v>11788 Bellagio Rd</v>
      </c>
      <c r="C649" s="5" t="str">
        <f ca="1">IFERROR(__xludf.DUMMYFUNCTION("""COMPUTED_VALUE"""),"Los Angeles")</f>
        <v>Los Angeles</v>
      </c>
      <c r="D649" s="5" t="str">
        <f ca="1">IFERROR(__xludf.DUMMYFUNCTION("""COMPUTED_VALUE"""),"CA")</f>
        <v>CA</v>
      </c>
      <c r="E649" s="5">
        <f ca="1">IFERROR(__xludf.DUMMYFUNCTION("""COMPUTED_VALUE"""),90049)</f>
        <v>90049</v>
      </c>
      <c r="F649" s="19">
        <f ca="1">IFERROR(__xludf.DUMMYFUNCTION("""COMPUTED_VALUE"""),1895)</f>
        <v>1895</v>
      </c>
      <c r="G649" s="19">
        <f ca="1">IFERROR(__xludf.DUMMYFUNCTION("""COMPUTED_VALUE"""),13500)</f>
        <v>13500</v>
      </c>
      <c r="H649" s="18">
        <f ca="1">IFERROR(__xludf.DUMMYFUNCTION("""COMPUTED_VALUE"""),45304)</f>
        <v>45304</v>
      </c>
      <c r="I649" s="5" t="str">
        <f ca="1">IFERROR(__xludf.DUMMYFUNCTION("""COMPUTED_VALUE"""),"Zillow")</f>
        <v>Zillow</v>
      </c>
      <c r="J649" s="25" t="str">
        <f ca="1">IFERROR(__xludf.DUMMYFUNCTION("""COMPUTED_VALUE"""),"https://www.zillow.com/homedetails/11788-Bellagio-Rd-Los-Angeles-CA-90049/20528726_zpid/")</f>
        <v>https://www.zillow.com/homedetails/11788-Bellagio-Rd-Los-Angeles-CA-90049/20528726_zpid/</v>
      </c>
      <c r="K649" s="5"/>
      <c r="L649" s="5" t="str">
        <f ca="1">IFERROR(__xludf.DUMMYFUNCTION("""COMPUTED_VALUE"""),"George")</f>
        <v>George</v>
      </c>
      <c r="M649" s="5"/>
      <c r="N649" s="26" t="str">
        <f ca="1">IFERROR(__xludf.DUMMYFUNCTION("""COMPUTED_VALUE"""),"https://drive.google.com/open?id=157btZ_BWccojwNlQq20IFZyyEXEnO1LT")</f>
        <v>https://drive.google.com/open?id=157btZ_BWccojwNlQq20IFZyyEXEnO1LT</v>
      </c>
      <c r="O649" s="5">
        <f ca="1">IFERROR(__xludf.DUMMYFUNCTION("""COMPUTED_VALUE"""),4368014005)</f>
        <v>4368014005</v>
      </c>
      <c r="P649" s="5"/>
      <c r="Q649" s="5"/>
      <c r="R649" s="5" t="str">
        <f ca="1">IFERROR(__xludf.DUMMYFUNCTION("""COMPUTED_VALUE"""),"818-355-8324")</f>
        <v>818-355-8324</v>
      </c>
      <c r="S649" s="5"/>
      <c r="T649" s="5"/>
    </row>
    <row r="650" spans="1:20" ht="12.75">
      <c r="A650" s="24">
        <f ca="1">IFERROR(__xludf.DUMMYFUNCTION("""COMPUTED_VALUE"""),45670.8655362615)</f>
        <v>45670.865536261503</v>
      </c>
      <c r="B650" s="5" t="str">
        <f ca="1">IFERROR(__xludf.DUMMYFUNCTION("""COMPUTED_VALUE"""),"724 S Gramercy Dr")</f>
        <v>724 S Gramercy Dr</v>
      </c>
      <c r="C650" s="5" t="str">
        <f ca="1">IFERROR(__xludf.DUMMYFUNCTION("""COMPUTED_VALUE"""),"Los Angeles")</f>
        <v>Los Angeles</v>
      </c>
      <c r="D650" s="5" t="str">
        <f ca="1">IFERROR(__xludf.DUMMYFUNCTION("""COMPUTED_VALUE"""),"CA")</f>
        <v>CA</v>
      </c>
      <c r="E650" s="5">
        <f ca="1">IFERROR(__xludf.DUMMYFUNCTION("""COMPUTED_VALUE"""),90005)</f>
        <v>90005</v>
      </c>
      <c r="F650" s="19">
        <f ca="1">IFERROR(__xludf.DUMMYFUNCTION("""COMPUTED_VALUE"""),5200)</f>
        <v>5200</v>
      </c>
      <c r="G650" s="19">
        <f ca="1">IFERROR(__xludf.DUMMYFUNCTION("""COMPUTED_VALUE"""),5800)</f>
        <v>5800</v>
      </c>
      <c r="H650" s="18">
        <f ca="1">IFERROR(__xludf.DUMMYFUNCTION("""COMPUTED_VALUE"""),45670)</f>
        <v>45670</v>
      </c>
      <c r="I650" s="5" t="str">
        <f ca="1">IFERROR(__xludf.DUMMYFUNCTION("""COMPUTED_VALUE"""),"Zillow")</f>
        <v>Zillow</v>
      </c>
      <c r="J650" s="25" t="str">
        <f ca="1">IFERROR(__xludf.DUMMYFUNCTION("""COMPUTED_VALUE"""),"https://www.zillow.com/homedetails/724-S-Gramercy-Dr-Los-Angeles-CA-90005/2070015636_zpid/")</f>
        <v>https://www.zillow.com/homedetails/724-S-Gramercy-Dr-Los-Angeles-CA-90005/2070015636_zpid/</v>
      </c>
      <c r="K650" s="5" t="str">
        <f ca="1">IFERROR(__xludf.DUMMYFUNCTION("""COMPUTED_VALUE"""),"Amber Tarshis (owner)")</f>
        <v>Amber Tarshis (owner)</v>
      </c>
      <c r="L650" s="5" t="str">
        <f ca="1">IFERROR(__xludf.DUMMYFUNCTION("""COMPUTED_VALUE"""),"Amber Tarshis  ")</f>
        <v xml:space="preserve">Amber Tarshis  </v>
      </c>
      <c r="M650" s="5" t="str">
        <f ca="1">IFERROR(__xludf.DUMMYFUNCTION("""COMPUTED_VALUE"""),"Zillow website indicates 1/13/25 price change was +11.5%; previously listed for unknown amount on 1/4/2024, then for $5200 on 1/7/2025. ")</f>
        <v xml:space="preserve">Zillow website indicates 1/13/25 price change was +11.5%; previously listed for unknown amount on 1/4/2024, then for $5200 on 1/7/2025. </v>
      </c>
      <c r="N650" s="26" t="str">
        <f ca="1">IFERROR(__xludf.DUMMYFUNCTION("""COMPUTED_VALUE"""),"https://drive.google.com/open?id=18olK4P8-OCvpqsJa52b-KtRG7mZ8-tiP")</f>
        <v>https://drive.google.com/open?id=18olK4P8-OCvpqsJa52b-KtRG7mZ8-tiP</v>
      </c>
      <c r="O650" s="5" t="str">
        <f ca="1">IFERROR(__xludf.DUMMYFUNCTION("""COMPUTED_VALUE"""),"NA")</f>
        <v>NA</v>
      </c>
      <c r="P650" s="5" t="str">
        <f ca="1">IFERROR(__xludf.DUMMYFUNCTION("""COMPUTED_VALUE"""),"213-583-4229")</f>
        <v>213-583-4229</v>
      </c>
      <c r="Q650" s="5"/>
      <c r="R650" s="5" t="str">
        <f ca="1">IFERROR(__xludf.DUMMYFUNCTION("""COMPUTED_VALUE"""),"213-583-4229")</f>
        <v>213-583-4229</v>
      </c>
      <c r="S650" s="5"/>
      <c r="T650" s="5"/>
    </row>
    <row r="651" spans="1:20" ht="12.75">
      <c r="A651" s="24">
        <f ca="1">IFERROR(__xludf.DUMMYFUNCTION("""COMPUTED_VALUE"""),45670.8673712615)</f>
        <v>45670.867371261498</v>
      </c>
      <c r="B651" s="5" t="str">
        <f ca="1">IFERROR(__xludf.DUMMYFUNCTION("""COMPUTED_VALUE"""),"Address not disclosed ")</f>
        <v xml:space="preserve">Address not disclosed </v>
      </c>
      <c r="C651" s="5" t="str">
        <f ca="1">IFERROR(__xludf.DUMMYFUNCTION("""COMPUTED_VALUE"""),"Marina Del Rey ")</f>
        <v xml:space="preserve">Marina Del Rey </v>
      </c>
      <c r="D651" s="5" t="str">
        <f ca="1">IFERROR(__xludf.DUMMYFUNCTION("""COMPUTED_VALUE"""),"CA")</f>
        <v>CA</v>
      </c>
      <c r="E651" s="5">
        <f ca="1">IFERROR(__xludf.DUMMYFUNCTION("""COMPUTED_VALUE"""),90292)</f>
        <v>90292</v>
      </c>
      <c r="F651" s="19">
        <f ca="1">IFERROR(__xludf.DUMMYFUNCTION("""COMPUTED_VALUE"""),11000)</f>
        <v>11000</v>
      </c>
      <c r="G651" s="19">
        <f ca="1">IFERROR(__xludf.DUMMYFUNCTION("""COMPUTED_VALUE"""),16500)</f>
        <v>16500</v>
      </c>
      <c r="H651" s="18">
        <f ca="1">IFERROR(__xludf.DUMMYFUNCTION("""COMPUTED_VALUE"""),45667)</f>
        <v>45667</v>
      </c>
      <c r="I651" s="5" t="str">
        <f ca="1">IFERROR(__xludf.DUMMYFUNCTION("""COMPUTED_VALUE"""),"Trulia ")</f>
        <v xml:space="preserve">Trulia </v>
      </c>
      <c r="J651" s="25" t="str">
        <f ca="1">IFERROR(__xludf.DUMMYFUNCTION("""COMPUTED_VALUE"""),"https://www.trulia.com/home/address-not-disclosed-venice-ca-90291-443897944?cid=shr%7Capp_ios_main_phone%7Crent%7Cpdp_share")</f>
        <v>https://www.trulia.com/home/address-not-disclosed-venice-ca-90291-443897944?cid=shr%7Capp_ios_main_phone%7Crent%7Cpdp_share</v>
      </c>
      <c r="K651" s="5" t="str">
        <f ca="1">IFERROR(__xludf.DUMMYFUNCTION("""COMPUTED_VALUE"""),"Donna Bohana ")</f>
        <v xml:space="preserve">Donna Bohana </v>
      </c>
      <c r="L651" s="5"/>
      <c r="M651" s="5"/>
      <c r="N651" s="26" t="str">
        <f ca="1">IFERROR(__xludf.DUMMYFUNCTION("""COMPUTED_VALUE"""),"https://drive.google.com/open?id=1SNvkaaVpgXjKJGkFhE5pc5yr-lW__iuN")</f>
        <v>https://drive.google.com/open?id=1SNvkaaVpgXjKJGkFhE5pc5yr-lW__iuN</v>
      </c>
      <c r="O651" s="5" t="str">
        <f ca="1">IFERROR(__xludf.DUMMYFUNCTION("""COMPUTED_VALUE"""),"NA")</f>
        <v>NA</v>
      </c>
      <c r="P651" s="5">
        <f ca="1">IFERROR(__xludf.DUMMYFUNCTION("""COMPUTED_VALUE"""),3108010265)</f>
        <v>3108010265</v>
      </c>
      <c r="Q651" s="5"/>
      <c r="R651" s="5"/>
      <c r="S651" s="5"/>
      <c r="T651" s="5"/>
    </row>
    <row r="652" spans="1:20" ht="12.75">
      <c r="A652" s="24">
        <f ca="1">IFERROR(__xludf.DUMMYFUNCTION("""COMPUTED_VALUE"""),45670.8676559606)</f>
        <v>45670.867655960603</v>
      </c>
      <c r="B652" s="5" t="str">
        <f ca="1">IFERROR(__xludf.DUMMYFUNCTION("""COMPUTED_VALUE"""),"6686 Drexel Ave #2")</f>
        <v>6686 Drexel Ave #2</v>
      </c>
      <c r="C652" s="5" t="str">
        <f ca="1">IFERROR(__xludf.DUMMYFUNCTION("""COMPUTED_VALUE"""),"Los Angeles")</f>
        <v>Los Angeles</v>
      </c>
      <c r="D652" s="5" t="str">
        <f ca="1">IFERROR(__xludf.DUMMYFUNCTION("""COMPUTED_VALUE"""),"CA")</f>
        <v>CA</v>
      </c>
      <c r="E652" s="5">
        <f ca="1">IFERROR(__xludf.DUMMYFUNCTION("""COMPUTED_VALUE"""),90048)</f>
        <v>90048</v>
      </c>
      <c r="F652" s="19">
        <f ca="1">IFERROR(__xludf.DUMMYFUNCTION("""COMPUTED_VALUE"""),5500)</f>
        <v>5500</v>
      </c>
      <c r="G652" s="19">
        <f ca="1">IFERROR(__xludf.DUMMYFUNCTION("""COMPUTED_VALUE"""),7200)</f>
        <v>7200</v>
      </c>
      <c r="H652" s="18">
        <f ca="1">IFERROR(__xludf.DUMMYFUNCTION("""COMPUTED_VALUE"""),45670)</f>
        <v>45670</v>
      </c>
      <c r="I652" s="5" t="str">
        <f ca="1">IFERROR(__xludf.DUMMYFUNCTION("""COMPUTED_VALUE"""),"Zillow")</f>
        <v>Zillow</v>
      </c>
      <c r="J652" s="25" t="str">
        <f ca="1">IFERROR(__xludf.DUMMYFUNCTION("""COMPUTED_VALUE"""),"https://www.zillow.com/homedetails/6686-Drexel-Ave-2-Los-Angeles-CA-90048/401816476_zpid/")</f>
        <v>https://www.zillow.com/homedetails/6686-Drexel-Ave-2-Los-Angeles-CA-90048/401816476_zpid/</v>
      </c>
      <c r="K652" s="5"/>
      <c r="L652" s="5" t="str">
        <f ca="1">IFERROR(__xludf.DUMMYFUNCTION("""COMPUTED_VALUE"""),"Shirin Danny")</f>
        <v>Shirin Danny</v>
      </c>
      <c r="M652" s="5"/>
      <c r="N652" s="26" t="str">
        <f ca="1">IFERROR(__xludf.DUMMYFUNCTION("""COMPUTED_VALUE"""),"https://drive.google.com/open?id=1MUWVHGhFlvJ8k6Jd6WycGax6uGUxtvLQ")</f>
        <v>https://drive.google.com/open?id=1MUWVHGhFlvJ8k6Jd6WycGax6uGUxtvLQ</v>
      </c>
      <c r="O652" s="5" t="str">
        <f ca="1">IFERROR(__xludf.DUMMYFUNCTION("""COMPUTED_VALUE"""),"N/A")</f>
        <v>N/A</v>
      </c>
      <c r="P652" s="5"/>
      <c r="Q652" s="5"/>
      <c r="R652" s="5" t="str">
        <f ca="1">IFERROR(__xludf.DUMMYFUNCTION("""COMPUTED_VALUE"""),"(310) 801-5034")</f>
        <v>(310) 801-5034</v>
      </c>
      <c r="S652" s="5"/>
      <c r="T652" s="5"/>
    </row>
    <row r="653" spans="1:20" ht="12.75">
      <c r="A653" s="24">
        <f ca="1">IFERROR(__xludf.DUMMYFUNCTION("""COMPUTED_VALUE"""),45670.8690926041)</f>
        <v>45670.869092604102</v>
      </c>
      <c r="B653" s="5" t="str">
        <f ca="1">IFERROR(__xludf.DUMMYFUNCTION("""COMPUTED_VALUE"""),"16 Park Ave")</f>
        <v>16 Park Ave</v>
      </c>
      <c r="C653" s="5" t="str">
        <f ca="1">IFERROR(__xludf.DUMMYFUNCTION("""COMPUTED_VALUE"""),"Venice")</f>
        <v>Venice</v>
      </c>
      <c r="D653" s="5" t="str">
        <f ca="1">IFERROR(__xludf.DUMMYFUNCTION("""COMPUTED_VALUE"""),"CA")</f>
        <v>CA</v>
      </c>
      <c r="E653" s="5">
        <f ca="1">IFERROR(__xludf.DUMMYFUNCTION("""COMPUTED_VALUE"""),90291)</f>
        <v>90291</v>
      </c>
      <c r="F653" s="19">
        <f ca="1">IFERROR(__xludf.DUMMYFUNCTION("""COMPUTED_VALUE"""),7995)</f>
        <v>7995</v>
      </c>
      <c r="G653" s="19">
        <f ca="1">IFERROR(__xludf.DUMMYFUNCTION("""COMPUTED_VALUE"""),30000)</f>
        <v>30000</v>
      </c>
      <c r="H653" s="18">
        <f ca="1">IFERROR(__xludf.DUMMYFUNCTION("""COMPUTED_VALUE"""),45670)</f>
        <v>45670</v>
      </c>
      <c r="I653" s="5" t="str">
        <f ca="1">IFERROR(__xludf.DUMMYFUNCTION("""COMPUTED_VALUE"""),"Zillow")</f>
        <v>Zillow</v>
      </c>
      <c r="J653" s="25" t="str">
        <f ca="1">IFERROR(__xludf.DUMMYFUNCTION("""COMPUTED_VALUE"""),"https://www.zillow.com/homedetails/16-Park-Ave-Venice-CA-90291/20482259_zpid/")</f>
        <v>https://www.zillow.com/homedetails/16-Park-Ave-Venice-CA-90291/20482259_zpid/</v>
      </c>
      <c r="K653" s="5" t="str">
        <f ca="1">IFERROR(__xludf.DUMMYFUNCTION("""COMPUTED_VALUE"""),"Kevin Krakower")</f>
        <v>Kevin Krakower</v>
      </c>
      <c r="L653" s="5"/>
      <c r="M653" s="5"/>
      <c r="N653" s="26" t="str">
        <f ca="1">IFERROR(__xludf.DUMMYFUNCTION("""COMPUTED_VALUE"""),"https://drive.google.com/open?id=1xv9qCx_1tWmyWPDzieCancwRTVbj50Ze")</f>
        <v>https://drive.google.com/open?id=1xv9qCx_1tWmyWPDzieCancwRTVbj50Ze</v>
      </c>
      <c r="O653" s="5">
        <f ca="1">IFERROR(__xludf.DUMMYFUNCTION("""COMPUTED_VALUE"""),4286025001)</f>
        <v>4286025001</v>
      </c>
      <c r="P653" s="5" t="str">
        <f ca="1">IFERROR(__xludf.DUMMYFUNCTION("""COMPUTED_VALUE"""),"310-493-9895")</f>
        <v>310-493-9895</v>
      </c>
      <c r="Q653" s="5"/>
      <c r="R653" s="5"/>
      <c r="S653" s="5"/>
      <c r="T653" s="5"/>
    </row>
    <row r="654" spans="1:20" ht="12.75">
      <c r="A654" s="24">
        <f ca="1">IFERROR(__xludf.DUMMYFUNCTION("""COMPUTED_VALUE"""),45670.8714455439)</f>
        <v>45670.871445543897</v>
      </c>
      <c r="B654" s="5" t="str">
        <f ca="1">IFERROR(__xludf.DUMMYFUNCTION("""COMPUTED_VALUE"""),"7135 Hollywood Blvd APT 702")</f>
        <v>7135 Hollywood Blvd APT 702</v>
      </c>
      <c r="C654" s="5" t="str">
        <f ca="1">IFERROR(__xludf.DUMMYFUNCTION("""COMPUTED_VALUE"""),"Los Angeles")</f>
        <v>Los Angeles</v>
      </c>
      <c r="D654" s="5" t="str">
        <f ca="1">IFERROR(__xludf.DUMMYFUNCTION("""COMPUTED_VALUE"""),"CA")</f>
        <v>CA</v>
      </c>
      <c r="E654" s="5">
        <f ca="1">IFERROR(__xludf.DUMMYFUNCTION("""COMPUTED_VALUE"""),90046)</f>
        <v>90046</v>
      </c>
      <c r="F654" s="19">
        <f ca="1">IFERROR(__xludf.DUMMYFUNCTION("""COMPUTED_VALUE"""),6950)</f>
        <v>6950</v>
      </c>
      <c r="G654" s="19">
        <f ca="1">IFERROR(__xludf.DUMMYFUNCTION("""COMPUTED_VALUE"""),7600)</f>
        <v>7600</v>
      </c>
      <c r="H654" s="18">
        <f ca="1">IFERROR(__xludf.DUMMYFUNCTION("""COMPUTED_VALUE"""),45670)</f>
        <v>45670</v>
      </c>
      <c r="I654" s="5" t="str">
        <f ca="1">IFERROR(__xludf.DUMMYFUNCTION("""COMPUTED_VALUE"""),"Zillow")</f>
        <v>Zillow</v>
      </c>
      <c r="J654" s="25" t="str">
        <f ca="1">IFERROR(__xludf.DUMMYFUNCTION("""COMPUTED_VALUE"""),"https://www.zillow.com/homedetails/7135-Hollywood-Blvd-APT-702-Los-Angeles-CA-90046/20792737_zpid/")</f>
        <v>https://www.zillow.com/homedetails/7135-Hollywood-Blvd-APT-702-Los-Angeles-CA-90046/20792737_zpid/</v>
      </c>
      <c r="K654" s="5" t="str">
        <f ca="1">IFERROR(__xludf.DUMMYFUNCTION("""COMPUTED_VALUE"""),"Natalia Barbachkova (Wellmakers Group)")</f>
        <v>Natalia Barbachkova (Wellmakers Group)</v>
      </c>
      <c r="L654" s="5"/>
      <c r="M654" s="5" t="str">
        <f ca="1">IFERROR(__xludf.DUMMYFUNCTION("""COMPUTED_VALUE"""),"Based on the pricing history it looks like they have been struggling to fill this unit since March, decreasing the rent steadily month over month then suddenly increasing 10% on 1/13")</f>
        <v>Based on the pricing history it looks like they have been struggling to fill this unit since March, decreasing the rent steadily month over month then suddenly increasing 10% on 1/13</v>
      </c>
      <c r="N654" s="26" t="str">
        <f ca="1">IFERROR(__xludf.DUMMYFUNCTION("""COMPUTED_VALUE"""),"https://drive.google.com/open?id=1GyelHmxswe5A6EuMtRgpuZtgvyp3lnFW")</f>
        <v>https://drive.google.com/open?id=1GyelHmxswe5A6EuMtRgpuZtgvyp3lnFW</v>
      </c>
      <c r="O654" s="5">
        <f ca="1">IFERROR(__xludf.DUMMYFUNCTION("""COMPUTED_VALUE"""),5548001093)</f>
        <v>5548001093</v>
      </c>
      <c r="P654" s="5" t="str">
        <f ca="1">IFERROR(__xludf.DUMMYFUNCTION("""COMPUTED_VALUE""")," (323) 428-8482")</f>
        <v xml:space="preserve"> (323) 428-8482</v>
      </c>
      <c r="Q654" s="5"/>
      <c r="R654" s="5"/>
      <c r="S654" s="5"/>
      <c r="T654" s="5"/>
    </row>
    <row r="655" spans="1:20" ht="12.75">
      <c r="A655" s="24">
        <f ca="1">IFERROR(__xludf.DUMMYFUNCTION("""COMPUTED_VALUE"""),45670.8721332523)</f>
        <v>45670.872133252298</v>
      </c>
      <c r="B655" s="5" t="str">
        <f ca="1">IFERROR(__xludf.DUMMYFUNCTION("""COMPUTED_VALUE"""),"536 Quail Dr")</f>
        <v>536 Quail Dr</v>
      </c>
      <c r="C655" s="5" t="str">
        <f ca="1">IFERROR(__xludf.DUMMYFUNCTION("""COMPUTED_VALUE"""),"Los Angeles")</f>
        <v>Los Angeles</v>
      </c>
      <c r="D655" s="5" t="str">
        <f ca="1">IFERROR(__xludf.DUMMYFUNCTION("""COMPUTED_VALUE"""),"CA")</f>
        <v>CA</v>
      </c>
      <c r="E655" s="5">
        <f ca="1">IFERROR(__xludf.DUMMYFUNCTION("""COMPUTED_VALUE"""),90065)</f>
        <v>90065</v>
      </c>
      <c r="F655" s="19">
        <f ca="1">IFERROR(__xludf.DUMMYFUNCTION("""COMPUTED_VALUE"""),4750)</f>
        <v>4750</v>
      </c>
      <c r="G655" s="19">
        <f ca="1">IFERROR(__xludf.DUMMYFUNCTION("""COMPUTED_VALUE"""),5850)</f>
        <v>5850</v>
      </c>
      <c r="H655" s="18">
        <f ca="1">IFERROR(__xludf.DUMMYFUNCTION("""COMPUTED_VALUE"""),45671)</f>
        <v>45671</v>
      </c>
      <c r="I655" s="5" t="str">
        <f ca="1">IFERROR(__xludf.DUMMYFUNCTION("""COMPUTED_VALUE"""),"Zillow")</f>
        <v>Zillow</v>
      </c>
      <c r="J655" s="25" t="str">
        <f ca="1">IFERROR(__xludf.DUMMYFUNCTION("""COMPUTED_VALUE"""),"https://www.zillow.com/homedetails/536-Quail-Dr-Los-Angeles-CA-90065/20761121_zpid/")</f>
        <v>https://www.zillow.com/homedetails/536-Quail-Dr-Los-Angeles-CA-90065/20761121_zpid/</v>
      </c>
      <c r="K655" s="5"/>
      <c r="L655" s="5" t="str">
        <f ca="1">IFERROR(__xludf.DUMMYFUNCTION("""COMPUTED_VALUE"""),"Jackie")</f>
        <v>Jackie</v>
      </c>
      <c r="M655" s="5"/>
      <c r="N655" s="5" t="str">
        <f ca="1">IFERROR(__xludf.DUMMYFUNCTION("""COMPUTED_VALUE"""),"https://drive.google.com/open?id=1lVZxMIuaFMsJwqcP0frfimLYUlc0Wsbn, https://drive.google.com/open?id=14nUDNpRGSS5Y0hJ2JhYrDWT3UaaHmXM0")</f>
        <v>https://drive.google.com/open?id=1lVZxMIuaFMsJwqcP0frfimLYUlc0Wsbn, https://drive.google.com/open?id=14nUDNpRGSS5Y0hJ2JhYrDWT3UaaHmXM0</v>
      </c>
      <c r="O655" s="5">
        <f ca="1">IFERROR(__xludf.DUMMYFUNCTION("""COMPUTED_VALUE"""),5466020032)</f>
        <v>5466020032</v>
      </c>
      <c r="P655" s="5"/>
      <c r="Q655" s="5"/>
      <c r="R655" s="5"/>
      <c r="S655" s="5"/>
      <c r="T655" s="5"/>
    </row>
    <row r="656" spans="1:20" ht="12.75">
      <c r="A656" s="24">
        <f ca="1">IFERROR(__xludf.DUMMYFUNCTION("""COMPUTED_VALUE"""),45670.873306412)</f>
        <v>45670.873306412002</v>
      </c>
      <c r="B656" s="5" t="str">
        <f ca="1">IFERROR(__xludf.DUMMYFUNCTION("""COMPUTED_VALUE"""),"1270 Boynton St Apt 2")</f>
        <v>1270 Boynton St Apt 2</v>
      </c>
      <c r="C656" s="5" t="str">
        <f ca="1">IFERROR(__xludf.DUMMYFUNCTION("""COMPUTED_VALUE"""),"Glendale")</f>
        <v>Glendale</v>
      </c>
      <c r="D656" s="5" t="str">
        <f ca="1">IFERROR(__xludf.DUMMYFUNCTION("""COMPUTED_VALUE"""),"CA")</f>
        <v>CA</v>
      </c>
      <c r="E656" s="5">
        <f ca="1">IFERROR(__xludf.DUMMYFUNCTION("""COMPUTED_VALUE"""),91205)</f>
        <v>91205</v>
      </c>
      <c r="F656" s="19">
        <f ca="1">IFERROR(__xludf.DUMMYFUNCTION("""COMPUTED_VALUE"""),2950)</f>
        <v>2950</v>
      </c>
      <c r="G656" s="19">
        <f ca="1">IFERROR(__xludf.DUMMYFUNCTION("""COMPUTED_VALUE"""),3500)</f>
        <v>3500</v>
      </c>
      <c r="H656" s="18">
        <f ca="1">IFERROR(__xludf.DUMMYFUNCTION("""COMPUTED_VALUE"""),45664)</f>
        <v>45664</v>
      </c>
      <c r="I656" s="5" t="str">
        <f ca="1">IFERROR(__xludf.DUMMYFUNCTION("""COMPUTED_VALUE"""),"Zillow")</f>
        <v>Zillow</v>
      </c>
      <c r="J656" s="25" t="str">
        <f ca="1">IFERROR(__xludf.DUMMYFUNCTION("""COMPUTED_VALUE"""),"https://www.zillow.com/homedetails/1270-Boynton-St-APT-2-Glendale-CA-91205/20847324_zpid/?utm_campaign=iosappmessage&amp;utm_medium=referral&amp;utm_source=txtshare")</f>
        <v>https://www.zillow.com/homedetails/1270-Boynton-St-APT-2-Glendale-CA-91205/20847324_zpid/?utm_campaign=iosappmessage&amp;utm_medium=referral&amp;utm_source=txtshare</v>
      </c>
      <c r="K656" s="5" t="str">
        <f ca="1">IFERROR(__xludf.DUMMYFUNCTION("""COMPUTED_VALUE"""),"Wilhelm Ordan")</f>
        <v>Wilhelm Ordan</v>
      </c>
      <c r="L656" s="5"/>
      <c r="M656" s="5"/>
      <c r="N656" s="26" t="str">
        <f ca="1">IFERROR(__xludf.DUMMYFUNCTION("""COMPUTED_VALUE"""),"https://drive.google.com/open?id=1VxUF7DyJfKuJCbpacr-TbgTs5NSOiz39")</f>
        <v>https://drive.google.com/open?id=1VxUF7DyJfKuJCbpacr-TbgTs5NSOiz39</v>
      </c>
      <c r="O656" s="5">
        <f ca="1">IFERROR(__xludf.DUMMYFUNCTION("""COMPUTED_VALUE"""),5676025034)</f>
        <v>5676025034</v>
      </c>
      <c r="P656" s="5">
        <f ca="1">IFERROR(__xludf.DUMMYFUNCTION("""COMPUTED_VALUE"""),8187499414)</f>
        <v>8187499414</v>
      </c>
      <c r="Q656" s="5"/>
      <c r="R656" s="5"/>
      <c r="S656" s="5"/>
      <c r="T656" s="5"/>
    </row>
    <row r="657" spans="1:20" ht="12.75">
      <c r="A657" s="24">
        <f ca="1">IFERROR(__xludf.DUMMYFUNCTION("""COMPUTED_VALUE"""),45670.8754854861)</f>
        <v>45670.875485486104</v>
      </c>
      <c r="B657" s="5" t="str">
        <f ca="1">IFERROR(__xludf.DUMMYFUNCTION("""COMPUTED_VALUE"""),"2604 Perkins Cir")</f>
        <v>2604 Perkins Cir</v>
      </c>
      <c r="C657" s="5" t="str">
        <f ca="1">IFERROR(__xludf.DUMMYFUNCTION("""COMPUTED_VALUE"""),"Glendale")</f>
        <v>Glendale</v>
      </c>
      <c r="D657" s="5" t="str">
        <f ca="1">IFERROR(__xludf.DUMMYFUNCTION("""COMPUTED_VALUE"""),"CA")</f>
        <v>CA</v>
      </c>
      <c r="E657" s="5">
        <f ca="1">IFERROR(__xludf.DUMMYFUNCTION("""COMPUTED_VALUE"""),91206)</f>
        <v>91206</v>
      </c>
      <c r="F657" s="19">
        <f ca="1">IFERROR(__xludf.DUMMYFUNCTION("""COMPUTED_VALUE"""),7000)</f>
        <v>7000</v>
      </c>
      <c r="G657" s="19">
        <f ca="1">IFERROR(__xludf.DUMMYFUNCTION("""COMPUTED_VALUE"""),8500)</f>
        <v>8500</v>
      </c>
      <c r="H657" s="18">
        <f ca="1">IFERROR(__xludf.DUMMYFUNCTION("""COMPUTED_VALUE"""),45671)</f>
        <v>45671</v>
      </c>
      <c r="I657" s="5" t="str">
        <f ca="1">IFERROR(__xludf.DUMMYFUNCTION("""COMPUTED_VALUE"""),"Zillow")</f>
        <v>Zillow</v>
      </c>
      <c r="J657" s="25" t="str">
        <f ca="1">IFERROR(__xludf.DUMMYFUNCTION("""COMPUTED_VALUE"""),"https://www.zillow.com/homedetails/2604-Perkins-Cir-Glendale-CA-91206/20844617_zpid/")</f>
        <v>https://www.zillow.com/homedetails/2604-Perkins-Cir-Glendale-CA-91206/20844617_zpid/</v>
      </c>
      <c r="K657" s="5" t="str">
        <f ca="1">IFERROR(__xludf.DUMMYFUNCTION("""COMPUTED_VALUE"""),"Esvin Meneses, Park Regency Realty")</f>
        <v>Esvin Meneses, Park Regency Realty</v>
      </c>
      <c r="L657" s="5"/>
      <c r="M657" s="5"/>
      <c r="N657" s="5" t="str">
        <f ca="1">IFERROR(__xludf.DUMMYFUNCTION("""COMPUTED_VALUE"""),"https://drive.google.com/open?id=12v2lHaDHhWhrza8FRmh2DQQtC6IG65MJ, https://drive.google.com/open?id=1imP_xW_to5K3DSi2tA2D1o5K7bpEkk6h")</f>
        <v>https://drive.google.com/open?id=12v2lHaDHhWhrza8FRmh2DQQtC6IG65MJ, https://drive.google.com/open?id=1imP_xW_to5K3DSi2tA2D1o5K7bpEkk6h</v>
      </c>
      <c r="O657" s="5">
        <f ca="1">IFERROR(__xludf.DUMMYFUNCTION("""COMPUTED_VALUE"""),5666012005)</f>
        <v>5666012005</v>
      </c>
      <c r="P657" s="5" t="str">
        <f ca="1">IFERROR(__xludf.DUMMYFUNCTION("""COMPUTED_VALUE"""),"(818) 472-6896")</f>
        <v>(818) 472-6896</v>
      </c>
      <c r="Q657" s="5"/>
      <c r="R657" s="5"/>
      <c r="S657" s="5"/>
      <c r="T657" s="5"/>
    </row>
    <row r="658" spans="1:20" ht="12.75">
      <c r="A658" s="24">
        <f ca="1">IFERROR(__xludf.DUMMYFUNCTION("""COMPUTED_VALUE"""),45670.875977743)</f>
        <v>45670.875977743002</v>
      </c>
      <c r="B658" s="5" t="str">
        <f ca="1">IFERROR(__xludf.DUMMYFUNCTION("""COMPUTED_VALUE"""),"1568 Stoddard Ave")</f>
        <v>1568 Stoddard Ave</v>
      </c>
      <c r="C658" s="5" t="str">
        <f ca="1">IFERROR(__xludf.DUMMYFUNCTION("""COMPUTED_VALUE"""),"Thousand Oaks")</f>
        <v>Thousand Oaks</v>
      </c>
      <c r="D658" s="5" t="str">
        <f ca="1">IFERROR(__xludf.DUMMYFUNCTION("""COMPUTED_VALUE"""),"CA")</f>
        <v>CA</v>
      </c>
      <c r="E658" s="5">
        <f ca="1">IFERROR(__xludf.DUMMYFUNCTION("""COMPUTED_VALUE"""),91360)</f>
        <v>91360</v>
      </c>
      <c r="F658" s="19">
        <f ca="1">IFERROR(__xludf.DUMMYFUNCTION("""COMPUTED_VALUE"""),9000)</f>
        <v>9000</v>
      </c>
      <c r="G658" s="19">
        <f ca="1">IFERROR(__xludf.DUMMYFUNCTION("""COMPUTED_VALUE"""),13000)</f>
        <v>13000</v>
      </c>
      <c r="H658" s="18">
        <f ca="1">IFERROR(__xludf.DUMMYFUNCTION("""COMPUTED_VALUE"""),45666)</f>
        <v>45666</v>
      </c>
      <c r="I658" s="5" t="str">
        <f ca="1">IFERROR(__xludf.DUMMYFUNCTION("""COMPUTED_VALUE"""),"Zillow")</f>
        <v>Zillow</v>
      </c>
      <c r="J658" s="25" t="str">
        <f ca="1">IFERROR(__xludf.DUMMYFUNCTION("""COMPUTED_VALUE"""),"https://www.zillow.com/homedetails/1568-Stoddard-Ave-Thousand-Oaks-CA-91360/16425862_zpid/?utm_campaign=iosappmessage&amp;utm_medium=referral&amp;utm_source=txtshare")</f>
        <v>https://www.zillow.com/homedetails/1568-Stoddard-Ave-Thousand-Oaks-CA-91360/16425862_zpid/?utm_campaign=iosappmessage&amp;utm_medium=referral&amp;utm_source=txtshare</v>
      </c>
      <c r="K658" s="5" t="str">
        <f ca="1">IFERROR(__xludf.DUMMYFUNCTION("""COMPUTED_VALUE"""),"Matt")</f>
        <v>Matt</v>
      </c>
      <c r="L658" s="5"/>
      <c r="M658" s="5" t="str">
        <f ca="1">IFERROR(__xludf.DUMMYFUNCTION("""COMPUTED_VALUE"""),"All I can tell you is that they were trying to rent it for $9,000 in November of last year.  On 11/23, they removed the listing (according to my neighbors, it was possibly being used as a short term rental or Air BNB). Then it was listed for rent again on"&amp;" Jan 9th for $13,000.")</f>
        <v>All I can tell you is that they were trying to rent it for $9,000 in November of last year.  On 11/23, they removed the listing (according to my neighbors, it was possibly being used as a short term rental or Air BNB). Then it was listed for rent again on Jan 9th for $13,000.</v>
      </c>
      <c r="N658" s="5" t="str">
        <f ca="1">IFERROR(__xludf.DUMMYFUNCTION("""COMPUTED_VALUE"""),"https://drive.google.com/open?id=1odN-z2x_J4K6s9CzFJnoplDWq6a8Z5QT, https://drive.google.com/open?id=1k_DFuTFIOkuYAuzj943YdonNP1kjyvYC")</f>
        <v>https://drive.google.com/open?id=1odN-z2x_J4K6s9CzFJnoplDWq6a8Z5QT, https://drive.google.com/open?id=1k_DFuTFIOkuYAuzj943YdonNP1kjyvYC</v>
      </c>
      <c r="O658" s="5">
        <f ca="1">IFERROR(__xludf.DUMMYFUNCTION("""COMPUTED_VALUE"""),5230153135)</f>
        <v>5230153135</v>
      </c>
      <c r="P658" s="5" t="str">
        <f ca="1">IFERROR(__xludf.DUMMYFUNCTION("""COMPUTED_VALUE"""),"(805) 491-5141")</f>
        <v>(805) 491-5141</v>
      </c>
      <c r="Q658" s="5"/>
      <c r="R658" s="5"/>
      <c r="S658" s="5"/>
      <c r="T658" s="5"/>
    </row>
    <row r="659" spans="1:20" ht="12.75">
      <c r="A659" s="24">
        <f ca="1">IFERROR(__xludf.DUMMYFUNCTION("""COMPUTED_VALUE"""),45670.8768143402)</f>
        <v>45670.876814340198</v>
      </c>
      <c r="B659" s="5" t="str">
        <f ca="1">IFERROR(__xludf.DUMMYFUNCTION("""COMPUTED_VALUE"""),"3035 Lake Glen Dr")</f>
        <v>3035 Lake Glen Dr</v>
      </c>
      <c r="C659" s="5" t="str">
        <f ca="1">IFERROR(__xludf.DUMMYFUNCTION("""COMPUTED_VALUE"""),"Beverly Hills")</f>
        <v>Beverly Hills</v>
      </c>
      <c r="D659" s="5" t="str">
        <f ca="1">IFERROR(__xludf.DUMMYFUNCTION("""COMPUTED_VALUE"""),"CA")</f>
        <v>CA</v>
      </c>
      <c r="E659" s="5">
        <f ca="1">IFERROR(__xludf.DUMMYFUNCTION("""COMPUTED_VALUE"""),90210)</f>
        <v>90210</v>
      </c>
      <c r="F659" s="19">
        <f ca="1">IFERROR(__xludf.DUMMYFUNCTION("""COMPUTED_VALUE"""),17500)</f>
        <v>17500</v>
      </c>
      <c r="G659" s="19">
        <f ca="1">IFERROR(__xludf.DUMMYFUNCTION("""COMPUTED_VALUE"""),22000)</f>
        <v>22000</v>
      </c>
      <c r="H659" s="18">
        <f ca="1">IFERROR(__xludf.DUMMYFUNCTION("""COMPUTED_VALUE"""),45670)</f>
        <v>45670</v>
      </c>
      <c r="I659" s="5" t="str">
        <f ca="1">IFERROR(__xludf.DUMMYFUNCTION("""COMPUTED_VALUE"""),"Zillow")</f>
        <v>Zillow</v>
      </c>
      <c r="J659" s="25" t="str">
        <f ca="1">IFERROR(__xludf.DUMMYFUNCTION("""COMPUTED_VALUE"""),"https://www.zillow.com/homedetails/3035-Lake-Glen-Dr-Beverly-Hills-CA-90210/20533531_zpid/")</f>
        <v>https://www.zillow.com/homedetails/3035-Lake-Glen-Dr-Beverly-Hills-CA-90210/20533531_zpid/</v>
      </c>
      <c r="K659" s="5" t="str">
        <f ca="1">IFERROR(__xludf.DUMMYFUNCTION("""COMPUTED_VALUE"""),"Ruiya Feng")</f>
        <v>Ruiya Feng</v>
      </c>
      <c r="L659" s="5"/>
      <c r="M659" s="5"/>
      <c r="N659" s="5" t="str">
        <f ca="1">IFERROR(__xludf.DUMMYFUNCTION("""COMPUTED_VALUE"""),"https://drive.google.com/open?id=1YZ3QbYkv34i5eWoOWHjE20AU30zruSZR, https://drive.google.com/open?id=1r-3KNG-PEgk-Qk3UCMxZWtIXm-vmjblV")</f>
        <v>https://drive.google.com/open?id=1YZ3QbYkv34i5eWoOWHjE20AU30zruSZR, https://drive.google.com/open?id=1r-3KNG-PEgk-Qk3UCMxZWtIXm-vmjblV</v>
      </c>
      <c r="O659" s="5">
        <f ca="1">IFERROR(__xludf.DUMMYFUNCTION("""COMPUTED_VALUE"""),4386002013)</f>
        <v>4386002013</v>
      </c>
      <c r="P659" s="5" t="str">
        <f ca="1">IFERROR(__xludf.DUMMYFUNCTION("""COMPUTED_VALUE"""),"(424) 835-5777")</f>
        <v>(424) 835-5777</v>
      </c>
      <c r="Q659" s="5"/>
      <c r="R659" s="5"/>
      <c r="S659" s="5"/>
      <c r="T659" s="5"/>
    </row>
    <row r="660" spans="1:20" ht="12.75">
      <c r="A660" s="24">
        <f ca="1">IFERROR(__xludf.DUMMYFUNCTION("""COMPUTED_VALUE"""),45670.8789871759)</f>
        <v>45670.8789871759</v>
      </c>
      <c r="B660" s="5" t="str">
        <f ca="1">IFERROR(__xludf.DUMMYFUNCTION("""COMPUTED_VALUE"""),"4609 Alla Rd Unit 3")</f>
        <v>4609 Alla Rd Unit 3</v>
      </c>
      <c r="C660" s="5" t="str">
        <f ca="1">IFERROR(__xludf.DUMMYFUNCTION("""COMPUTED_VALUE"""),"Marina Del Rey")</f>
        <v>Marina Del Rey</v>
      </c>
      <c r="D660" s="5" t="str">
        <f ca="1">IFERROR(__xludf.DUMMYFUNCTION("""COMPUTED_VALUE"""),"CA")</f>
        <v>CA</v>
      </c>
      <c r="E660" s="5">
        <f ca="1">IFERROR(__xludf.DUMMYFUNCTION("""COMPUTED_VALUE"""),90292)</f>
        <v>90292</v>
      </c>
      <c r="F660" s="19">
        <f ca="1">IFERROR(__xludf.DUMMYFUNCTION("""COMPUTED_VALUE"""),6550)</f>
        <v>6550</v>
      </c>
      <c r="G660" s="19">
        <f ca="1">IFERROR(__xludf.DUMMYFUNCTION("""COMPUTED_VALUE"""),7700)</f>
        <v>7700</v>
      </c>
      <c r="H660" s="18">
        <f ca="1">IFERROR(__xludf.DUMMYFUNCTION("""COMPUTED_VALUE"""),45671)</f>
        <v>45671</v>
      </c>
      <c r="I660" s="5" t="str">
        <f ca="1">IFERROR(__xludf.DUMMYFUNCTION("""COMPUTED_VALUE"""),"Zillow")</f>
        <v>Zillow</v>
      </c>
      <c r="J660" s="25" t="str">
        <f ca="1">IFERROR(__xludf.DUMMYFUNCTION("""COMPUTED_VALUE"""),"https://www.zillow.com/homedetails/4609-Alla-Rd-UNIT-3-Marina-Del-Rey-CA-90292/20435568_zpid/")</f>
        <v>https://www.zillow.com/homedetails/4609-Alla-Rd-UNIT-3-Marina-Del-Rey-CA-90292/20435568_zpid/</v>
      </c>
      <c r="K660" s="5" t="str">
        <f ca="1">IFERROR(__xludf.DUMMYFUNCTION("""COMPUTED_VALUE"""),"Goli Javan, Coldwell Banker Realty")</f>
        <v>Goli Javan, Coldwell Banker Realty</v>
      </c>
      <c r="L660" s="5"/>
      <c r="M660" s="5" t="str">
        <f ca="1">IFERROR(__xludf.DUMMYFUNCTION("""COMPUTED_VALUE"""),"Listed 1/2 for $6550. Raised by 17.6% on 1/14")</f>
        <v>Listed 1/2 for $6550. Raised by 17.6% on 1/14</v>
      </c>
      <c r="N660" s="5" t="str">
        <f ca="1">IFERROR(__xludf.DUMMYFUNCTION("""COMPUTED_VALUE"""),"https://drive.google.com/open?id=1UXHlI6epJf6AfVBH9P9ED5xDn7T_InxB, https://drive.google.com/open?id=1gCjJmLCz-TjLQ20RAbdg0e_KTgNrzfIt")</f>
        <v>https://drive.google.com/open?id=1UXHlI6epJf6AfVBH9P9ED5xDn7T_InxB, https://drive.google.com/open?id=1gCjJmLCz-TjLQ20RAbdg0e_KTgNrzfIt</v>
      </c>
      <c r="O660" s="5">
        <f ca="1">IFERROR(__xludf.DUMMYFUNCTION("""COMPUTED_VALUE"""),4212006123)</f>
        <v>4212006123</v>
      </c>
      <c r="P660" s="5" t="str">
        <f ca="1">IFERROR(__xludf.DUMMYFUNCTION("""COMPUTED_VALUE"""),"(424) 230-2410")</f>
        <v>(424) 230-2410</v>
      </c>
      <c r="Q660" s="5"/>
      <c r="R660" s="5"/>
      <c r="S660" s="5"/>
      <c r="T660" s="5"/>
    </row>
    <row r="661" spans="1:20" ht="12.75">
      <c r="A661" s="24">
        <f ca="1">IFERROR(__xludf.DUMMYFUNCTION("""COMPUTED_VALUE"""),45670.8824975115)</f>
        <v>45670.882497511499</v>
      </c>
      <c r="B661" s="5" t="str">
        <f ca="1">IFERROR(__xludf.DUMMYFUNCTION("""COMPUTED_VALUE"""),"6355 De Soto Ave")</f>
        <v>6355 De Soto Ave</v>
      </c>
      <c r="C661" s="5" t="str">
        <f ca="1">IFERROR(__xludf.DUMMYFUNCTION("""COMPUTED_VALUE"""),"Woodland Hills ")</f>
        <v xml:space="preserve">Woodland Hills </v>
      </c>
      <c r="D661" s="5" t="str">
        <f ca="1">IFERROR(__xludf.DUMMYFUNCTION("""COMPUTED_VALUE"""),"CA")</f>
        <v>CA</v>
      </c>
      <c r="E661" s="5">
        <f ca="1">IFERROR(__xludf.DUMMYFUNCTION("""COMPUTED_VALUE"""),91367)</f>
        <v>91367</v>
      </c>
      <c r="F661" s="19">
        <f ca="1">IFERROR(__xludf.DUMMYFUNCTION("""COMPUTED_VALUE"""),3534)</f>
        <v>3534</v>
      </c>
      <c r="G661" s="19">
        <f ca="1">IFERROR(__xludf.DUMMYFUNCTION("""COMPUTED_VALUE"""),6890)</f>
        <v>6890</v>
      </c>
      <c r="H661" s="18">
        <f ca="1">IFERROR(__xludf.DUMMYFUNCTION("""COMPUTED_VALUE"""),45670)</f>
        <v>45670</v>
      </c>
      <c r="I661" s="5" t="str">
        <f ca="1">IFERROR(__xludf.DUMMYFUNCTION("""COMPUTED_VALUE"""),"elaraliving.com // compared to Zillow advertisement ")</f>
        <v xml:space="preserve">elaraliving.com // compared to Zillow advertisement </v>
      </c>
      <c r="J661" s="25" t="str">
        <f ca="1">IFERROR(__xludf.DUMMYFUNCTION("""COMPUTED_VALUE"""),"https://elaraliving.com/floorplan/")</f>
        <v>https://elaraliving.com/floorplan/</v>
      </c>
      <c r="K661" s="5"/>
      <c r="L661" s="5"/>
      <c r="M661" s="5" t="str">
        <f ca="1">IFERROR(__xludf.DUMMYFUNCTION("""COMPUTED_VALUE"""),"Current resident, sharing property to help others find affordable place until I saw price jump.")</f>
        <v>Current resident, sharing property to help others find affordable place until I saw price jump.</v>
      </c>
      <c r="N661" s="5" t="str">
        <f ca="1">IFERROR(__xludf.DUMMYFUNCTION("""COMPUTED_VALUE"""),"https://drive.google.com/open?id=1q52NfoLxzr_4uZQZ7P7UQYnj2G6nW2er, https://drive.google.com/open?id=1y5qpq9IHnX-dxTR8hkgfPkMrG3c9-_7v")</f>
        <v>https://drive.google.com/open?id=1q52NfoLxzr_4uZQZ7P7UQYnj2G6nW2er, https://drive.google.com/open?id=1y5qpq9IHnX-dxTR8hkgfPkMrG3c9-_7v</v>
      </c>
      <c r="O661" s="5" t="str">
        <f ca="1">IFERROR(__xludf.DUMMYFUNCTION("""COMPUTED_VALUE"""),"NA")</f>
        <v>NA</v>
      </c>
      <c r="P661" s="5"/>
      <c r="Q661" s="5"/>
      <c r="R661" s="5">
        <f ca="1">IFERROR(__xludf.DUMMYFUNCTION("""COMPUTED_VALUE"""),8188735231)</f>
        <v>8188735231</v>
      </c>
      <c r="S661" s="5"/>
      <c r="T661" s="5"/>
    </row>
    <row r="662" spans="1:20" ht="12.75">
      <c r="A662" s="24">
        <f ca="1">IFERROR(__xludf.DUMMYFUNCTION("""COMPUTED_VALUE"""),45670.8866338078)</f>
        <v>45670.886633807801</v>
      </c>
      <c r="B662" s="5" t="str">
        <f ca="1">IFERROR(__xludf.DUMMYFUNCTION("""COMPUTED_VALUE"""),"5028 Willowcrest Ave")</f>
        <v>5028 Willowcrest Ave</v>
      </c>
      <c r="C662" s="5" t="str">
        <f ca="1">IFERROR(__xludf.DUMMYFUNCTION("""COMPUTED_VALUE"""),"North Hollywood")</f>
        <v>North Hollywood</v>
      </c>
      <c r="D662" s="5" t="str">
        <f ca="1">IFERROR(__xludf.DUMMYFUNCTION("""COMPUTED_VALUE"""),"CA")</f>
        <v>CA</v>
      </c>
      <c r="E662" s="5">
        <f ca="1">IFERROR(__xludf.DUMMYFUNCTION("""COMPUTED_VALUE"""),91601)</f>
        <v>91601</v>
      </c>
      <c r="F662" s="19">
        <f ca="1">IFERROR(__xludf.DUMMYFUNCTION("""COMPUTED_VALUE"""),8500)</f>
        <v>8500</v>
      </c>
      <c r="G662" s="19">
        <f ca="1">IFERROR(__xludf.DUMMYFUNCTION("""COMPUTED_VALUE"""),10500)</f>
        <v>10500</v>
      </c>
      <c r="H662" s="18">
        <f ca="1">IFERROR(__xludf.DUMMYFUNCTION("""COMPUTED_VALUE"""),45671)</f>
        <v>45671</v>
      </c>
      <c r="I662" s="5" t="str">
        <f ca="1">IFERROR(__xludf.DUMMYFUNCTION("""COMPUTED_VALUE"""),"Zillow")</f>
        <v>Zillow</v>
      </c>
      <c r="J662" s="25" t="str">
        <f ca="1">IFERROR(__xludf.DUMMYFUNCTION("""COMPUTED_VALUE"""),"https://www.zillow.com/homedetails/5028-Willowcrest-Ave-North-Hollywood-CA-91601/20041641_zpid/")</f>
        <v>https://www.zillow.com/homedetails/5028-Willowcrest-Ave-North-Hollywood-CA-91601/20041641_zpid/</v>
      </c>
      <c r="K662" s="5"/>
      <c r="L662" s="5" t="str">
        <f ca="1">IFERROR(__xludf.DUMMYFUNCTION("""COMPUTED_VALUE"""),"Charles A Nasri")</f>
        <v>Charles A Nasri</v>
      </c>
      <c r="M662" s="5"/>
      <c r="N662" s="5" t="str">
        <f ca="1">IFERROR(__xludf.DUMMYFUNCTION("""COMPUTED_VALUE"""),"https://drive.google.com/open?id=1u1K16ytIkZJ8jNJha-d5s_KwYHCgN0on, https://drive.google.com/open?id=1D2a9siXsPMV_vMhV-UM3vsW5JYvo-N8-")</f>
        <v>https://drive.google.com/open?id=1u1K16ytIkZJ8jNJha-d5s_KwYHCgN0on, https://drive.google.com/open?id=1D2a9siXsPMV_vMhV-UM3vsW5JYvo-N8-</v>
      </c>
      <c r="O662" s="5">
        <f ca="1">IFERROR(__xludf.DUMMYFUNCTION("""COMPUTED_VALUE"""),2419015007)</f>
        <v>2419015007</v>
      </c>
      <c r="P662" s="5"/>
      <c r="Q662" s="5"/>
      <c r="R662" s="5" t="str">
        <f ca="1">IFERROR(__xludf.DUMMYFUNCTION("""COMPUTED_VALUE"""),"(310) 801-8963")</f>
        <v>(310) 801-8963</v>
      </c>
      <c r="S662" s="5"/>
      <c r="T662" s="5"/>
    </row>
    <row r="663" spans="1:20" ht="12.75">
      <c r="A663" s="24">
        <f ca="1">IFERROR(__xludf.DUMMYFUNCTION("""COMPUTED_VALUE"""),45670.896828831)</f>
        <v>45670.896828830999</v>
      </c>
      <c r="B663" s="5" t="str">
        <f ca="1">IFERROR(__xludf.DUMMYFUNCTION("""COMPUTED_VALUE"""),"16 Park Ave")</f>
        <v>16 Park Ave</v>
      </c>
      <c r="C663" s="5" t="str">
        <f ca="1">IFERROR(__xludf.DUMMYFUNCTION("""COMPUTED_VALUE"""),"Venice")</f>
        <v>Venice</v>
      </c>
      <c r="D663" s="5" t="str">
        <f ca="1">IFERROR(__xludf.DUMMYFUNCTION("""COMPUTED_VALUE"""),"CA")</f>
        <v>CA</v>
      </c>
      <c r="E663" s="5">
        <f ca="1">IFERROR(__xludf.DUMMYFUNCTION("""COMPUTED_VALUE"""),90291)</f>
        <v>90291</v>
      </c>
      <c r="F663" s="19">
        <f ca="1">IFERROR(__xludf.DUMMYFUNCTION("""COMPUTED_VALUE"""),7995)</f>
        <v>7995</v>
      </c>
      <c r="G663" s="19">
        <f ca="1">IFERROR(__xludf.DUMMYFUNCTION("""COMPUTED_VALUE"""),30000)</f>
        <v>30000</v>
      </c>
      <c r="H663" s="18">
        <f ca="1">IFERROR(__xludf.DUMMYFUNCTION("""COMPUTED_VALUE"""),45670)</f>
        <v>45670</v>
      </c>
      <c r="I663" s="5" t="str">
        <f ca="1">IFERROR(__xludf.DUMMYFUNCTION("""COMPUTED_VALUE"""),"Zillow")</f>
        <v>Zillow</v>
      </c>
      <c r="J663" s="25" t="str">
        <f ca="1">IFERROR(__xludf.DUMMYFUNCTION("""COMPUTED_VALUE"""),"https://www.zillow.com/homedetails/16-Park-Ave-Venice-CA-90291/20482259_zpid/")</f>
        <v>https://www.zillow.com/homedetails/16-Park-Ave-Venice-CA-90291/20482259_zpid/</v>
      </c>
      <c r="K663" s="5" t="str">
        <f ca="1">IFERROR(__xludf.DUMMYFUNCTION("""COMPUTED_VALUE"""),"Kevin Krakower")</f>
        <v>Kevin Krakower</v>
      </c>
      <c r="L663" s="5"/>
      <c r="M663" s="5"/>
      <c r="N663" s="26" t="str">
        <f ca="1">IFERROR(__xludf.DUMMYFUNCTION("""COMPUTED_VALUE"""),"https://drive.google.com/open?id=1VtrnkSb-BetzBFszaaaBbRh-31DWOCaz")</f>
        <v>https://drive.google.com/open?id=1VtrnkSb-BetzBFszaaaBbRh-31DWOCaz</v>
      </c>
      <c r="O663" s="5">
        <f ca="1">IFERROR(__xludf.DUMMYFUNCTION("""COMPUTED_VALUE"""),4286025001)</f>
        <v>4286025001</v>
      </c>
      <c r="P663" s="5">
        <f ca="1">IFERROR(__xludf.DUMMYFUNCTION("""COMPUTED_VALUE"""),3104939895)</f>
        <v>3104939895</v>
      </c>
      <c r="Q663" s="5"/>
      <c r="R663" s="5"/>
      <c r="S663" s="5"/>
      <c r="T663" s="5"/>
    </row>
    <row r="664" spans="1:20" ht="12.75">
      <c r="A664" s="24">
        <f ca="1">IFERROR(__xludf.DUMMYFUNCTION("""COMPUTED_VALUE"""),45670.8971062731)</f>
        <v>45670.8971062731</v>
      </c>
      <c r="B664" s="5" t="str">
        <f ca="1">IFERROR(__xludf.DUMMYFUNCTION("""COMPUTED_VALUE"""),"1945 Glendon Ave FLOOR 1-ID1279")</f>
        <v>1945 Glendon Ave FLOOR 1-ID1279</v>
      </c>
      <c r="C664" s="5" t="str">
        <f ca="1">IFERROR(__xludf.DUMMYFUNCTION("""COMPUTED_VALUE"""),"Los Angeles")</f>
        <v>Los Angeles</v>
      </c>
      <c r="D664" s="5" t="str">
        <f ca="1">IFERROR(__xludf.DUMMYFUNCTION("""COMPUTED_VALUE"""),"CA")</f>
        <v>CA</v>
      </c>
      <c r="E664" s="5">
        <f ca="1">IFERROR(__xludf.DUMMYFUNCTION("""COMPUTED_VALUE"""),90025)</f>
        <v>90025</v>
      </c>
      <c r="F664" s="19">
        <f ca="1">IFERROR(__xludf.DUMMYFUNCTION("""COMPUTED_VALUE"""),3630)</f>
        <v>3630</v>
      </c>
      <c r="G664" s="19">
        <f ca="1">IFERROR(__xludf.DUMMYFUNCTION("""COMPUTED_VALUE"""),4080)</f>
        <v>4080</v>
      </c>
      <c r="H664" s="18">
        <f ca="1">IFERROR(__xludf.DUMMYFUNCTION("""COMPUTED_VALUE"""),45669)</f>
        <v>45669</v>
      </c>
      <c r="I664" s="5" t="str">
        <f ca="1">IFERROR(__xludf.DUMMYFUNCTION("""COMPUTED_VALUE"""),"Zillow")</f>
        <v>Zillow</v>
      </c>
      <c r="J664" s="25" t="str">
        <f ca="1">IFERROR(__xludf.DUMMYFUNCTION("""COMPUTED_VALUE"""),"https://www.zillow.com/homedetails/1945-Glendon-Ave-FLOOR-1-ID1279-Los-Angeles-CA-90025/442340892_zpid/")</f>
        <v>https://www.zillow.com/homedetails/1945-Glendon-Ave-FLOOR-1-ID1279-Los-Angeles-CA-90025/442340892_zpid/</v>
      </c>
      <c r="K664" s="5" t="str">
        <f ca="1">IFERROR(__xludf.DUMMYFUNCTION("""COMPUTED_VALUE"""),"Blueground US")</f>
        <v>Blueground US</v>
      </c>
      <c r="L664" s="5"/>
      <c r="M664" s="5"/>
      <c r="N664" s="26" t="str">
        <f ca="1">IFERROR(__xludf.DUMMYFUNCTION("""COMPUTED_VALUE"""),"https://drive.google.com/open?id=1DIut1-cKArF4pShB7hMrWuszu7YDcn9v")</f>
        <v>https://drive.google.com/open?id=1DIut1-cKArF4pShB7hMrWuszu7YDcn9v</v>
      </c>
      <c r="O664" s="5" t="str">
        <f ca="1">IFERROR(__xludf.DUMMYFUNCTION("""COMPUTED_VALUE"""),"NA")</f>
        <v>NA</v>
      </c>
      <c r="P664" s="5" t="str">
        <f ca="1">IFERROR(__xludf.DUMMYFUNCTION("""COMPUTED_VALUE"""),"(323) 615-1205")</f>
        <v>(323) 615-1205</v>
      </c>
      <c r="Q664" s="5" t="str">
        <f ca="1">IFERROR(__xludf.DUMMYFUNCTION("""COMPUTED_VALUE"""),"info-lax@theblueground.com")</f>
        <v>info-lax@theblueground.com</v>
      </c>
      <c r="R664" s="5"/>
      <c r="S664" s="5"/>
      <c r="T664" s="5"/>
    </row>
    <row r="665" spans="1:20" ht="12.75">
      <c r="A665" s="24">
        <f ca="1">IFERROR(__xludf.DUMMYFUNCTION("""COMPUTED_VALUE"""),45670.9012512152)</f>
        <v>45670.901251215197</v>
      </c>
      <c r="B665" s="5" t="str">
        <f ca="1">IFERROR(__xludf.DUMMYFUNCTION("""COMPUTED_VALUE"""),"10787 Wilshire Blvd #PENTHOUSE")</f>
        <v>10787 Wilshire Blvd #PENTHOUSE</v>
      </c>
      <c r="C665" s="5" t="str">
        <f ca="1">IFERROR(__xludf.DUMMYFUNCTION("""COMPUTED_VALUE"""),"Los Angeles")</f>
        <v>Los Angeles</v>
      </c>
      <c r="D665" s="5" t="str">
        <f ca="1">IFERROR(__xludf.DUMMYFUNCTION("""COMPUTED_VALUE"""),"CA")</f>
        <v>CA</v>
      </c>
      <c r="E665" s="5">
        <f ca="1">IFERROR(__xludf.DUMMYFUNCTION("""COMPUTED_VALUE"""),90024)</f>
        <v>90024</v>
      </c>
      <c r="F665" s="19">
        <f ca="1">IFERROR(__xludf.DUMMYFUNCTION("""COMPUTED_VALUE"""),11995)</f>
        <v>11995</v>
      </c>
      <c r="G665" s="19">
        <f ca="1">IFERROR(__xludf.DUMMYFUNCTION("""COMPUTED_VALUE"""),13500)</f>
        <v>13500</v>
      </c>
      <c r="H665" s="18">
        <f ca="1">IFERROR(__xludf.DUMMYFUNCTION("""COMPUTED_VALUE"""),45665)</f>
        <v>45665</v>
      </c>
      <c r="I665" s="5" t="str">
        <f ca="1">IFERROR(__xludf.DUMMYFUNCTION("""COMPUTED_VALUE"""),"Zillow")</f>
        <v>Zillow</v>
      </c>
      <c r="J665" s="25" t="str">
        <f ca="1">IFERROR(__xludf.DUMMYFUNCTION("""COMPUTED_VALUE"""),"https://www.zillow.com/homedetails/10787-Wilshire-Blvd-PENTHOUSE-Los-Angeles-CA-90024/443396409_zpid/")</f>
        <v>https://www.zillow.com/homedetails/10787-Wilshire-Blvd-PENTHOUSE-Los-Angeles-CA-90024/443396409_zpid/</v>
      </c>
      <c r="K665" s="5" t="str">
        <f ca="1">IFERROR(__xludf.DUMMYFUNCTION("""COMPUTED_VALUE"""),"The CMLgroup")</f>
        <v>The CMLgroup</v>
      </c>
      <c r="L665" s="5"/>
      <c r="M665" s="5"/>
      <c r="N665" s="26" t="str">
        <f ca="1">IFERROR(__xludf.DUMMYFUNCTION("""COMPUTED_VALUE"""),"https://drive.google.com/open?id=15ttysk9e85zb1lgm764ScH6jn6FwAmwd")</f>
        <v>https://drive.google.com/open?id=15ttysk9e85zb1lgm764ScH6jn6FwAmwd</v>
      </c>
      <c r="O665" s="5" t="str">
        <f ca="1">IFERROR(__xludf.DUMMYFUNCTION("""COMPUTED_VALUE"""),"NA")</f>
        <v>NA</v>
      </c>
      <c r="P665" s="5" t="str">
        <f ca="1">IFERROR(__xludf.DUMMYFUNCTION("""COMPUTED_VALUE"""),"(213) 570-8152")</f>
        <v>(213) 570-8152</v>
      </c>
      <c r="Q665" s="5"/>
      <c r="R665" s="5"/>
      <c r="S665" s="5"/>
      <c r="T665" s="5"/>
    </row>
    <row r="666" spans="1:20" ht="12.75">
      <c r="A666" s="24">
        <f ca="1">IFERROR(__xludf.DUMMYFUNCTION("""COMPUTED_VALUE"""),45670.9021595254)</f>
        <v>45670.902159525402</v>
      </c>
      <c r="B666" s="5" t="str">
        <f ca="1">IFERROR(__xludf.DUMMYFUNCTION("""COMPUTED_VALUE"""),"108 W 2nd-St, Unit 206")</f>
        <v>108 W 2nd-St, Unit 206</v>
      </c>
      <c r="C666" s="5" t="str">
        <f ca="1">IFERROR(__xludf.DUMMYFUNCTION("""COMPUTED_VALUE"""),"Los Angeles")</f>
        <v>Los Angeles</v>
      </c>
      <c r="D666" s="5" t="str">
        <f ca="1">IFERROR(__xludf.DUMMYFUNCTION("""COMPUTED_VALUE"""),"CA")</f>
        <v>CA</v>
      </c>
      <c r="E666" s="5">
        <f ca="1">IFERROR(__xludf.DUMMYFUNCTION("""COMPUTED_VALUE"""),90012)</f>
        <v>90012</v>
      </c>
      <c r="F666" s="19">
        <f ca="1">IFERROR(__xludf.DUMMYFUNCTION("""COMPUTED_VALUE"""),3250)</f>
        <v>3250</v>
      </c>
      <c r="G666" s="19">
        <f ca="1">IFERROR(__xludf.DUMMYFUNCTION("""COMPUTED_VALUE"""),4000)</f>
        <v>4000</v>
      </c>
      <c r="H666" s="18">
        <f ca="1">IFERROR(__xludf.DUMMYFUNCTION("""COMPUTED_VALUE"""),45670)</f>
        <v>45670</v>
      </c>
      <c r="I666" s="5" t="str">
        <f ca="1">IFERROR(__xludf.DUMMYFUNCTION("""COMPUTED_VALUE"""),"Redfin")</f>
        <v>Redfin</v>
      </c>
      <c r="J666" s="25" t="str">
        <f ca="1">IFERROR(__xludf.DUMMYFUNCTION("""COMPUTED_VALUE"""),"https://www.redfin.com/CA/Los-Angeles/108-W-2nd-St-90012/unit-206/home/21923543")</f>
        <v>https://www.redfin.com/CA/Los-Angeles/108-W-2nd-St-90012/unit-206/home/21923543</v>
      </c>
      <c r="K666" s="5"/>
      <c r="L666" s="5"/>
      <c r="M666" s="5" t="str">
        <f ca="1">IFERROR(__xludf.DUMMYFUNCTION("""COMPUTED_VALUE"""),"23% rent increase")</f>
        <v>23% rent increase</v>
      </c>
      <c r="N666" s="26" t="str">
        <f ca="1">IFERROR(__xludf.DUMMYFUNCTION("""COMPUTED_VALUE"""),"https://drive.google.com/open?id=1oxvDs1zGH8f_GkEjNLh52yKx-kzj-lJ4")</f>
        <v>https://drive.google.com/open?id=1oxvDs1zGH8f_GkEjNLh52yKx-kzj-lJ4</v>
      </c>
      <c r="O666" s="5" t="str">
        <f ca="1">IFERROR(__xludf.DUMMYFUNCTION("""COMPUTED_VALUE"""),"NA")</f>
        <v>NA</v>
      </c>
      <c r="P666" s="5"/>
      <c r="Q666" s="5"/>
      <c r="R666" s="5" t="str">
        <f ca="1">IFERROR(__xludf.DUMMYFUNCTION("""COMPUTED_VALUE"""),"310-560-8107")</f>
        <v>310-560-8107</v>
      </c>
      <c r="S666" s="5"/>
      <c r="T666" s="5"/>
    </row>
    <row r="667" spans="1:20" ht="12.75">
      <c r="A667" s="24">
        <f ca="1">IFERROR(__xludf.DUMMYFUNCTION("""COMPUTED_VALUE"""),45670.903811493)</f>
        <v>45670.903811493001</v>
      </c>
      <c r="B667" s="5" t="str">
        <f ca="1">IFERROR(__xludf.DUMMYFUNCTION("""COMPUTED_VALUE"""),"2111 Rio Grande")</f>
        <v>2111 Rio Grande</v>
      </c>
      <c r="C667" s="5" t="str">
        <f ca="1">IFERROR(__xludf.DUMMYFUNCTION("""COMPUTED_VALUE"""),"Pomona")</f>
        <v>Pomona</v>
      </c>
      <c r="D667" s="5" t="str">
        <f ca="1">IFERROR(__xludf.DUMMYFUNCTION("""COMPUTED_VALUE"""),"CA")</f>
        <v>CA</v>
      </c>
      <c r="E667" s="5">
        <f ca="1">IFERROR(__xludf.DUMMYFUNCTION("""COMPUTED_VALUE"""),91766)</f>
        <v>91766</v>
      </c>
      <c r="F667" s="19">
        <f ca="1">IFERROR(__xludf.DUMMYFUNCTION("""COMPUTED_VALUE"""),3700)</f>
        <v>3700</v>
      </c>
      <c r="G667" s="19">
        <f ca="1">IFERROR(__xludf.DUMMYFUNCTION("""COMPUTED_VALUE"""),4500)</f>
        <v>4500</v>
      </c>
      <c r="H667" s="18">
        <f ca="1">IFERROR(__xludf.DUMMYFUNCTION("""COMPUTED_VALUE"""),45666)</f>
        <v>45666</v>
      </c>
      <c r="I667" s="5" t="str">
        <f ca="1">IFERROR(__xludf.DUMMYFUNCTION("""COMPUTED_VALUE"""),"Zillow")</f>
        <v>Zillow</v>
      </c>
      <c r="J667" s="25" t="str">
        <f ca="1">IFERROR(__xludf.DUMMYFUNCTION("""COMPUTED_VALUE"""),"https://www.zillow.com/homedetails/2111-Rio-Grande-Pomona-CA-91766/441784665_zpid/")</f>
        <v>https://www.zillow.com/homedetails/2111-Rio-Grande-Pomona-CA-91766/441784665_zpid/</v>
      </c>
      <c r="K667" s="5" t="str">
        <f ca="1">IFERROR(__xludf.DUMMYFUNCTION("""COMPUTED_VALUE"""),"Mandy Wang")</f>
        <v>Mandy Wang</v>
      </c>
      <c r="L667" s="5"/>
      <c r="M667" s="5"/>
      <c r="N667" s="26" t="str">
        <f ca="1">IFERROR(__xludf.DUMMYFUNCTION("""COMPUTED_VALUE"""),"https://drive.google.com/open?id=183WBQLsJ6a4rbmydxdRrIRVIYzF-5K7k")</f>
        <v>https://drive.google.com/open?id=183WBQLsJ6a4rbmydxdRrIRVIYzF-5K7k</v>
      </c>
      <c r="O667" s="5" t="str">
        <f ca="1">IFERROR(__xludf.DUMMYFUNCTION("""COMPUTED_VALUE"""),"NA")</f>
        <v>NA</v>
      </c>
      <c r="P667" s="5" t="str">
        <f ca="1">IFERROR(__xludf.DUMMYFUNCTION("""COMPUTED_VALUE"""),"(626) 567-5677")</f>
        <v>(626) 567-5677</v>
      </c>
      <c r="Q667" s="5"/>
      <c r="R667" s="5"/>
      <c r="S667" s="5"/>
      <c r="T667" s="5"/>
    </row>
    <row r="668" spans="1:20" ht="12.75">
      <c r="A668" s="24">
        <f ca="1">IFERROR(__xludf.DUMMYFUNCTION("""COMPUTED_VALUE"""),45670.9041295138)</f>
        <v>45670.904129513801</v>
      </c>
      <c r="B668" s="5" t="str">
        <f ca="1">IFERROR(__xludf.DUMMYFUNCTION("""COMPUTED_VALUE"""),"1707 Brockton Ave APT 12")</f>
        <v>1707 Brockton Ave APT 12</v>
      </c>
      <c r="C668" s="5" t="str">
        <f ca="1">IFERROR(__xludf.DUMMYFUNCTION("""COMPUTED_VALUE"""),"Los Angeles")</f>
        <v>Los Angeles</v>
      </c>
      <c r="D668" s="5" t="str">
        <f ca="1">IFERROR(__xludf.DUMMYFUNCTION("""COMPUTED_VALUE"""),"CA")</f>
        <v>CA</v>
      </c>
      <c r="E668" s="5">
        <f ca="1">IFERROR(__xludf.DUMMYFUNCTION("""COMPUTED_VALUE"""),90025)</f>
        <v>90025</v>
      </c>
      <c r="F668" s="19">
        <f ca="1">IFERROR(__xludf.DUMMYFUNCTION("""COMPUTED_VALUE"""),3695)</f>
        <v>3695</v>
      </c>
      <c r="G668" s="19">
        <f ca="1">IFERROR(__xludf.DUMMYFUNCTION("""COMPUTED_VALUE"""),4250)</f>
        <v>4250</v>
      </c>
      <c r="H668" s="18">
        <f ca="1">IFERROR(__xludf.DUMMYFUNCTION("""COMPUTED_VALUE"""),45670)</f>
        <v>45670</v>
      </c>
      <c r="I668" s="5" t="str">
        <f ca="1">IFERROR(__xludf.DUMMYFUNCTION("""COMPUTED_VALUE"""),"Zillow")</f>
        <v>Zillow</v>
      </c>
      <c r="J668" s="25" t="str">
        <f ca="1">IFERROR(__xludf.DUMMYFUNCTION("""COMPUTED_VALUE"""),"https://www.zillow.com/homedetails/1707-Brockton-Ave-APT-12-Los-Angeles-CA-90025/2056214972_zpid/")</f>
        <v>https://www.zillow.com/homedetails/1707-Brockton-Ave-APT-12-Los-Angeles-CA-90025/2056214972_zpid/</v>
      </c>
      <c r="K668" s="5"/>
      <c r="L668" s="5" t="str">
        <f ca="1">IFERROR(__xludf.DUMMYFUNCTION("""COMPUTED_VALUE"""),"Mary")</f>
        <v>Mary</v>
      </c>
      <c r="M668" s="5"/>
      <c r="N668" s="26" t="str">
        <f ca="1">IFERROR(__xludf.DUMMYFUNCTION("""COMPUTED_VALUE"""),"https://drive.google.com/open?id=11DtmO3a4-_zlWm3dXDyxq_rZgRlZJLPp")</f>
        <v>https://drive.google.com/open?id=11DtmO3a4-_zlWm3dXDyxq_rZgRlZJLPp</v>
      </c>
      <c r="O668" s="5" t="str">
        <f ca="1">IFERROR(__xludf.DUMMYFUNCTION("""COMPUTED_VALUE"""),"NA")</f>
        <v>NA</v>
      </c>
      <c r="P668" s="5"/>
      <c r="Q668" s="5"/>
      <c r="R668" s="5" t="str">
        <f ca="1">IFERROR(__xludf.DUMMYFUNCTION("""COMPUTED_VALUE"""),"(213) 698-5536")</f>
        <v>(213) 698-5536</v>
      </c>
      <c r="S668" s="5"/>
      <c r="T668" s="5"/>
    </row>
    <row r="669" spans="1:20" ht="12.75">
      <c r="A669" s="24">
        <f ca="1">IFERROR(__xludf.DUMMYFUNCTION("""COMPUTED_VALUE"""),45670.906946574)</f>
        <v>45670.906946574003</v>
      </c>
      <c r="B669" s="5" t="str">
        <f ca="1">IFERROR(__xludf.DUMMYFUNCTION("""COMPUTED_VALUE"""),"1536 Blue Jay Way")</f>
        <v>1536 Blue Jay Way</v>
      </c>
      <c r="C669" s="5" t="str">
        <f ca="1">IFERROR(__xludf.DUMMYFUNCTION("""COMPUTED_VALUE"""),"Los Angeles")</f>
        <v>Los Angeles</v>
      </c>
      <c r="D669" s="5" t="str">
        <f ca="1">IFERROR(__xludf.DUMMYFUNCTION("""COMPUTED_VALUE"""),"CA")</f>
        <v>CA</v>
      </c>
      <c r="E669" s="5">
        <f ca="1">IFERROR(__xludf.DUMMYFUNCTION("""COMPUTED_VALUE"""),90069)</f>
        <v>90069</v>
      </c>
      <c r="F669" s="19">
        <f ca="1">IFERROR(__xludf.DUMMYFUNCTION("""COMPUTED_VALUE"""),80000)</f>
        <v>80000</v>
      </c>
      <c r="G669" s="19">
        <f ca="1">IFERROR(__xludf.DUMMYFUNCTION("""COMPUTED_VALUE"""),120000)</f>
        <v>120000</v>
      </c>
      <c r="H669" s="18">
        <f ca="1">IFERROR(__xludf.DUMMYFUNCTION("""COMPUTED_VALUE"""),45663)</f>
        <v>45663</v>
      </c>
      <c r="I669" s="5" t="str">
        <f ca="1">IFERROR(__xludf.DUMMYFUNCTION("""COMPUTED_VALUE"""),"Compass")</f>
        <v>Compass</v>
      </c>
      <c r="J669" s="25" t="str">
        <f ca="1">IFERROR(__xludf.DUMMYFUNCTION("""COMPUTED_VALUE"""),"https://www.compass.com/listing/1536-blue-jay-way-los-angeles-ca-90069/1591519659078998841/")</f>
        <v>https://www.compass.com/listing/1536-blue-jay-way-los-angeles-ca-90069/1591519659078998841/</v>
      </c>
      <c r="K669" s="5" t="str">
        <f ca="1">IFERROR(__xludf.DUMMYFUNCTION("""COMPUTED_VALUE"""),"Aaron Kirman")</f>
        <v>Aaron Kirman</v>
      </c>
      <c r="L669" s="5"/>
      <c r="M669" s="5" t="str">
        <f ca="1">IFERROR(__xludf.DUMMYFUNCTION("""COMPUTED_VALUE"""),"$170,000 security deposit")</f>
        <v>$170,000 security deposit</v>
      </c>
      <c r="N669" s="26" t="str">
        <f ca="1">IFERROR(__xludf.DUMMYFUNCTION("""COMPUTED_VALUE"""),"https://drive.google.com/open?id=1qPZi2x2d81qHcZOPPWgk3Bm8faFf1etT")</f>
        <v>https://drive.google.com/open?id=1qPZi2x2d81qHcZOPPWgk3Bm8faFf1etT</v>
      </c>
      <c r="O669" s="5" t="str">
        <f ca="1">IFERROR(__xludf.DUMMYFUNCTION("""COMPUTED_VALUE"""),"NA")</f>
        <v>NA</v>
      </c>
      <c r="P669" s="5" t="str">
        <f ca="1">IFERROR(__xludf.DUMMYFUNCTION("""COMPUTED_VALUE"""),"(310)-994-9512")</f>
        <v>(310)-994-9512</v>
      </c>
      <c r="Q669" s="5" t="str">
        <f ca="1">IFERROR(__xludf.DUMMYFUNCTION("""COMPUTED_VALUE"""),"aaron@aaronkirman.com")</f>
        <v>aaron@aaronkirman.com</v>
      </c>
      <c r="R669" s="5"/>
      <c r="S669" s="5"/>
      <c r="T669" s="5"/>
    </row>
    <row r="670" spans="1:20" ht="12.75">
      <c r="A670" s="24">
        <f ca="1">IFERROR(__xludf.DUMMYFUNCTION("""COMPUTED_VALUE"""),45670.9116225)</f>
        <v>45670.911622500003</v>
      </c>
      <c r="B670" s="5" t="str">
        <f ca="1">IFERROR(__xludf.DUMMYFUNCTION("""COMPUTED_VALUE"""),"6467 Zuma View Pl #160")</f>
        <v>6467 Zuma View Pl #160</v>
      </c>
      <c r="C670" s="5" t="str">
        <f ca="1">IFERROR(__xludf.DUMMYFUNCTION("""COMPUTED_VALUE"""),"Malibu")</f>
        <v>Malibu</v>
      </c>
      <c r="D670" s="5" t="str">
        <f ca="1">IFERROR(__xludf.DUMMYFUNCTION("""COMPUTED_VALUE"""),"CA")</f>
        <v>CA</v>
      </c>
      <c r="E670" s="5">
        <f ca="1">IFERROR(__xludf.DUMMYFUNCTION("""COMPUTED_VALUE"""),90275)</f>
        <v>90275</v>
      </c>
      <c r="F670" s="19">
        <f ca="1">IFERROR(__xludf.DUMMYFUNCTION("""COMPUTED_VALUE"""),6800)</f>
        <v>6800</v>
      </c>
      <c r="G670" s="19">
        <f ca="1">IFERROR(__xludf.DUMMYFUNCTION("""COMPUTED_VALUE"""),9800)</f>
        <v>9800</v>
      </c>
      <c r="H670" s="18">
        <f ca="1">IFERROR(__xludf.DUMMYFUNCTION("""COMPUTED_VALUE"""),45666)</f>
        <v>45666</v>
      </c>
      <c r="I670" s="5" t="str">
        <f ca="1">IFERROR(__xludf.DUMMYFUNCTION("""COMPUTED_VALUE"""),"Zillow")</f>
        <v>Zillow</v>
      </c>
      <c r="J670" s="25" t="str">
        <f ca="1">IFERROR(__xludf.DUMMYFUNCTION("""COMPUTED_VALUE"""),"https://www.zillow.com/homedetails/6467-Zuma-View-Pl-UNIT-160-Malibu-CA-90265/51583077_zpid/")</f>
        <v>https://www.zillow.com/homedetails/6467-Zuma-View-Pl-UNIT-160-Malibu-CA-90265/51583077_zpid/</v>
      </c>
      <c r="K670" s="5"/>
      <c r="L670" s="5" t="str">
        <f ca="1">IFERROR(__xludf.DUMMYFUNCTION("""COMPUTED_VALUE"""),"Jane")</f>
        <v>Jane</v>
      </c>
      <c r="M670" s="5" t="str">
        <f ca="1">IFERROR(__xludf.DUMMYFUNCTION("""COMPUTED_VALUE"""),"We messaged about the property the weekend before the fire and she confirmed it was $6800 and then after the fires she asked for $9800")</f>
        <v>We messaged about the property the weekend before the fire and she confirmed it was $6800 and then after the fires she asked for $9800</v>
      </c>
      <c r="N670" s="26" t="str">
        <f ca="1">IFERROR(__xludf.DUMMYFUNCTION("""COMPUTED_VALUE"""),"https://drive.google.com/open?id=1Wcsv4sYzpJpBZxWAKZipzICA0RZVw3Yg")</f>
        <v>https://drive.google.com/open?id=1Wcsv4sYzpJpBZxWAKZipzICA0RZVw3Yg</v>
      </c>
      <c r="O670" s="5">
        <f ca="1">IFERROR(__xludf.DUMMYFUNCTION("""COMPUTED_VALUE"""),4467013120)</f>
        <v>4467013120</v>
      </c>
      <c r="P670" s="5"/>
      <c r="Q670" s="5"/>
      <c r="R670" s="5" t="str">
        <f ca="1">IFERROR(__xludf.DUMMYFUNCTION("""COMPUTED_VALUE"""),"+1 (206) 949-4518")</f>
        <v>+1 (206) 949-4518</v>
      </c>
      <c r="S670" s="5"/>
      <c r="T670" s="5"/>
    </row>
    <row r="671" spans="1:20" ht="12.75">
      <c r="A671" s="24">
        <f ca="1">IFERROR(__xludf.DUMMYFUNCTION("""COMPUTED_VALUE"""),45670.9186048032)</f>
        <v>45670.918604803199</v>
      </c>
      <c r="B671" s="5" t="str">
        <f ca="1">IFERROR(__xludf.DUMMYFUNCTION("""COMPUTED_VALUE"""),"715 N Redford Dr ")</f>
        <v xml:space="preserve">715 N Redford Dr </v>
      </c>
      <c r="C671" s="5" t="str">
        <f ca="1">IFERROR(__xludf.DUMMYFUNCTION("""COMPUTED_VALUE"""),"Beverly Hills")</f>
        <v>Beverly Hills</v>
      </c>
      <c r="D671" s="5" t="str">
        <f ca="1">IFERROR(__xludf.DUMMYFUNCTION("""COMPUTED_VALUE"""),"CA")</f>
        <v>CA</v>
      </c>
      <c r="E671" s="5">
        <f ca="1">IFERROR(__xludf.DUMMYFUNCTION("""COMPUTED_VALUE"""),90210)</f>
        <v>90210</v>
      </c>
      <c r="F671" s="19">
        <f ca="1">IFERROR(__xludf.DUMMYFUNCTION("""COMPUTED_VALUE"""),37500)</f>
        <v>37500</v>
      </c>
      <c r="G671" s="19">
        <f ca="1">IFERROR(__xludf.DUMMYFUNCTION("""COMPUTED_VALUE"""),55000)</f>
        <v>55000</v>
      </c>
      <c r="H671" s="18">
        <f ca="1">IFERROR(__xludf.DUMMYFUNCTION("""COMPUTED_VALUE"""),45670)</f>
        <v>45670</v>
      </c>
      <c r="I671" s="5" t="str">
        <f ca="1">IFERROR(__xludf.DUMMYFUNCTION("""COMPUTED_VALUE"""),"Zillow")</f>
        <v>Zillow</v>
      </c>
      <c r="J671" s="25" t="str">
        <f ca="1">IFERROR(__xludf.DUMMYFUNCTION("""COMPUTED_VALUE"""),"https://www.zillow.com/homedetails/715-N-Rexford-Dr-Beverly-Hills-CA-90210/20520993_zpid/?utm_campaign=iosappmessage&amp;utm_medium=referral&amp;utm_source=txtshare")</f>
        <v>https://www.zillow.com/homedetails/715-N-Rexford-Dr-Beverly-Hills-CA-90210/20520993_zpid/?utm_campaign=iosappmessage&amp;utm_medium=referral&amp;utm_source=txtshare</v>
      </c>
      <c r="K671" s="5" t="str">
        <f ca="1">IFERROR(__xludf.DUMMYFUNCTION("""COMPUTED_VALUE"""),"Araks ")</f>
        <v xml:space="preserve">Araks </v>
      </c>
      <c r="L671" s="5" t="str">
        <f ca="1">IFERROR(__xludf.DUMMYFUNCTION("""COMPUTED_VALUE"""),"Rodger Berman &amp; Rachel Zoe ")</f>
        <v xml:space="preserve">Rodger Berman &amp; Rachel Zoe </v>
      </c>
      <c r="M671" s="5" t="str">
        <f ca="1">IFERROR(__xludf.DUMMYFUNCTION("""COMPUTED_VALUE"""),"It was listed for 37,500 in NOVEMBER of 2024. It is now 55,000 as of Jan 13, 2025 ")</f>
        <v xml:space="preserve">It was listed for 37,500 in NOVEMBER of 2024. It is now 55,000 as of Jan 13, 2025 </v>
      </c>
      <c r="N671" s="26" t="str">
        <f ca="1">IFERROR(__xludf.DUMMYFUNCTION("""COMPUTED_VALUE"""),"https://drive.google.com/open?id=16uloGGtvtH0H6GxvXRwLoOqVnBpkTlLQ")</f>
        <v>https://drive.google.com/open?id=16uloGGtvtH0H6GxvXRwLoOqVnBpkTlLQ</v>
      </c>
      <c r="O671" s="5">
        <f ca="1">IFERROR(__xludf.DUMMYFUNCTION("""COMPUTED_VALUE"""),4344003017)</f>
        <v>4344003017</v>
      </c>
      <c r="P671" s="5">
        <f ca="1">IFERROR(__xludf.DUMMYFUNCTION("""COMPUTED_VALUE"""),8186204955)</f>
        <v>8186204955</v>
      </c>
      <c r="Q671" s="5"/>
      <c r="R671" s="5" t="str">
        <f ca="1">IFERROR(__xludf.DUMMYFUNCTION("""COMPUTED_VALUE"""),"310-490-4898 &amp; 310 281 0012")</f>
        <v>310-490-4898 &amp; 310 281 0012</v>
      </c>
      <c r="S671" s="5"/>
      <c r="T671" s="5"/>
    </row>
    <row r="672" spans="1:20" ht="12.75">
      <c r="A672" s="24">
        <f ca="1">IFERROR(__xludf.DUMMYFUNCTION("""COMPUTED_VALUE"""),45670.9188424768)</f>
        <v>45670.9188424768</v>
      </c>
      <c r="B672" s="5" t="str">
        <f ca="1">IFERROR(__xludf.DUMMYFUNCTION("""COMPUTED_VALUE"""),"7309 North Eaton St")</f>
        <v>7309 North Eaton St</v>
      </c>
      <c r="C672" s="5" t="str">
        <f ca="1">IFERROR(__xludf.DUMMYFUNCTION("""COMPUTED_VALUE"""),"Los Angeles")</f>
        <v>Los Angeles</v>
      </c>
      <c r="D672" s="5" t="str">
        <f ca="1">IFERROR(__xludf.DUMMYFUNCTION("""COMPUTED_VALUE"""),"CA")</f>
        <v>CA</v>
      </c>
      <c r="E672" s="5">
        <f ca="1">IFERROR(__xludf.DUMMYFUNCTION("""COMPUTED_VALUE"""),90042)</f>
        <v>90042</v>
      </c>
      <c r="F672" s="19">
        <f ca="1">IFERROR(__xludf.DUMMYFUNCTION("""COMPUTED_VALUE"""),7495)</f>
        <v>7495</v>
      </c>
      <c r="G672" s="19">
        <f ca="1">IFERROR(__xludf.DUMMYFUNCTION("""COMPUTED_VALUE"""),9995)</f>
        <v>9995</v>
      </c>
      <c r="H672" s="18">
        <f ca="1">IFERROR(__xludf.DUMMYFUNCTION("""COMPUTED_VALUE"""),45670)</f>
        <v>45670</v>
      </c>
      <c r="I672" s="5" t="str">
        <f ca="1">IFERROR(__xludf.DUMMYFUNCTION("""COMPUTED_VALUE"""),"Compass")</f>
        <v>Compass</v>
      </c>
      <c r="J672" s="25" t="str">
        <f ca="1">IFERROR(__xludf.DUMMYFUNCTION("""COMPUTED_VALUE"""),"https://www.compass.com/listing/7309-north-eaton-street-los-angeles-ca-90042/1753399338577397089/")</f>
        <v>https://www.compass.com/listing/7309-north-eaton-street-los-angeles-ca-90042/1753399338577397089/</v>
      </c>
      <c r="K672" s="5" t="str">
        <f ca="1">IFERROR(__xludf.DUMMYFUNCTION("""COMPUTED_VALUE"""),"Hana Cohen")</f>
        <v>Hana Cohen</v>
      </c>
      <c r="L672" s="5"/>
      <c r="M672" s="5"/>
      <c r="N672" s="26" t="str">
        <f ca="1">IFERROR(__xludf.DUMMYFUNCTION("""COMPUTED_VALUE"""),"https://drive.google.com/open?id=1Fffk1lANdJn8YavQu7m9W0H9zn1I4ZDV")</f>
        <v>https://drive.google.com/open?id=1Fffk1lANdJn8YavQu7m9W0H9zn1I4ZDV</v>
      </c>
      <c r="O672" s="5" t="str">
        <f ca="1">IFERROR(__xludf.DUMMYFUNCTION("""COMPUTED_VALUE"""),"NA")</f>
        <v>NA</v>
      </c>
      <c r="P672" s="5" t="str">
        <f ca="1">IFERROR(__xludf.DUMMYFUNCTION("""COMPUTED_VALUE"""),"(310)-882-1670")</f>
        <v>(310)-882-1670</v>
      </c>
      <c r="Q672" s="5" t="str">
        <f ca="1">IFERROR(__xludf.DUMMYFUNCTION("""COMPUTED_VALUE"""),"hanacohen.realtor@gmail.com")</f>
        <v>hanacohen.realtor@gmail.com</v>
      </c>
      <c r="R672" s="5"/>
      <c r="S672" s="5"/>
      <c r="T672" s="5"/>
    </row>
    <row r="673" spans="1:20" ht="12.75">
      <c r="A673" s="24">
        <f ca="1">IFERROR(__xludf.DUMMYFUNCTION("""COMPUTED_VALUE"""),45670.9281902083)</f>
        <v>45670.928190208302</v>
      </c>
      <c r="B673" s="5" t="str">
        <f ca="1">IFERROR(__xludf.DUMMYFUNCTION("""COMPUTED_VALUE"""),"8159 Hollywood Boulevard")</f>
        <v>8159 Hollywood Boulevard</v>
      </c>
      <c r="C673" s="5" t="str">
        <f ca="1">IFERROR(__xludf.DUMMYFUNCTION("""COMPUTED_VALUE"""),"Los Angeles")</f>
        <v>Los Angeles</v>
      </c>
      <c r="D673" s="5" t="str">
        <f ca="1">IFERROR(__xludf.DUMMYFUNCTION("""COMPUTED_VALUE"""),"CA")</f>
        <v>CA</v>
      </c>
      <c r="E673" s="5">
        <f ca="1">IFERROR(__xludf.DUMMYFUNCTION("""COMPUTED_VALUE"""),90069)</f>
        <v>90069</v>
      </c>
      <c r="F673" s="19">
        <f ca="1">IFERROR(__xludf.DUMMYFUNCTION("""COMPUTED_VALUE"""),225000)</f>
        <v>225000</v>
      </c>
      <c r="G673" s="19">
        <f ca="1">IFERROR(__xludf.DUMMYFUNCTION("""COMPUTED_VALUE"""),250000)</f>
        <v>250000</v>
      </c>
      <c r="H673" s="18">
        <f ca="1">IFERROR(__xludf.DUMMYFUNCTION("""COMPUTED_VALUE"""),45670)</f>
        <v>45670</v>
      </c>
      <c r="I673" s="5" t="str">
        <f ca="1">IFERROR(__xludf.DUMMYFUNCTION("""COMPUTED_VALUE"""),"Compass")</f>
        <v>Compass</v>
      </c>
      <c r="J673" s="25" t="str">
        <f ca="1">IFERROR(__xludf.DUMMYFUNCTION("""COMPUTED_VALUE"""),"https://www.compass.com/listing/8159-hollywood-boulevard-los-angeles-ca-90069/1753352903706402097/")</f>
        <v>https://www.compass.com/listing/8159-hollywood-boulevard-los-angeles-ca-90069/1753352903706402097/</v>
      </c>
      <c r="K673" s="5" t="str">
        <f ca="1">IFERROR(__xludf.DUMMYFUNCTION("""COMPUTED_VALUE"""),"Sarah Welch")</f>
        <v>Sarah Welch</v>
      </c>
      <c r="L673" s="5"/>
      <c r="M673" s="5"/>
      <c r="N673" s="26" t="str">
        <f ca="1">IFERROR(__xludf.DUMMYFUNCTION("""COMPUTED_VALUE"""),"https://drive.google.com/open?id=12H4FxQXgBkKaVEAFTiXemDdfNx08iwP8")</f>
        <v>https://drive.google.com/open?id=12H4FxQXgBkKaVEAFTiXemDdfNx08iwP8</v>
      </c>
      <c r="O673" s="5" t="str">
        <f ca="1">IFERROR(__xludf.DUMMYFUNCTION("""COMPUTED_VALUE"""),"NA")</f>
        <v>NA</v>
      </c>
      <c r="P673" s="5" t="str">
        <f ca="1">IFERROR(__xludf.DUMMYFUNCTION("""COMPUTED_VALUE"""),"(310)-310-5301")</f>
        <v>(310)-310-5301</v>
      </c>
      <c r="Q673" s="5" t="str">
        <f ca="1">IFERROR(__xludf.DUMMYFUNCTION("""COMPUTED_VALUE"""),"sarah@akgre.com")</f>
        <v>sarah@akgre.com</v>
      </c>
      <c r="R673" s="5"/>
      <c r="S673" s="5"/>
      <c r="T673" s="5"/>
    </row>
    <row r="674" spans="1:20" ht="12.75">
      <c r="A674" s="24">
        <f ca="1">IFERROR(__xludf.DUMMYFUNCTION("""COMPUTED_VALUE"""),45670.9338041782)</f>
        <v>45670.933804178203</v>
      </c>
      <c r="B674" s="5" t="str">
        <f ca="1">IFERROR(__xludf.DUMMYFUNCTION("""COMPUTED_VALUE"""),"616 North Fuller Ave")</f>
        <v>616 North Fuller Ave</v>
      </c>
      <c r="C674" s="5" t="str">
        <f ca="1">IFERROR(__xludf.DUMMYFUNCTION("""COMPUTED_VALUE"""),"Los Angeles")</f>
        <v>Los Angeles</v>
      </c>
      <c r="D674" s="5" t="str">
        <f ca="1">IFERROR(__xludf.DUMMYFUNCTION("""COMPUTED_VALUE"""),"CA")</f>
        <v>CA</v>
      </c>
      <c r="E674" s="5">
        <f ca="1">IFERROR(__xludf.DUMMYFUNCTION("""COMPUTED_VALUE"""),90036)</f>
        <v>90036</v>
      </c>
      <c r="F674" s="19">
        <f ca="1">IFERROR(__xludf.DUMMYFUNCTION("""COMPUTED_VALUE"""),17500)</f>
        <v>17500</v>
      </c>
      <c r="G674" s="19">
        <f ca="1">IFERROR(__xludf.DUMMYFUNCTION("""COMPUTED_VALUE"""),25000)</f>
        <v>25000</v>
      </c>
      <c r="H674" s="18">
        <f ca="1">IFERROR(__xludf.DUMMYFUNCTION("""COMPUTED_VALUE"""),45670)</f>
        <v>45670</v>
      </c>
      <c r="I674" s="5" t="str">
        <f ca="1">IFERROR(__xludf.DUMMYFUNCTION("""COMPUTED_VALUE"""),"Compass")</f>
        <v>Compass</v>
      </c>
      <c r="J674" s="25" t="str">
        <f ca="1">IFERROR(__xludf.DUMMYFUNCTION("""COMPUTED_VALUE"""),"https://www.compass.com/listing/616-north-fuller-avenue-los-angeles-ca-90036/1753286517554879385/")</f>
        <v>https://www.compass.com/listing/616-north-fuller-avenue-los-angeles-ca-90036/1753286517554879385/</v>
      </c>
      <c r="K674" s="5" t="str">
        <f ca="1">IFERROR(__xludf.DUMMYFUNCTION("""COMPUTED_VALUE"""),"Jimmy Heckenberg")</f>
        <v>Jimmy Heckenberg</v>
      </c>
      <c r="L674" s="5"/>
      <c r="M674" s="5"/>
      <c r="N674" s="26" t="str">
        <f ca="1">IFERROR(__xludf.DUMMYFUNCTION("""COMPUTED_VALUE"""),"https://drive.google.com/open?id=1oa8KLL5GFEFS7OTDoJxzubpZNRcv7mKZ")</f>
        <v>https://drive.google.com/open?id=1oa8KLL5GFEFS7OTDoJxzubpZNRcv7mKZ</v>
      </c>
      <c r="O674" s="5" t="str">
        <f ca="1">IFERROR(__xludf.DUMMYFUNCTION("""COMPUTED_VALUE"""),"NA")</f>
        <v>NA</v>
      </c>
      <c r="P674" s="5" t="str">
        <f ca="1">IFERROR(__xludf.DUMMYFUNCTION("""COMPUTED_VALUE"""),"(310)-650-1116")</f>
        <v>(310)-650-1116</v>
      </c>
      <c r="Q674" s="5" t="str">
        <f ca="1">IFERROR(__xludf.DUMMYFUNCTION("""COMPUTED_VALUE"""),"JimmyHeck@HRGestates.com")</f>
        <v>JimmyHeck@HRGestates.com</v>
      </c>
      <c r="R674" s="5"/>
      <c r="S674" s="5"/>
      <c r="T674" s="5"/>
    </row>
    <row r="675" spans="1:20" ht="12.75">
      <c r="A675" s="24">
        <f ca="1">IFERROR(__xludf.DUMMYFUNCTION("""COMPUTED_VALUE"""),45670.9351361226)</f>
        <v>45670.9351361226</v>
      </c>
      <c r="B675" s="5" t="str">
        <f ca="1">IFERROR(__xludf.DUMMYFUNCTION("""COMPUTED_VALUE"""),"5763 1/2 Clemson St, Los Angeles, CA 90016")</f>
        <v>5763 1/2 Clemson St, Los Angeles, CA 90016</v>
      </c>
      <c r="C675" s="5" t="str">
        <f ca="1">IFERROR(__xludf.DUMMYFUNCTION("""COMPUTED_VALUE"""),"Los Angeles ")</f>
        <v xml:space="preserve">Los Angeles </v>
      </c>
      <c r="D675" s="5" t="str">
        <f ca="1">IFERROR(__xludf.DUMMYFUNCTION("""COMPUTED_VALUE"""),"CA")</f>
        <v>CA</v>
      </c>
      <c r="E675" s="5">
        <f ca="1">IFERROR(__xludf.DUMMYFUNCTION("""COMPUTED_VALUE"""),90016)</f>
        <v>90016</v>
      </c>
      <c r="F675" s="19">
        <f ca="1">IFERROR(__xludf.DUMMYFUNCTION("""COMPUTED_VALUE"""),370000)</f>
        <v>370000</v>
      </c>
      <c r="G675" s="19">
        <f ca="1">IFERROR(__xludf.DUMMYFUNCTION("""COMPUTED_VALUE"""),419000)</f>
        <v>419000</v>
      </c>
      <c r="H675" s="18">
        <f ca="1">IFERROR(__xludf.DUMMYFUNCTION("""COMPUTED_VALUE"""),45665)</f>
        <v>45665</v>
      </c>
      <c r="I675" s="5" t="str">
        <f ca="1">IFERROR(__xludf.DUMMYFUNCTION("""COMPUTED_VALUE"""),"Zillow")</f>
        <v>Zillow</v>
      </c>
      <c r="J675" s="25" t="str">
        <f ca="1">IFERROR(__xludf.DUMMYFUNCTION("""COMPUTED_VALUE"""),"https://www.zillow.com/homedetails/5763-1-2-Clemson-St-Los-Angeles-CA-90016/20587894_zpid/")</f>
        <v>https://www.zillow.com/homedetails/5763-1-2-Clemson-St-Los-Angeles-CA-90016/20587894_zpid/</v>
      </c>
      <c r="K675" s="5" t="str">
        <f ca="1">IFERROR(__xludf.DUMMYFUNCTION("""COMPUTED_VALUE"""),"JAMES ESCAMILLA DRE #02026285 323-707-5043,")</f>
        <v>JAMES ESCAMILLA DRE #02026285 323-707-5043,</v>
      </c>
      <c r="L675" s="5"/>
      <c r="M675" s="5" t="str">
        <f ca="1">IFERROR(__xludf.DUMMYFUNCTION("""COMPUTED_VALUE"""),"Sale property I was looking at buying in November (never made contact ) so it was not sold in October")</f>
        <v>Sale property I was looking at buying in November (never made contact ) so it was not sold in October</v>
      </c>
      <c r="N675" s="5" t="str">
        <f ca="1">IFERROR(__xludf.DUMMYFUNCTION("""COMPUTED_VALUE"""),"https://drive.google.com/open?id=1qRpoV7IG45a36dZsASH3e0QWw6aXweRK, https://drive.google.com/open?id=1UnsItm_FL0vjwrrfpJLQsvVR0bAKVOCb")</f>
        <v>https://drive.google.com/open?id=1qRpoV7IG45a36dZsASH3e0QWw6aXweRK, https://drive.google.com/open?id=1UnsItm_FL0vjwrrfpJLQsvVR0bAKVOCb</v>
      </c>
      <c r="O675" s="5">
        <f ca="1">IFERROR(__xludf.DUMMYFUNCTION("""COMPUTED_VALUE"""),5047019097)</f>
        <v>5047019097</v>
      </c>
      <c r="P675" s="5" t="str">
        <f ca="1">IFERROR(__xludf.DUMMYFUNCTION("""COMPUTED_VALUE"""),"323-707-5043")</f>
        <v>323-707-5043</v>
      </c>
      <c r="Q675" s="5" t="str">
        <f ca="1">IFERROR(__xludf.DUMMYFUNCTION("""COMPUTED_VALUE"""),"syracusealum11@yahoo.com")</f>
        <v>syracusealum11@yahoo.com</v>
      </c>
      <c r="R675" s="5"/>
      <c r="S675" s="5" t="str">
        <f ca="1">IFERROR(__xludf.DUMMYFUNCTION("""COMPUTED_VALUE"""),"syracusealum11@yahoo.com")</f>
        <v>syracusealum11@yahoo.com</v>
      </c>
      <c r="T675" s="5"/>
    </row>
    <row r="676" spans="1:20" ht="12.75">
      <c r="A676" s="24">
        <f ca="1">IFERROR(__xludf.DUMMYFUNCTION("""COMPUTED_VALUE"""),45670.9380159722)</f>
        <v>45670.938015972199</v>
      </c>
      <c r="B676" s="5" t="str">
        <f ca="1">IFERROR(__xludf.DUMMYFUNCTION("""COMPUTED_VALUE"""),"10518 Woodbridge St")</f>
        <v>10518 Woodbridge St</v>
      </c>
      <c r="C676" s="5" t="str">
        <f ca="1">IFERROR(__xludf.DUMMYFUNCTION("""COMPUTED_VALUE"""),"Los Angeles")</f>
        <v>Los Angeles</v>
      </c>
      <c r="D676" s="5" t="str">
        <f ca="1">IFERROR(__xludf.DUMMYFUNCTION("""COMPUTED_VALUE"""),"CA")</f>
        <v>CA</v>
      </c>
      <c r="E676" s="5">
        <f ca="1">IFERROR(__xludf.DUMMYFUNCTION("""COMPUTED_VALUE"""),91602)</f>
        <v>91602</v>
      </c>
      <c r="F676" s="19">
        <f ca="1">IFERROR(__xludf.DUMMYFUNCTION("""COMPUTED_VALUE"""),11000)</f>
        <v>11000</v>
      </c>
      <c r="G676" s="19">
        <f ca="1">IFERROR(__xludf.DUMMYFUNCTION("""COMPUTED_VALUE"""),17000)</f>
        <v>17000</v>
      </c>
      <c r="H676" s="18">
        <f ca="1">IFERROR(__xludf.DUMMYFUNCTION("""COMPUTED_VALUE"""),45670)</f>
        <v>45670</v>
      </c>
      <c r="I676" s="5" t="str">
        <f ca="1">IFERROR(__xludf.DUMMYFUNCTION("""COMPUTED_VALUE"""),"Compass")</f>
        <v>Compass</v>
      </c>
      <c r="J676" s="25" t="str">
        <f ca="1">IFERROR(__xludf.DUMMYFUNCTION("""COMPUTED_VALUE"""),"https://www.compass.com/listing/10518-woodbridge-street-toluca-lake-ca-91602/1753167744872985745/")</f>
        <v>https://www.compass.com/listing/10518-woodbridge-street-toluca-lake-ca-91602/1753167744872985745/</v>
      </c>
      <c r="K676" s="5" t="str">
        <f ca="1">IFERROR(__xludf.DUMMYFUNCTION("""COMPUTED_VALUE"""),"Sharon Rollins")</f>
        <v>Sharon Rollins</v>
      </c>
      <c r="L676" s="5"/>
      <c r="M676" s="5"/>
      <c r="N676" s="26" t="str">
        <f ca="1">IFERROR(__xludf.DUMMYFUNCTION("""COMPUTED_VALUE"""),"https://drive.google.com/open?id=1QOkfxgXomJnV0Bj1pYo61rXRefY48Qdc")</f>
        <v>https://drive.google.com/open?id=1QOkfxgXomJnV0Bj1pYo61rXRefY48Qdc</v>
      </c>
      <c r="O676" s="5" t="str">
        <f ca="1">IFERROR(__xludf.DUMMYFUNCTION("""COMPUTED_VALUE"""),"NA")</f>
        <v>NA</v>
      </c>
      <c r="P676" s="5" t="str">
        <f ca="1">IFERROR(__xludf.DUMMYFUNCTION("""COMPUTED_VALUE"""),"(818)-515-9333")</f>
        <v>(818)-515-9333</v>
      </c>
      <c r="Q676" s="5" t="str">
        <f ca="1">IFERROR(__xludf.DUMMYFUNCTION("""COMPUTED_VALUE"""),"ThinkRollins@gmail.com")</f>
        <v>ThinkRollins@gmail.com</v>
      </c>
      <c r="R676" s="5"/>
      <c r="S676" s="5"/>
      <c r="T676" s="5"/>
    </row>
    <row r="677" spans="1:20" ht="12.75">
      <c r="A677" s="24">
        <f ca="1">IFERROR(__xludf.DUMMYFUNCTION("""COMPUTED_VALUE"""),45670.9408876041)</f>
        <v>45670.940887604098</v>
      </c>
      <c r="B677" s="5" t="str">
        <f ca="1">IFERROR(__xludf.DUMMYFUNCTION("""COMPUTED_VALUE"""),"11814 Hesby Street")</f>
        <v>11814 Hesby Street</v>
      </c>
      <c r="C677" s="5" t="str">
        <f ca="1">IFERROR(__xludf.DUMMYFUNCTION("""COMPUTED_VALUE"""),"Valley Village")</f>
        <v>Valley Village</v>
      </c>
      <c r="D677" s="5" t="str">
        <f ca="1">IFERROR(__xludf.DUMMYFUNCTION("""COMPUTED_VALUE"""),"CA")</f>
        <v>CA</v>
      </c>
      <c r="E677" s="5">
        <f ca="1">IFERROR(__xludf.DUMMYFUNCTION("""COMPUTED_VALUE"""),91607)</f>
        <v>91607</v>
      </c>
      <c r="F677" s="19">
        <f ca="1">IFERROR(__xludf.DUMMYFUNCTION("""COMPUTED_VALUE"""),9900)</f>
        <v>9900</v>
      </c>
      <c r="G677" s="19">
        <f ca="1">IFERROR(__xludf.DUMMYFUNCTION("""COMPUTED_VALUE"""),16000)</f>
        <v>16000</v>
      </c>
      <c r="H677" s="18">
        <f ca="1">IFERROR(__xludf.DUMMYFUNCTION("""COMPUTED_VALUE"""),45667)</f>
        <v>45667</v>
      </c>
      <c r="I677" s="5" t="str">
        <f ca="1">IFERROR(__xludf.DUMMYFUNCTION("""COMPUTED_VALUE"""),"Zillow")</f>
        <v>Zillow</v>
      </c>
      <c r="J677" s="25" t="str">
        <f ca="1">IFERROR(__xludf.DUMMYFUNCTION("""COMPUTED_VALUE"""),"https://www.zillow.com/homedetails/11814-Hesby-St-Valley-Village-CA-91607/20019456_zpid/?utm_campaign=iosappmessage&amp;utm_medium=referral&amp;utm_source=txtshare")</f>
        <v>https://www.zillow.com/homedetails/11814-Hesby-St-Valley-Village-CA-91607/20019456_zpid/?utm_campaign=iosappmessage&amp;utm_medium=referral&amp;utm_source=txtshare</v>
      </c>
      <c r="K677" s="5" t="str">
        <f ca="1">IFERROR(__xludf.DUMMYFUNCTION("""COMPUTED_VALUE"""),"Rosalyne Cohen")</f>
        <v>Rosalyne Cohen</v>
      </c>
      <c r="L677" s="5"/>
      <c r="M677" s="5" t="str">
        <f ca="1">IFERROR(__xludf.DUMMYFUNCTION("""COMPUTED_VALUE"""),"Originally listed for rent on 1/3, at $9900. Seven days later, up to $16000.")</f>
        <v>Originally listed for rent on 1/3, at $9900. Seven days later, up to $16000.</v>
      </c>
      <c r="N677" s="26" t="str">
        <f ca="1">IFERROR(__xludf.DUMMYFUNCTION("""COMPUTED_VALUE"""),"https://drive.google.com/open?id=1-QyWo-kww3SZJWmNlhDOLJntUGG4_kIc")</f>
        <v>https://drive.google.com/open?id=1-QyWo-kww3SZJWmNlhDOLJntUGG4_kIc</v>
      </c>
      <c r="O677" s="5">
        <f ca="1">IFERROR(__xludf.DUMMYFUNCTION("""COMPUTED_VALUE"""),2355003027)</f>
        <v>2355003027</v>
      </c>
      <c r="P677" s="5" t="str">
        <f ca="1">IFERROR(__xludf.DUMMYFUNCTION("""COMPUTED_VALUE"""),"818-926-9086")</f>
        <v>818-926-9086</v>
      </c>
      <c r="Q677" s="5"/>
      <c r="R677" s="5"/>
      <c r="S677" s="5"/>
      <c r="T677" s="5"/>
    </row>
    <row r="678" spans="1:20" ht="12.75">
      <c r="A678" s="24">
        <f ca="1">IFERROR(__xludf.DUMMYFUNCTION("""COMPUTED_VALUE"""),45670.9422110069)</f>
        <v>45670.942211006899</v>
      </c>
      <c r="B678" s="5" t="str">
        <f ca="1">IFERROR(__xludf.DUMMYFUNCTION("""COMPUTED_VALUE"""),"7962 Oceanus Dr")</f>
        <v>7962 Oceanus Dr</v>
      </c>
      <c r="C678" s="5" t="str">
        <f ca="1">IFERROR(__xludf.DUMMYFUNCTION("""COMPUTED_VALUE"""),"Los Angeles")</f>
        <v>Los Angeles</v>
      </c>
      <c r="D678" s="5" t="str">
        <f ca="1">IFERROR(__xludf.DUMMYFUNCTION("""COMPUTED_VALUE"""),"CA")</f>
        <v>CA</v>
      </c>
      <c r="E678" s="5">
        <f ca="1">IFERROR(__xludf.DUMMYFUNCTION("""COMPUTED_VALUE"""),90046)</f>
        <v>90046</v>
      </c>
      <c r="F678" s="19">
        <f ca="1">IFERROR(__xludf.DUMMYFUNCTION("""COMPUTED_VALUE"""),13500)</f>
        <v>13500</v>
      </c>
      <c r="G678" s="19">
        <f ca="1">IFERROR(__xludf.DUMMYFUNCTION("""COMPUTED_VALUE"""),19995)</f>
        <v>19995</v>
      </c>
      <c r="H678" s="18">
        <f ca="1">IFERROR(__xludf.DUMMYFUNCTION("""COMPUTED_VALUE"""),45670)</f>
        <v>45670</v>
      </c>
      <c r="I678" s="5" t="str">
        <f ca="1">IFERROR(__xludf.DUMMYFUNCTION("""COMPUTED_VALUE"""),"Compass")</f>
        <v>Compass</v>
      </c>
      <c r="J678" s="25" t="str">
        <f ca="1">IFERROR(__xludf.DUMMYFUNCTION("""COMPUTED_VALUE"""),"https://www.compass.com/listing/7962-oceanus-drive-los-angeles-ca-90046/1753154497331380697/")</f>
        <v>https://www.compass.com/listing/7962-oceanus-drive-los-angeles-ca-90046/1753154497331380697/</v>
      </c>
      <c r="K678" s="5" t="str">
        <f ca="1">IFERROR(__xludf.DUMMYFUNCTION("""COMPUTED_VALUE"""),"Scott Rosenthal")</f>
        <v>Scott Rosenthal</v>
      </c>
      <c r="L678" s="5"/>
      <c r="M678" s="5"/>
      <c r="N678" s="26" t="str">
        <f ca="1">IFERROR(__xludf.DUMMYFUNCTION("""COMPUTED_VALUE"""),"https://drive.google.com/open?id=1hPoQdV_bLdXEpbKBJdxxs5qYPOfn0HDV")</f>
        <v>https://drive.google.com/open?id=1hPoQdV_bLdXEpbKBJdxxs5qYPOfn0HDV</v>
      </c>
      <c r="O678" s="5" t="str">
        <f ca="1">IFERROR(__xludf.DUMMYFUNCTION("""COMPUTED_VALUE"""),"NA")</f>
        <v>NA</v>
      </c>
      <c r="P678" s="5" t="str">
        <f ca="1">IFERROR(__xludf.DUMMYFUNCTION("""COMPUTED_VALUE"""),"(310)-694-7474")</f>
        <v>(310)-694-7474</v>
      </c>
      <c r="Q678" s="5" t="str">
        <f ca="1">IFERROR(__xludf.DUMMYFUNCTION("""COMPUTED_VALUE"""),"scott@therosenthalestates.com")</f>
        <v>scott@therosenthalestates.com</v>
      </c>
      <c r="R678" s="5"/>
      <c r="S678" s="5"/>
      <c r="T678" s="5"/>
    </row>
    <row r="679" spans="1:20" ht="12.75">
      <c r="A679" s="24">
        <f ca="1">IFERROR(__xludf.DUMMYFUNCTION("""COMPUTED_VALUE"""),45670.9455849537)</f>
        <v>45670.945584953697</v>
      </c>
      <c r="B679" s="5" t="str">
        <f ca="1">IFERROR(__xludf.DUMMYFUNCTION("""COMPUTED_VALUE"""),"1916 w court st.")</f>
        <v>1916 w court st.</v>
      </c>
      <c r="C679" s="5" t="str">
        <f ca="1">IFERROR(__xludf.DUMMYFUNCTION("""COMPUTED_VALUE"""),"Los angeles")</f>
        <v>Los angeles</v>
      </c>
      <c r="D679" s="5" t="str">
        <f ca="1">IFERROR(__xludf.DUMMYFUNCTION("""COMPUTED_VALUE"""),"CA")</f>
        <v>CA</v>
      </c>
      <c r="E679" s="5">
        <f ca="1">IFERROR(__xludf.DUMMYFUNCTION("""COMPUTED_VALUE"""),90026)</f>
        <v>90026</v>
      </c>
      <c r="F679" s="19">
        <f ca="1">IFERROR(__xludf.DUMMYFUNCTION("""COMPUTED_VALUE"""),9995)</f>
        <v>9995</v>
      </c>
      <c r="G679" s="19">
        <f ca="1">IFERROR(__xludf.DUMMYFUNCTION("""COMPUTED_VALUE"""),14995)</f>
        <v>14995</v>
      </c>
      <c r="H679" s="18">
        <f ca="1">IFERROR(__xludf.DUMMYFUNCTION("""COMPUTED_VALUE"""),45669)</f>
        <v>45669</v>
      </c>
      <c r="I679" s="5" t="str">
        <f ca="1">IFERROR(__xludf.DUMMYFUNCTION("""COMPUTED_VALUE"""),"Zillow")</f>
        <v>Zillow</v>
      </c>
      <c r="J679" s="25" t="str">
        <f ca="1">IFERROR(__xludf.DUMMYFUNCTION("""COMPUTED_VALUE"""),"ZILLOW.COM")</f>
        <v>ZILLOW.COM</v>
      </c>
      <c r="K679" s="5" t="str">
        <f ca="1">IFERROR(__xludf.DUMMYFUNCTION("""COMPUTED_VALUE"""),"Ofir Malul")</f>
        <v>Ofir Malul</v>
      </c>
      <c r="L679" s="5" t="str">
        <f ca="1">IFERROR(__xludf.DUMMYFUNCTION("""COMPUTED_VALUE"""),"Ofir Malul")</f>
        <v>Ofir Malul</v>
      </c>
      <c r="M679" s="5" t="str">
        <f ca="1">IFERROR(__xludf.DUMMYFUNCTION("""COMPUTED_VALUE"""),"I want to submit this in regards the listing on row 11 of this spreadsheet: 1916 W Court St - I was a tenant of the listing agent Ofir Malul and want to provide his phone number as he is a total slumlord asshole it is 818-220-2703")</f>
        <v>I want to submit this in regards the listing on row 11 of this spreadsheet: 1916 W Court St - I was a tenant of the listing agent Ofir Malul and want to provide his phone number as he is a total slumlord asshole it is 818-220-2703</v>
      </c>
      <c r="N679" s="26" t="str">
        <f ca="1">IFERROR(__xludf.DUMMYFUNCTION("""COMPUTED_VALUE"""),"https://drive.google.com/open?id=1C4-coZogeqkRXhJxxuuUih_MknjoTI5K")</f>
        <v>https://drive.google.com/open?id=1C4-coZogeqkRXhJxxuuUih_MknjoTI5K</v>
      </c>
      <c r="O679" s="5">
        <f ca="1">IFERROR(__xludf.DUMMYFUNCTION("""COMPUTED_VALUE"""),5157027044)</f>
        <v>5157027044</v>
      </c>
      <c r="P679" s="5" t="str">
        <f ca="1">IFERROR(__xludf.DUMMYFUNCTION("""COMPUTED_VALUE"""),"ofirmal@gmail.com")</f>
        <v>ofirmal@gmail.com</v>
      </c>
      <c r="Q679" s="5" t="str">
        <f ca="1">IFERROR(__xludf.DUMMYFUNCTION("""COMPUTED_VALUE"""),"ofirmal@gmail.com")</f>
        <v>ofirmal@gmail.com</v>
      </c>
      <c r="R679" s="5">
        <f ca="1">IFERROR(__xludf.DUMMYFUNCTION("""COMPUTED_VALUE"""),8182202703)</f>
        <v>8182202703</v>
      </c>
      <c r="S679" s="5" t="str">
        <f ca="1">IFERROR(__xludf.DUMMYFUNCTION("""COMPUTED_VALUE"""),"Ofirmal@gmail.com")</f>
        <v>Ofirmal@gmail.com</v>
      </c>
      <c r="T679" s="5"/>
    </row>
    <row r="680" spans="1:20" ht="12.75">
      <c r="A680" s="24">
        <f ca="1">IFERROR(__xludf.DUMMYFUNCTION("""COMPUTED_VALUE"""),45670.9457126967)</f>
        <v>45670.945712696703</v>
      </c>
      <c r="B680" s="5" t="str">
        <f ca="1">IFERROR(__xludf.DUMMYFUNCTION("""COMPUTED_VALUE"""),"Undisclosed address")</f>
        <v>Undisclosed address</v>
      </c>
      <c r="C680" s="5" t="str">
        <f ca="1">IFERROR(__xludf.DUMMYFUNCTION("""COMPUTED_VALUE"""),"Baldwin Park")</f>
        <v>Baldwin Park</v>
      </c>
      <c r="D680" s="5" t="str">
        <f ca="1">IFERROR(__xludf.DUMMYFUNCTION("""COMPUTED_VALUE"""),"CA")</f>
        <v>CA</v>
      </c>
      <c r="E680" s="5">
        <f ca="1">IFERROR(__xludf.DUMMYFUNCTION("""COMPUTED_VALUE"""),91706)</f>
        <v>91706</v>
      </c>
      <c r="F680" s="19">
        <f ca="1">IFERROR(__xludf.DUMMYFUNCTION("""COMPUTED_VALUE"""),6999)</f>
        <v>6999</v>
      </c>
      <c r="G680" s="19">
        <f ca="1">IFERROR(__xludf.DUMMYFUNCTION("""COMPUTED_VALUE"""),8500)</f>
        <v>8500</v>
      </c>
      <c r="H680" s="18">
        <f ca="1">IFERROR(__xludf.DUMMYFUNCTION("""COMPUTED_VALUE"""),45667)</f>
        <v>45667</v>
      </c>
      <c r="I680" s="5" t="str">
        <f ca="1">IFERROR(__xludf.DUMMYFUNCTION("""COMPUTED_VALUE"""),"Zillow")</f>
        <v>Zillow</v>
      </c>
      <c r="J680" s="25" t="str">
        <f ca="1">IFERROR(__xludf.DUMMYFUNCTION("""COMPUTED_VALUE"""),"https://www.zillow.com/homedetails/Baldwin-Park-CA-91706/21596745_zpid/")</f>
        <v>https://www.zillow.com/homedetails/Baldwin-Park-CA-91706/21596745_zpid/</v>
      </c>
      <c r="K680" s="5" t="str">
        <f ca="1">IFERROR(__xludf.DUMMYFUNCTION("""COMPUTED_VALUE"""),"Noemi Mimi Rodriguez Iberri &amp; Associates Real Estate")</f>
        <v>Noemi Mimi Rodriguez Iberri &amp; Associates Real Estate</v>
      </c>
      <c r="L680" s="5"/>
      <c r="M680" s="5"/>
      <c r="N680" s="5" t="str">
        <f ca="1">IFERROR(__xludf.DUMMYFUNCTION("""COMPUTED_VALUE"""),"https://drive.google.com/open?id=1O395OvaimdwFv4mq2z_7y_cK0TaiEcVw, https://drive.google.com/open?id=1Kkwq3DWCFim-AM3qgCMvTJWuOozflVJe")</f>
        <v>https://drive.google.com/open?id=1O395OvaimdwFv4mq2z_7y_cK0TaiEcVw, https://drive.google.com/open?id=1Kkwq3DWCFim-AM3qgCMvTJWuOozflVJe</v>
      </c>
      <c r="O680" s="5" t="str">
        <f ca="1">IFERROR(__xludf.DUMMYFUNCTION("""COMPUTED_VALUE"""),"NA")</f>
        <v>NA</v>
      </c>
      <c r="P680" s="5">
        <f ca="1">IFERROR(__xludf.DUMMYFUNCTION("""COMPUTED_VALUE"""),5624839629)</f>
        <v>5624839629</v>
      </c>
      <c r="Q680" s="5"/>
      <c r="R680" s="5"/>
      <c r="S680" s="5"/>
      <c r="T680" s="5"/>
    </row>
    <row r="681" spans="1:20" ht="12.75">
      <c r="A681" s="24">
        <f ca="1">IFERROR(__xludf.DUMMYFUNCTION("""COMPUTED_VALUE"""),45670.9485311805)</f>
        <v>45670.948531180497</v>
      </c>
      <c r="B681" s="5" t="str">
        <f ca="1">IFERROR(__xludf.DUMMYFUNCTION("""COMPUTED_VALUE"""),"6760 Gill Way")</f>
        <v>6760 Gill Way</v>
      </c>
      <c r="C681" s="5" t="str">
        <f ca="1">IFERROR(__xludf.DUMMYFUNCTION("""COMPUTED_VALUE"""),"Los Angeles")</f>
        <v>Los Angeles</v>
      </c>
      <c r="D681" s="5" t="str">
        <f ca="1">IFERROR(__xludf.DUMMYFUNCTION("""COMPUTED_VALUE"""),"CA")</f>
        <v>CA</v>
      </c>
      <c r="E681" s="5">
        <f ca="1">IFERROR(__xludf.DUMMYFUNCTION("""COMPUTED_VALUE"""),90068)</f>
        <v>90068</v>
      </c>
      <c r="F681" s="19">
        <f ca="1">IFERROR(__xludf.DUMMYFUNCTION("""COMPUTED_VALUE"""),6500)</f>
        <v>6500</v>
      </c>
      <c r="G681" s="19">
        <f ca="1">IFERROR(__xludf.DUMMYFUNCTION("""COMPUTED_VALUE"""),9999)</f>
        <v>9999</v>
      </c>
      <c r="H681" s="18">
        <f ca="1">IFERROR(__xludf.DUMMYFUNCTION("""COMPUTED_VALUE"""),45669)</f>
        <v>45669</v>
      </c>
      <c r="I681" s="5" t="str">
        <f ca="1">IFERROR(__xludf.DUMMYFUNCTION("""COMPUTED_VALUE"""),"Compass")</f>
        <v>Compass</v>
      </c>
      <c r="J681" s="25" t="str">
        <f ca="1">IFERROR(__xludf.DUMMYFUNCTION("""COMPUTED_VALUE"""),"https://www.compass.com/listing/6760-gill-way-los-angeles-ca-90068/1752316050567855849/")</f>
        <v>https://www.compass.com/listing/6760-gill-way-los-angeles-ca-90068/1752316050567855849/</v>
      </c>
      <c r="K681" s="5" t="str">
        <f ca="1">IFERROR(__xludf.DUMMYFUNCTION("""COMPUTED_VALUE"""),"James Talbot")</f>
        <v>James Talbot</v>
      </c>
      <c r="L681" s="5"/>
      <c r="M681" s="5"/>
      <c r="N681" s="26" t="str">
        <f ca="1">IFERROR(__xludf.DUMMYFUNCTION("""COMPUTED_VALUE"""),"https://drive.google.com/open?id=13aKnweom7cLN0WjP9Ef2BlvyOCm0ZUwg")</f>
        <v>https://drive.google.com/open?id=13aKnweom7cLN0WjP9Ef2BlvyOCm0ZUwg</v>
      </c>
      <c r="O681" s="5" t="str">
        <f ca="1">IFERROR(__xludf.DUMMYFUNCTION("""COMPUTED_VALUE"""),"NA")</f>
        <v>NA</v>
      </c>
      <c r="P681" s="5" t="str">
        <f ca="1">IFERROR(__xludf.DUMMYFUNCTION("""COMPUTED_VALUE"""),"(310)-430-4186")</f>
        <v>(310)-430-4186</v>
      </c>
      <c r="Q681" s="5" t="str">
        <f ca="1">IFERROR(__xludf.DUMMYFUNCTION("""COMPUTED_VALUE"""),"jmtbot@gmail.com")</f>
        <v>jmtbot@gmail.com</v>
      </c>
      <c r="R681" s="5"/>
      <c r="S681" s="5"/>
      <c r="T681" s="5"/>
    </row>
    <row r="682" spans="1:20" ht="12.75">
      <c r="A682" s="24">
        <f ca="1">IFERROR(__xludf.DUMMYFUNCTION("""COMPUTED_VALUE"""),45670.9500940046)</f>
        <v>45670.950094004598</v>
      </c>
      <c r="B682" s="5" t="str">
        <f ca="1">IFERROR(__xludf.DUMMYFUNCTION("""COMPUTED_VALUE"""),"5344 Leghorn Ave")</f>
        <v>5344 Leghorn Ave</v>
      </c>
      <c r="C682" s="5" t="str">
        <f ca="1">IFERROR(__xludf.DUMMYFUNCTION("""COMPUTED_VALUE"""),"Van Nuys")</f>
        <v>Van Nuys</v>
      </c>
      <c r="D682" s="5" t="str">
        <f ca="1">IFERROR(__xludf.DUMMYFUNCTION("""COMPUTED_VALUE"""),"CA")</f>
        <v>CA</v>
      </c>
      <c r="E682" s="5">
        <f ca="1">IFERROR(__xludf.DUMMYFUNCTION("""COMPUTED_VALUE"""),91401)</f>
        <v>91401</v>
      </c>
      <c r="F682" s="19">
        <f ca="1">IFERROR(__xludf.DUMMYFUNCTION("""COMPUTED_VALUE"""),20000)</f>
        <v>20000</v>
      </c>
      <c r="G682" s="19">
        <f ca="1">IFERROR(__xludf.DUMMYFUNCTION("""COMPUTED_VALUE"""),36000)</f>
        <v>36000</v>
      </c>
      <c r="H682" s="18">
        <f ca="1">IFERROR(__xludf.DUMMYFUNCTION("""COMPUTED_VALUE"""),45670)</f>
        <v>45670</v>
      </c>
      <c r="I682" s="5" t="str">
        <f ca="1">IFERROR(__xludf.DUMMYFUNCTION("""COMPUTED_VALUE"""),"Zillow")</f>
        <v>Zillow</v>
      </c>
      <c r="J682" s="25" t="str">
        <f ca="1">IFERROR(__xludf.DUMMYFUNCTION("""COMPUTED_VALUE"""),"https://www.zillow.com/homedetails/5344-Leghorn-Ave-Van-Nuys-CA-91401/20015679_zpid/")</f>
        <v>https://www.zillow.com/homedetails/5344-Leghorn-Ave-Van-Nuys-CA-91401/20015679_zpid/</v>
      </c>
      <c r="K682" s="5"/>
      <c r="L682" s="5"/>
      <c r="M682" s="5" t="str">
        <f ca="1">IFERROR(__xludf.DUMMYFUNCTION("""COMPUTED_VALUE"""),"last listing was in 2022")</f>
        <v>last listing was in 2022</v>
      </c>
      <c r="N682" s="5" t="str">
        <f ca="1">IFERROR(__xludf.DUMMYFUNCTION("""COMPUTED_VALUE"""),"https://drive.google.com/open?id=1VbZnHcYbOr9C7Mm29F64rcxN4aDiO8uf, https://drive.google.com/open?id=1p7LYrASf1-GRnAtqBnWeNdIW6F_XC-_5, https://drive.google.com/open?id=19BSgN2woiZApx95fRdzAr54o9Y90JivB")</f>
        <v>https://drive.google.com/open?id=1VbZnHcYbOr9C7Mm29F64rcxN4aDiO8uf, https://drive.google.com/open?id=1p7LYrASf1-GRnAtqBnWeNdIW6F_XC-_5, https://drive.google.com/open?id=19BSgN2woiZApx95fRdzAr54o9Y90JivB</v>
      </c>
      <c r="O682" s="5">
        <f ca="1">IFERROR(__xludf.DUMMYFUNCTION("""COMPUTED_VALUE"""),2345016001)</f>
        <v>2345016001</v>
      </c>
      <c r="P682" s="5"/>
      <c r="Q682" s="5"/>
      <c r="R682" s="5"/>
      <c r="S682" s="5"/>
      <c r="T682" s="5"/>
    </row>
    <row r="683" spans="1:20" ht="12.75">
      <c r="A683" s="24">
        <f ca="1">IFERROR(__xludf.DUMMYFUNCTION("""COMPUTED_VALUE"""),45670.9517715509)</f>
        <v>45670.951771550899</v>
      </c>
      <c r="B683" s="5" t="str">
        <f ca="1">IFERROR(__xludf.DUMMYFUNCTION("""COMPUTED_VALUE"""),"13918 Chandler Blvd")</f>
        <v>13918 Chandler Blvd</v>
      </c>
      <c r="C683" s="5" t="str">
        <f ca="1">IFERROR(__xludf.DUMMYFUNCTION("""COMPUTED_VALUE"""),"Van Nuys")</f>
        <v>Van Nuys</v>
      </c>
      <c r="D683" s="5" t="str">
        <f ca="1">IFERROR(__xludf.DUMMYFUNCTION("""COMPUTED_VALUE"""),"CA")</f>
        <v>CA</v>
      </c>
      <c r="E683" s="5">
        <f ca="1">IFERROR(__xludf.DUMMYFUNCTION("""COMPUTED_VALUE"""),91401)</f>
        <v>91401</v>
      </c>
      <c r="F683" s="19">
        <f ca="1">IFERROR(__xludf.DUMMYFUNCTION("""COMPUTED_VALUE"""),35000)</f>
        <v>35000</v>
      </c>
      <c r="G683" s="19">
        <f ca="1">IFERROR(__xludf.DUMMYFUNCTION("""COMPUTED_VALUE"""),50000)</f>
        <v>50000</v>
      </c>
      <c r="H683" s="18">
        <f ca="1">IFERROR(__xludf.DUMMYFUNCTION("""COMPUTED_VALUE"""),45670)</f>
        <v>45670</v>
      </c>
      <c r="I683" s="5" t="str">
        <f ca="1">IFERROR(__xludf.DUMMYFUNCTION("""COMPUTED_VALUE"""),"Zillow")</f>
        <v>Zillow</v>
      </c>
      <c r="J683" s="25" t="str">
        <f ca="1">IFERROR(__xludf.DUMMYFUNCTION("""COMPUTED_VALUE"""),"https://www.zillow.com/homedetails/13918-Chandler-Blvd-Van-Nuys-CA-91401/19974663_zpid/")</f>
        <v>https://www.zillow.com/homedetails/13918-Chandler-Blvd-Van-Nuys-CA-91401/19974663_zpid/</v>
      </c>
      <c r="K683" s="5"/>
      <c r="L683" s="5"/>
      <c r="M683" s="5"/>
      <c r="N683" s="5" t="str">
        <f ca="1">IFERROR(__xludf.DUMMYFUNCTION("""COMPUTED_VALUE"""),"https://drive.google.com/open?id=1i3GWXB08sFM6chMqsl4kyBvN0G7Z5j_8, https://drive.google.com/open?id=1JdgIof5VaAJUxRm814F73r-o1cVxikd7, https://drive.google.com/open?id=1iYlzhVMtW66I4jzSU-iGgUekJDSAIEP-")</f>
        <v>https://drive.google.com/open?id=1i3GWXB08sFM6chMqsl4kyBvN0G7Z5j_8, https://drive.google.com/open?id=1JdgIof5VaAJUxRm814F73r-o1cVxikd7, https://drive.google.com/open?id=1iYlzhVMtW66I4jzSU-iGgUekJDSAIEP-</v>
      </c>
      <c r="O683" s="5">
        <f ca="1">IFERROR(__xludf.DUMMYFUNCTION("""COMPUTED_VALUE"""),2247017002)</f>
        <v>2247017002</v>
      </c>
      <c r="P683" s="5"/>
      <c r="Q683" s="5"/>
      <c r="R683" s="5"/>
      <c r="S683" s="5"/>
      <c r="T683" s="5"/>
    </row>
    <row r="684" spans="1:20" ht="12.75">
      <c r="A684" s="24">
        <f ca="1">IFERROR(__xludf.DUMMYFUNCTION("""COMPUTED_VALUE"""),45670.9528511574)</f>
        <v>45670.952851157403</v>
      </c>
      <c r="B684" s="5" t="str">
        <f ca="1">IFERROR(__xludf.DUMMYFUNCTION("""COMPUTED_VALUE"""),"4536 Maycrest Ave")</f>
        <v>4536 Maycrest Ave</v>
      </c>
      <c r="C684" s="5" t="str">
        <f ca="1">IFERROR(__xludf.DUMMYFUNCTION("""COMPUTED_VALUE"""),"Los Angeles")</f>
        <v>Los Angeles</v>
      </c>
      <c r="D684" s="5" t="str">
        <f ca="1">IFERROR(__xludf.DUMMYFUNCTION("""COMPUTED_VALUE"""),"CA")</f>
        <v>CA</v>
      </c>
      <c r="E684" s="5">
        <f ca="1">IFERROR(__xludf.DUMMYFUNCTION("""COMPUTED_VALUE"""),90036)</f>
        <v>90036</v>
      </c>
      <c r="F684" s="19">
        <f ca="1">IFERROR(__xludf.DUMMYFUNCTION("""COMPUTED_VALUE"""),3300)</f>
        <v>3300</v>
      </c>
      <c r="G684" s="19">
        <f ca="1">IFERROR(__xludf.DUMMYFUNCTION("""COMPUTED_VALUE"""),5400)</f>
        <v>5400</v>
      </c>
      <c r="H684" s="18">
        <f ca="1">IFERROR(__xludf.DUMMYFUNCTION("""COMPUTED_VALUE"""),45669)</f>
        <v>45669</v>
      </c>
      <c r="I684" s="5" t="str">
        <f ca="1">IFERROR(__xludf.DUMMYFUNCTION("""COMPUTED_VALUE"""),"Compass")</f>
        <v>Compass</v>
      </c>
      <c r="J684" s="25" t="str">
        <f ca="1">IFERROR(__xludf.DUMMYFUNCTION("""COMPUTED_VALUE"""),"https://www.compass.com/listing/4536-maycrest-avenue-los-angeles-ca-90032/1751469909730991929/")</f>
        <v>https://www.compass.com/listing/4536-maycrest-avenue-los-angeles-ca-90032/1751469909730991929/</v>
      </c>
      <c r="K684" s="5" t="str">
        <f ca="1">IFERROR(__xludf.DUMMYFUNCTION("""COMPUTED_VALUE"""),"JIE CHENG")</f>
        <v>JIE CHENG</v>
      </c>
      <c r="L684" s="5"/>
      <c r="M684" s="5"/>
      <c r="N684" s="26" t="str">
        <f ca="1">IFERROR(__xludf.DUMMYFUNCTION("""COMPUTED_VALUE"""),"https://drive.google.com/open?id=1GVb4Eayir_LD-UOa61BcazUzmEnQZiiS")</f>
        <v>https://drive.google.com/open?id=1GVb4Eayir_LD-UOa61BcazUzmEnQZiiS</v>
      </c>
      <c r="O684" s="5" t="str">
        <f ca="1">IFERROR(__xludf.DUMMYFUNCTION("""COMPUTED_VALUE"""),"NA")</f>
        <v>NA</v>
      </c>
      <c r="P684" s="5" t="str">
        <f ca="1">IFERROR(__xludf.DUMMYFUNCTION("""COMPUTED_VALUE"""),"(888)-584-9427")</f>
        <v>(888)-584-9427</v>
      </c>
      <c r="Q684" s="5" t="str">
        <f ca="1">IFERROR(__xludf.DUMMYFUNCTION("""COMPUTED_VALUE"""),"chzoya.cb@gmail.com")</f>
        <v>chzoya.cb@gmail.com</v>
      </c>
      <c r="R684" s="5"/>
      <c r="S684" s="5"/>
      <c r="T684" s="5"/>
    </row>
    <row r="685" spans="1:20" ht="12.75">
      <c r="A685" s="24">
        <f ca="1">IFERROR(__xludf.DUMMYFUNCTION("""COMPUTED_VALUE"""),45670.9531736111)</f>
        <v>45670.953173611102</v>
      </c>
      <c r="B685" s="5" t="str">
        <f ca="1">IFERROR(__xludf.DUMMYFUNCTION("""COMPUTED_VALUE"""),"1211 Goodman Ave")</f>
        <v>1211 Goodman Ave</v>
      </c>
      <c r="C685" s="5" t="str">
        <f ca="1">IFERROR(__xludf.DUMMYFUNCTION("""COMPUTED_VALUE"""),"Redondo Beach")</f>
        <v>Redondo Beach</v>
      </c>
      <c r="D685" s="5" t="str">
        <f ca="1">IFERROR(__xludf.DUMMYFUNCTION("""COMPUTED_VALUE"""),"CA")</f>
        <v>CA</v>
      </c>
      <c r="E685" s="5">
        <f ca="1">IFERROR(__xludf.DUMMYFUNCTION("""COMPUTED_VALUE"""),90278)</f>
        <v>90278</v>
      </c>
      <c r="F685" s="19">
        <f ca="1">IFERROR(__xludf.DUMMYFUNCTION("""COMPUTED_VALUE"""),6550)</f>
        <v>6550</v>
      </c>
      <c r="G685" s="19">
        <f ca="1">IFERROR(__xludf.DUMMYFUNCTION("""COMPUTED_VALUE"""),7050)</f>
        <v>7050</v>
      </c>
      <c r="H685" s="18">
        <f ca="1">IFERROR(__xludf.DUMMYFUNCTION("""COMPUTED_VALUE"""),45669)</f>
        <v>45669</v>
      </c>
      <c r="I685" s="5" t="str">
        <f ca="1">IFERROR(__xludf.DUMMYFUNCTION("""COMPUTED_VALUE"""),"Zillow")</f>
        <v>Zillow</v>
      </c>
      <c r="J685" s="25" t="str">
        <f ca="1">IFERROR(__xludf.DUMMYFUNCTION("""COMPUTED_VALUE"""),"https://www.zillow.com/homedetails/1211-Goodman-Ave-Redondo-Beach-CA-90278/20411015_zpid/?utm_campaign=iosappmessage&amp;utm_medium=referral&amp;utm_source=txtshare")</f>
        <v>https://www.zillow.com/homedetails/1211-Goodman-Ave-Redondo-Beach-CA-90278/20411015_zpid/?utm_campaign=iosappmessage&amp;utm_medium=referral&amp;utm_source=txtshare</v>
      </c>
      <c r="K685" s="5" t="str">
        <f ca="1">IFERROR(__xludf.DUMMYFUNCTION("""COMPUTED_VALUE"""),"Denice Meyer, Gold Miners Investments")</f>
        <v>Denice Meyer, Gold Miners Investments</v>
      </c>
      <c r="L685" s="5"/>
      <c r="M685" s="5"/>
      <c r="N685" s="5" t="str">
        <f ca="1">IFERROR(__xludf.DUMMYFUNCTION("""COMPUTED_VALUE"""),"https://drive.google.com/open?id=1wQ_ccvKF56i_yWg0WJTRp4il_rOxRUzE, https://drive.google.com/open?id=17zzxEJUZJqTmewsOGCZgnZrQP97QQ7kD")</f>
        <v>https://drive.google.com/open?id=1wQ_ccvKF56i_yWg0WJTRp4il_rOxRUzE, https://drive.google.com/open?id=17zzxEJUZJqTmewsOGCZgnZrQP97QQ7kD</v>
      </c>
      <c r="O685" s="5">
        <f ca="1">IFERROR(__xludf.DUMMYFUNCTION("""COMPUTED_VALUE"""),4161015014)</f>
        <v>4161015014</v>
      </c>
      <c r="P685" s="5" t="str">
        <f ca="1">IFERROR(__xludf.DUMMYFUNCTION("""COMPUTED_VALUE"""),"800-979-3646")</f>
        <v>800-979-3646</v>
      </c>
      <c r="Q685" s="5"/>
      <c r="R685" s="5"/>
      <c r="S685" s="5"/>
      <c r="T685" s="5"/>
    </row>
    <row r="686" spans="1:20" ht="12.75">
      <c r="A686" s="24">
        <f ca="1">IFERROR(__xludf.DUMMYFUNCTION("""COMPUTED_VALUE"""),45670.9541935185)</f>
        <v>45670.954193518497</v>
      </c>
      <c r="B686" s="5" t="str">
        <f ca="1">IFERROR(__xludf.DUMMYFUNCTION("""COMPUTED_VALUE"""),"6111 San Vicente Blvd")</f>
        <v>6111 San Vicente Blvd</v>
      </c>
      <c r="C686" s="5" t="str">
        <f ca="1">IFERROR(__xludf.DUMMYFUNCTION("""COMPUTED_VALUE"""),"Los Angeles")</f>
        <v>Los Angeles</v>
      </c>
      <c r="D686" s="5" t="str">
        <f ca="1">IFERROR(__xludf.DUMMYFUNCTION("""COMPUTED_VALUE"""),"CA")</f>
        <v>CA</v>
      </c>
      <c r="E686" s="5">
        <f ca="1">IFERROR(__xludf.DUMMYFUNCTION("""COMPUTED_VALUE"""),90048)</f>
        <v>90048</v>
      </c>
      <c r="F686" s="19">
        <f ca="1">IFERROR(__xludf.DUMMYFUNCTION("""COMPUTED_VALUE"""),6950)</f>
        <v>6950</v>
      </c>
      <c r="G686" s="19">
        <f ca="1">IFERROR(__xludf.DUMMYFUNCTION("""COMPUTED_VALUE"""),14950)</f>
        <v>14950</v>
      </c>
      <c r="H686" s="18">
        <f ca="1">IFERROR(__xludf.DUMMYFUNCTION("""COMPUTED_VALUE"""),45665)</f>
        <v>45665</v>
      </c>
      <c r="I686" s="5" t="str">
        <f ca="1">IFERROR(__xludf.DUMMYFUNCTION("""COMPUTED_VALUE"""),"Zillow")</f>
        <v>Zillow</v>
      </c>
      <c r="J686" s="25" t="str">
        <f ca="1">IFERROR(__xludf.DUMMYFUNCTION("""COMPUTED_VALUE"""),"https://www.zillow.com/homedetails/6111-San-Vicente-Blvd-Los-Angeles-CA-90048/20609731_zpid/")</f>
        <v>https://www.zillow.com/homedetails/6111-San-Vicente-Blvd-Los-Angeles-CA-90048/20609731_zpid/</v>
      </c>
      <c r="K686" s="5"/>
      <c r="L686" s="5"/>
      <c r="M686" s="5"/>
      <c r="N686" s="5" t="str">
        <f ca="1">IFERROR(__xludf.DUMMYFUNCTION("""COMPUTED_VALUE"""),"https://drive.google.com/open?id=1n0_s-aHvbo0TLwaknq_MjTlG9qrEyECB, https://drive.google.com/open?id=1nACFh6KUsBa9PzMpRNCim2yT9y2xBqYG")</f>
        <v>https://drive.google.com/open?id=1n0_s-aHvbo0TLwaknq_MjTlG9qrEyECB, https://drive.google.com/open?id=1nACFh6KUsBa9PzMpRNCim2yT9y2xBqYG</v>
      </c>
      <c r="O686" s="5">
        <f ca="1">IFERROR(__xludf.DUMMYFUNCTION("""COMPUTED_VALUE"""),5088004056)</f>
        <v>5088004056</v>
      </c>
      <c r="P686" s="5"/>
      <c r="Q686" s="5"/>
      <c r="R686" s="5"/>
      <c r="S686" s="5"/>
      <c r="T686" s="5"/>
    </row>
    <row r="687" spans="1:20" ht="12.75">
      <c r="A687" s="24">
        <f ca="1">IFERROR(__xludf.DUMMYFUNCTION("""COMPUTED_VALUE"""),45670.9558170138)</f>
        <v>45670.955817013797</v>
      </c>
      <c r="B687" s="5" t="str">
        <f ca="1">IFERROR(__xludf.DUMMYFUNCTION("""COMPUTED_VALUE"""),"1155 Englewild Dr.")</f>
        <v>1155 Englewild Dr.</v>
      </c>
      <c r="C687" s="5" t="str">
        <f ca="1">IFERROR(__xludf.DUMMYFUNCTION("""COMPUTED_VALUE"""),"Glendora")</f>
        <v>Glendora</v>
      </c>
      <c r="D687" s="5" t="str">
        <f ca="1">IFERROR(__xludf.DUMMYFUNCTION("""COMPUTED_VALUE"""),"CA")</f>
        <v>CA</v>
      </c>
      <c r="E687" s="5">
        <f ca="1">IFERROR(__xludf.DUMMYFUNCTION("""COMPUTED_VALUE"""),91741)</f>
        <v>91741</v>
      </c>
      <c r="F687" s="19">
        <f ca="1">IFERROR(__xludf.DUMMYFUNCTION("""COMPUTED_VALUE"""),9000)</f>
        <v>9000</v>
      </c>
      <c r="G687" s="19">
        <f ca="1">IFERROR(__xludf.DUMMYFUNCTION("""COMPUTED_VALUE"""),20999)</f>
        <v>20999</v>
      </c>
      <c r="H687" s="18">
        <f ca="1">IFERROR(__xludf.DUMMYFUNCTION("""COMPUTED_VALUE"""),45669)</f>
        <v>45669</v>
      </c>
      <c r="I687" s="5" t="str">
        <f ca="1">IFERROR(__xludf.DUMMYFUNCTION("""COMPUTED_VALUE"""),"Zillow")</f>
        <v>Zillow</v>
      </c>
      <c r="J687" s="25" t="str">
        <f ca="1">IFERROR(__xludf.DUMMYFUNCTION("""COMPUTED_VALUE"""),"https://www.zillow.com/homedetails/1155-Englewild-Dr-Glendora-CA-91741/21638249_zpid/")</f>
        <v>https://www.zillow.com/homedetails/1155-Englewild-Dr-Glendora-CA-91741/21638249_zpid/</v>
      </c>
      <c r="K687" s="5" t="str">
        <f ca="1">IFERROR(__xludf.DUMMYFUNCTION("""COMPUTED_VALUE"""),"Benjamin Donel Sootheby’s International Realty")</f>
        <v>Benjamin Donel Sootheby’s International Realty</v>
      </c>
      <c r="L687" s="5"/>
      <c r="M687" s="5"/>
      <c r="N687" s="5" t="str">
        <f ca="1">IFERROR(__xludf.DUMMYFUNCTION("""COMPUTED_VALUE"""),"https://drive.google.com/open?id=1-kSfvyCoHT4QCSlebzoVYZ3wYlRAINWM, https://drive.google.com/open?id=1kzdkvXscZronIuc_8i5Ui5WjPDTBYgMJ")</f>
        <v>https://drive.google.com/open?id=1-kSfvyCoHT4QCSlebzoVYZ3wYlRAINWM, https://drive.google.com/open?id=1kzdkvXscZronIuc_8i5Ui5WjPDTBYgMJ</v>
      </c>
      <c r="O687" s="5" t="str">
        <f ca="1">IFERROR(__xludf.DUMMYFUNCTION("""COMPUTED_VALUE"""),"NA")</f>
        <v>NA</v>
      </c>
      <c r="P687" s="5">
        <f ca="1">IFERROR(__xludf.DUMMYFUNCTION("""COMPUTED_VALUE"""),3107214071)</f>
        <v>3107214071</v>
      </c>
      <c r="Q687" s="5"/>
      <c r="R687" s="5"/>
      <c r="S687" s="5"/>
      <c r="T687" s="5"/>
    </row>
    <row r="688" spans="1:20" ht="12.75">
      <c r="A688" s="24">
        <f ca="1">IFERROR(__xludf.DUMMYFUNCTION("""COMPUTED_VALUE"""),45670.9562302083)</f>
        <v>45670.9562302083</v>
      </c>
      <c r="B688" s="5" t="str">
        <f ca="1">IFERROR(__xludf.DUMMYFUNCTION("""COMPUTED_VALUE"""),"10824 Chalon Road")</f>
        <v>10824 Chalon Road</v>
      </c>
      <c r="C688" s="5" t="str">
        <f ca="1">IFERROR(__xludf.DUMMYFUNCTION("""COMPUTED_VALUE"""),"LOs Angeles")</f>
        <v>LOs Angeles</v>
      </c>
      <c r="D688" s="5" t="str">
        <f ca="1">IFERROR(__xludf.DUMMYFUNCTION("""COMPUTED_VALUE"""),"CA")</f>
        <v>CA</v>
      </c>
      <c r="E688" s="5">
        <f ca="1">IFERROR(__xludf.DUMMYFUNCTION("""COMPUTED_VALUE"""),90077)</f>
        <v>90077</v>
      </c>
      <c r="F688" s="19">
        <f ca="1">IFERROR(__xludf.DUMMYFUNCTION("""COMPUTED_VALUE"""),65000)</f>
        <v>65000</v>
      </c>
      <c r="G688" s="19">
        <f ca="1">IFERROR(__xludf.DUMMYFUNCTION("""COMPUTED_VALUE"""),78000)</f>
        <v>78000</v>
      </c>
      <c r="H688" s="18">
        <f ca="1">IFERROR(__xludf.DUMMYFUNCTION("""COMPUTED_VALUE"""),45670)</f>
        <v>45670</v>
      </c>
      <c r="I688" s="5" t="str">
        <f ca="1">IFERROR(__xludf.DUMMYFUNCTION("""COMPUTED_VALUE"""),"Zillow")</f>
        <v>Zillow</v>
      </c>
      <c r="J688" s="25" t="str">
        <f ca="1">IFERROR(__xludf.DUMMYFUNCTION("""COMPUTED_VALUE"""),"https://www.zillow.com/homedetails/10824-Chalon-Rd-Los-Angeles-CA-90077/20529073_zpid/")</f>
        <v>https://www.zillow.com/homedetails/10824-Chalon-Rd-Los-Angeles-CA-90077/20529073_zpid/</v>
      </c>
      <c r="K688" s="5"/>
      <c r="L688" s="5"/>
      <c r="M688" s="5"/>
      <c r="N688" s="5" t="str">
        <f ca="1">IFERROR(__xludf.DUMMYFUNCTION("""COMPUTED_VALUE"""),"https://drive.google.com/open?id=1P9FtL5qPloMMptQc8OO1XRm80Ra0fNju, https://drive.google.com/open?id=1ifS83rg_eAWUmSae7tfdC1dW_sy8YC3k, https://drive.google.com/open?id=1Kac9VQBt5YP-ca-CVVMojTsJa3Ezc46c")</f>
        <v>https://drive.google.com/open?id=1P9FtL5qPloMMptQc8OO1XRm80Ra0fNju, https://drive.google.com/open?id=1ifS83rg_eAWUmSae7tfdC1dW_sy8YC3k, https://drive.google.com/open?id=1Kac9VQBt5YP-ca-CVVMojTsJa3Ezc46c</v>
      </c>
      <c r="O688" s="5">
        <f ca="1">IFERROR(__xludf.DUMMYFUNCTION("""COMPUTED_VALUE"""),4369022011)</f>
        <v>4369022011</v>
      </c>
      <c r="P688" s="5"/>
      <c r="Q688" s="5"/>
      <c r="R688" s="5"/>
      <c r="S688" s="5"/>
      <c r="T688" s="5"/>
    </row>
    <row r="689" spans="1:20" ht="12.75">
      <c r="A689" s="24">
        <f ca="1">IFERROR(__xludf.DUMMYFUNCTION("""COMPUTED_VALUE"""),45670.9564200115)</f>
        <v>45670.956420011498</v>
      </c>
      <c r="B689" s="5" t="str">
        <f ca="1">IFERROR(__xludf.DUMMYFUNCTION("""COMPUTED_VALUE"""),"724 N Ogden")</f>
        <v>724 N Ogden</v>
      </c>
      <c r="C689" s="5" t="str">
        <f ca="1">IFERROR(__xludf.DUMMYFUNCTION("""COMPUTED_VALUE"""),"Los Angeles")</f>
        <v>Los Angeles</v>
      </c>
      <c r="D689" s="5" t="str">
        <f ca="1">IFERROR(__xludf.DUMMYFUNCTION("""COMPUTED_VALUE"""),"CA")</f>
        <v>CA</v>
      </c>
      <c r="E689" s="5">
        <f ca="1">IFERROR(__xludf.DUMMYFUNCTION("""COMPUTED_VALUE"""),90046)</f>
        <v>90046</v>
      </c>
      <c r="F689" s="19">
        <f ca="1">IFERROR(__xludf.DUMMYFUNCTION("""COMPUTED_VALUE"""),16000)</f>
        <v>16000</v>
      </c>
      <c r="G689" s="19">
        <f ca="1">IFERROR(__xludf.DUMMYFUNCTION("""COMPUTED_VALUE"""),25000)</f>
        <v>25000</v>
      </c>
      <c r="H689" s="18">
        <f ca="1">IFERROR(__xludf.DUMMYFUNCTION("""COMPUTED_VALUE"""),45669)</f>
        <v>45669</v>
      </c>
      <c r="I689" s="5" t="str">
        <f ca="1">IFERROR(__xludf.DUMMYFUNCTION("""COMPUTED_VALUE"""),"Compass")</f>
        <v>Compass</v>
      </c>
      <c r="J689" s="25" t="str">
        <f ca="1">IFERROR(__xludf.DUMMYFUNCTION("""COMPUTED_VALUE"""),"https://www.compass.com/listing/724-north-ogden-drive-los-angeles-ca-90046/1751592460600119041/")</f>
        <v>https://www.compass.com/listing/724-north-ogden-drive-los-angeles-ca-90046/1751592460600119041/</v>
      </c>
      <c r="K689" s="5" t="str">
        <f ca="1">IFERROR(__xludf.DUMMYFUNCTION("""COMPUTED_VALUE"""),"Tyler Buck")</f>
        <v>Tyler Buck</v>
      </c>
      <c r="L689" s="5"/>
      <c r="M689" s="5" t="str">
        <f ca="1">IFERROR(__xludf.DUMMYFUNCTION("""COMPUTED_VALUE"""),"Sorry, I know this is a duplicate, but Compass has proof of the crazy rent price fluctuation")</f>
        <v>Sorry, I know this is a duplicate, but Compass has proof of the crazy rent price fluctuation</v>
      </c>
      <c r="N689" s="26" t="str">
        <f ca="1">IFERROR(__xludf.DUMMYFUNCTION("""COMPUTED_VALUE"""),"https://drive.google.com/open?id=1_ez8C291aYqmZcTMf_JGYE1prTN8De67")</f>
        <v>https://drive.google.com/open?id=1_ez8C291aYqmZcTMf_JGYE1prTN8De67</v>
      </c>
      <c r="O689" s="5" t="str">
        <f ca="1">IFERROR(__xludf.DUMMYFUNCTION("""COMPUTED_VALUE"""),"NA")</f>
        <v>NA</v>
      </c>
      <c r="P689" s="5" t="str">
        <f ca="1">IFERROR(__xludf.DUMMYFUNCTION("""COMPUTED_VALUE"""),"(310)-735-5458")</f>
        <v>(310)-735-5458</v>
      </c>
      <c r="Q689" s="5" t="str">
        <f ca="1">IFERROR(__xludf.DUMMYFUNCTION("""COMPUTED_VALUE"""),"tyler@wphenry.com")</f>
        <v>tyler@wphenry.com</v>
      </c>
      <c r="R689" s="5"/>
      <c r="S689" s="5"/>
      <c r="T689" s="5"/>
    </row>
    <row r="690" spans="1:20" ht="12.75">
      <c r="A690" s="24">
        <f ca="1">IFERROR(__xludf.DUMMYFUNCTION("""COMPUTED_VALUE"""),45670.9610865162)</f>
        <v>45670.961086516203</v>
      </c>
      <c r="B690" s="5" t="str">
        <f ca="1">IFERROR(__xludf.DUMMYFUNCTION("""COMPUTED_VALUE"""),"15326 Hesby St")</f>
        <v>15326 Hesby St</v>
      </c>
      <c r="C690" s="5" t="str">
        <f ca="1">IFERROR(__xludf.DUMMYFUNCTION("""COMPUTED_VALUE"""),"Sherman Oaks")</f>
        <v>Sherman Oaks</v>
      </c>
      <c r="D690" s="5" t="str">
        <f ca="1">IFERROR(__xludf.DUMMYFUNCTION("""COMPUTED_VALUE"""),"CA")</f>
        <v>CA</v>
      </c>
      <c r="E690" s="5">
        <f ca="1">IFERROR(__xludf.DUMMYFUNCTION("""COMPUTED_VALUE"""),91403)</f>
        <v>91403</v>
      </c>
      <c r="F690" s="19">
        <f ca="1">IFERROR(__xludf.DUMMYFUNCTION("""COMPUTED_VALUE"""),3300)</f>
        <v>3300</v>
      </c>
      <c r="G690" s="19">
        <f ca="1">IFERROR(__xludf.DUMMYFUNCTION("""COMPUTED_VALUE"""),6450)</f>
        <v>6450</v>
      </c>
      <c r="H690" s="18">
        <f ca="1">IFERROR(__xludf.DUMMYFUNCTION("""COMPUTED_VALUE"""),45667)</f>
        <v>45667</v>
      </c>
      <c r="I690" s="5" t="str">
        <f ca="1">IFERROR(__xludf.DUMMYFUNCTION("""COMPUTED_VALUE"""),"Zillow")</f>
        <v>Zillow</v>
      </c>
      <c r="J690" s="25" t="str">
        <f ca="1">IFERROR(__xludf.DUMMYFUNCTION("""COMPUTED_VALUE"""),"https://www.zillow.com/homedetails/15236-Hesby-St-Sherman-Oaks-CA-91403/19982151_zpid/")</f>
        <v>https://www.zillow.com/homedetails/15236-Hesby-St-Sherman-Oaks-CA-91403/19982151_zpid/</v>
      </c>
      <c r="K690" s="5"/>
      <c r="L690" s="5" t="str">
        <f ca="1">IFERROR(__xludf.DUMMYFUNCTION("""COMPUTED_VALUE"""),"Andrew")</f>
        <v>Andrew</v>
      </c>
      <c r="M690" s="5"/>
      <c r="N690" s="5" t="str">
        <f ca="1">IFERROR(__xludf.DUMMYFUNCTION("""COMPUTED_VALUE"""),"https://drive.google.com/open?id=1KqSpcW9BYYhSLCMFFx4co0aYH6c3ZcKp, https://drive.google.com/open?id=1VN8fdMUaOtukqmW3tVVFo7W3uRrUzJub, https://drive.google.com/open?id=1DtIdz35uQXJuOS_NHbXQWs7ybAR1upL2")</f>
        <v>https://drive.google.com/open?id=1KqSpcW9BYYhSLCMFFx4co0aYH6c3ZcKp, https://drive.google.com/open?id=1VN8fdMUaOtukqmW3tVVFo7W3uRrUzJub, https://drive.google.com/open?id=1DtIdz35uQXJuOS_NHbXQWs7ybAR1upL2</v>
      </c>
      <c r="O690" s="5">
        <f ca="1">IFERROR(__xludf.DUMMYFUNCTION("""COMPUTED_VALUE"""),2263016011)</f>
        <v>2263016011</v>
      </c>
      <c r="P690" s="5"/>
      <c r="Q690" s="5"/>
      <c r="R690" s="5">
        <f ca="1">IFERROR(__xludf.DUMMYFUNCTION("""COMPUTED_VALUE"""),2133776351)</f>
        <v>2133776351</v>
      </c>
      <c r="S690" s="5"/>
      <c r="T690" s="5"/>
    </row>
    <row r="691" spans="1:20" ht="12.75">
      <c r="A691" s="24">
        <f ca="1">IFERROR(__xludf.DUMMYFUNCTION("""COMPUTED_VALUE"""),45670.9649852083)</f>
        <v>45670.964985208302</v>
      </c>
      <c r="B691" s="5" t="str">
        <f ca="1">IFERROR(__xludf.DUMMYFUNCTION("""COMPUTED_VALUE"""),"3577 Thorndale Rd")</f>
        <v>3577 Thorndale Rd</v>
      </c>
      <c r="C691" s="5" t="str">
        <f ca="1">IFERROR(__xludf.DUMMYFUNCTION("""COMPUTED_VALUE"""),"Pasadena")</f>
        <v>Pasadena</v>
      </c>
      <c r="D691" s="5" t="str">
        <f ca="1">IFERROR(__xludf.DUMMYFUNCTION("""COMPUTED_VALUE"""),"CA")</f>
        <v>CA</v>
      </c>
      <c r="E691" s="5">
        <f ca="1">IFERROR(__xludf.DUMMYFUNCTION("""COMPUTED_VALUE"""),91107)</f>
        <v>91107</v>
      </c>
      <c r="F691" s="19">
        <f ca="1">IFERROR(__xludf.DUMMYFUNCTION("""COMPUTED_VALUE"""),4600)</f>
        <v>4600</v>
      </c>
      <c r="G691" s="19">
        <f ca="1">IFERROR(__xludf.DUMMYFUNCTION("""COMPUTED_VALUE"""),5500)</f>
        <v>5500</v>
      </c>
      <c r="H691" s="18">
        <f ca="1">IFERROR(__xludf.DUMMYFUNCTION("""COMPUTED_VALUE"""),45671)</f>
        <v>45671</v>
      </c>
      <c r="I691" s="5" t="str">
        <f ca="1">IFERROR(__xludf.DUMMYFUNCTION("""COMPUTED_VALUE"""),"Zillow")</f>
        <v>Zillow</v>
      </c>
      <c r="J691" s="25" t="str">
        <f ca="1">IFERROR(__xludf.DUMMYFUNCTION("""COMPUTED_VALUE"""),"https://www.zillow.com/homedetails/3577-Thorndale-Rd-Pasadena-CA-91107/20878791_zpid/")</f>
        <v>https://www.zillow.com/homedetails/3577-Thorndale-Rd-Pasadena-CA-91107/20878791_zpid/</v>
      </c>
      <c r="K691" s="5" t="str">
        <f ca="1">IFERROR(__xludf.DUMMYFUNCTION("""COMPUTED_VALUE"""),"Roy")</f>
        <v>Roy</v>
      </c>
      <c r="L691" s="5"/>
      <c r="M691" s="5"/>
      <c r="N691" s="26" t="str">
        <f ca="1">IFERROR(__xludf.DUMMYFUNCTION("""COMPUTED_VALUE"""),"https://drive.google.com/open?id=1yQJ6OPjAj6-bb_zaX9szw2ytwXzZbaV5")</f>
        <v>https://drive.google.com/open?id=1yQJ6OPjAj6-bb_zaX9szw2ytwXzZbaV5</v>
      </c>
      <c r="O691" s="5">
        <f ca="1">IFERROR(__xludf.DUMMYFUNCTION("""COMPUTED_VALUE"""),5754025023)</f>
        <v>5754025023</v>
      </c>
      <c r="P691" s="5">
        <f ca="1">IFERROR(__xludf.DUMMYFUNCTION("""COMPUTED_VALUE"""),5599045273)</f>
        <v>5599045273</v>
      </c>
      <c r="Q691" s="5"/>
      <c r="R691" s="5"/>
      <c r="S691" s="5"/>
      <c r="T691" s="5"/>
    </row>
    <row r="692" spans="1:20" ht="12.75">
      <c r="A692" s="24">
        <f ca="1">IFERROR(__xludf.DUMMYFUNCTION("""COMPUTED_VALUE"""),45670.9674173032)</f>
        <v>45670.967417303204</v>
      </c>
      <c r="B692" s="5" t="str">
        <f ca="1">IFERROR(__xludf.DUMMYFUNCTION("""COMPUTED_VALUE"""),"10023 Westwanda Drive")</f>
        <v>10023 Westwanda Drive</v>
      </c>
      <c r="C692" s="5" t="str">
        <f ca="1">IFERROR(__xludf.DUMMYFUNCTION("""COMPUTED_VALUE"""),"Beverly Hills")</f>
        <v>Beverly Hills</v>
      </c>
      <c r="D692" s="5" t="str">
        <f ca="1">IFERROR(__xludf.DUMMYFUNCTION("""COMPUTED_VALUE"""),"CA")</f>
        <v>CA</v>
      </c>
      <c r="E692" s="5">
        <f ca="1">IFERROR(__xludf.DUMMYFUNCTION("""COMPUTED_VALUE"""),90210)</f>
        <v>90210</v>
      </c>
      <c r="F692" s="19">
        <f ca="1">IFERROR(__xludf.DUMMYFUNCTION("""COMPUTED_VALUE"""),16950)</f>
        <v>16950</v>
      </c>
      <c r="G692" s="19">
        <f ca="1">IFERROR(__xludf.DUMMYFUNCTION("""COMPUTED_VALUE"""),19950)</f>
        <v>19950</v>
      </c>
      <c r="H692" s="18">
        <f ca="1">IFERROR(__xludf.DUMMYFUNCTION("""COMPUTED_VALUE"""),45665)</f>
        <v>45665</v>
      </c>
      <c r="I692" s="5" t="str">
        <f ca="1">IFERROR(__xludf.DUMMYFUNCTION("""COMPUTED_VALUE"""),"Zillow")</f>
        <v>Zillow</v>
      </c>
      <c r="J692" s="25" t="str">
        <f ca="1">IFERROR(__xludf.DUMMYFUNCTION("""COMPUTED_VALUE"""),"https://www.zillow.com/homedetails/10023-Westwanda-Dr-Beverly-Hills-CA-90210/20532837_zpid/")</f>
        <v>https://www.zillow.com/homedetails/10023-Westwanda-Dr-Beverly-Hills-CA-90210/20532837_zpid/</v>
      </c>
      <c r="K692" s="5" t="str">
        <f ca="1">IFERROR(__xludf.DUMMYFUNCTION("""COMPUTED_VALUE"""),"Corina Cane")</f>
        <v>Corina Cane</v>
      </c>
      <c r="L692" s="5"/>
      <c r="M692" s="5" t="str">
        <f ca="1">IFERROR(__xludf.DUMMYFUNCTION("""COMPUTED_VALUE"""),"Had listed on 12/19 as $16,950, changed listing to $19,950 on 1/8, then removed the listing on 1/12 and then reposted as $18,600")</f>
        <v>Had listed on 12/19 as $16,950, changed listing to $19,950 on 1/8, then removed the listing on 1/12 and then reposted as $18,600</v>
      </c>
      <c r="N692" s="5" t="str">
        <f ca="1">IFERROR(__xludf.DUMMYFUNCTION("""COMPUTED_VALUE"""),"https://drive.google.com/open?id=1FROjHtF7fVdgyyhIl7Gq7ZpR2aWesvxk, https://drive.google.com/open?id=12GXHae92Y6HB-8HRclo-4XPKyQ-g2zCV")</f>
        <v>https://drive.google.com/open?id=1FROjHtF7fVdgyyhIl7Gq7ZpR2aWesvxk, https://drive.google.com/open?id=12GXHae92Y6HB-8HRclo-4XPKyQ-g2zCV</v>
      </c>
      <c r="O692" s="5">
        <f ca="1">IFERROR(__xludf.DUMMYFUNCTION("""COMPUTED_VALUE"""),4383024020)</f>
        <v>4383024020</v>
      </c>
      <c r="P692" s="5">
        <f ca="1">IFERROR(__xludf.DUMMYFUNCTION("""COMPUTED_VALUE"""),2138551819)</f>
        <v>2138551819</v>
      </c>
      <c r="Q692" s="5"/>
      <c r="R692" s="5"/>
      <c r="S692" s="5"/>
      <c r="T692" s="5"/>
    </row>
    <row r="693" spans="1:20" ht="12.75">
      <c r="A693" s="24">
        <f ca="1">IFERROR(__xludf.DUMMYFUNCTION("""COMPUTED_VALUE"""),45670.969501875)</f>
        <v>45670.969501874999</v>
      </c>
      <c r="B693" s="5" t="str">
        <f ca="1">IFERROR(__xludf.DUMMYFUNCTION("""COMPUTED_VALUE"""),"10941 Cardamine Pl")</f>
        <v>10941 Cardamine Pl</v>
      </c>
      <c r="C693" s="5" t="str">
        <f ca="1">IFERROR(__xludf.DUMMYFUNCTION("""COMPUTED_VALUE"""),"Tujunga")</f>
        <v>Tujunga</v>
      </c>
      <c r="D693" s="5" t="str">
        <f ca="1">IFERROR(__xludf.DUMMYFUNCTION("""COMPUTED_VALUE"""),"Other")</f>
        <v>Other</v>
      </c>
      <c r="E693" s="5">
        <f ca="1">IFERROR(__xludf.DUMMYFUNCTION("""COMPUTED_VALUE"""),91042)</f>
        <v>91042</v>
      </c>
      <c r="F693" s="19">
        <f ca="1">IFERROR(__xludf.DUMMYFUNCTION("""COMPUTED_VALUE"""),2900)</f>
        <v>2900</v>
      </c>
      <c r="G693" s="19">
        <f ca="1">IFERROR(__xludf.DUMMYFUNCTION("""COMPUTED_VALUE"""),9900)</f>
        <v>9900</v>
      </c>
      <c r="H693" s="18">
        <f ca="1">IFERROR(__xludf.DUMMYFUNCTION("""COMPUTED_VALUE"""),45667)</f>
        <v>45667</v>
      </c>
      <c r="I693" s="5" t="str">
        <f ca="1">IFERROR(__xludf.DUMMYFUNCTION("""COMPUTED_VALUE"""),"Compass")</f>
        <v>Compass</v>
      </c>
      <c r="J693" s="25" t="str">
        <f ca="1">IFERROR(__xludf.DUMMYFUNCTION("""COMPUTED_VALUE"""),"https://www.compass.com/listing/10941-cardamine-place-tujunga-ca-91042/1751119937148160233/")</f>
        <v>https://www.compass.com/listing/10941-cardamine-place-tujunga-ca-91042/1751119937148160233/</v>
      </c>
      <c r="K693" s="5" t="str">
        <f ca="1">IFERROR(__xludf.DUMMYFUNCTION("""COMPUTED_VALUE"""),"Mike Henderson")</f>
        <v>Mike Henderson</v>
      </c>
      <c r="L693" s="5"/>
      <c r="M693" s="5"/>
      <c r="N693" s="26" t="str">
        <f ca="1">IFERROR(__xludf.DUMMYFUNCTION("""COMPUTED_VALUE"""),"https://drive.google.com/open?id=1PZPtxUcLDeL0bNq97Sb_OMWT5HY0Kxxj")</f>
        <v>https://drive.google.com/open?id=1PZPtxUcLDeL0bNq97Sb_OMWT5HY0Kxxj</v>
      </c>
      <c r="O693" s="5" t="str">
        <f ca="1">IFERROR(__xludf.DUMMYFUNCTION("""COMPUTED_VALUE"""),"NA")</f>
        <v>NA</v>
      </c>
      <c r="P693" s="5" t="str">
        <f ca="1">IFERROR(__xludf.DUMMYFUNCTION("""COMPUTED_VALUE"""),"(818)-307-5017")</f>
        <v>(818)-307-5017</v>
      </c>
      <c r="Q693" s="5" t="str">
        <f ca="1">IFERROR(__xludf.DUMMYFUNCTION("""COMPUTED_VALUE"""),"mike.henderson@compass.com")</f>
        <v>mike.henderson@compass.com</v>
      </c>
      <c r="R693" s="5"/>
      <c r="S693" s="5"/>
      <c r="T693" s="5"/>
    </row>
    <row r="694" spans="1:20" ht="12.75">
      <c r="A694" s="24">
        <f ca="1">IFERROR(__xludf.DUMMYFUNCTION("""COMPUTED_VALUE"""),45670.9698711111)</f>
        <v>45670.969871111098</v>
      </c>
      <c r="B694" s="5" t="str">
        <f ca="1">IFERROR(__xludf.DUMMYFUNCTION("""COMPUTED_VALUE"""),"705 Chaucer Rd")</f>
        <v>705 Chaucer Rd</v>
      </c>
      <c r="C694" s="5" t="str">
        <f ca="1">IFERROR(__xludf.DUMMYFUNCTION("""COMPUTED_VALUE"""),"San Marino")</f>
        <v>San Marino</v>
      </c>
      <c r="D694" s="5" t="str">
        <f ca="1">IFERROR(__xludf.DUMMYFUNCTION("""COMPUTED_VALUE"""),"CA")</f>
        <v>CA</v>
      </c>
      <c r="E694" s="5">
        <f ca="1">IFERROR(__xludf.DUMMYFUNCTION("""COMPUTED_VALUE"""),91108)</f>
        <v>91108</v>
      </c>
      <c r="F694" s="19">
        <f ca="1">IFERROR(__xludf.DUMMYFUNCTION("""COMPUTED_VALUE"""),10500)</f>
        <v>10500</v>
      </c>
      <c r="G694" s="19">
        <f ca="1">IFERROR(__xludf.DUMMYFUNCTION("""COMPUTED_VALUE"""),11900)</f>
        <v>11900</v>
      </c>
      <c r="H694" s="18">
        <f ca="1">IFERROR(__xludf.DUMMYFUNCTION("""COMPUTED_VALUE"""),45667)</f>
        <v>45667</v>
      </c>
      <c r="I694" s="5" t="str">
        <f ca="1">IFERROR(__xludf.DUMMYFUNCTION("""COMPUTED_VALUE"""),"Zillow")</f>
        <v>Zillow</v>
      </c>
      <c r="J694" s="25" t="str">
        <f ca="1">IFERROR(__xludf.DUMMYFUNCTION("""COMPUTED_VALUE"""),"https://www.zillow.com/homedetails/705-Chaucer-Rd-San-Marino-CA-91108/20701815_zpid/")</f>
        <v>https://www.zillow.com/homedetails/705-Chaucer-Rd-San-Marino-CA-91108/20701815_zpid/</v>
      </c>
      <c r="K694" s="5" t="str">
        <f ca="1">IFERROR(__xludf.DUMMYFUNCTION("""COMPUTED_VALUE"""),"Joshua Chao")</f>
        <v>Joshua Chao</v>
      </c>
      <c r="L694" s="5"/>
      <c r="M694" s="5" t="str">
        <f ca="1">IFERROR(__xludf.DUMMYFUNCTION("""COMPUTED_VALUE"""),"The house has been listed at $10,500 and unable to be rented for months. On 1/9/25, Chao increased the rental price to $13,980 and on 1/10/25, reduced it back to $11,900")</f>
        <v>The house has been listed at $10,500 and unable to be rented for months. On 1/9/25, Chao increased the rental price to $13,980 and on 1/10/25, reduced it back to $11,900</v>
      </c>
      <c r="N694" s="26" t="str">
        <f ca="1">IFERROR(__xludf.DUMMYFUNCTION("""COMPUTED_VALUE"""),"https://drive.google.com/open?id=1fR69U0LILn7PT08d9Ws2il_nw-jnu4ep")</f>
        <v>https://drive.google.com/open?id=1fR69U0LILn7PT08d9Ws2il_nw-jnu4ep</v>
      </c>
      <c r="O694" s="5">
        <f ca="1">IFERROR(__xludf.DUMMYFUNCTION("""COMPUTED_VALUE"""),5329016004)</f>
        <v>5329016004</v>
      </c>
      <c r="P694" s="5" t="str">
        <f ca="1">IFERROR(__xludf.DUMMYFUNCTION("""COMPUTED_VALUE"""),"626-405-8818")</f>
        <v>626-405-8818</v>
      </c>
      <c r="Q694" s="5" t="str">
        <f ca="1">IFERROR(__xludf.DUMMYFUNCTION("""COMPUTED_VALUE"""),"joshua@222save.com")</f>
        <v>joshua@222save.com</v>
      </c>
      <c r="R694" s="5"/>
      <c r="S694" s="5"/>
      <c r="T694" s="5"/>
    </row>
    <row r="695" spans="1:20" ht="12.75">
      <c r="A695" s="24">
        <f ca="1">IFERROR(__xludf.DUMMYFUNCTION("""COMPUTED_VALUE"""),45670.9710321064)</f>
        <v>45670.971032106398</v>
      </c>
      <c r="B695" s="5" t="str">
        <f ca="1">IFERROR(__xludf.DUMMYFUNCTION("""COMPUTED_VALUE"""),"10824 Chalon Road")</f>
        <v>10824 Chalon Road</v>
      </c>
      <c r="C695" s="5" t="str">
        <f ca="1">IFERROR(__xludf.DUMMYFUNCTION("""COMPUTED_VALUE"""),"Los Angeles")</f>
        <v>Los Angeles</v>
      </c>
      <c r="D695" s="5" t="str">
        <f ca="1">IFERROR(__xludf.DUMMYFUNCTION("""COMPUTED_VALUE"""),"CA")</f>
        <v>CA</v>
      </c>
      <c r="E695" s="5">
        <f ca="1">IFERROR(__xludf.DUMMYFUNCTION("""COMPUTED_VALUE"""),90077)</f>
        <v>90077</v>
      </c>
      <c r="F695" s="19">
        <f ca="1">IFERROR(__xludf.DUMMYFUNCTION("""COMPUTED_VALUE"""),78000)</f>
        <v>78000</v>
      </c>
      <c r="G695" s="19">
        <f ca="1">IFERROR(__xludf.DUMMYFUNCTION("""COMPUTED_VALUE"""),65000)</f>
        <v>65000</v>
      </c>
      <c r="H695" s="18">
        <f ca="1">IFERROR(__xludf.DUMMYFUNCTION("""COMPUTED_VALUE"""),45670)</f>
        <v>45670</v>
      </c>
      <c r="I695" s="5" t="str">
        <f ca="1">IFERROR(__xludf.DUMMYFUNCTION("""COMPUTED_VALUE"""),"Zillow")</f>
        <v>Zillow</v>
      </c>
      <c r="J695" s="25" t="str">
        <f ca="1">IFERROR(__xludf.DUMMYFUNCTION("""COMPUTED_VALUE"""),"https://www.zillow.com/homedetails/10824-Chalon-Rd-Los-Angeles-CA-90077/20529073_zpid/")</f>
        <v>https://www.zillow.com/homedetails/10824-Chalon-Rd-Los-Angeles-CA-90077/20529073_zpid/</v>
      </c>
      <c r="K695" s="5" t="str">
        <f ca="1">IFERROR(__xludf.DUMMYFUNCTION("""COMPUTED_VALUE"""),"Tara Kohan")</f>
        <v>Tara Kohan</v>
      </c>
      <c r="L695" s="5"/>
      <c r="M695" s="5" t="str">
        <f ca="1">IFERROR(__xludf.DUMMYFUNCTION("""COMPUTED_VALUE"""),"last listing on 9/12 was for $65,00 - posted on 1/13/2025 with $78,000")</f>
        <v>last listing on 9/12 was for $65,00 - posted on 1/13/2025 with $78,000</v>
      </c>
      <c r="N695" s="5" t="str">
        <f ca="1">IFERROR(__xludf.DUMMYFUNCTION("""COMPUTED_VALUE"""),"https://drive.google.com/open?id=1j_4JldQAeoC8GH0kl_jCGqSYwO999zPZ, https://drive.google.com/open?id=1SuBEP68i9ytWHn-muR5OgxQez8HnHyHS")</f>
        <v>https://drive.google.com/open?id=1j_4JldQAeoC8GH0kl_jCGqSYwO999zPZ, https://drive.google.com/open?id=1SuBEP68i9ytWHn-muR5OgxQez8HnHyHS</v>
      </c>
      <c r="O695" s="5">
        <f ca="1">IFERROR(__xludf.DUMMYFUNCTION("""COMPUTED_VALUE"""),4369022011)</f>
        <v>4369022011</v>
      </c>
      <c r="P695" s="5">
        <f ca="1">IFERROR(__xludf.DUMMYFUNCTION("""COMPUTED_VALUE"""),2134445617)</f>
        <v>2134445617</v>
      </c>
      <c r="Q695" s="5"/>
      <c r="R695" s="5"/>
      <c r="S695" s="5"/>
      <c r="T695" s="5"/>
    </row>
    <row r="696" spans="1:20" ht="12.75">
      <c r="A696" s="24">
        <f ca="1">IFERROR(__xludf.DUMMYFUNCTION("""COMPUTED_VALUE"""),45670.986333368)</f>
        <v>45670.986333367997</v>
      </c>
      <c r="B696" s="5" t="str">
        <f ca="1">IFERROR(__xludf.DUMMYFUNCTION("""COMPUTED_VALUE"""),"2075 Minoru Dr")</f>
        <v>2075 Minoru Dr</v>
      </c>
      <c r="C696" s="5" t="str">
        <f ca="1">IFERROR(__xludf.DUMMYFUNCTION("""COMPUTED_VALUE"""),"Altadena")</f>
        <v>Altadena</v>
      </c>
      <c r="D696" s="5" t="str">
        <f ca="1">IFERROR(__xludf.DUMMYFUNCTION("""COMPUTED_VALUE"""),"CA")</f>
        <v>CA</v>
      </c>
      <c r="E696" s="5">
        <f ca="1">IFERROR(__xludf.DUMMYFUNCTION("""COMPUTED_VALUE"""),91001)</f>
        <v>91001</v>
      </c>
      <c r="F696" s="19">
        <f ca="1">IFERROR(__xludf.DUMMYFUNCTION("""COMPUTED_VALUE"""),6800)</f>
        <v>6800</v>
      </c>
      <c r="G696" s="19">
        <f ca="1">IFERROR(__xludf.DUMMYFUNCTION("""COMPUTED_VALUE"""),7800)</f>
        <v>7800</v>
      </c>
      <c r="H696" s="18">
        <f ca="1">IFERROR(__xludf.DUMMYFUNCTION("""COMPUTED_VALUE"""),45666)</f>
        <v>45666</v>
      </c>
      <c r="I696" s="5" t="str">
        <f ca="1">IFERROR(__xludf.DUMMYFUNCTION("""COMPUTED_VALUE"""),"Zillow")</f>
        <v>Zillow</v>
      </c>
      <c r="J696" s="25" t="str">
        <f ca="1">IFERROR(__xludf.DUMMYFUNCTION("""COMPUTED_VALUE"""),"https://www.zillow.com/homedetails/2075-Minoru-Dr-Altadena-CA-91001/20922301_zpid/")</f>
        <v>https://www.zillow.com/homedetails/2075-Minoru-Dr-Altadena-CA-91001/20922301_zpid/</v>
      </c>
      <c r="K696" s="5" t="str">
        <f ca="1">IFERROR(__xludf.DUMMYFUNCTION("""COMPUTED_VALUE"""),"    Ben Gevdzhyan     Global Realty &amp; Mortgage    ")</f>
        <v xml:space="preserve">    Ben Gevdzhyan     Global Realty &amp; Mortgage    </v>
      </c>
      <c r="L696" s="5"/>
      <c r="M696" s="5"/>
      <c r="N696" s="26" t="str">
        <f ca="1">IFERROR(__xludf.DUMMYFUNCTION("""COMPUTED_VALUE"""),"https://drive.google.com/open?id=1d2LYCUAfhBeAkX6RSww3qVzXG1ISwSdK")</f>
        <v>https://drive.google.com/open?id=1d2LYCUAfhBeAkX6RSww3qVzXG1ISwSdK</v>
      </c>
      <c r="O696" s="5">
        <f ca="1">IFERROR(__xludf.DUMMYFUNCTION("""COMPUTED_VALUE"""),5854020013)</f>
        <v>5854020013</v>
      </c>
      <c r="P696" s="5" t="str">
        <f ca="1">IFERROR(__xludf.DUMMYFUNCTION("""COMPUTED_VALUE""")," (818) 968-2366")</f>
        <v xml:space="preserve"> (818) 968-2366</v>
      </c>
      <c r="Q696" s="5"/>
      <c r="R696" s="5"/>
      <c r="S696" s="5"/>
      <c r="T696" s="5"/>
    </row>
    <row r="697" spans="1:20" ht="12.75">
      <c r="A697" s="24">
        <f ca="1">IFERROR(__xludf.DUMMYFUNCTION("""COMPUTED_VALUE"""),45670.9917850347)</f>
        <v>45670.991785034697</v>
      </c>
      <c r="B697" s="5" t="str">
        <f ca="1">IFERROR(__xludf.DUMMYFUNCTION("""COMPUTED_VALUE"""),"5028 Willowcrest Ave")</f>
        <v>5028 Willowcrest Ave</v>
      </c>
      <c r="C697" s="5" t="str">
        <f ca="1">IFERROR(__xludf.DUMMYFUNCTION("""COMPUTED_VALUE"""),"North Hollywood")</f>
        <v>North Hollywood</v>
      </c>
      <c r="D697" s="5" t="str">
        <f ca="1">IFERROR(__xludf.DUMMYFUNCTION("""COMPUTED_VALUE"""),"CA")</f>
        <v>CA</v>
      </c>
      <c r="E697" s="5">
        <f ca="1">IFERROR(__xludf.DUMMYFUNCTION("""COMPUTED_VALUE"""),91601)</f>
        <v>91601</v>
      </c>
      <c r="F697" s="19">
        <f ca="1">IFERROR(__xludf.DUMMYFUNCTION("""COMPUTED_VALUE"""),8500)</f>
        <v>8500</v>
      </c>
      <c r="G697" s="19">
        <f ca="1">IFERROR(__xludf.DUMMYFUNCTION("""COMPUTED_VALUE"""),10500)</f>
        <v>10500</v>
      </c>
      <c r="H697" s="18">
        <f ca="1">IFERROR(__xludf.DUMMYFUNCTION("""COMPUTED_VALUE"""),45671)</f>
        <v>45671</v>
      </c>
      <c r="I697" s="5" t="str">
        <f ca="1">IFERROR(__xludf.DUMMYFUNCTION("""COMPUTED_VALUE"""),"Zillow")</f>
        <v>Zillow</v>
      </c>
      <c r="J697" s="25" t="str">
        <f ca="1">IFERROR(__xludf.DUMMYFUNCTION("""COMPUTED_VALUE"""),"https://www.zillow.com/homedetails/5028-Willowcrest-Ave-North-Hollywood-CA-91601/20041641_zpid/")</f>
        <v>https://www.zillow.com/homedetails/5028-Willowcrest-Ave-North-Hollywood-CA-91601/20041641_zpid/</v>
      </c>
      <c r="K697" s="5"/>
      <c r="L697" s="5" t="str">
        <f ca="1">IFERROR(__xludf.DUMMYFUNCTION("""COMPUTED_VALUE"""),"Charles A Nasri")</f>
        <v>Charles A Nasri</v>
      </c>
      <c r="M697" s="5"/>
      <c r="N697" s="26" t="str">
        <f ca="1">IFERROR(__xludf.DUMMYFUNCTION("""COMPUTED_VALUE"""),"https://drive.google.com/open?id=1ejOH9Jvg8TyZBFvoY2La_aBa7rHZr2VM")</f>
        <v>https://drive.google.com/open?id=1ejOH9Jvg8TyZBFvoY2La_aBa7rHZr2VM</v>
      </c>
      <c r="O697" s="5">
        <f ca="1">IFERROR(__xludf.DUMMYFUNCTION("""COMPUTED_VALUE"""),2419015007)</f>
        <v>2419015007</v>
      </c>
      <c r="P697" s="5"/>
      <c r="Q697" s="5"/>
      <c r="R697" s="5"/>
      <c r="S697" s="5"/>
      <c r="T697" s="5"/>
    </row>
    <row r="698" spans="1:20" ht="12.75">
      <c r="A698" s="24">
        <f ca="1">IFERROR(__xludf.DUMMYFUNCTION("""COMPUTED_VALUE"""),45670.995958912)</f>
        <v>45670.995958911997</v>
      </c>
      <c r="B698" s="5" t="str">
        <f ca="1">IFERROR(__xludf.DUMMYFUNCTION("""COMPUTED_VALUE"""),"1901 N Catalina St")</f>
        <v>1901 N Catalina St</v>
      </c>
      <c r="C698" s="5" t="str">
        <f ca="1">IFERROR(__xludf.DUMMYFUNCTION("""COMPUTED_VALUE"""),"Los Feliz")</f>
        <v>Los Feliz</v>
      </c>
      <c r="D698" s="5" t="str">
        <f ca="1">IFERROR(__xludf.DUMMYFUNCTION("""COMPUTED_VALUE"""),"CA")</f>
        <v>CA</v>
      </c>
      <c r="E698" s="5">
        <f ca="1">IFERROR(__xludf.DUMMYFUNCTION("""COMPUTED_VALUE"""),90027)</f>
        <v>90027</v>
      </c>
      <c r="F698" s="19">
        <f ca="1">IFERROR(__xludf.DUMMYFUNCTION("""COMPUTED_VALUE"""),8700)</f>
        <v>8700</v>
      </c>
      <c r="G698" s="19">
        <f ca="1">IFERROR(__xludf.DUMMYFUNCTION("""COMPUTED_VALUE"""),19500)</f>
        <v>19500</v>
      </c>
      <c r="H698" s="18">
        <f ca="1">IFERROR(__xludf.DUMMYFUNCTION("""COMPUTED_VALUE"""),45667)</f>
        <v>45667</v>
      </c>
      <c r="I698" s="5" t="str">
        <f ca="1">IFERROR(__xludf.DUMMYFUNCTION("""COMPUTED_VALUE"""),"Compass")</f>
        <v>Compass</v>
      </c>
      <c r="J698" s="25" t="str">
        <f ca="1">IFERROR(__xludf.DUMMYFUNCTION("""COMPUTED_VALUE"""),"https://www.compass.com/listing/1901-north-catalina-street-los-feliz-ca-90027/1750878495654124113/")</f>
        <v>https://www.compass.com/listing/1901-north-catalina-street-los-feliz-ca-90027/1750878495654124113/</v>
      </c>
      <c r="K698" s="5" t="str">
        <f ca="1">IFERROR(__xludf.DUMMYFUNCTION("""COMPUTED_VALUE"""),"Yiuchung Wong")</f>
        <v>Yiuchung Wong</v>
      </c>
      <c r="L698" s="5"/>
      <c r="M698" s="5" t="str">
        <f ca="1">IFERROR(__xludf.DUMMYFUNCTION("""COMPUTED_VALUE"""),"Sorry, I know this listing was already posted, but my screenshot shows the huge increase in rental prices that the Zillow listing does NOT show.")</f>
        <v>Sorry, I know this listing was already posted, but my screenshot shows the huge increase in rental prices that the Zillow listing does NOT show.</v>
      </c>
      <c r="N698" s="26" t="str">
        <f ca="1">IFERROR(__xludf.DUMMYFUNCTION("""COMPUTED_VALUE"""),"https://drive.google.com/open?id=1XrETyAOwvqr4xtbn7Y_83MPLBIOiI4mi")</f>
        <v>https://drive.google.com/open?id=1XrETyAOwvqr4xtbn7Y_83MPLBIOiI4mi</v>
      </c>
      <c r="O698" s="5" t="str">
        <f ca="1">IFERROR(__xludf.DUMMYFUNCTION("""COMPUTED_VALUE"""),"NA")</f>
        <v>NA</v>
      </c>
      <c r="P698" s="5" t="str">
        <f ca="1">IFERROR(__xludf.DUMMYFUNCTION("""COMPUTED_VALUE"""),"(858)-220-6155")</f>
        <v>(858)-220-6155</v>
      </c>
      <c r="Q698" s="5" t="str">
        <f ca="1">IFERROR(__xludf.DUMMYFUNCTION("""COMPUTED_VALUE"""),"Grasslandestate@gmail.com")</f>
        <v>Grasslandestate@gmail.com</v>
      </c>
      <c r="R698" s="5"/>
      <c r="S698" s="5"/>
      <c r="T698" s="5"/>
    </row>
    <row r="699" spans="1:20" ht="12.75">
      <c r="A699" s="24">
        <f ca="1">IFERROR(__xludf.DUMMYFUNCTION("""COMPUTED_VALUE"""),45670.9978901273)</f>
        <v>45670.997890127299</v>
      </c>
      <c r="B699" s="5" t="str">
        <f ca="1">IFERROR(__xludf.DUMMYFUNCTION("""COMPUTED_VALUE"""),"1235 Highland Oaks Dr")</f>
        <v>1235 Highland Oaks Dr</v>
      </c>
      <c r="C699" s="5" t="str">
        <f ca="1">IFERROR(__xludf.DUMMYFUNCTION("""COMPUTED_VALUE"""),"Arcadia")</f>
        <v>Arcadia</v>
      </c>
      <c r="D699" s="5" t="str">
        <f ca="1">IFERROR(__xludf.DUMMYFUNCTION("""COMPUTED_VALUE"""),"CA")</f>
        <v>CA</v>
      </c>
      <c r="E699" s="5">
        <f ca="1">IFERROR(__xludf.DUMMYFUNCTION("""COMPUTED_VALUE"""),91006)</f>
        <v>91006</v>
      </c>
      <c r="F699" s="19">
        <f ca="1">IFERROR(__xludf.DUMMYFUNCTION("""COMPUTED_VALUE"""),5495)</f>
        <v>5495</v>
      </c>
      <c r="G699" s="19">
        <f ca="1">IFERROR(__xludf.DUMMYFUNCTION("""COMPUTED_VALUE"""),6250)</f>
        <v>6250</v>
      </c>
      <c r="H699" s="18">
        <f ca="1">IFERROR(__xludf.DUMMYFUNCTION("""COMPUTED_VALUE"""),45667)</f>
        <v>45667</v>
      </c>
      <c r="I699" s="5" t="str">
        <f ca="1">IFERROR(__xludf.DUMMYFUNCTION("""COMPUTED_VALUE"""),"Zillow")</f>
        <v>Zillow</v>
      </c>
      <c r="J699" s="25" t="str">
        <f ca="1">IFERROR(__xludf.DUMMYFUNCTION("""COMPUTED_VALUE"""),"https://www.zillow.com/homedetails/1235-Highland-Oaks-Dr-Arcadia-CA-91006/20887520_zpid/")</f>
        <v>https://www.zillow.com/homedetails/1235-Highland-Oaks-Dr-Arcadia-CA-91006/20887520_zpid/</v>
      </c>
      <c r="K699" s="5" t="str">
        <f ca="1">IFERROR(__xludf.DUMMYFUNCTION("""COMPUTED_VALUE"""),"Sam Lee")</f>
        <v>Sam Lee</v>
      </c>
      <c r="L699" s="5"/>
      <c r="M699" s="5"/>
      <c r="N699" s="5" t="str">
        <f ca="1">IFERROR(__xludf.DUMMYFUNCTION("""COMPUTED_VALUE"""),"https://drive.google.com/open?id=1Nz3OKh8nZxdy7FidKB_8t5zxKwEJMhiv, https://drive.google.com/open?id=1jwvj_3q-FQwmRMHuYr6ldu21r0wsNrte")</f>
        <v>https://drive.google.com/open?id=1Nz3OKh8nZxdy7FidKB_8t5zxKwEJMhiv, https://drive.google.com/open?id=1jwvj_3q-FQwmRMHuYr6ldu21r0wsNrte</v>
      </c>
      <c r="O699" s="5">
        <f ca="1">IFERROR(__xludf.DUMMYFUNCTION("""COMPUTED_VALUE"""),5771018012)</f>
        <v>5771018012</v>
      </c>
      <c r="P699" s="5" t="str">
        <f ca="1">IFERROR(__xludf.DUMMYFUNCTION("""COMPUTED_VALUE"""),"626-772-6245")</f>
        <v>626-772-6245</v>
      </c>
      <c r="Q699" s="5"/>
      <c r="R699" s="5"/>
      <c r="S699" s="5"/>
      <c r="T699" s="5"/>
    </row>
    <row r="700" spans="1:20" ht="12.75">
      <c r="A700" s="24">
        <f ca="1">IFERROR(__xludf.DUMMYFUNCTION("""COMPUTED_VALUE"""),45670.9983847222)</f>
        <v>45670.998384722203</v>
      </c>
      <c r="B700" s="5" t="str">
        <f ca="1">IFERROR(__xludf.DUMMYFUNCTION("""COMPUTED_VALUE"""),"15333 Lemay St.")</f>
        <v>15333 Lemay St.</v>
      </c>
      <c r="C700" s="5" t="str">
        <f ca="1">IFERROR(__xludf.DUMMYFUNCTION("""COMPUTED_VALUE"""),"Van Nuys")</f>
        <v>Van Nuys</v>
      </c>
      <c r="D700" s="5" t="str">
        <f ca="1">IFERROR(__xludf.DUMMYFUNCTION("""COMPUTED_VALUE"""),"CA")</f>
        <v>CA</v>
      </c>
      <c r="E700" s="5">
        <f ca="1">IFERROR(__xludf.DUMMYFUNCTION("""COMPUTED_VALUE"""),91406)</f>
        <v>91406</v>
      </c>
      <c r="F700" s="19">
        <f ca="1">IFERROR(__xludf.DUMMYFUNCTION("""COMPUTED_VALUE"""),8000)</f>
        <v>8000</v>
      </c>
      <c r="G700" s="19">
        <f ca="1">IFERROR(__xludf.DUMMYFUNCTION("""COMPUTED_VALUE"""),12800)</f>
        <v>12800</v>
      </c>
      <c r="H700" s="18">
        <f ca="1">IFERROR(__xludf.DUMMYFUNCTION("""COMPUTED_VALUE"""),45667)</f>
        <v>45667</v>
      </c>
      <c r="I700" s="5" t="str">
        <f ca="1">IFERROR(__xludf.DUMMYFUNCTION("""COMPUTED_VALUE"""),"Redfin")</f>
        <v>Redfin</v>
      </c>
      <c r="J700" s="25" t="str">
        <f ca="1">IFERROR(__xludf.DUMMYFUNCTION("""COMPUTED_VALUE"""),"https://www.redfin.com/CA/Van-Nuys/15333-Lemay-St-91406/home/4593658")</f>
        <v>https://www.redfin.com/CA/Van-Nuys/15333-Lemay-St-91406/home/4593658</v>
      </c>
      <c r="K700" s="26" t="str">
        <f ca="1">IFERROR(__xludf.DUMMYFUNCTION("""COMPUTED_VALUE"""),"showmojo.com/lrt/9aaab72095")</f>
        <v>showmojo.com/lrt/9aaab72095</v>
      </c>
      <c r="L700" s="5"/>
      <c r="M700" s="5"/>
      <c r="N700" s="26" t="str">
        <f ca="1">IFERROR(__xludf.DUMMYFUNCTION("""COMPUTED_VALUE"""),"https://drive.google.com/open?id=1eo-BlXbxzZOEVKX1nrlaIwxqef2n3cRY")</f>
        <v>https://drive.google.com/open?id=1eo-BlXbxzZOEVKX1nrlaIwxqef2n3cRY</v>
      </c>
      <c r="O700" s="5" t="str">
        <f ca="1">IFERROR(__xludf.DUMMYFUNCTION("""COMPUTED_VALUE"""),"CRMLS #OC24253930")</f>
        <v>CRMLS #OC24253930</v>
      </c>
      <c r="P700" s="5" t="str">
        <f ca="1">IFERROR(__xludf.DUMMYFUNCTION("""COMPUTED_VALUE"""),"+19496494946")</f>
        <v>+19496494946</v>
      </c>
      <c r="Q700" s="5"/>
      <c r="R700" s="5"/>
      <c r="S700" s="5"/>
      <c r="T700" s="5"/>
    </row>
    <row r="701" spans="1:20" ht="12.75">
      <c r="A701" s="24">
        <f ca="1">IFERROR(__xludf.DUMMYFUNCTION("""COMPUTED_VALUE"""),45670.9991797569)</f>
        <v>45670.999179756902</v>
      </c>
      <c r="B701" s="5" t="str">
        <f ca="1">IFERROR(__xludf.DUMMYFUNCTION("""COMPUTED_VALUE"""),"12354 Tiara St")</f>
        <v>12354 Tiara St</v>
      </c>
      <c r="C701" s="5" t="str">
        <f ca="1">IFERROR(__xludf.DUMMYFUNCTION("""COMPUTED_VALUE"""),"Valley Village")</f>
        <v>Valley Village</v>
      </c>
      <c r="D701" s="5" t="str">
        <f ca="1">IFERROR(__xludf.DUMMYFUNCTION("""COMPUTED_VALUE"""),"CA")</f>
        <v>CA</v>
      </c>
      <c r="E701" s="5">
        <f ca="1">IFERROR(__xludf.DUMMYFUNCTION("""COMPUTED_VALUE"""),91607)</f>
        <v>91607</v>
      </c>
      <c r="F701" s="19">
        <f ca="1">IFERROR(__xludf.DUMMYFUNCTION("""COMPUTED_VALUE"""),15900)</f>
        <v>15900</v>
      </c>
      <c r="G701" s="19">
        <f ca="1">IFERROR(__xludf.DUMMYFUNCTION("""COMPUTED_VALUE"""),17200)</f>
        <v>17200</v>
      </c>
      <c r="H701" s="18">
        <f ca="1">IFERROR(__xludf.DUMMYFUNCTION("""COMPUTED_VALUE"""),45670)</f>
        <v>45670</v>
      </c>
      <c r="I701" s="5" t="str">
        <f ca="1">IFERROR(__xludf.DUMMYFUNCTION("""COMPUTED_VALUE"""),"Zillow")</f>
        <v>Zillow</v>
      </c>
      <c r="J701" s="25" t="str">
        <f ca="1">IFERROR(__xludf.DUMMYFUNCTION("""COMPUTED_VALUE"""),"https://www.zillow.com/homedetails/12354-Tiara-St-Valley-Village-CA-91607/20013214_zpid/")</f>
        <v>https://www.zillow.com/homedetails/12354-Tiara-St-Valley-Village-CA-91607/20013214_zpid/</v>
      </c>
      <c r="K701" s="5"/>
      <c r="L701" s="5" t="str">
        <f ca="1">IFERROR(__xludf.DUMMYFUNCTION("""COMPUTED_VALUE"""),"LVVR LLC Noelle L.")</f>
        <v>LVVR LLC Noelle L.</v>
      </c>
      <c r="M701" s="5" t="str">
        <f ca="1">IFERROR(__xludf.DUMMYFUNCTION("""COMPUTED_VALUE"""),"Listed at $15,900/mo on Jan 6, 2025 - Increased to $18,500 on Jan 10, 2025 - Decreased to $17,200 on Jan 13, 2025")</f>
        <v>Listed at $15,900/mo on Jan 6, 2025 - Increased to $18,500 on Jan 10, 2025 - Decreased to $17,200 on Jan 13, 2025</v>
      </c>
      <c r="N701" s="5" t="str">
        <f ca="1">IFERROR(__xludf.DUMMYFUNCTION("""COMPUTED_VALUE"""),"https://drive.google.com/open?id=1TXBKqNMRs0d7hBqA2RquDOhntLpGIcLd, https://drive.google.com/open?id=1NUxMEzZrnxNnYv-CHmy42JTN6E0ZJsAF, https://drive.google.com/open?id=1KB84qvKfQyc5vZnR2iD1d_tMAA_MWBMR, https://drive.google.com/open?id=1vZxf1u79gbQUPV2to"&amp;"ZSDlWMRotPXF98r")</f>
        <v>https://drive.google.com/open?id=1TXBKqNMRs0d7hBqA2RquDOhntLpGIcLd, https://drive.google.com/open?id=1NUxMEzZrnxNnYv-CHmy42JTN6E0ZJsAF, https://drive.google.com/open?id=1KB84qvKfQyc5vZnR2iD1d_tMAA_MWBMR, https://drive.google.com/open?id=1vZxf1u79gbQUPV2toZSDlWMRotPXF98r</v>
      </c>
      <c r="O701" s="5" t="str">
        <f ca="1">IFERROR(__xludf.DUMMYFUNCTION("""COMPUTED_VALUE"""),"NA")</f>
        <v>NA</v>
      </c>
      <c r="P701" s="5" t="str">
        <f ca="1">IFERROR(__xludf.DUMMYFUNCTION("""COMPUTED_VALUE"""),"N/A")</f>
        <v>N/A</v>
      </c>
      <c r="Q701" s="5"/>
      <c r="R701" s="5" t="str">
        <f ca="1">IFERROR(__xludf.DUMMYFUNCTION("""COMPUTED_VALUE"""),"(213) 772-4190")</f>
        <v>(213) 772-4190</v>
      </c>
      <c r="S701" s="5"/>
      <c r="T701" s="5"/>
    </row>
    <row r="702" spans="1:20" ht="12.75">
      <c r="A702" s="24">
        <f ca="1">IFERROR(__xludf.DUMMYFUNCTION("""COMPUTED_VALUE"""),45671.0021592129)</f>
        <v>45671.002159212898</v>
      </c>
      <c r="B702" s="5" t="str">
        <f ca="1">IFERROR(__xludf.DUMMYFUNCTION("""COMPUTED_VALUE"""),"420 S Sunset Canyon Dr")</f>
        <v>420 S Sunset Canyon Dr</v>
      </c>
      <c r="C702" s="5" t="str">
        <f ca="1">IFERROR(__xludf.DUMMYFUNCTION("""COMPUTED_VALUE"""),"Burbank")</f>
        <v>Burbank</v>
      </c>
      <c r="D702" s="5" t="str">
        <f ca="1">IFERROR(__xludf.DUMMYFUNCTION("""COMPUTED_VALUE"""),"CA")</f>
        <v>CA</v>
      </c>
      <c r="E702" s="5">
        <f ca="1">IFERROR(__xludf.DUMMYFUNCTION("""COMPUTED_VALUE"""),91501)</f>
        <v>91501</v>
      </c>
      <c r="F702" s="19">
        <f ca="1">IFERROR(__xludf.DUMMYFUNCTION("""COMPUTED_VALUE"""),7000)</f>
        <v>7000</v>
      </c>
      <c r="G702" s="19">
        <f ca="1">IFERROR(__xludf.DUMMYFUNCTION("""COMPUTED_VALUE"""),13800)</f>
        <v>13800</v>
      </c>
      <c r="H702" s="18">
        <f ca="1">IFERROR(__xludf.DUMMYFUNCTION("""COMPUTED_VALUE"""),45670)</f>
        <v>45670</v>
      </c>
      <c r="I702" s="5" t="str">
        <f ca="1">IFERROR(__xludf.DUMMYFUNCTION("""COMPUTED_VALUE"""),"Zillow")</f>
        <v>Zillow</v>
      </c>
      <c r="J702" s="25" t="str">
        <f ca="1">IFERROR(__xludf.DUMMYFUNCTION("""COMPUTED_VALUE"""),"https://www.zillow.com/homedetails/420-S-Sunset-Canyon-Dr-Burbank-CA-91501/20816835_zpid/")</f>
        <v>https://www.zillow.com/homedetails/420-S-Sunset-Canyon-Dr-Burbank-CA-91501/20816835_zpid/</v>
      </c>
      <c r="K702" s="5"/>
      <c r="L702" s="5"/>
      <c r="M702" s="5"/>
      <c r="N702" s="26" t="str">
        <f ca="1">IFERROR(__xludf.DUMMYFUNCTION("""COMPUTED_VALUE"""),"https://drive.google.com/open?id=1pTdXjVUN4bITSyjCSQ4Ow5pwWoOE8mdo")</f>
        <v>https://drive.google.com/open?id=1pTdXjVUN4bITSyjCSQ4Ow5pwWoOE8mdo</v>
      </c>
      <c r="O702" s="5" t="str">
        <f ca="1">IFERROR(__xludf.DUMMYFUNCTION("""COMPUTED_VALUE"""),"na")</f>
        <v>na</v>
      </c>
      <c r="P702" s="5"/>
      <c r="Q702" s="5"/>
      <c r="R702" s="5"/>
      <c r="S702" s="5"/>
      <c r="T702" s="5"/>
    </row>
    <row r="703" spans="1:20" ht="12.75">
      <c r="A703" s="24">
        <f ca="1">IFERROR(__xludf.DUMMYFUNCTION("""COMPUTED_VALUE"""),45671.0032068981)</f>
        <v>45671.003206898102</v>
      </c>
      <c r="B703" s="5" t="str">
        <f ca="1">IFERROR(__xludf.DUMMYFUNCTION("""COMPUTED_VALUE"""),"4968 Reforma Rd")</f>
        <v>4968 Reforma Rd</v>
      </c>
      <c r="C703" s="5" t="str">
        <f ca="1">IFERROR(__xludf.DUMMYFUNCTION("""COMPUTED_VALUE"""),"Woodland Hills")</f>
        <v>Woodland Hills</v>
      </c>
      <c r="D703" s="5" t="str">
        <f ca="1">IFERROR(__xludf.DUMMYFUNCTION("""COMPUTED_VALUE"""),"CA")</f>
        <v>CA</v>
      </c>
      <c r="E703" s="5">
        <f ca="1">IFERROR(__xludf.DUMMYFUNCTION("""COMPUTED_VALUE"""),91364)</f>
        <v>91364</v>
      </c>
      <c r="F703" s="19">
        <f ca="1">IFERROR(__xludf.DUMMYFUNCTION("""COMPUTED_VALUE"""),9995)</f>
        <v>9995</v>
      </c>
      <c r="G703" s="19">
        <f ca="1">IFERROR(__xludf.DUMMYFUNCTION("""COMPUTED_VALUE"""),11000)</f>
        <v>11000</v>
      </c>
      <c r="H703" s="18">
        <f ca="1">IFERROR(__xludf.DUMMYFUNCTION("""COMPUTED_VALUE"""),45671)</f>
        <v>45671</v>
      </c>
      <c r="I703" s="5" t="str">
        <f ca="1">IFERROR(__xludf.DUMMYFUNCTION("""COMPUTED_VALUE"""),"Zillow")</f>
        <v>Zillow</v>
      </c>
      <c r="J703" s="25" t="str">
        <f ca="1">IFERROR(__xludf.DUMMYFUNCTION("""COMPUTED_VALUE"""),"https://www.zillow.com/homedetails/4968-Reforma-Rd-Woodland-Hills-CA-91364/19899784_zpid/")</f>
        <v>https://www.zillow.com/homedetails/4968-Reforma-Rd-Woodland-Hills-CA-91364/19899784_zpid/</v>
      </c>
      <c r="K703" s="5"/>
      <c r="L703" s="5" t="str">
        <f ca="1">IFERROR(__xludf.DUMMYFUNCTION("""COMPUTED_VALUE"""),"Bobby S ")</f>
        <v xml:space="preserve">Bobby S </v>
      </c>
      <c r="M703" s="5"/>
      <c r="N703" s="5" t="str">
        <f ca="1">IFERROR(__xludf.DUMMYFUNCTION("""COMPUTED_VALUE"""),"https://drive.google.com/open?id=1urLM--wdyJJNCzaxd2qaZg9ijqaHLyn1, https://drive.google.com/open?id=1VAol_d5FDmulhACb-HsmIYe53i7S2Lny")</f>
        <v>https://drive.google.com/open?id=1urLM--wdyJJNCzaxd2qaZg9ijqaHLyn1, https://drive.google.com/open?id=1VAol_d5FDmulhACb-HsmIYe53i7S2Lny</v>
      </c>
      <c r="O703" s="5">
        <f ca="1">IFERROR(__xludf.DUMMYFUNCTION("""COMPUTED_VALUE"""),2075024016)</f>
        <v>2075024016</v>
      </c>
      <c r="P703" s="5"/>
      <c r="Q703" s="5"/>
      <c r="R703" s="5" t="str">
        <f ca="1">IFERROR(__xludf.DUMMYFUNCTION("""COMPUTED_VALUE"""),"(310) 488-4457")</f>
        <v>(310) 488-4457</v>
      </c>
      <c r="S703" s="5"/>
      <c r="T703" s="5"/>
    </row>
    <row r="704" spans="1:20" ht="12.75">
      <c r="A704" s="24">
        <f ca="1">IFERROR(__xludf.DUMMYFUNCTION("""COMPUTED_VALUE"""),45671.0046756828)</f>
        <v>45671.004675682801</v>
      </c>
      <c r="B704" s="5" t="str">
        <f ca="1">IFERROR(__xludf.DUMMYFUNCTION("""COMPUTED_VALUE"""),"20955 Marmora St")</f>
        <v>20955 Marmora St</v>
      </c>
      <c r="C704" s="5" t="str">
        <f ca="1">IFERROR(__xludf.DUMMYFUNCTION("""COMPUTED_VALUE"""),"Woodland Hills")</f>
        <v>Woodland Hills</v>
      </c>
      <c r="D704" s="5" t="str">
        <f ca="1">IFERROR(__xludf.DUMMYFUNCTION("""COMPUTED_VALUE"""),"CA")</f>
        <v>CA</v>
      </c>
      <c r="E704" s="5">
        <f ca="1">IFERROR(__xludf.DUMMYFUNCTION("""COMPUTED_VALUE"""),91364)</f>
        <v>91364</v>
      </c>
      <c r="F704" s="19">
        <f ca="1">IFERROR(__xludf.DUMMYFUNCTION("""COMPUTED_VALUE"""),5500)</f>
        <v>5500</v>
      </c>
      <c r="G704" s="19">
        <f ca="1">IFERROR(__xludf.DUMMYFUNCTION("""COMPUTED_VALUE"""),8500)</f>
        <v>8500</v>
      </c>
      <c r="H704" s="18">
        <f ca="1">IFERROR(__xludf.DUMMYFUNCTION("""COMPUTED_VALUE"""),45666)</f>
        <v>45666</v>
      </c>
      <c r="I704" s="5" t="str">
        <f ca="1">IFERROR(__xludf.DUMMYFUNCTION("""COMPUTED_VALUE"""),"Zillow")</f>
        <v>Zillow</v>
      </c>
      <c r="J704" s="25" t="str">
        <f ca="1">IFERROR(__xludf.DUMMYFUNCTION("""COMPUTED_VALUE"""),"https://www.zillow.com/homedetails/20955-Marmora-St-Woodland-Hills-CA-91364/19945090_zpid/")</f>
        <v>https://www.zillow.com/homedetails/20955-Marmora-St-Woodland-Hills-CA-91364/19945090_zpid/</v>
      </c>
      <c r="K704" s="5"/>
      <c r="L704" s="5" t="str">
        <f ca="1">IFERROR(__xludf.DUMMYFUNCTION("""COMPUTED_VALUE"""),"Ilanit Coifman")</f>
        <v>Ilanit Coifman</v>
      </c>
      <c r="M704" s="5"/>
      <c r="N704" s="26" t="str">
        <f ca="1">IFERROR(__xludf.DUMMYFUNCTION("""COMPUTED_VALUE"""),"https://drive.google.com/open?id=16p1uvAhHoD7qzCE5hi_S0L92l19PypZo")</f>
        <v>https://drive.google.com/open?id=16p1uvAhHoD7qzCE5hi_S0L92l19PypZo</v>
      </c>
      <c r="O704" s="5">
        <f ca="1">IFERROR(__xludf.DUMMYFUNCTION("""COMPUTED_VALUE"""),2172021064)</f>
        <v>2172021064</v>
      </c>
      <c r="P704" s="5"/>
      <c r="Q704" s="5"/>
      <c r="R704" s="5">
        <f ca="1">IFERROR(__xludf.DUMMYFUNCTION("""COMPUTED_VALUE"""),4243357429)</f>
        <v>4243357429</v>
      </c>
      <c r="S704" s="5"/>
      <c r="T704" s="5"/>
    </row>
    <row r="705" spans="1:20" ht="12.75">
      <c r="A705" s="24">
        <f ca="1">IFERROR(__xludf.DUMMYFUNCTION("""COMPUTED_VALUE"""),45671.0067700694)</f>
        <v>45671.006770069398</v>
      </c>
      <c r="B705" s="5" t="str">
        <f ca="1">IFERROR(__xludf.DUMMYFUNCTION("""COMPUTED_VALUE"""),"15335 Lemay St")</f>
        <v>15335 Lemay St</v>
      </c>
      <c r="C705" s="5" t="str">
        <f ca="1">IFERROR(__xludf.DUMMYFUNCTION("""COMPUTED_VALUE"""),"Lake Balboa")</f>
        <v>Lake Balboa</v>
      </c>
      <c r="D705" s="5" t="str">
        <f ca="1">IFERROR(__xludf.DUMMYFUNCTION("""COMPUTED_VALUE"""),"CA")</f>
        <v>CA</v>
      </c>
      <c r="E705" s="5">
        <f ca="1">IFERROR(__xludf.DUMMYFUNCTION("""COMPUTED_VALUE"""),91406)</f>
        <v>91406</v>
      </c>
      <c r="F705" s="19">
        <f ca="1">IFERROR(__xludf.DUMMYFUNCTION("""COMPUTED_VALUE"""),6000)</f>
        <v>6000</v>
      </c>
      <c r="G705" s="19">
        <f ca="1">IFERROR(__xludf.DUMMYFUNCTION("""COMPUTED_VALUE"""),9600)</f>
        <v>9600</v>
      </c>
      <c r="H705" s="18">
        <f ca="1">IFERROR(__xludf.DUMMYFUNCTION("""COMPUTED_VALUE"""),45667)</f>
        <v>45667</v>
      </c>
      <c r="I705" s="5" t="str">
        <f ca="1">IFERROR(__xludf.DUMMYFUNCTION("""COMPUTED_VALUE"""),"Redfin")</f>
        <v>Redfin</v>
      </c>
      <c r="J705" s="25" t="str">
        <f ca="1">IFERROR(__xludf.DUMMYFUNCTION("""COMPUTED_VALUE"""),"https://www.redfin.com/CA/Lake-Balboa/15335-Lemay-St-91406/home/193499975")</f>
        <v>https://www.redfin.com/CA/Lake-Balboa/15335-Lemay-St-91406/home/193499975</v>
      </c>
      <c r="K705" s="5"/>
      <c r="L705" s="5"/>
      <c r="M705" s="5" t="str">
        <f ca="1">IFERROR(__xludf.DUMMYFUNCTION("""COMPUTED_VALUE"""),"changed price back after gouging attempt")</f>
        <v>changed price back after gouging attempt</v>
      </c>
      <c r="N705" s="26" t="str">
        <f ca="1">IFERROR(__xludf.DUMMYFUNCTION("""COMPUTED_VALUE"""),"https://drive.google.com/open?id=1jlIVoKWblIZksBBQH0sSJQj-2J96e6ym")</f>
        <v>https://drive.google.com/open?id=1jlIVoKWblIZksBBQH0sSJQj-2J96e6ym</v>
      </c>
      <c r="O705" s="5" t="str">
        <f ca="1">IFERROR(__xludf.DUMMYFUNCTION("""COMPUTED_VALUE"""),"CRMLS #OC24253933")</f>
        <v>CRMLS #OC24253933</v>
      </c>
      <c r="P705" s="5" t="str">
        <f ca="1">IFERROR(__xludf.DUMMYFUNCTION("""COMPUTED_VALUE"""),"+19496494946")</f>
        <v>+19496494946</v>
      </c>
      <c r="Q705" s="5"/>
      <c r="R705" s="5"/>
      <c r="S705" s="5"/>
      <c r="T705" s="5"/>
    </row>
    <row r="706" spans="1:20" ht="12.75">
      <c r="A706" s="24">
        <f ca="1">IFERROR(__xludf.DUMMYFUNCTION("""COMPUTED_VALUE"""),45671.0083284606)</f>
        <v>45671.008328460601</v>
      </c>
      <c r="B706" s="5" t="str">
        <f ca="1">IFERROR(__xludf.DUMMYFUNCTION("""COMPUTED_VALUE"""),"NA")</f>
        <v>NA</v>
      </c>
      <c r="C706" s="5" t="str">
        <f ca="1">IFERROR(__xludf.DUMMYFUNCTION("""COMPUTED_VALUE"""),"Los Angeles")</f>
        <v>Los Angeles</v>
      </c>
      <c r="D706" s="5" t="str">
        <f ca="1">IFERROR(__xludf.DUMMYFUNCTION("""COMPUTED_VALUE"""),"CA")</f>
        <v>CA</v>
      </c>
      <c r="E706" s="5">
        <f ca="1">IFERROR(__xludf.DUMMYFUNCTION("""COMPUTED_VALUE"""),90068)</f>
        <v>90068</v>
      </c>
      <c r="F706" s="19">
        <f ca="1">IFERROR(__xludf.DUMMYFUNCTION("""COMPUTED_VALUE"""),13750)</f>
        <v>13750</v>
      </c>
      <c r="G706" s="19">
        <f ca="1">IFERROR(__xludf.DUMMYFUNCTION("""COMPUTED_VALUE"""),20000)</f>
        <v>20000</v>
      </c>
      <c r="H706" s="18">
        <f ca="1">IFERROR(__xludf.DUMMYFUNCTION("""COMPUTED_VALUE"""),45663)</f>
        <v>45663</v>
      </c>
      <c r="I706" s="5" t="str">
        <f ca="1">IFERROR(__xludf.DUMMYFUNCTION("""COMPUTED_VALUE"""),"Zillow")</f>
        <v>Zillow</v>
      </c>
      <c r="J706" s="25" t="str">
        <f ca="1">IFERROR(__xludf.DUMMYFUNCTION("""COMPUTED_VALUE"""),"https://www.zillow.com/homedetails/Los-Angeles-CA-90068/95700897_zpid/")</f>
        <v>https://www.zillow.com/homedetails/Los-Angeles-CA-90068/95700897_zpid/</v>
      </c>
      <c r="K706" s="5" t="str">
        <f ca="1">IFERROR(__xludf.DUMMYFUNCTION("""COMPUTED_VALUE"""),"Christian Crane - Nest Seekers Realty")</f>
        <v>Christian Crane - Nest Seekers Realty</v>
      </c>
      <c r="L706" s="5"/>
      <c r="M706" s="5" t="str">
        <f ca="1">IFERROR(__xludf.DUMMYFUNCTION("""COMPUTED_VALUE"""),"Listed on 11/13/24 for $13,750 - Removed on 11/23/24 - Listed for rent on 1/6/2025 for $20,000 (+45.5% increase)")</f>
        <v>Listed on 11/13/24 for $13,750 - Removed on 11/23/24 - Listed for rent on 1/6/2025 for $20,000 (+45.5% increase)</v>
      </c>
      <c r="N706" s="5" t="str">
        <f ca="1">IFERROR(__xludf.DUMMYFUNCTION("""COMPUTED_VALUE"""),"https://drive.google.com/open?id=1eSzYpgZCKl-d1Q9Nmodd6ITr_yKH_JkC, https://drive.google.com/open?id=1kNkK2QWudsyQwOgbZSIAKq4fH9LQ7sej, https://drive.google.com/open?id=1efPk6SEHE7Rs8gXfY0RJKK1gAaerGDkA")</f>
        <v>https://drive.google.com/open?id=1eSzYpgZCKl-d1Q9Nmodd6ITr_yKH_JkC, https://drive.google.com/open?id=1kNkK2QWudsyQwOgbZSIAKq4fH9LQ7sej, https://drive.google.com/open?id=1efPk6SEHE7Rs8gXfY0RJKK1gAaerGDkA</v>
      </c>
      <c r="O706" s="5" t="str">
        <f ca="1">IFERROR(__xludf.DUMMYFUNCTION("""COMPUTED_VALUE"""),"NA")</f>
        <v>NA</v>
      </c>
      <c r="P706" s="5" t="str">
        <f ca="1">IFERROR(__xludf.DUMMYFUNCTION("""COMPUTED_VALUE"""),"1(323)474-8758")</f>
        <v>1(323)474-8758</v>
      </c>
      <c r="Q706" s="5"/>
      <c r="R706" s="5"/>
      <c r="S706" s="5"/>
      <c r="T706" s="5"/>
    </row>
    <row r="707" spans="1:20" ht="12.75">
      <c r="A707" s="24">
        <f ca="1">IFERROR(__xludf.DUMMYFUNCTION("""COMPUTED_VALUE"""),45671.0099920833)</f>
        <v>45671.009992083302</v>
      </c>
      <c r="B707" s="5" t="str">
        <f ca="1">IFERROR(__xludf.DUMMYFUNCTION("""COMPUTED_VALUE"""),"2181 Hillsbury Rd")</f>
        <v>2181 Hillsbury Rd</v>
      </c>
      <c r="C707" s="5" t="str">
        <f ca="1">IFERROR(__xludf.DUMMYFUNCTION("""COMPUTED_VALUE"""),"Westlake Village")</f>
        <v>Westlake Village</v>
      </c>
      <c r="D707" s="5" t="str">
        <f ca="1">IFERROR(__xludf.DUMMYFUNCTION("""COMPUTED_VALUE"""),"CA")</f>
        <v>CA</v>
      </c>
      <c r="E707" s="5">
        <f ca="1">IFERROR(__xludf.DUMMYFUNCTION("""COMPUTED_VALUE"""),91361)</f>
        <v>91361</v>
      </c>
      <c r="F707" s="19">
        <f ca="1">IFERROR(__xludf.DUMMYFUNCTION("""COMPUTED_VALUE"""),8500)</f>
        <v>8500</v>
      </c>
      <c r="G707" s="19">
        <f ca="1">IFERROR(__xludf.DUMMYFUNCTION("""COMPUTED_VALUE"""),33000)</f>
        <v>33000</v>
      </c>
      <c r="H707" s="18">
        <f ca="1">IFERROR(__xludf.DUMMYFUNCTION("""COMPUTED_VALUE"""),45671)</f>
        <v>45671</v>
      </c>
      <c r="I707" s="5" t="str">
        <f ca="1">IFERROR(__xludf.DUMMYFUNCTION("""COMPUTED_VALUE"""),"Zillow")</f>
        <v>Zillow</v>
      </c>
      <c r="J707" s="25" t="str">
        <f ca="1">IFERROR(__xludf.DUMMYFUNCTION("""COMPUTED_VALUE"""),"https://www.zillow.com/homedetails/2181-Hillsbury-Rd-Westlake-Village-CA-91361/16492776_zpid/")</f>
        <v>https://www.zillow.com/homedetails/2181-Hillsbury-Rd-Westlake-Village-CA-91361/16492776_zpid/</v>
      </c>
      <c r="K707" s="5"/>
      <c r="L707" s="5" t="str">
        <f ca="1">IFERROR(__xludf.DUMMYFUNCTION("""COMPUTED_VALUE"""),"john diguiseppe")</f>
        <v>john diguiseppe</v>
      </c>
      <c r="M707" s="5"/>
      <c r="N707" s="5" t="str">
        <f ca="1">IFERROR(__xludf.DUMMYFUNCTION("""COMPUTED_VALUE"""),"https://drive.google.com/open?id=10lkfhmwzpmuxR53JJzCPRRw529Mj7vrP, https://drive.google.com/open?id=1hTaR6FREOsuVXh7nUxAmrBUJtgMq5YdE, https://drive.google.com/open?id=1xT58VgfKscBOiN59vYo6YhFKsxhxvTF9")</f>
        <v>https://drive.google.com/open?id=10lkfhmwzpmuxR53JJzCPRRw529Mj7vrP, https://drive.google.com/open?id=1hTaR6FREOsuVXh7nUxAmrBUJtgMq5YdE, https://drive.google.com/open?id=1xT58VgfKscBOiN59vYo6YhFKsxhxvTF9</v>
      </c>
      <c r="O707" s="5">
        <f ca="1">IFERROR(__xludf.DUMMYFUNCTION("""COMPUTED_VALUE"""),6970091155)</f>
        <v>6970091155</v>
      </c>
      <c r="P707" s="5"/>
      <c r="Q707" s="5"/>
      <c r="R707" s="5" t="str">
        <f ca="1">IFERROR(__xludf.DUMMYFUNCTION("""COMPUTED_VALUE"""),"(818) 429-2188")</f>
        <v>(818) 429-2188</v>
      </c>
      <c r="S707" s="5"/>
      <c r="T707" s="5"/>
    </row>
    <row r="708" spans="1:20" ht="12.75">
      <c r="A708" s="24">
        <f ca="1">IFERROR(__xludf.DUMMYFUNCTION("""COMPUTED_VALUE"""),45671.0105239467)</f>
        <v>45671.010523946701</v>
      </c>
      <c r="B708" s="5" t="str">
        <f ca="1">IFERROR(__xludf.DUMMYFUNCTION("""COMPUTED_VALUE"""),"726 N Van Ness Ave #103")</f>
        <v>726 N Van Ness Ave #103</v>
      </c>
      <c r="C708" s="5" t="str">
        <f ca="1">IFERROR(__xludf.DUMMYFUNCTION("""COMPUTED_VALUE"""),"Los Angeles")</f>
        <v>Los Angeles</v>
      </c>
      <c r="D708" s="5" t="str">
        <f ca="1">IFERROR(__xludf.DUMMYFUNCTION("""COMPUTED_VALUE"""),"CA")</f>
        <v>CA</v>
      </c>
      <c r="E708" s="5">
        <f ca="1">IFERROR(__xludf.DUMMYFUNCTION("""COMPUTED_VALUE"""),90038)</f>
        <v>90038</v>
      </c>
      <c r="F708" s="19">
        <f ca="1">IFERROR(__xludf.DUMMYFUNCTION("""COMPUTED_VALUE"""),1191)</f>
        <v>1191</v>
      </c>
      <c r="G708" s="19">
        <f ca="1">IFERROR(__xludf.DUMMYFUNCTION("""COMPUTED_VALUE"""),4100)</f>
        <v>4100</v>
      </c>
      <c r="H708" s="18">
        <f ca="1">IFERROR(__xludf.DUMMYFUNCTION("""COMPUTED_VALUE"""),45669)</f>
        <v>45669</v>
      </c>
      <c r="I708" s="5" t="str">
        <f ca="1">IFERROR(__xludf.DUMMYFUNCTION("""COMPUTED_VALUE"""),"Zillow")</f>
        <v>Zillow</v>
      </c>
      <c r="J708" s="25" t="str">
        <f ca="1">IFERROR(__xludf.DUMMYFUNCTION("""COMPUTED_VALUE"""),"https://www.zillow.com/apartments/los-angeles-ca/726-n-van-ness-ave/ChqrC9/?utm_campaign=iosappmessage&amp;utm_medium=referral&amp;utm_source=txtshare")</f>
        <v>https://www.zillow.com/apartments/los-angeles-ca/726-n-van-ness-ave/ChqrC9/?utm_campaign=iosappmessage&amp;utm_medium=referral&amp;utm_source=txtshare</v>
      </c>
      <c r="K708" s="5" t="str">
        <f ca="1">IFERROR(__xludf.DUMMYFUNCTION("""COMPUTED_VALUE"""),"Concord leasing.")</f>
        <v>Concord leasing.</v>
      </c>
      <c r="L708" s="5"/>
      <c r="M708" s="5" t="str">
        <f ca="1">IFERROR(__xludf.DUMMYFUNCTION("""COMPUTED_VALUE"""),"The listing still has the original offer of $1191 for the first 12 months after that price increases to 1300.")</f>
        <v>The listing still has the original offer of $1191 for the first 12 months after that price increases to 1300.</v>
      </c>
      <c r="N708" s="5" t="str">
        <f ca="1">IFERROR(__xludf.DUMMYFUNCTION("""COMPUTED_VALUE"""),"https://drive.google.com/open?id=1jsF18DKsuogdUnzslERMNJzn4UtYeaB4, https://drive.google.com/open?id=1dHN_pXRy1C_IrC_Sbn7fQIy2I6JRAJUZ")</f>
        <v>https://drive.google.com/open?id=1jsF18DKsuogdUnzslERMNJzn4UtYeaB4, https://drive.google.com/open?id=1dHN_pXRy1C_IrC_Sbn7fQIy2I6JRAJUZ</v>
      </c>
      <c r="O708" s="5" t="str">
        <f ca="1">IFERROR(__xludf.DUMMYFUNCTION("""COMPUTED_VALUE"""),"Na")</f>
        <v>Na</v>
      </c>
      <c r="P708" s="5">
        <f ca="1">IFERROR(__xludf.DUMMYFUNCTION("""COMPUTED_VALUE"""),2137996161)</f>
        <v>2137996161</v>
      </c>
      <c r="Q708" s="5"/>
      <c r="R708" s="5"/>
      <c r="S708" s="5"/>
      <c r="T708" s="5"/>
    </row>
    <row r="709" spans="1:20" ht="12.75">
      <c r="A709" s="24">
        <f ca="1">IFERROR(__xludf.DUMMYFUNCTION("""COMPUTED_VALUE"""),45671.0117902314)</f>
        <v>45671.011790231401</v>
      </c>
      <c r="B709" s="5" t="str">
        <f ca="1">IFERROR(__xludf.DUMMYFUNCTION("""COMPUTED_VALUE"""),"7566 West Sunset Boulevard, Unit 423PHW")</f>
        <v>7566 West Sunset Boulevard, Unit 423PHW</v>
      </c>
      <c r="C709" s="5" t="str">
        <f ca="1">IFERROR(__xludf.DUMMYFUNCTION("""COMPUTED_VALUE"""),"Los Angeles")</f>
        <v>Los Angeles</v>
      </c>
      <c r="D709" s="5" t="str">
        <f ca="1">IFERROR(__xludf.DUMMYFUNCTION("""COMPUTED_VALUE"""),"CA")</f>
        <v>CA</v>
      </c>
      <c r="E709" s="5">
        <f ca="1">IFERROR(__xludf.DUMMYFUNCTION("""COMPUTED_VALUE"""),90046)</f>
        <v>90046</v>
      </c>
      <c r="F709" s="19">
        <f ca="1">IFERROR(__xludf.DUMMYFUNCTION("""COMPUTED_VALUE"""),8332)</f>
        <v>8332</v>
      </c>
      <c r="G709" s="19">
        <f ca="1">IFERROR(__xludf.DUMMYFUNCTION("""COMPUTED_VALUE"""),9700)</f>
        <v>9700</v>
      </c>
      <c r="H709" s="18">
        <f ca="1">IFERROR(__xludf.DUMMYFUNCTION("""COMPUTED_VALUE"""),45667)</f>
        <v>45667</v>
      </c>
      <c r="I709" s="5" t="str">
        <f ca="1">IFERROR(__xludf.DUMMYFUNCTION("""COMPUTED_VALUE"""),"Compass")</f>
        <v>Compass</v>
      </c>
      <c r="J709" s="25" t="str">
        <f ca="1">IFERROR(__xludf.DUMMYFUNCTION("""COMPUTED_VALUE"""),"https://www.compass.com/listing/7566-west-sunset-boulevard-unit-423phw-los-angeles-ca-90046/1751040834965519697/")</f>
        <v>https://www.compass.com/listing/7566-west-sunset-boulevard-unit-423phw-los-angeles-ca-90046/1751040834965519697/</v>
      </c>
      <c r="K709" s="5" t="str">
        <f ca="1">IFERROR(__xludf.DUMMYFUNCTION("""COMPUTED_VALUE"""),"Nicole Elieff")</f>
        <v>Nicole Elieff</v>
      </c>
      <c r="L709" s="5"/>
      <c r="M709" s="5"/>
      <c r="N709" s="26" t="str">
        <f ca="1">IFERROR(__xludf.DUMMYFUNCTION("""COMPUTED_VALUE"""),"https://drive.google.com/open?id=1Whn27qhhBvqGwc_YDqvXfUdKYOoYskZZ")</f>
        <v>https://drive.google.com/open?id=1Whn27qhhBvqGwc_YDqvXfUdKYOoYskZZ</v>
      </c>
      <c r="O709" s="5" t="str">
        <f ca="1">IFERROR(__xludf.DUMMYFUNCTION("""COMPUTED_VALUE"""),"NA")</f>
        <v>NA</v>
      </c>
      <c r="P709" s="5" t="str">
        <f ca="1">IFERROR(__xludf.DUMMYFUNCTION("""COMPUTED_VALUE"""),"(310)-927-7959")</f>
        <v>(310)-927-7959</v>
      </c>
      <c r="Q709" s="5" t="str">
        <f ca="1">IFERROR(__xludf.DUMMYFUNCTION("""COMPUTED_VALUE"""),"nicole.elieff@compass.com")</f>
        <v>nicole.elieff@compass.com</v>
      </c>
      <c r="R709" s="5"/>
      <c r="S709" s="5"/>
      <c r="T709" s="5"/>
    </row>
    <row r="710" spans="1:20" ht="12.75">
      <c r="A710" s="24">
        <f ca="1">IFERROR(__xludf.DUMMYFUNCTION("""COMPUTED_VALUE"""),45671.0121997569)</f>
        <v>45671.0121997569</v>
      </c>
      <c r="B710" s="5" t="str">
        <f ca="1">IFERROR(__xludf.DUMMYFUNCTION("""COMPUTED_VALUE"""),"4335 Jubilo Dr")</f>
        <v>4335 Jubilo Dr</v>
      </c>
      <c r="C710" s="5" t="str">
        <f ca="1">IFERROR(__xludf.DUMMYFUNCTION("""COMPUTED_VALUE"""),"Tarzana")</f>
        <v>Tarzana</v>
      </c>
      <c r="D710" s="5" t="str">
        <f ca="1">IFERROR(__xludf.DUMMYFUNCTION("""COMPUTED_VALUE"""),"CA")</f>
        <v>CA</v>
      </c>
      <c r="E710" s="5">
        <f ca="1">IFERROR(__xludf.DUMMYFUNCTION("""COMPUTED_VALUE"""),91356)</f>
        <v>91356</v>
      </c>
      <c r="F710" s="19">
        <f ca="1">IFERROR(__xludf.DUMMYFUNCTION("""COMPUTED_VALUE"""),12500)</f>
        <v>12500</v>
      </c>
      <c r="G710" s="19">
        <f ca="1">IFERROR(__xludf.DUMMYFUNCTION("""COMPUTED_VALUE"""),16500)</f>
        <v>16500</v>
      </c>
      <c r="H710" s="18">
        <f ca="1">IFERROR(__xludf.DUMMYFUNCTION("""COMPUTED_VALUE"""),45670)</f>
        <v>45670</v>
      </c>
      <c r="I710" s="5" t="str">
        <f ca="1">IFERROR(__xludf.DUMMYFUNCTION("""COMPUTED_VALUE"""),"Zillow")</f>
        <v>Zillow</v>
      </c>
      <c r="J710" s="25" t="str">
        <f ca="1">IFERROR(__xludf.DUMMYFUNCTION("""COMPUTED_VALUE"""),"https://www.zillow.com/homedetails/4335-Jubilo-Dr-Tarzana-CA-91356/19947995_zpid/")</f>
        <v>https://www.zillow.com/homedetails/4335-Jubilo-Dr-Tarzana-CA-91356/19947995_zpid/</v>
      </c>
      <c r="K710" s="5"/>
      <c r="L710" s="5"/>
      <c r="M710" s="5"/>
      <c r="N710" s="26" t="str">
        <f ca="1">IFERROR(__xludf.DUMMYFUNCTION("""COMPUTED_VALUE"""),"https://drive.google.com/open?id=1WqbeUiUd34vfg--51Q8T-42iqlTcirRR")</f>
        <v>https://drive.google.com/open?id=1WqbeUiUd34vfg--51Q8T-42iqlTcirRR</v>
      </c>
      <c r="O710" s="5" t="str">
        <f ca="1">IFERROR(__xludf.DUMMYFUNCTION("""COMPUTED_VALUE"""),"na")</f>
        <v>na</v>
      </c>
      <c r="P710" s="5"/>
      <c r="Q710" s="5"/>
      <c r="R710" s="5"/>
      <c r="S710" s="5"/>
      <c r="T710" s="5"/>
    </row>
    <row r="711" spans="1:20" ht="12.75">
      <c r="A711" s="24">
        <f ca="1">IFERROR(__xludf.DUMMYFUNCTION("""COMPUTED_VALUE"""),45671.0163977893)</f>
        <v>45671.016397789303</v>
      </c>
      <c r="B711" s="5" t="str">
        <f ca="1">IFERROR(__xludf.DUMMYFUNCTION("""COMPUTED_VALUE"""),"801 S Grand Ave APT 2010")</f>
        <v>801 S Grand Ave APT 2010</v>
      </c>
      <c r="C711" s="5" t="str">
        <f ca="1">IFERROR(__xludf.DUMMYFUNCTION("""COMPUTED_VALUE"""),"Los Angeles")</f>
        <v>Los Angeles</v>
      </c>
      <c r="D711" s="5" t="str">
        <f ca="1">IFERROR(__xludf.DUMMYFUNCTION("""COMPUTED_VALUE"""),"CA")</f>
        <v>CA</v>
      </c>
      <c r="E711" s="5">
        <f ca="1">IFERROR(__xludf.DUMMYFUNCTION("""COMPUTED_VALUE"""),90017)</f>
        <v>90017</v>
      </c>
      <c r="F711" s="19">
        <f ca="1">IFERROR(__xludf.DUMMYFUNCTION("""COMPUTED_VALUE"""),5500)</f>
        <v>5500</v>
      </c>
      <c r="G711" s="19">
        <f ca="1">IFERROR(__xludf.DUMMYFUNCTION("""COMPUTED_VALUE"""),8500)</f>
        <v>8500</v>
      </c>
      <c r="H711" s="18">
        <f ca="1">IFERROR(__xludf.DUMMYFUNCTION("""COMPUTED_VALUE"""),45671)</f>
        <v>45671</v>
      </c>
      <c r="I711" s="5" t="str">
        <f ca="1">IFERROR(__xludf.DUMMYFUNCTION("""COMPUTED_VALUE"""),"Zillow")</f>
        <v>Zillow</v>
      </c>
      <c r="J711" s="25" t="str">
        <f ca="1">IFERROR(__xludf.DUMMYFUNCTION("""COMPUTED_VALUE"""),"https://www.zillow.com/homedetails/801-S-Grand-Ave-APT-2010-Los-Angeles-CA-90017/67420686_zpid/")</f>
        <v>https://www.zillow.com/homedetails/801-S-Grand-Ave-APT-2010-Los-Angeles-CA-90017/67420686_zpid/</v>
      </c>
      <c r="K711" s="5" t="str">
        <f ca="1">IFERROR(__xludf.DUMMYFUNCTION("""COMPUTED_VALUE"""),"Javier Hernandez")</f>
        <v>Javier Hernandez</v>
      </c>
      <c r="L711" s="5"/>
      <c r="M711" s="5" t="str">
        <f ca="1">IFERROR(__xludf.DUMMYFUNCTION("""COMPUTED_VALUE"""),"Listing removed 10/5/24 when it was at $5,500. Put back up 1/14/25 at $8,500 a 54.5% increase")</f>
        <v>Listing removed 10/5/24 when it was at $5,500. Put back up 1/14/25 at $8,500 a 54.5% increase</v>
      </c>
      <c r="N711" s="26" t="str">
        <f ca="1">IFERROR(__xludf.DUMMYFUNCTION("""COMPUTED_VALUE"""),"https://drive.google.com/open?id=1JwNceo_EXEFwGx3aHgk3qh9yMPZRAZdu")</f>
        <v>https://drive.google.com/open?id=1JwNceo_EXEFwGx3aHgk3qh9yMPZRAZdu</v>
      </c>
      <c r="O711" s="5">
        <f ca="1">IFERROR(__xludf.DUMMYFUNCTION("""COMPUTED_VALUE"""),5144020145)</f>
        <v>5144020145</v>
      </c>
      <c r="P711" s="5" t="str">
        <f ca="1">IFERROR(__xludf.DUMMYFUNCTION("""COMPUTED_VALUE"""),"(323) 812-7270")</f>
        <v>(323) 812-7270</v>
      </c>
      <c r="Q711" s="5" t="str">
        <f ca="1">IFERROR(__xludf.DUMMYFUNCTION("""COMPUTED_VALUE"""),"javier@prebroker.com")</f>
        <v>javier@prebroker.com</v>
      </c>
      <c r="R711" s="5"/>
      <c r="S711" s="5"/>
      <c r="T711" s="5"/>
    </row>
    <row r="712" spans="1:20" ht="12.75">
      <c r="A712" s="24">
        <f ca="1">IFERROR(__xludf.DUMMYFUNCTION("""COMPUTED_VALUE"""),45671.0201530671)</f>
        <v>45671.020153067097</v>
      </c>
      <c r="B712" s="5" t="str">
        <f ca="1">IFERROR(__xludf.DUMMYFUNCTION("""COMPUTED_VALUE"""),"10798 Lindbrook Dr")</f>
        <v>10798 Lindbrook Dr</v>
      </c>
      <c r="C712" s="5" t="str">
        <f ca="1">IFERROR(__xludf.DUMMYFUNCTION("""COMPUTED_VALUE"""),"Los Angeles")</f>
        <v>Los Angeles</v>
      </c>
      <c r="D712" s="5" t="str">
        <f ca="1">IFERROR(__xludf.DUMMYFUNCTION("""COMPUTED_VALUE"""),"CA")</f>
        <v>CA</v>
      </c>
      <c r="E712" s="5">
        <f ca="1">IFERROR(__xludf.DUMMYFUNCTION("""COMPUTED_VALUE"""),90024)</f>
        <v>90024</v>
      </c>
      <c r="F712" s="19">
        <f ca="1">IFERROR(__xludf.DUMMYFUNCTION("""COMPUTED_VALUE"""),14750)</f>
        <v>14750</v>
      </c>
      <c r="G712" s="19">
        <f ca="1">IFERROR(__xludf.DUMMYFUNCTION("""COMPUTED_VALUE"""),25000)</f>
        <v>25000</v>
      </c>
      <c r="H712" s="18">
        <f ca="1">IFERROR(__xludf.DUMMYFUNCTION("""COMPUTED_VALUE"""),45671)</f>
        <v>45671</v>
      </c>
      <c r="I712" s="5" t="str">
        <f ca="1">IFERROR(__xludf.DUMMYFUNCTION("""COMPUTED_VALUE"""),"Zillow")</f>
        <v>Zillow</v>
      </c>
      <c r="J712" s="25" t="str">
        <f ca="1">IFERROR(__xludf.DUMMYFUNCTION("""COMPUTED_VALUE"""),"https://www.zillow.com/homedetails/10798-Lindbrook-Dr-Los-Angeles-CA-90024/20525012_zpid/")</f>
        <v>https://www.zillow.com/homedetails/10798-Lindbrook-Dr-Los-Angeles-CA-90024/20525012_zpid/</v>
      </c>
      <c r="K712" s="5" t="str">
        <f ca="1">IFERROR(__xludf.DUMMYFUNCTION("""COMPUTED_VALUE"""),"Meran Solamany")</f>
        <v>Meran Solamany</v>
      </c>
      <c r="L712" s="5"/>
      <c r="M712" s="5"/>
      <c r="N712" s="5" t="str">
        <f ca="1">IFERROR(__xludf.DUMMYFUNCTION("""COMPUTED_VALUE"""),"https://drive.google.com/open?id=1cElzE43e5Tr-AIs0s1XxqHbpvl4E10C5, https://drive.google.com/open?id=1WFOmIpwp4v2Eqz8kh_XWra2pgls7eOxx")</f>
        <v>https://drive.google.com/open?id=1cElzE43e5Tr-AIs0s1XxqHbpvl4E10C5, https://drive.google.com/open?id=1WFOmIpwp4v2Eqz8kh_XWra2pgls7eOxx</v>
      </c>
      <c r="O712" s="5">
        <f ca="1">IFERROR(__xludf.DUMMYFUNCTION("""COMPUTED_VALUE"""),4360004009)</f>
        <v>4360004009</v>
      </c>
      <c r="P712" s="5" t="str">
        <f ca="1">IFERROR(__xludf.DUMMYFUNCTION("""COMPUTED_VALUE"""),"(310) 666-7822")</f>
        <v>(310) 666-7822</v>
      </c>
      <c r="Q712" s="5"/>
      <c r="R712" s="5"/>
      <c r="S712" s="5"/>
      <c r="T712" s="5"/>
    </row>
    <row r="713" spans="1:20" ht="12.75">
      <c r="A713" s="24">
        <f ca="1">IFERROR(__xludf.DUMMYFUNCTION("""COMPUTED_VALUE"""),45671.0231216319)</f>
        <v>45671.023121631901</v>
      </c>
      <c r="B713" s="5" t="str">
        <f ca="1">IFERROR(__xludf.DUMMYFUNCTION("""COMPUTED_VALUE"""),"1049 S Hayworth Ave")</f>
        <v>1049 S Hayworth Ave</v>
      </c>
      <c r="C713" s="5" t="str">
        <f ca="1">IFERROR(__xludf.DUMMYFUNCTION("""COMPUTED_VALUE"""),"Los Angeles")</f>
        <v>Los Angeles</v>
      </c>
      <c r="D713" s="5" t="str">
        <f ca="1">IFERROR(__xludf.DUMMYFUNCTION("""COMPUTED_VALUE"""),"CA")</f>
        <v>CA</v>
      </c>
      <c r="E713" s="5">
        <f ca="1">IFERROR(__xludf.DUMMYFUNCTION("""COMPUTED_VALUE"""),90035)</f>
        <v>90035</v>
      </c>
      <c r="F713" s="19">
        <f ca="1">IFERROR(__xludf.DUMMYFUNCTION("""COMPUTED_VALUE"""),5995)</f>
        <v>5995</v>
      </c>
      <c r="G713" s="19">
        <f ca="1">IFERROR(__xludf.DUMMYFUNCTION("""COMPUTED_VALUE"""),8500)</f>
        <v>8500</v>
      </c>
      <c r="H713" s="18">
        <f ca="1">IFERROR(__xludf.DUMMYFUNCTION("""COMPUTED_VALUE"""),45668)</f>
        <v>45668</v>
      </c>
      <c r="I713" s="5" t="str">
        <f ca="1">IFERROR(__xludf.DUMMYFUNCTION("""COMPUTED_VALUE"""),"Zillow")</f>
        <v>Zillow</v>
      </c>
      <c r="J713" s="25" t="str">
        <f ca="1">IFERROR(__xludf.DUMMYFUNCTION("""COMPUTED_VALUE"""),"https://www.zillow.com/homedetails/1049-S-Hayworth-Ave-Los-Angeles-CA-90035/20609573_zpid/")</f>
        <v>https://www.zillow.com/homedetails/1049-S-Hayworth-Ave-Los-Angeles-CA-90035/20609573_zpid/</v>
      </c>
      <c r="K713" s="5" t="str">
        <f ca="1">IFERROR(__xludf.DUMMYFUNCTION("""COMPUTED_VALUE"""),"Ari Hoffman")</f>
        <v>Ari Hoffman</v>
      </c>
      <c r="L713" s="5"/>
      <c r="M713" s="5" t="str">
        <f ca="1">IFERROR(__xludf.DUMMYFUNCTION("""COMPUTED_VALUE"""),"Listed on 1/11/25 at 8,500 for a 41.8%, lowered to 8,000 on 1/13/25, still a 35.9% increase from before")</f>
        <v>Listed on 1/11/25 at 8,500 for a 41.8%, lowered to 8,000 on 1/13/25, still a 35.9% increase from before</v>
      </c>
      <c r="N713" s="26" t="str">
        <f ca="1">IFERROR(__xludf.DUMMYFUNCTION("""COMPUTED_VALUE"""),"https://drive.google.com/open?id=1665k12HCm8AZdns5Vtvt52BEFZ15L665")</f>
        <v>https://drive.google.com/open?id=1665k12HCm8AZdns5Vtvt52BEFZ15L665</v>
      </c>
      <c r="O713" s="5">
        <f ca="1">IFERROR(__xludf.DUMMYFUNCTION("""COMPUTED_VALUE"""),5087025012)</f>
        <v>5087025012</v>
      </c>
      <c r="P713" s="5">
        <f ca="1">IFERROR(__xludf.DUMMYFUNCTION("""COMPUTED_VALUE"""),2137725638)</f>
        <v>2137725638</v>
      </c>
      <c r="Q713" s="5"/>
      <c r="R713" s="5"/>
      <c r="S713" s="5"/>
      <c r="T713" s="5"/>
    </row>
    <row r="714" spans="1:20" ht="12.75">
      <c r="A714" s="24">
        <f ca="1">IFERROR(__xludf.DUMMYFUNCTION("""COMPUTED_VALUE"""),45671.0246797685)</f>
        <v>45671.024679768503</v>
      </c>
      <c r="B714" s="5" t="str">
        <f ca="1">IFERROR(__xludf.DUMMYFUNCTION("""COMPUTED_VALUE"""),"1537 Wildwood Dr")</f>
        <v>1537 Wildwood Dr</v>
      </c>
      <c r="C714" s="5" t="str">
        <f ca="1">IFERROR(__xludf.DUMMYFUNCTION("""COMPUTED_VALUE"""),"Eagle Rock")</f>
        <v>Eagle Rock</v>
      </c>
      <c r="D714" s="5" t="str">
        <f ca="1">IFERROR(__xludf.DUMMYFUNCTION("""COMPUTED_VALUE"""),"CA")</f>
        <v>CA</v>
      </c>
      <c r="E714" s="5">
        <f ca="1">IFERROR(__xludf.DUMMYFUNCTION("""COMPUTED_VALUE"""),90041)</f>
        <v>90041</v>
      </c>
      <c r="F714" s="19">
        <f ca="1">IFERROR(__xludf.DUMMYFUNCTION("""COMPUTED_VALUE"""),7300)</f>
        <v>7300</v>
      </c>
      <c r="G714" s="19">
        <f ca="1">IFERROR(__xludf.DUMMYFUNCTION("""COMPUTED_VALUE"""),11500)</f>
        <v>11500</v>
      </c>
      <c r="H714" s="18">
        <f ca="1">IFERROR(__xludf.DUMMYFUNCTION("""COMPUTED_VALUE"""),45666)</f>
        <v>45666</v>
      </c>
      <c r="I714" s="5" t="str">
        <f ca="1">IFERROR(__xludf.DUMMYFUNCTION("""COMPUTED_VALUE"""),"Compass")</f>
        <v>Compass</v>
      </c>
      <c r="J714" s="25" t="str">
        <f ca="1">IFERROR(__xludf.DUMMYFUNCTION("""COMPUTED_VALUE"""),"https://www.compass.com/listing/1537-wildwood-drive-eagle-rock-ca-90041/1750293297031826697/")</f>
        <v>https://www.compass.com/listing/1537-wildwood-drive-eagle-rock-ca-90041/1750293297031826697/</v>
      </c>
      <c r="K714" s="5" t="str">
        <f ca="1">IFERROR(__xludf.DUMMYFUNCTION("""COMPUTED_VALUE"""),"Lisa Hovsepian")</f>
        <v>Lisa Hovsepian</v>
      </c>
      <c r="L714" s="5"/>
      <c r="M714" s="5" t="str">
        <f ca="1">IFERROR(__xludf.DUMMYFUNCTION("""COMPUTED_VALUE"""),"$4200 increase in rent over the course of one year ")</f>
        <v xml:space="preserve">$4200 increase in rent over the course of one year </v>
      </c>
      <c r="N714" s="26" t="str">
        <f ca="1">IFERROR(__xludf.DUMMYFUNCTION("""COMPUTED_VALUE"""),"https://drive.google.com/open?id=1veM_gwZ48BVQ657F5hY3nMXpTMb0Bftz")</f>
        <v>https://drive.google.com/open?id=1veM_gwZ48BVQ657F5hY3nMXpTMb0Bftz</v>
      </c>
      <c r="O714" s="5" t="str">
        <f ca="1">IFERROR(__xludf.DUMMYFUNCTION("""COMPUTED_VALUE"""),"NA")</f>
        <v>NA</v>
      </c>
      <c r="P714" s="5" t="str">
        <f ca="1">IFERROR(__xludf.DUMMYFUNCTION("""COMPUTED_VALUE"""),"(818)-422-2636")</f>
        <v>(818)-422-2636</v>
      </c>
      <c r="Q714" s="5" t="str">
        <f ca="1">IFERROR(__xludf.DUMMYFUNCTION("""COMPUTED_VALUE"""),"lisaoakview@yahoo.com")</f>
        <v>lisaoakview@yahoo.com</v>
      </c>
      <c r="R714" s="5"/>
      <c r="S714" s="5"/>
      <c r="T714" s="5"/>
    </row>
    <row r="715" spans="1:20" ht="12.75">
      <c r="A715" s="24">
        <f ca="1">IFERROR(__xludf.DUMMYFUNCTION("""COMPUTED_VALUE"""),45671.0290249189)</f>
        <v>45671.029024918898</v>
      </c>
      <c r="B715" s="5" t="str">
        <f ca="1">IFERROR(__xludf.DUMMYFUNCTION("""COMPUTED_VALUE"""),"6445 Deep Dell Pl")</f>
        <v>6445 Deep Dell Pl</v>
      </c>
      <c r="C715" s="5" t="str">
        <f ca="1">IFERROR(__xludf.DUMMYFUNCTION("""COMPUTED_VALUE"""),"Los Angeles")</f>
        <v>Los Angeles</v>
      </c>
      <c r="D715" s="5" t="str">
        <f ca="1">IFERROR(__xludf.DUMMYFUNCTION("""COMPUTED_VALUE"""),"CA")</f>
        <v>CA</v>
      </c>
      <c r="E715" s="5">
        <f ca="1">IFERROR(__xludf.DUMMYFUNCTION("""COMPUTED_VALUE"""),90068)</f>
        <v>90068</v>
      </c>
      <c r="F715" s="19">
        <f ca="1">IFERROR(__xludf.DUMMYFUNCTION("""COMPUTED_VALUE"""),9500)</f>
        <v>9500</v>
      </c>
      <c r="G715" s="19">
        <f ca="1">IFERROR(__xludf.DUMMYFUNCTION("""COMPUTED_VALUE"""),11995)</f>
        <v>11995</v>
      </c>
      <c r="H715" s="18">
        <f ca="1">IFERROR(__xludf.DUMMYFUNCTION("""COMPUTED_VALUE"""),45671)</f>
        <v>45671</v>
      </c>
      <c r="I715" s="5" t="str">
        <f ca="1">IFERROR(__xludf.DUMMYFUNCTION("""COMPUTED_VALUE"""),"Zillow")</f>
        <v>Zillow</v>
      </c>
      <c r="J715" s="25" t="str">
        <f ca="1">IFERROR(__xludf.DUMMYFUNCTION("""COMPUTED_VALUE"""),"https://www.zillow.com/homedetails/6445-Deep-Dell-Pl-Los-Angeles-CA-90068/20804921_zpid/")</f>
        <v>https://www.zillow.com/homedetails/6445-Deep-Dell-Pl-Los-Angeles-CA-90068/20804921_zpid/</v>
      </c>
      <c r="K715" s="5" t="str">
        <f ca="1">IFERROR(__xludf.DUMMYFUNCTION("""COMPUTED_VALUE"""),"MGMT Group, Inc.")</f>
        <v>MGMT Group, Inc.</v>
      </c>
      <c r="L715" s="5" t="str">
        <f ca="1">IFERROR(__xludf.DUMMYFUNCTION("""COMPUTED_VALUE"""),"Kimiyan Holdings LLC")</f>
        <v>Kimiyan Holdings LLC</v>
      </c>
      <c r="M715" s="5" t="str">
        <f ca="1">IFERROR(__xludf.DUMMYFUNCTION("""COMPUTED_VALUE"""),"Owners names are Sepideh and Mehrdad Mashhoon. Their home address is 4421 Via Abrigada, Santa Barbara CA 93110-2301")</f>
        <v>Owners names are Sepideh and Mehrdad Mashhoon. Their home address is 4421 Via Abrigada, Santa Barbara CA 93110-2301</v>
      </c>
      <c r="N715" s="26" t="str">
        <f ca="1">IFERROR(__xludf.DUMMYFUNCTION("""COMPUTED_VALUE"""),"https://drive.google.com/open?id=19gXawZETlHaGsJmERt4RgMhg9cJ4Kucr")</f>
        <v>https://drive.google.com/open?id=19gXawZETlHaGsJmERt4RgMhg9cJ4Kucr</v>
      </c>
      <c r="O715" s="5">
        <f ca="1">IFERROR(__xludf.DUMMYFUNCTION("""COMPUTED_VALUE"""),5577032002)</f>
        <v>5577032002</v>
      </c>
      <c r="P715" s="5" t="str">
        <f ca="1">IFERROR(__xludf.DUMMYFUNCTION("""COMPUTED_VALUE"""),"(323) 940-6769")</f>
        <v>(323) 940-6769</v>
      </c>
      <c r="Q715" s="5"/>
      <c r="R715" s="5" t="str">
        <f ca="1">IFERROR(__xludf.DUMMYFUNCTION("""COMPUTED_VALUE"""),"805-886-3889")</f>
        <v>805-886-3889</v>
      </c>
      <c r="S715" s="5" t="str">
        <f ca="1">IFERROR(__xludf.DUMMYFUNCTION("""COMPUTED_VALUE"""),"s_mashhoon@yahoo.com")</f>
        <v>s_mashhoon@yahoo.com</v>
      </c>
      <c r="T715" s="5"/>
    </row>
    <row r="716" spans="1:20" ht="12.75">
      <c r="A716" s="24">
        <f ca="1">IFERROR(__xludf.DUMMYFUNCTION("""COMPUTED_VALUE"""),45671.032861875)</f>
        <v>45671.032861874999</v>
      </c>
      <c r="B716" s="5" t="str">
        <f ca="1">IFERROR(__xludf.DUMMYFUNCTION("""COMPUTED_VALUE"""),"240 El Camino Dr")</f>
        <v>240 El Camino Dr</v>
      </c>
      <c r="C716" s="5" t="str">
        <f ca="1">IFERROR(__xludf.DUMMYFUNCTION("""COMPUTED_VALUE"""),"Beverly Hills")</f>
        <v>Beverly Hills</v>
      </c>
      <c r="D716" s="5" t="str">
        <f ca="1">IFERROR(__xludf.DUMMYFUNCTION("""COMPUTED_VALUE"""),"CA")</f>
        <v>CA</v>
      </c>
      <c r="E716" s="5">
        <f ca="1">IFERROR(__xludf.DUMMYFUNCTION("""COMPUTED_VALUE"""),90212)</f>
        <v>90212</v>
      </c>
      <c r="F716" s="19">
        <f ca="1">IFERROR(__xludf.DUMMYFUNCTION("""COMPUTED_VALUE"""),13500)</f>
        <v>13500</v>
      </c>
      <c r="G716" s="19">
        <f ca="1">IFERROR(__xludf.DUMMYFUNCTION("""COMPUTED_VALUE"""),32000)</f>
        <v>32000</v>
      </c>
      <c r="H716" s="18">
        <f ca="1">IFERROR(__xludf.DUMMYFUNCTION("""COMPUTED_VALUE"""),45667)</f>
        <v>45667</v>
      </c>
      <c r="I716" s="5" t="str">
        <f ca="1">IFERROR(__xludf.DUMMYFUNCTION("""COMPUTED_VALUE"""),"Redfin")</f>
        <v>Redfin</v>
      </c>
      <c r="J716" s="25" t="str">
        <f ca="1">IFERROR(__xludf.DUMMYFUNCTION("""COMPUTED_VALUE"""),"https://www.redfin.com/CA/Beverly-Hills/240-El-Camino-Dr-90212/home/6808296")</f>
        <v>https://www.redfin.com/CA/Beverly-Hills/240-El-Camino-Dr-90212/home/6808296</v>
      </c>
      <c r="K716" s="5" t="str">
        <f ca="1">IFERROR(__xludf.DUMMYFUNCTION("""COMPUTED_VALUE"""),"Alex Salcedo")</f>
        <v>Alex Salcedo</v>
      </c>
      <c r="L716" s="5"/>
      <c r="M716" s="5" t="str">
        <f ca="1">IFERROR(__xludf.DUMMYFUNCTION("""COMPUTED_VALUE"""),"Also available on zillow https://www.zillow.com/homedetails/240-El-Camino-Dr-Beverly-Hills-CA-90212/20509301_zpid/")</f>
        <v>Also available on zillow https://www.zillow.com/homedetails/240-El-Camino-Dr-Beverly-Hills-CA-90212/20509301_zpid/</v>
      </c>
      <c r="N716" s="26" t="str">
        <f ca="1">IFERROR(__xludf.DUMMYFUNCTION("""COMPUTED_VALUE"""),"https://drive.google.com/open?id=1SIRHBTrQYVyrJFL4i3WTAEYGEWDbPccX")</f>
        <v>https://drive.google.com/open?id=1SIRHBTrQYVyrJFL4i3WTAEYGEWDbPccX</v>
      </c>
      <c r="O716" s="5" t="str">
        <f ca="1">IFERROR(__xludf.DUMMYFUNCTION("""COMPUTED_VALUE"""),"CLAW #23-323305")</f>
        <v>CLAW #23-323305</v>
      </c>
      <c r="P716" s="5" t="str">
        <f ca="1">IFERROR(__xludf.DUMMYFUNCTION("""COMPUTED_VALUE"""),"(480) 444-6930")</f>
        <v>(480) 444-6930</v>
      </c>
      <c r="Q716" s="5"/>
      <c r="R716" s="5"/>
      <c r="S716" s="5"/>
      <c r="T716" s="5"/>
    </row>
    <row r="717" spans="1:20" ht="12.75">
      <c r="A717" s="24">
        <f ca="1">IFERROR(__xludf.DUMMYFUNCTION("""COMPUTED_VALUE"""),45671.0491090856)</f>
        <v>45671.049109085601</v>
      </c>
      <c r="B717" s="5" t="str">
        <f ca="1">IFERROR(__xludf.DUMMYFUNCTION("""COMPUTED_VALUE"""),"1304 The Strand #C")</f>
        <v>1304 The Strand #C</v>
      </c>
      <c r="C717" s="5" t="str">
        <f ca="1">IFERROR(__xludf.DUMMYFUNCTION("""COMPUTED_VALUE"""),"Manhattan Beach")</f>
        <v>Manhattan Beach</v>
      </c>
      <c r="D717" s="5" t="str">
        <f ca="1">IFERROR(__xludf.DUMMYFUNCTION("""COMPUTED_VALUE"""),"CA")</f>
        <v>CA</v>
      </c>
      <c r="E717" s="5">
        <f ca="1">IFERROR(__xludf.DUMMYFUNCTION("""COMPUTED_VALUE"""),90266)</f>
        <v>90266</v>
      </c>
      <c r="F717" s="19">
        <f ca="1">IFERROR(__xludf.DUMMYFUNCTION("""COMPUTED_VALUE"""),7500)</f>
        <v>7500</v>
      </c>
      <c r="G717" s="19">
        <f ca="1">IFERROR(__xludf.DUMMYFUNCTION("""COMPUTED_VALUE"""),8250)</f>
        <v>8250</v>
      </c>
      <c r="H717" s="18">
        <f ca="1">IFERROR(__xludf.DUMMYFUNCTION("""COMPUTED_VALUE"""),45670)</f>
        <v>45670</v>
      </c>
      <c r="I717" s="5" t="str">
        <f ca="1">IFERROR(__xludf.DUMMYFUNCTION("""COMPUTED_VALUE"""),"Zillow")</f>
        <v>Zillow</v>
      </c>
      <c r="J717" s="25" t="str">
        <f ca="1">IFERROR(__xludf.DUMMYFUNCTION("""COMPUTED_VALUE"""),"https://www.zillow.com/homedetails/1304-The-Strand-C-Manhattan-Beach-CA-90266/20422503_zpid/")</f>
        <v>https://www.zillow.com/homedetails/1304-The-Strand-C-Manhattan-Beach-CA-90266/20422503_zpid/</v>
      </c>
      <c r="K717" s="5" t="str">
        <f ca="1">IFERROR(__xludf.DUMMYFUNCTION("""COMPUTED_VALUE"""),"Daniel Crosser")</f>
        <v>Daniel Crosser</v>
      </c>
      <c r="L717" s="5"/>
      <c r="M717" s="5"/>
      <c r="N717" s="26" t="str">
        <f ca="1">IFERROR(__xludf.DUMMYFUNCTION("""COMPUTED_VALUE"""),"https://drive.google.com/open?id=1lW7glwuBKvdmz5FD3l5AMSgPJGTho6rp")</f>
        <v>https://drive.google.com/open?id=1lW7glwuBKvdmz5FD3l5AMSgPJGTho6rp</v>
      </c>
      <c r="O717" s="5">
        <f ca="1">IFERROR(__xludf.DUMMYFUNCTION("""COMPUTED_VALUE"""),4179026046)</f>
        <v>4179026046</v>
      </c>
      <c r="P717" s="5">
        <f ca="1">IFERROR(__xludf.DUMMYFUNCTION("""COMPUTED_VALUE"""),4248660053)</f>
        <v>4248660053</v>
      </c>
      <c r="Q717" s="5"/>
      <c r="R717" s="5"/>
      <c r="S717" s="5"/>
      <c r="T717" s="5"/>
    </row>
    <row r="718" spans="1:20" ht="12.75">
      <c r="A718" s="24">
        <f ca="1">IFERROR(__xludf.DUMMYFUNCTION("""COMPUTED_VALUE"""),45671.0514947569)</f>
        <v>45671.051494756903</v>
      </c>
      <c r="B718" s="5" t="str">
        <f ca="1">IFERROR(__xludf.DUMMYFUNCTION("""COMPUTED_VALUE"""),"2844 Ashmont Ave")</f>
        <v>2844 Ashmont Ave</v>
      </c>
      <c r="C718" s="5" t="str">
        <f ca="1">IFERROR(__xludf.DUMMYFUNCTION("""COMPUTED_VALUE"""),"Arcadia")</f>
        <v>Arcadia</v>
      </c>
      <c r="D718" s="5" t="str">
        <f ca="1">IFERROR(__xludf.DUMMYFUNCTION("""COMPUTED_VALUE"""),"CA")</f>
        <v>CA</v>
      </c>
      <c r="E718" s="5">
        <f ca="1">IFERROR(__xludf.DUMMYFUNCTION("""COMPUTED_VALUE"""),91006)</f>
        <v>91006</v>
      </c>
      <c r="F718" s="19">
        <f ca="1">IFERROR(__xludf.DUMMYFUNCTION("""COMPUTED_VALUE"""),3300)</f>
        <v>3300</v>
      </c>
      <c r="G718" s="19">
        <f ca="1">IFERROR(__xludf.DUMMYFUNCTION("""COMPUTED_VALUE"""),4449)</f>
        <v>4449</v>
      </c>
      <c r="H718" s="18">
        <f ca="1">IFERROR(__xludf.DUMMYFUNCTION("""COMPUTED_VALUE"""),45670)</f>
        <v>45670</v>
      </c>
      <c r="I718" s="5" t="str">
        <f ca="1">IFERROR(__xludf.DUMMYFUNCTION("""COMPUTED_VALUE"""),"Zillow")</f>
        <v>Zillow</v>
      </c>
      <c r="J718" s="25" t="str">
        <f ca="1">IFERROR(__xludf.DUMMYFUNCTION("""COMPUTED_VALUE"""),"https://www.zillow.com/homedetails/2844-Ashmont-Ave-Arcadia-CA-91006/21581179_zpid/")</f>
        <v>https://www.zillow.com/homedetails/2844-Ashmont-Ave-Arcadia-CA-91006/21581179_zpid/</v>
      </c>
      <c r="K718" s="5" t="str">
        <f ca="1">IFERROR(__xludf.DUMMYFUNCTION("""COMPUTED_VALUE"""),"Edward")</f>
        <v>Edward</v>
      </c>
      <c r="L718" s="5"/>
      <c r="M718" s="5"/>
      <c r="N718" s="26" t="str">
        <f ca="1">IFERROR(__xludf.DUMMYFUNCTION("""COMPUTED_VALUE"""),"https://drive.google.com/open?id=1S2q7og_US7EtnhiWfDwrEf_-9GZ97z-J")</f>
        <v>https://drive.google.com/open?id=1S2q7og_US7EtnhiWfDwrEf_-9GZ97z-J</v>
      </c>
      <c r="O718" s="5">
        <f ca="1">IFERROR(__xludf.DUMMYFUNCTION("""COMPUTED_VALUE"""),8511019009)</f>
        <v>8511019009</v>
      </c>
      <c r="P718" s="5">
        <f ca="1">IFERROR(__xludf.DUMMYFUNCTION("""COMPUTED_VALUE"""),7143640567)</f>
        <v>7143640567</v>
      </c>
      <c r="Q718" s="5"/>
      <c r="R718" s="5"/>
      <c r="S718" s="5"/>
      <c r="T718" s="5"/>
    </row>
    <row r="719" spans="1:20" ht="12.75">
      <c r="A719" s="24">
        <f ca="1">IFERROR(__xludf.DUMMYFUNCTION("""COMPUTED_VALUE"""),45671.0569771643)</f>
        <v>45671.056977164299</v>
      </c>
      <c r="B719" s="5" t="str">
        <f ca="1">IFERROR(__xludf.DUMMYFUNCTION("""COMPUTED_VALUE"""),"16679 Calneva Dr")</f>
        <v>16679 Calneva Dr</v>
      </c>
      <c r="C719" s="5" t="str">
        <f ca="1">IFERROR(__xludf.DUMMYFUNCTION("""COMPUTED_VALUE"""),"Encino")</f>
        <v>Encino</v>
      </c>
      <c r="D719" s="5" t="str">
        <f ca="1">IFERROR(__xludf.DUMMYFUNCTION("""COMPUTED_VALUE"""),"CA")</f>
        <v>CA</v>
      </c>
      <c r="E719" s="5">
        <f ca="1">IFERROR(__xludf.DUMMYFUNCTION("""COMPUTED_VALUE"""),91436)</f>
        <v>91436</v>
      </c>
      <c r="F719" s="19">
        <f ca="1">IFERROR(__xludf.DUMMYFUNCTION("""COMPUTED_VALUE"""),11900)</f>
        <v>11900</v>
      </c>
      <c r="G719" s="19">
        <f ca="1">IFERROR(__xludf.DUMMYFUNCTION("""COMPUTED_VALUE"""),14750)</f>
        <v>14750</v>
      </c>
      <c r="H719" s="18">
        <f ca="1">IFERROR(__xludf.DUMMYFUNCTION("""COMPUTED_VALUE"""),45671)</f>
        <v>45671</v>
      </c>
      <c r="I719" s="5" t="str">
        <f ca="1">IFERROR(__xludf.DUMMYFUNCTION("""COMPUTED_VALUE"""),"Zillow")</f>
        <v>Zillow</v>
      </c>
      <c r="J719" s="25" t="str">
        <f ca="1">IFERROR(__xludf.DUMMYFUNCTION("""COMPUTED_VALUE"""),"https://www.zillow.com/homedetails/16679-Calneva-Dr-Encino-CA-91436/441577757_zpid/")</f>
        <v>https://www.zillow.com/homedetails/16679-Calneva-Dr-Encino-CA-91436/441577757_zpid/</v>
      </c>
      <c r="K719" s="5" t="str">
        <f ca="1">IFERROR(__xludf.DUMMYFUNCTION("""COMPUTED_VALUE"""),"Brian")</f>
        <v>Brian</v>
      </c>
      <c r="L719" s="5"/>
      <c r="M719" s="5" t="str">
        <f ca="1">IFERROR(__xludf.DUMMYFUNCTION("""COMPUTED_VALUE"""),"Was quickly unlisted afterwards but still important that it's documented  https://www.twitch.tv/videos/2352812380?t=05h30m18s")</f>
        <v>Was quickly unlisted afterwards but still important that it's documented  https://www.twitch.tv/videos/2352812380?t=05h30m18s</v>
      </c>
      <c r="N719" s="26" t="str">
        <f ca="1">IFERROR(__xludf.DUMMYFUNCTION("""COMPUTED_VALUE"""),"https://drive.google.com/open?id=1oC0V3XPMNwdGMemIGmMZZm6LFiguR7k3")</f>
        <v>https://drive.google.com/open?id=1oC0V3XPMNwdGMemIGmMZZm6LFiguR7k3</v>
      </c>
      <c r="O719" s="5" t="str">
        <f ca="1">IFERROR(__xludf.DUMMYFUNCTION("""COMPUTED_VALUE"""),"NA")</f>
        <v>NA</v>
      </c>
      <c r="P719" s="5">
        <f ca="1">IFERROR(__xludf.DUMMYFUNCTION("""COMPUTED_VALUE"""),3109478479)</f>
        <v>3109478479</v>
      </c>
      <c r="Q719" s="5"/>
      <c r="R719" s="5"/>
      <c r="S719" s="5"/>
      <c r="T719" s="5"/>
    </row>
    <row r="720" spans="1:20" ht="12.75">
      <c r="A720" s="24">
        <f ca="1">IFERROR(__xludf.DUMMYFUNCTION("""COMPUTED_VALUE"""),45671.0704861574)</f>
        <v>45671.070486157398</v>
      </c>
      <c r="B720" s="5" t="str">
        <f ca="1">IFERROR(__xludf.DUMMYFUNCTION("""COMPUTED_VALUE"""),"1410 Coronado Ter")</f>
        <v>1410 Coronado Ter</v>
      </c>
      <c r="C720" s="5" t="str">
        <f ca="1">IFERROR(__xludf.DUMMYFUNCTION("""COMPUTED_VALUE"""),"Los Angeles")</f>
        <v>Los Angeles</v>
      </c>
      <c r="D720" s="5" t="str">
        <f ca="1">IFERROR(__xludf.DUMMYFUNCTION("""COMPUTED_VALUE"""),"CA")</f>
        <v>CA</v>
      </c>
      <c r="E720" s="5">
        <f ca="1">IFERROR(__xludf.DUMMYFUNCTION("""COMPUTED_VALUE"""),90026)</f>
        <v>90026</v>
      </c>
      <c r="F720" s="19">
        <f ca="1">IFERROR(__xludf.DUMMYFUNCTION("""COMPUTED_VALUE"""),20000)</f>
        <v>20000</v>
      </c>
      <c r="G720" s="19">
        <f ca="1">IFERROR(__xludf.DUMMYFUNCTION("""COMPUTED_VALUE"""),22000)</f>
        <v>22000</v>
      </c>
      <c r="H720" s="18">
        <f ca="1">IFERROR(__xludf.DUMMYFUNCTION("""COMPUTED_VALUE"""),45670)</f>
        <v>45670</v>
      </c>
      <c r="I720" s="5" t="str">
        <f ca="1">IFERROR(__xludf.DUMMYFUNCTION("""COMPUTED_VALUE"""),"Zillow")</f>
        <v>Zillow</v>
      </c>
      <c r="J720" s="25" t="str">
        <f ca="1">IFERROR(__xludf.DUMMYFUNCTION("""COMPUTED_VALUE"""),"https://www.zillow.com/homedetails/1410-Coronado-Ter-Los-Angeles-CA-90026/20744469_zpid/")</f>
        <v>https://www.zillow.com/homedetails/1410-Coronado-Ter-Los-Angeles-CA-90026/20744469_zpid/</v>
      </c>
      <c r="K720" s="5" t="str">
        <f ca="1">IFERROR(__xludf.DUMMYFUNCTION("""COMPUTED_VALUE"""),"Oren")</f>
        <v>Oren</v>
      </c>
      <c r="L720" s="5"/>
      <c r="M720" s="5"/>
      <c r="N720" s="26" t="str">
        <f ca="1">IFERROR(__xludf.DUMMYFUNCTION("""COMPUTED_VALUE"""),"https://drive.google.com/open?id=1iVda1a0KRFdBz4poFePdEWTu7_921A-8")</f>
        <v>https://drive.google.com/open?id=1iVda1a0KRFdBz4poFePdEWTu7_921A-8</v>
      </c>
      <c r="O720" s="5">
        <f ca="1">IFERROR(__xludf.DUMMYFUNCTION("""COMPUTED_VALUE"""),5424022015)</f>
        <v>5424022015</v>
      </c>
      <c r="P720" s="5">
        <f ca="1">IFERROR(__xludf.DUMMYFUNCTION("""COMPUTED_VALUE"""),8184352848)</f>
        <v>8184352848</v>
      </c>
      <c r="Q720" s="5"/>
      <c r="R720" s="5"/>
      <c r="S720" s="5"/>
      <c r="T720" s="5"/>
    </row>
    <row r="721" spans="1:20" ht="12.75">
      <c r="A721" s="24">
        <f ca="1">IFERROR(__xludf.DUMMYFUNCTION("""COMPUTED_VALUE"""),45671.1327623263)</f>
        <v>45671.132762326299</v>
      </c>
      <c r="B721" s="5" t="str">
        <f ca="1">IFERROR(__xludf.DUMMYFUNCTION("""COMPUTED_VALUE"""),"2069 Paramount Dr")</f>
        <v>2069 Paramount Dr</v>
      </c>
      <c r="C721" s="5" t="str">
        <f ca="1">IFERROR(__xludf.DUMMYFUNCTION("""COMPUTED_VALUE"""),"Los Angeles")</f>
        <v>Los Angeles</v>
      </c>
      <c r="D721" s="5" t="str">
        <f ca="1">IFERROR(__xludf.DUMMYFUNCTION("""COMPUTED_VALUE"""),"CA")</f>
        <v>CA</v>
      </c>
      <c r="E721" s="5">
        <f ca="1">IFERROR(__xludf.DUMMYFUNCTION("""COMPUTED_VALUE"""),90068)</f>
        <v>90068</v>
      </c>
      <c r="F721" s="19">
        <f ca="1">IFERROR(__xludf.DUMMYFUNCTION("""COMPUTED_VALUE"""),6900)</f>
        <v>6900</v>
      </c>
      <c r="G721" s="19">
        <f ca="1">IFERROR(__xludf.DUMMYFUNCTION("""COMPUTED_VALUE"""),8900)</f>
        <v>8900</v>
      </c>
      <c r="H721" s="18">
        <f ca="1">IFERROR(__xludf.DUMMYFUNCTION("""COMPUTED_VALUE"""),45670)</f>
        <v>45670</v>
      </c>
      <c r="I721" s="5" t="str">
        <f ca="1">IFERROR(__xludf.DUMMYFUNCTION("""COMPUTED_VALUE"""),"Zillow")</f>
        <v>Zillow</v>
      </c>
      <c r="J721" s="25" t="str">
        <f ca="1">IFERROR(__xludf.DUMMYFUNCTION("""COMPUTED_VALUE"""),"https://www.zillow.com/homedetails/2069-Paramount-Dr-Los-Angeles-CA-90068/20793804_zpid/")</f>
        <v>https://www.zillow.com/homedetails/2069-Paramount-Dr-Los-Angeles-CA-90068/20793804_zpid/</v>
      </c>
      <c r="K721" s="5" t="str">
        <f ca="1">IFERROR(__xludf.DUMMYFUNCTION("""COMPUTED_VALUE"""),"Joe")</f>
        <v>Joe</v>
      </c>
      <c r="L721" s="5"/>
      <c r="M721" s="5"/>
      <c r="N721" s="26" t="str">
        <f ca="1">IFERROR(__xludf.DUMMYFUNCTION("""COMPUTED_VALUE"""),"https://drive.google.com/open?id=1plVU-eo1cNUspou9hTkTBNLrHHOqv3B1")</f>
        <v>https://drive.google.com/open?id=1plVU-eo1cNUspou9hTkTBNLrHHOqv3B1</v>
      </c>
      <c r="O721" s="5">
        <f ca="1">IFERROR(__xludf.DUMMYFUNCTION("""COMPUTED_VALUE"""),5549022033)</f>
        <v>5549022033</v>
      </c>
      <c r="P721" s="5">
        <f ca="1">IFERROR(__xludf.DUMMYFUNCTION("""COMPUTED_VALUE"""),3238288213)</f>
        <v>3238288213</v>
      </c>
      <c r="Q721" s="5"/>
      <c r="R721" s="5"/>
      <c r="S721" s="5"/>
      <c r="T721" s="5"/>
    </row>
    <row r="722" spans="1:20" ht="12.75">
      <c r="A722" s="24">
        <f ca="1">IFERROR(__xludf.DUMMYFUNCTION("""COMPUTED_VALUE"""),45671.1473511458)</f>
        <v>45671.147351145803</v>
      </c>
      <c r="B722" s="5" t="str">
        <f ca="1">IFERROR(__xludf.DUMMYFUNCTION("""COMPUTED_VALUE"""),"8700 Dorrington Ave")</f>
        <v>8700 Dorrington Ave</v>
      </c>
      <c r="C722" s="5" t="str">
        <f ca="1">IFERROR(__xludf.DUMMYFUNCTION("""COMPUTED_VALUE"""),"West Hollywood")</f>
        <v>West Hollywood</v>
      </c>
      <c r="D722" s="5" t="str">
        <f ca="1">IFERROR(__xludf.DUMMYFUNCTION("""COMPUTED_VALUE"""),"CA")</f>
        <v>CA</v>
      </c>
      <c r="E722" s="5">
        <f ca="1">IFERROR(__xludf.DUMMYFUNCTION("""COMPUTED_VALUE"""),90048)</f>
        <v>90048</v>
      </c>
      <c r="F722" s="19">
        <f ca="1">IFERROR(__xludf.DUMMYFUNCTION("""COMPUTED_VALUE"""),13999)</f>
        <v>13999</v>
      </c>
      <c r="G722" s="19">
        <f ca="1">IFERROR(__xludf.DUMMYFUNCTION("""COMPUTED_VALUE"""),20000)</f>
        <v>20000</v>
      </c>
      <c r="H722" s="18">
        <f ca="1">IFERROR(__xludf.DUMMYFUNCTION("""COMPUTED_VALUE"""),45666)</f>
        <v>45666</v>
      </c>
      <c r="I722" s="5" t="str">
        <f ca="1">IFERROR(__xludf.DUMMYFUNCTION("""COMPUTED_VALUE"""),"Zillow")</f>
        <v>Zillow</v>
      </c>
      <c r="J722" s="25" t="str">
        <f ca="1">IFERROR(__xludf.DUMMYFUNCTION("""COMPUTED_VALUE"""),"https://www.zillow.com/homedetails/8700-Dorrington-Ave-West-Hollywood-CA-90048/20516282_zpid/")</f>
        <v>https://www.zillow.com/homedetails/8700-Dorrington-Ave-West-Hollywood-CA-90048/20516282_zpid/</v>
      </c>
      <c r="K722" s="5" t="str">
        <f ca="1">IFERROR(__xludf.DUMMYFUNCTION("""COMPUTED_VALUE"""),"Jonathan Nash")</f>
        <v>Jonathan Nash</v>
      </c>
      <c r="L722" s="5"/>
      <c r="M722" s="5"/>
      <c r="N722" s="26" t="str">
        <f ca="1">IFERROR(__xludf.DUMMYFUNCTION("""COMPUTED_VALUE"""),"https://drive.google.com/open?id=1ITzHGNRLjU6llfOsBaHqda9F3yG5xVr4")</f>
        <v>https://drive.google.com/open?id=1ITzHGNRLjU6llfOsBaHqda9F3yG5xVr4</v>
      </c>
      <c r="O722" s="5">
        <f ca="1">IFERROR(__xludf.DUMMYFUNCTION("""COMPUTED_VALUE"""),4336004016)</f>
        <v>4336004016</v>
      </c>
      <c r="P722" s="5">
        <f ca="1">IFERROR(__xludf.DUMMYFUNCTION("""COMPUTED_VALUE"""),4242306088)</f>
        <v>4242306088</v>
      </c>
      <c r="Q722" s="5" t="str">
        <f ca="1">IFERROR(__xludf.DUMMYFUNCTION("""COMPUTED_VALUE"""),"jonathan@resnickandnash.com")</f>
        <v>jonathan@resnickandnash.com</v>
      </c>
      <c r="R722" s="5"/>
      <c r="S722" s="5"/>
      <c r="T722" s="5"/>
    </row>
    <row r="723" spans="1:20" ht="12.75">
      <c r="A723" s="24">
        <f ca="1">IFERROR(__xludf.DUMMYFUNCTION("""COMPUTED_VALUE"""),45671.1509120023)</f>
        <v>45671.150912002297</v>
      </c>
      <c r="B723" s="5" t="str">
        <f ca="1">IFERROR(__xludf.DUMMYFUNCTION("""COMPUTED_VALUE"""),"233 3/4 S Gale Dr")</f>
        <v>233 3/4 S Gale Dr</v>
      </c>
      <c r="C723" s="5" t="str">
        <f ca="1">IFERROR(__xludf.DUMMYFUNCTION("""COMPUTED_VALUE"""),"Beverly Hills")</f>
        <v>Beverly Hills</v>
      </c>
      <c r="D723" s="5" t="str">
        <f ca="1">IFERROR(__xludf.DUMMYFUNCTION("""COMPUTED_VALUE"""),"CA")</f>
        <v>CA</v>
      </c>
      <c r="E723" s="5">
        <f ca="1">IFERROR(__xludf.DUMMYFUNCTION("""COMPUTED_VALUE"""),90211)</f>
        <v>90211</v>
      </c>
      <c r="F723" s="19">
        <f ca="1">IFERROR(__xludf.DUMMYFUNCTION("""COMPUTED_VALUE"""),2850)</f>
        <v>2850</v>
      </c>
      <c r="G723" s="19">
        <f ca="1">IFERROR(__xludf.DUMMYFUNCTION("""COMPUTED_VALUE"""),3500)</f>
        <v>3500</v>
      </c>
      <c r="H723" s="18">
        <f ca="1">IFERROR(__xludf.DUMMYFUNCTION("""COMPUTED_VALUE"""),45668)</f>
        <v>45668</v>
      </c>
      <c r="I723" s="5" t="str">
        <f ca="1">IFERROR(__xludf.DUMMYFUNCTION("""COMPUTED_VALUE"""),"Zillow")</f>
        <v>Zillow</v>
      </c>
      <c r="J723" s="25" t="str">
        <f ca="1">IFERROR(__xludf.DUMMYFUNCTION("""COMPUTED_VALUE"""),"https://www.zillow.com/homedetails/233-3-4-S-Gale-Dr-Beverly-Hills-CA-90211/2083952220_zpid/")</f>
        <v>https://www.zillow.com/homedetails/233-3-4-S-Gale-Dr-Beverly-Hills-CA-90211/2083952220_zpid/</v>
      </c>
      <c r="K723" s="5" t="str">
        <f ca="1">IFERROR(__xludf.DUMMYFUNCTION("""COMPUTED_VALUE"""),"Elahe Savis")</f>
        <v>Elahe Savis</v>
      </c>
      <c r="L723" s="5"/>
      <c r="M723" s="5"/>
      <c r="N723" s="26" t="str">
        <f ca="1">IFERROR(__xludf.DUMMYFUNCTION("""COMPUTED_VALUE"""),"https://drive.google.com/open?id=1VpLzxXxfIuxuJtqF_0CqAgsXgytiGXxn")</f>
        <v>https://drive.google.com/open?id=1VpLzxXxfIuxuJtqF_0CqAgsXgytiGXxn</v>
      </c>
      <c r="O723" s="5" t="str">
        <f ca="1">IFERROR(__xludf.DUMMYFUNCTION("""COMPUTED_VALUE"""),"NA")</f>
        <v>NA</v>
      </c>
      <c r="P723" s="5" t="str">
        <f ca="1">IFERROR(__xludf.DUMMYFUNCTION("""COMPUTED_VALUE""")," (213) 589-3954")</f>
        <v xml:space="preserve"> (213) 589-3954</v>
      </c>
      <c r="Q723" s="5"/>
      <c r="R723" s="5"/>
      <c r="S723" s="5"/>
      <c r="T723" s="5"/>
    </row>
    <row r="724" spans="1:20" ht="12.75">
      <c r="A724" s="24">
        <f ca="1">IFERROR(__xludf.DUMMYFUNCTION("""COMPUTED_VALUE"""),45671.1514889351)</f>
        <v>45671.151488935102</v>
      </c>
      <c r="B724" s="5" t="str">
        <f ca="1">IFERROR(__xludf.DUMMYFUNCTION("""COMPUTED_VALUE"""),"400 Huntley Dr")</f>
        <v>400 Huntley Dr</v>
      </c>
      <c r="C724" s="5" t="str">
        <f ca="1">IFERROR(__xludf.DUMMYFUNCTION("""COMPUTED_VALUE"""),"Los Angeles")</f>
        <v>Los Angeles</v>
      </c>
      <c r="D724" s="5" t="str">
        <f ca="1">IFERROR(__xludf.DUMMYFUNCTION("""COMPUTED_VALUE"""),"CA")</f>
        <v>CA</v>
      </c>
      <c r="E724" s="5">
        <f ca="1">IFERROR(__xludf.DUMMYFUNCTION("""COMPUTED_VALUE"""),90048)</f>
        <v>90048</v>
      </c>
      <c r="F724" s="19">
        <f ca="1">IFERROR(__xludf.DUMMYFUNCTION("""COMPUTED_VALUE"""),15500)</f>
        <v>15500</v>
      </c>
      <c r="G724" s="19">
        <f ca="1">IFERROR(__xludf.DUMMYFUNCTION("""COMPUTED_VALUE"""),18500)</f>
        <v>18500</v>
      </c>
      <c r="H724" s="18">
        <f ca="1">IFERROR(__xludf.DUMMYFUNCTION("""COMPUTED_VALUE"""),45667)</f>
        <v>45667</v>
      </c>
      <c r="I724" s="5" t="str">
        <f ca="1">IFERROR(__xludf.DUMMYFUNCTION("""COMPUTED_VALUE"""),"Zillow")</f>
        <v>Zillow</v>
      </c>
      <c r="J724" s="25" t="str">
        <f ca="1">IFERROR(__xludf.DUMMYFUNCTION("""COMPUTED_VALUE"""),"https://www.zillow.com/homedetails/4OO-Huntley-Dr-Los-Angeles-CA-90048/420744684_zpid/")</f>
        <v>https://www.zillow.com/homedetails/4OO-Huntley-Dr-Los-Angeles-CA-90048/420744684_zpid/</v>
      </c>
      <c r="K724" s="5" t="str">
        <f ca="1">IFERROR(__xludf.DUMMYFUNCTION("""COMPUTED_VALUE"""),"Mazda")</f>
        <v>Mazda</v>
      </c>
      <c r="L724" s="5"/>
      <c r="M724" s="5"/>
      <c r="N724" s="26" t="str">
        <f ca="1">IFERROR(__xludf.DUMMYFUNCTION("""COMPUTED_VALUE"""),"https://drive.google.com/open?id=1GAUvWhRRxViPYjyYU_kURE9uC5u-eWie")</f>
        <v>https://drive.google.com/open?id=1GAUvWhRRxViPYjyYU_kURE9uC5u-eWie</v>
      </c>
      <c r="O724" s="5" t="str">
        <f ca="1">IFERROR(__xludf.DUMMYFUNCTION("""COMPUTED_VALUE"""),"NA")</f>
        <v>NA</v>
      </c>
      <c r="P724" s="5">
        <f ca="1">IFERROR(__xludf.DUMMYFUNCTION("""COMPUTED_VALUE"""),2135134943)</f>
        <v>2135134943</v>
      </c>
      <c r="Q724" s="5" t="str">
        <f ca="1">IFERROR(__xludf.DUMMYFUNCTION("""COMPUTED_VALUE"""),"mazda@eliteproperty.com")</f>
        <v>mazda@eliteproperty.com</v>
      </c>
      <c r="R724" s="5"/>
      <c r="S724" s="5"/>
      <c r="T724" s="5"/>
    </row>
    <row r="725" spans="1:20" ht="12.75">
      <c r="A725" s="24">
        <f ca="1">IFERROR(__xludf.DUMMYFUNCTION("""COMPUTED_VALUE"""),45671.1539761458)</f>
        <v>45671.153976145797</v>
      </c>
      <c r="B725" s="5" t="str">
        <f ca="1">IFERROR(__xludf.DUMMYFUNCTION("""COMPUTED_VALUE"""),"133 S Elm Dr APT L")</f>
        <v>133 S Elm Dr APT L</v>
      </c>
      <c r="C725" s="5" t="str">
        <f ca="1">IFERROR(__xludf.DUMMYFUNCTION("""COMPUTED_VALUE"""),"Beverly Hills")</f>
        <v>Beverly Hills</v>
      </c>
      <c r="D725" s="5" t="str">
        <f ca="1">IFERROR(__xludf.DUMMYFUNCTION("""COMPUTED_VALUE"""),"CA")</f>
        <v>CA</v>
      </c>
      <c r="E725" s="5">
        <f ca="1">IFERROR(__xludf.DUMMYFUNCTION("""COMPUTED_VALUE"""),90212)</f>
        <v>90212</v>
      </c>
      <c r="F725" s="19">
        <f ca="1">IFERROR(__xludf.DUMMYFUNCTION("""COMPUTED_VALUE"""),2025)</f>
        <v>2025</v>
      </c>
      <c r="G725" s="19">
        <f ca="1">IFERROR(__xludf.DUMMYFUNCTION("""COMPUTED_VALUE"""),3495)</f>
        <v>3495</v>
      </c>
      <c r="H725" s="18">
        <f ca="1">IFERROR(__xludf.DUMMYFUNCTION("""COMPUTED_VALUE"""),45664)</f>
        <v>45664</v>
      </c>
      <c r="I725" s="5" t="str">
        <f ca="1">IFERROR(__xludf.DUMMYFUNCTION("""COMPUTED_VALUE"""),"Zillow")</f>
        <v>Zillow</v>
      </c>
      <c r="J725" s="25" t="str">
        <f ca="1">IFERROR(__xludf.DUMMYFUNCTION("""COMPUTED_VALUE"""),"https://www.zillow.com/homedetails/133-S-Elm-Dr-APT-L-Beverly-Hills-CA-90212/2082088336_zpid/")</f>
        <v>https://www.zillow.com/homedetails/133-S-Elm-Dr-APT-L-Beverly-Hills-CA-90212/2082088336_zpid/</v>
      </c>
      <c r="K725" s="5" t="str">
        <f ca="1">IFERROR(__xludf.DUMMYFUNCTION("""COMPUTED_VALUE"""),"Javid Jahanshahi")</f>
        <v>Javid Jahanshahi</v>
      </c>
      <c r="L725" s="5"/>
      <c r="M725" s="5"/>
      <c r="N725" s="26" t="str">
        <f ca="1">IFERROR(__xludf.DUMMYFUNCTION("""COMPUTED_VALUE"""),"https://drive.google.com/open?id=1IR9d5odrZROMnqFwGAKL-Fgz9mih0K8N")</f>
        <v>https://drive.google.com/open?id=1IR9d5odrZROMnqFwGAKL-Fgz9mih0K8N</v>
      </c>
      <c r="O725" s="5" t="str">
        <f ca="1">IFERROR(__xludf.DUMMYFUNCTION("""COMPUTED_VALUE"""),"NA")</f>
        <v>NA</v>
      </c>
      <c r="P725" s="5" t="str">
        <f ca="1">IFERROR(__xludf.DUMMYFUNCTION("""COMPUTED_VALUE"""),"(310) 977-9190")</f>
        <v>(310) 977-9190</v>
      </c>
      <c r="Q725" s="5"/>
      <c r="R725" s="5"/>
      <c r="S725" s="5"/>
      <c r="T725" s="5"/>
    </row>
    <row r="726" spans="1:20" ht="12.75">
      <c r="A726" s="24">
        <f ca="1">IFERROR(__xludf.DUMMYFUNCTION("""COMPUTED_VALUE"""),45671.1565328819)</f>
        <v>45671.156532881898</v>
      </c>
      <c r="B726" s="5" t="str">
        <f ca="1">IFERROR(__xludf.DUMMYFUNCTION("""COMPUTED_VALUE"""),"138 N Hamel Dr")</f>
        <v>138 N Hamel Dr</v>
      </c>
      <c r="C726" s="5" t="str">
        <f ca="1">IFERROR(__xludf.DUMMYFUNCTION("""COMPUTED_VALUE"""),"Beverly Hills")</f>
        <v>Beverly Hills</v>
      </c>
      <c r="D726" s="5" t="str">
        <f ca="1">IFERROR(__xludf.DUMMYFUNCTION("""COMPUTED_VALUE"""),"CA")</f>
        <v>CA</v>
      </c>
      <c r="E726" s="5">
        <f ca="1">IFERROR(__xludf.DUMMYFUNCTION("""COMPUTED_VALUE"""),90211)</f>
        <v>90211</v>
      </c>
      <c r="F726" s="19">
        <f ca="1">IFERROR(__xludf.DUMMYFUNCTION("""COMPUTED_VALUE"""),9500)</f>
        <v>9500</v>
      </c>
      <c r="G726" s="19">
        <f ca="1">IFERROR(__xludf.DUMMYFUNCTION("""COMPUTED_VALUE"""),15500)</f>
        <v>15500</v>
      </c>
      <c r="H726" s="18">
        <f ca="1">IFERROR(__xludf.DUMMYFUNCTION("""COMPUTED_VALUE"""),45670)</f>
        <v>45670</v>
      </c>
      <c r="I726" s="5" t="str">
        <f ca="1">IFERROR(__xludf.DUMMYFUNCTION("""COMPUTED_VALUE"""),"Zillow")</f>
        <v>Zillow</v>
      </c>
      <c r="J726" s="25" t="str">
        <f ca="1">IFERROR(__xludf.DUMMYFUNCTION("""COMPUTED_VALUE"""),"https://www.zillow.com/homedetails/138-N-Hamel-Dr-Beverly-Hills-CA-90211/20514615_zpid/")</f>
        <v>https://www.zillow.com/homedetails/138-N-Hamel-Dr-Beverly-Hills-CA-90211/20514615_zpid/</v>
      </c>
      <c r="K726" s="5" t="str">
        <f ca="1">IFERROR(__xludf.DUMMYFUNCTION("""COMPUTED_VALUE"""),"Beki Jun")</f>
        <v>Beki Jun</v>
      </c>
      <c r="L726" s="5" t="str">
        <f ca="1">IFERROR(__xludf.DUMMYFUNCTION("""COMPUTED_VALUE"""),"Beki Jun")</f>
        <v>Beki Jun</v>
      </c>
      <c r="M726" s="5"/>
      <c r="N726" s="26" t="str">
        <f ca="1">IFERROR(__xludf.DUMMYFUNCTION("""COMPUTED_VALUE"""),"https://drive.google.com/open?id=159al1OGyUYkITkQztdNPBareJ7p-Wf-D")</f>
        <v>https://drive.google.com/open?id=159al1OGyUYkITkQztdNPBareJ7p-Wf-D</v>
      </c>
      <c r="O726" s="5">
        <f ca="1">IFERROR(__xludf.DUMMYFUNCTION("""COMPUTED_VALUE"""),4334012048)</f>
        <v>4334012048</v>
      </c>
      <c r="P726" s="5" t="str">
        <f ca="1">IFERROR(__xludf.DUMMYFUNCTION("""COMPUTED_VALUE"""),"(213) 761-2766")</f>
        <v>(213) 761-2766</v>
      </c>
      <c r="Q726" s="5"/>
      <c r="R726" s="5" t="str">
        <f ca="1">IFERROR(__xludf.DUMMYFUNCTION("""COMPUTED_VALUE"""),"(213) 761-2766")</f>
        <v>(213) 761-2766</v>
      </c>
      <c r="S726" s="5"/>
      <c r="T726" s="5"/>
    </row>
    <row r="727" spans="1:20" ht="12.75">
      <c r="A727" s="24">
        <f ca="1">IFERROR(__xludf.DUMMYFUNCTION("""COMPUTED_VALUE"""),45671.1587773958)</f>
        <v>45671.158777395802</v>
      </c>
      <c r="B727" s="5" t="str">
        <f ca="1">IFERROR(__xludf.DUMMYFUNCTION("""COMPUTED_VALUE"""),"9060 Harland Ave")</f>
        <v>9060 Harland Ave</v>
      </c>
      <c r="C727" s="5" t="str">
        <f ca="1">IFERROR(__xludf.DUMMYFUNCTION("""COMPUTED_VALUE"""),"West Hollywood")</f>
        <v>West Hollywood</v>
      </c>
      <c r="D727" s="5" t="str">
        <f ca="1">IFERROR(__xludf.DUMMYFUNCTION("""COMPUTED_VALUE"""),"CA")</f>
        <v>CA</v>
      </c>
      <c r="E727" s="5">
        <f ca="1">IFERROR(__xludf.DUMMYFUNCTION("""COMPUTED_VALUE"""),90069)</f>
        <v>90069</v>
      </c>
      <c r="F727" s="19">
        <f ca="1">IFERROR(__xludf.DUMMYFUNCTION("""COMPUTED_VALUE"""),8500)</f>
        <v>8500</v>
      </c>
      <c r="G727" s="19">
        <f ca="1">IFERROR(__xludf.DUMMYFUNCTION("""COMPUTED_VALUE"""),16000)</f>
        <v>16000</v>
      </c>
      <c r="H727" s="18">
        <f ca="1">IFERROR(__xludf.DUMMYFUNCTION("""COMPUTED_VALUE"""),45668)</f>
        <v>45668</v>
      </c>
      <c r="I727" s="5" t="str">
        <f ca="1">IFERROR(__xludf.DUMMYFUNCTION("""COMPUTED_VALUE"""),"Zillow")</f>
        <v>Zillow</v>
      </c>
      <c r="J727" s="25" t="str">
        <f ca="1">IFERROR(__xludf.DUMMYFUNCTION("""COMPUTED_VALUE"""),"https://www.zillow.com/homedetails/9060-Harland-Ave-West-Hollywood-CA-90069/20518102_zpid/")</f>
        <v>https://www.zillow.com/homedetails/9060-Harland-Ave-West-Hollywood-CA-90069/20518102_zpid/</v>
      </c>
      <c r="K727" s="5" t="str">
        <f ca="1">IFERROR(__xludf.DUMMYFUNCTION("""COMPUTED_VALUE"""),"Patrick Michael")</f>
        <v>Patrick Michael</v>
      </c>
      <c r="L727" s="5"/>
      <c r="M727" s="5" t="str">
        <f ca="1">IFERROR(__xludf.DUMMYFUNCTION("""COMPUTED_VALUE"""),"88.2% increase only to realize that's beyond illegal to turn around and drop it back to it's price on 12/26/24 $7,950")</f>
        <v>88.2% increase only to realize that's beyond illegal to turn around and drop it back to it's price on 12/26/24 $7,950</v>
      </c>
      <c r="N727" s="26" t="str">
        <f ca="1">IFERROR(__xludf.DUMMYFUNCTION("""COMPUTED_VALUE"""),"https://drive.google.com/open?id=1bNjMj7D-qR5LABNsqRUbkAAfr46ZINFe")</f>
        <v>https://drive.google.com/open?id=1bNjMj7D-qR5LABNsqRUbkAAfr46ZINFe</v>
      </c>
      <c r="O727" s="5">
        <f ca="1">IFERROR(__xludf.DUMMYFUNCTION("""COMPUTED_VALUE"""),4340013017)</f>
        <v>4340013017</v>
      </c>
      <c r="P727" s="5">
        <f ca="1">IFERROR(__xludf.DUMMYFUNCTION("""COMPUTED_VALUE"""),3107765170)</f>
        <v>3107765170</v>
      </c>
      <c r="Q727" s="5"/>
      <c r="R727" s="5"/>
      <c r="S727" s="5"/>
      <c r="T727" s="5"/>
    </row>
    <row r="728" spans="1:20" ht="12.75">
      <c r="A728" s="24">
        <f ca="1">IFERROR(__xludf.DUMMYFUNCTION("""COMPUTED_VALUE"""),45671.1594562615)</f>
        <v>45671.159456261499</v>
      </c>
      <c r="B728" s="5" t="str">
        <f ca="1">IFERROR(__xludf.DUMMYFUNCTION("""COMPUTED_VALUE"""),"240 El Camino Dr")</f>
        <v>240 El Camino Dr</v>
      </c>
      <c r="C728" s="5" t="str">
        <f ca="1">IFERROR(__xludf.DUMMYFUNCTION("""COMPUTED_VALUE"""),"Beverly Hills")</f>
        <v>Beverly Hills</v>
      </c>
      <c r="D728" s="5" t="str">
        <f ca="1">IFERROR(__xludf.DUMMYFUNCTION("""COMPUTED_VALUE"""),"CA")</f>
        <v>CA</v>
      </c>
      <c r="E728" s="5">
        <f ca="1">IFERROR(__xludf.DUMMYFUNCTION("""COMPUTED_VALUE"""),90212)</f>
        <v>90212</v>
      </c>
      <c r="F728" s="19">
        <f ca="1">IFERROR(__xludf.DUMMYFUNCTION("""COMPUTED_VALUE"""),13500)</f>
        <v>13500</v>
      </c>
      <c r="G728" s="19">
        <f ca="1">IFERROR(__xludf.DUMMYFUNCTION("""COMPUTED_VALUE"""),32000)</f>
        <v>32000</v>
      </c>
      <c r="H728" s="18">
        <f ca="1">IFERROR(__xludf.DUMMYFUNCTION("""COMPUTED_VALUE"""),45666)</f>
        <v>45666</v>
      </c>
      <c r="I728" s="5" t="str">
        <f ca="1">IFERROR(__xludf.DUMMYFUNCTION("""COMPUTED_VALUE"""),"Zillow")</f>
        <v>Zillow</v>
      </c>
      <c r="J728" s="25" t="str">
        <f ca="1">IFERROR(__xludf.DUMMYFUNCTION("""COMPUTED_VALUE"""),"https://www.zillow.com/homedetails/240-El-Camino-Dr-Beverly-Hills-CA-90212/20509301_zpid/")</f>
        <v>https://www.zillow.com/homedetails/240-El-Camino-Dr-Beverly-Hills-CA-90212/20509301_zpid/</v>
      </c>
      <c r="K728" s="5" t="str">
        <f ca="1">IFERROR(__xludf.DUMMYFUNCTION("""COMPUTED_VALUE"""),"Alex Salcedo")</f>
        <v>Alex Salcedo</v>
      </c>
      <c r="L728" s="5"/>
      <c r="M728" s="5" t="str">
        <f ca="1">IFERROR(__xludf.DUMMYFUNCTION("""COMPUTED_VALUE"""),"Price went up 137% from 2023")</f>
        <v>Price went up 137% from 2023</v>
      </c>
      <c r="N728" s="26" t="str">
        <f ca="1">IFERROR(__xludf.DUMMYFUNCTION("""COMPUTED_VALUE"""),"https://drive.google.com/open?id=1dSWAYNYZ6yGyPLb7UZq92jMEl1dshsBG")</f>
        <v>https://drive.google.com/open?id=1dSWAYNYZ6yGyPLb7UZq92jMEl1dshsBG</v>
      </c>
      <c r="O728" s="5">
        <f ca="1">IFERROR(__xludf.DUMMYFUNCTION("""COMPUTED_VALUE"""),4328034021)</f>
        <v>4328034021</v>
      </c>
      <c r="P728" s="5" t="str">
        <f ca="1">IFERROR(__xludf.DUMMYFUNCTION("""COMPUTED_VALUE"""),"(480) 444-6930")</f>
        <v>(480) 444-6930</v>
      </c>
      <c r="Q728" s="5"/>
      <c r="R728" s="5"/>
      <c r="S728" s="5"/>
      <c r="T728" s="5"/>
    </row>
    <row r="729" spans="1:20" ht="12.75">
      <c r="A729" s="24">
        <f ca="1">IFERROR(__xludf.DUMMYFUNCTION("""COMPUTED_VALUE"""),45671.1658868518)</f>
        <v>45671.165886851799</v>
      </c>
      <c r="B729" s="5" t="str">
        <f ca="1">IFERROR(__xludf.DUMMYFUNCTION("""COMPUTED_VALUE"""),"9297 Burton Way #B")</f>
        <v>9297 Burton Way #B</v>
      </c>
      <c r="C729" s="5" t="str">
        <f ca="1">IFERROR(__xludf.DUMMYFUNCTION("""COMPUTED_VALUE"""),"Beverly Hills")</f>
        <v>Beverly Hills</v>
      </c>
      <c r="D729" s="5" t="str">
        <f ca="1">IFERROR(__xludf.DUMMYFUNCTION("""COMPUTED_VALUE"""),"CA")</f>
        <v>CA</v>
      </c>
      <c r="E729" s="5">
        <f ca="1">IFERROR(__xludf.DUMMYFUNCTION("""COMPUTED_VALUE"""),90210)</f>
        <v>90210</v>
      </c>
      <c r="F729" s="19">
        <f ca="1">IFERROR(__xludf.DUMMYFUNCTION("""COMPUTED_VALUE"""),6995)</f>
        <v>6995</v>
      </c>
      <c r="G729" s="19">
        <f ca="1">IFERROR(__xludf.DUMMYFUNCTION("""COMPUTED_VALUE"""),9750)</f>
        <v>9750</v>
      </c>
      <c r="H729" s="18">
        <f ca="1">IFERROR(__xludf.DUMMYFUNCTION("""COMPUTED_VALUE"""),45667)</f>
        <v>45667</v>
      </c>
      <c r="I729" s="5" t="str">
        <f ca="1">IFERROR(__xludf.DUMMYFUNCTION("""COMPUTED_VALUE"""),"Zillow")</f>
        <v>Zillow</v>
      </c>
      <c r="J729" s="25" t="str">
        <f ca="1">IFERROR(__xludf.DUMMYFUNCTION("""COMPUTED_VALUE"""),"https://www.zillow.com/homedetails/9297-Burton-Way-B-Beverly-Hills-CA-90210/2070939537_zpid/")</f>
        <v>https://www.zillow.com/homedetails/9297-Burton-Way-B-Beverly-Hills-CA-90210/2070939537_zpid/</v>
      </c>
      <c r="K729" s="5" t="str">
        <f ca="1">IFERROR(__xludf.DUMMYFUNCTION("""COMPUTED_VALUE"""),"Matti Bialer")</f>
        <v>Matti Bialer</v>
      </c>
      <c r="L729" s="5"/>
      <c r="M729" s="5"/>
      <c r="N729" s="26" t="str">
        <f ca="1">IFERROR(__xludf.DUMMYFUNCTION("""COMPUTED_VALUE"""),"https://drive.google.com/open?id=1iEOIn41lXjjlkl0CxVtNuJCa8YYnQORB")</f>
        <v>https://drive.google.com/open?id=1iEOIn41lXjjlkl0CxVtNuJCa8YYnQORB</v>
      </c>
      <c r="O729" s="5" t="str">
        <f ca="1">IFERROR(__xludf.DUMMYFUNCTION("""COMPUTED_VALUE"""),"NA")</f>
        <v>NA</v>
      </c>
      <c r="P729" s="5" t="str">
        <f ca="1">IFERROR(__xludf.DUMMYFUNCTION("""COMPUTED_VALUE"""),"(310) 804-7008")</f>
        <v>(310) 804-7008</v>
      </c>
      <c r="Q729" s="5"/>
      <c r="R729" s="5"/>
      <c r="S729" s="5"/>
      <c r="T729" s="5"/>
    </row>
    <row r="730" spans="1:20" ht="12.75">
      <c r="A730" s="24">
        <f ca="1">IFERROR(__xludf.DUMMYFUNCTION("""COMPUTED_VALUE"""),45671.1694655324)</f>
        <v>45671.169465532403</v>
      </c>
      <c r="B730" s="5" t="str">
        <f ca="1">IFERROR(__xludf.DUMMYFUNCTION("""COMPUTED_VALUE"""),"1141 Summit Dr")</f>
        <v>1141 Summit Dr</v>
      </c>
      <c r="C730" s="5" t="str">
        <f ca="1">IFERROR(__xludf.DUMMYFUNCTION("""COMPUTED_VALUE"""),"Beverly Hills")</f>
        <v>Beverly Hills</v>
      </c>
      <c r="D730" s="5" t="str">
        <f ca="1">IFERROR(__xludf.DUMMYFUNCTION("""COMPUTED_VALUE"""),"CA")</f>
        <v>CA</v>
      </c>
      <c r="E730" s="5">
        <f ca="1">IFERROR(__xludf.DUMMYFUNCTION("""COMPUTED_VALUE"""),90210)</f>
        <v>90210</v>
      </c>
      <c r="F730" s="19">
        <f ca="1">IFERROR(__xludf.DUMMYFUNCTION("""COMPUTED_VALUE"""),175000)</f>
        <v>175000</v>
      </c>
      <c r="G730" s="19">
        <f ca="1">IFERROR(__xludf.DUMMYFUNCTION("""COMPUTED_VALUE"""),195000)</f>
        <v>195000</v>
      </c>
      <c r="H730" s="18">
        <f ca="1">IFERROR(__xludf.DUMMYFUNCTION("""COMPUTED_VALUE"""),45665)</f>
        <v>45665</v>
      </c>
      <c r="I730" s="5" t="str">
        <f ca="1">IFERROR(__xludf.DUMMYFUNCTION("""COMPUTED_VALUE"""),"Zillow")</f>
        <v>Zillow</v>
      </c>
      <c r="J730" s="25" t="str">
        <f ca="1">IFERROR(__xludf.DUMMYFUNCTION("""COMPUTED_VALUE"""),"https://www.zillow.com/homedetails/1141-Summit-Dr-Beverly-Hills-CA-90210/135433958_zpid/")</f>
        <v>https://www.zillow.com/homedetails/1141-Summit-Dr-Beverly-Hills-CA-90210/135433958_zpid/</v>
      </c>
      <c r="K730" s="5" t="str">
        <f ca="1">IFERROR(__xludf.DUMMYFUNCTION("""COMPUTED_VALUE"""),"Victor Noval")</f>
        <v>Victor Noval</v>
      </c>
      <c r="L730" s="5"/>
      <c r="M730" s="5"/>
      <c r="N730" s="26" t="str">
        <f ca="1">IFERROR(__xludf.DUMMYFUNCTION("""COMPUTED_VALUE"""),"https://drive.google.com/open?id=1cmWRKUuPfDiKBOGkhiNZR7JFUkl4MloK")</f>
        <v>https://drive.google.com/open?id=1cmWRKUuPfDiKBOGkhiNZR7JFUkl4MloK</v>
      </c>
      <c r="O730" s="5">
        <f ca="1">IFERROR(__xludf.DUMMYFUNCTION("""COMPUTED_VALUE"""),4348013030)</f>
        <v>4348013030</v>
      </c>
      <c r="P730" s="5" t="str">
        <f ca="1">IFERROR(__xludf.DUMMYFUNCTION("""COMPUTED_VALUE"""),"(310) 850-2102")</f>
        <v>(310) 850-2102</v>
      </c>
      <c r="Q730" s="5"/>
      <c r="R730" s="5"/>
      <c r="S730" s="5"/>
      <c r="T730" s="5"/>
    </row>
    <row r="731" spans="1:20" ht="12.75">
      <c r="A731" s="24">
        <f ca="1">IFERROR(__xludf.DUMMYFUNCTION("""COMPUTED_VALUE"""),45671.1723575347)</f>
        <v>45671.172357534699</v>
      </c>
      <c r="B731" s="5" t="str">
        <f ca="1">IFERROR(__xludf.DUMMYFUNCTION("""COMPUTED_VALUE"""),"715 N Rexford Dr")</f>
        <v>715 N Rexford Dr</v>
      </c>
      <c r="C731" s="5" t="str">
        <f ca="1">IFERROR(__xludf.DUMMYFUNCTION("""COMPUTED_VALUE"""),"Beverly Hills")</f>
        <v>Beverly Hills</v>
      </c>
      <c r="D731" s="5" t="str">
        <f ca="1">IFERROR(__xludf.DUMMYFUNCTION("""COMPUTED_VALUE"""),"CA")</f>
        <v>CA</v>
      </c>
      <c r="E731" s="5">
        <f ca="1">IFERROR(__xludf.DUMMYFUNCTION("""COMPUTED_VALUE"""),90210)</f>
        <v>90210</v>
      </c>
      <c r="F731" s="19">
        <f ca="1">IFERROR(__xludf.DUMMYFUNCTION("""COMPUTED_VALUE"""),37500)</f>
        <v>37500</v>
      </c>
      <c r="G731" s="19">
        <f ca="1">IFERROR(__xludf.DUMMYFUNCTION("""COMPUTED_VALUE"""),55000)</f>
        <v>55000</v>
      </c>
      <c r="H731" s="18">
        <f ca="1">IFERROR(__xludf.DUMMYFUNCTION("""COMPUTED_VALUE"""),45669)</f>
        <v>45669</v>
      </c>
      <c r="I731" s="5" t="str">
        <f ca="1">IFERROR(__xludf.DUMMYFUNCTION("""COMPUTED_VALUE"""),"Zillow")</f>
        <v>Zillow</v>
      </c>
      <c r="J731" s="25" t="str">
        <f ca="1">IFERROR(__xludf.DUMMYFUNCTION("""COMPUTED_VALUE"""),"https://www.zillow.com/homedetails/715-N-Rexford-Dr-Beverly-Hills-CA-90210/20520993_zpid/")</f>
        <v>https://www.zillow.com/homedetails/715-N-Rexford-Dr-Beverly-Hills-CA-90210/20520993_zpid/</v>
      </c>
      <c r="K731" s="5" t="str">
        <f ca="1">IFERROR(__xludf.DUMMYFUNCTION("""COMPUTED_VALUE"""),"Luxury Property management LLC")</f>
        <v>Luxury Property management LLC</v>
      </c>
      <c r="L731" s="5"/>
      <c r="M731" s="5"/>
      <c r="N731" s="26" t="str">
        <f ca="1">IFERROR(__xludf.DUMMYFUNCTION("""COMPUTED_VALUE"""),"https://drive.google.com/open?id=196FAEx96NieELOhTuJ4I2Q8suaztVYVS")</f>
        <v>https://drive.google.com/open?id=196FAEx96NieELOhTuJ4I2Q8suaztVYVS</v>
      </c>
      <c r="O731" s="5">
        <f ca="1">IFERROR(__xludf.DUMMYFUNCTION("""COMPUTED_VALUE"""),4344003017)</f>
        <v>4344003017</v>
      </c>
      <c r="P731" s="5" t="str">
        <f ca="1">IFERROR(__xludf.DUMMYFUNCTION("""COMPUTED_VALUE"""),"(818) 620-4955")</f>
        <v>(818) 620-4955</v>
      </c>
      <c r="Q731" s="5"/>
      <c r="R731" s="5"/>
      <c r="S731" s="5"/>
      <c r="T731" s="5"/>
    </row>
    <row r="732" spans="1:20" ht="12.75">
      <c r="A732" s="24">
        <f ca="1">IFERROR(__xludf.DUMMYFUNCTION("""COMPUTED_VALUE"""),45671.173183206)</f>
        <v>45671.173183206003</v>
      </c>
      <c r="B732" s="5" t="str">
        <f ca="1">IFERROR(__xludf.DUMMYFUNCTION("""COMPUTED_VALUE"""),"1070 s bedford st #405a")</f>
        <v>1070 s bedford st #405a</v>
      </c>
      <c r="C732" s="5" t="str">
        <f ca="1">IFERROR(__xludf.DUMMYFUNCTION("""COMPUTED_VALUE"""),"los angeles")</f>
        <v>los angeles</v>
      </c>
      <c r="D732" s="5" t="str">
        <f ca="1">IFERROR(__xludf.DUMMYFUNCTION("""COMPUTED_VALUE"""),"CA")</f>
        <v>CA</v>
      </c>
      <c r="E732" s="5">
        <f ca="1">IFERROR(__xludf.DUMMYFUNCTION("""COMPUTED_VALUE"""),90035)</f>
        <v>90035</v>
      </c>
      <c r="F732" s="19">
        <f ca="1">IFERROR(__xludf.DUMMYFUNCTION("""COMPUTED_VALUE"""),4690)</f>
        <v>4690</v>
      </c>
      <c r="G732" s="19">
        <f ca="1">IFERROR(__xludf.DUMMYFUNCTION("""COMPUTED_VALUE"""),10000)</f>
        <v>10000</v>
      </c>
      <c r="H732" s="18">
        <f ca="1">IFERROR(__xludf.DUMMYFUNCTION("""COMPUTED_VALUE"""),45670)</f>
        <v>45670</v>
      </c>
      <c r="I732" s="5" t="str">
        <f ca="1">IFERROR(__xludf.DUMMYFUNCTION("""COMPUTED_VALUE"""),"Zillow")</f>
        <v>Zillow</v>
      </c>
      <c r="J732" s="25" t="str">
        <f ca="1">IFERROR(__xludf.DUMMYFUNCTION("""COMPUTED_VALUE"""),"https://www.zillow.com/homedetails/1070-S-Bedford-St-405A-Los-Angeles-CA-90035/443493164_zpid/?utm_campaign=iosappmessage&amp;utm_medium=referral&amp;utm_source=txtshare")</f>
        <v>https://www.zillow.com/homedetails/1070-S-Bedford-St-405A-Los-Angeles-CA-90035/443493164_zpid/?utm_campaign=iosappmessage&amp;utm_medium=referral&amp;utm_source=txtshare</v>
      </c>
      <c r="K732" s="5" t="str">
        <f ca="1">IFERROR(__xludf.DUMMYFUNCTION("""COMPUTED_VALUE"""),"Hoffman Brothers Realty")</f>
        <v>Hoffman Brothers Realty</v>
      </c>
      <c r="L732" s="5"/>
      <c r="M732" s="5"/>
      <c r="N732" s="5" t="str">
        <f ca="1">IFERROR(__xludf.DUMMYFUNCTION("""COMPUTED_VALUE"""),"https://drive.google.com/open?id=1-wATbZlC29pZKjq_lyX9GzTBhxWyS7GI, https://drive.google.com/open?id=11FflnrmZSFXmHrh4JBnFuEitTS2ncEZE")</f>
        <v>https://drive.google.com/open?id=1-wATbZlC29pZKjq_lyX9GzTBhxWyS7GI, https://drive.google.com/open?id=11FflnrmZSFXmHrh4JBnFuEitTS2ncEZE</v>
      </c>
      <c r="O732" s="5" t="str">
        <f ca="1">IFERROR(__xludf.DUMMYFUNCTION("""COMPUTED_VALUE"""),"NA")</f>
        <v>NA</v>
      </c>
      <c r="P732" s="5" t="str">
        <f ca="1">IFERROR(__xludf.DUMMYFUNCTION("""COMPUTED_VALUE"""),"213 855-2731")</f>
        <v>213 855-2731</v>
      </c>
      <c r="Q732" s="5"/>
      <c r="R732" s="5"/>
      <c r="S732" s="5"/>
      <c r="T732" s="5"/>
    </row>
    <row r="733" spans="1:20" ht="12.75">
      <c r="A733" s="24">
        <f ca="1">IFERROR(__xludf.DUMMYFUNCTION("""COMPUTED_VALUE"""),45671.1748574421)</f>
        <v>45671.1748574421</v>
      </c>
      <c r="B733" s="5" t="str">
        <f ca="1">IFERROR(__xludf.DUMMYFUNCTION("""COMPUTED_VALUE"""),"508 N Canon Dr")</f>
        <v>508 N Canon Dr</v>
      </c>
      <c r="C733" s="5" t="str">
        <f ca="1">IFERROR(__xludf.DUMMYFUNCTION("""COMPUTED_VALUE"""),"Beverly Hills")</f>
        <v>Beverly Hills</v>
      </c>
      <c r="D733" s="5" t="str">
        <f ca="1">IFERROR(__xludf.DUMMYFUNCTION("""COMPUTED_VALUE"""),"CA")</f>
        <v>CA</v>
      </c>
      <c r="E733" s="5">
        <f ca="1">IFERROR(__xludf.DUMMYFUNCTION("""COMPUTED_VALUE"""),90210)</f>
        <v>90210</v>
      </c>
      <c r="F733" s="19">
        <f ca="1">IFERROR(__xludf.DUMMYFUNCTION("""COMPUTED_VALUE"""),20000)</f>
        <v>20000</v>
      </c>
      <c r="G733" s="19">
        <f ca="1">IFERROR(__xludf.DUMMYFUNCTION("""COMPUTED_VALUE"""),30000)</f>
        <v>30000</v>
      </c>
      <c r="H733" s="18">
        <f ca="1">IFERROR(__xludf.DUMMYFUNCTION("""COMPUTED_VALUE"""),45665)</f>
        <v>45665</v>
      </c>
      <c r="I733" s="5" t="str">
        <f ca="1">IFERROR(__xludf.DUMMYFUNCTION("""COMPUTED_VALUE"""),"Zillow")</f>
        <v>Zillow</v>
      </c>
      <c r="J733" s="25" t="str">
        <f ca="1">IFERROR(__xludf.DUMMYFUNCTION("""COMPUTED_VALUE"""),"https://www.zillow.com/homedetails/508-N-Canon-Dr-Beverly-Hills-CA-90210/20521062_zpid/")</f>
        <v>https://www.zillow.com/homedetails/508-N-Canon-Dr-Beverly-Hills-CA-90210/20521062_zpid/</v>
      </c>
      <c r="K733" s="5" t="str">
        <f ca="1">IFERROR(__xludf.DUMMYFUNCTION("""COMPUTED_VALUE"""),"Ariel Dromy")</f>
        <v>Ariel Dromy</v>
      </c>
      <c r="L733" s="5"/>
      <c r="M733" s="5"/>
      <c r="N733" s="26" t="str">
        <f ca="1">IFERROR(__xludf.DUMMYFUNCTION("""COMPUTED_VALUE"""),"https://drive.google.com/open?id=13YtClyTpPwYd8Z7DfNaTw0xbKif4Wn0y")</f>
        <v>https://drive.google.com/open?id=13YtClyTpPwYd8Z7DfNaTw0xbKif4Wn0y</v>
      </c>
      <c r="O733" s="5">
        <f ca="1">IFERROR(__xludf.DUMMYFUNCTION("""COMPUTED_VALUE"""),4344007003)</f>
        <v>4344007003</v>
      </c>
      <c r="P733" s="5" t="str">
        <f ca="1">IFERROR(__xludf.DUMMYFUNCTION("""COMPUTED_VALUE"""),"(213) 545-1059")</f>
        <v>(213) 545-1059</v>
      </c>
      <c r="Q733" s="5"/>
      <c r="R733" s="5"/>
      <c r="S733" s="5"/>
      <c r="T733" s="5"/>
    </row>
    <row r="734" spans="1:20" ht="12.75">
      <c r="A734" s="24">
        <f ca="1">IFERROR(__xludf.DUMMYFUNCTION("""COMPUTED_VALUE"""),45671.1779301273)</f>
        <v>45671.177930127298</v>
      </c>
      <c r="B734" s="5" t="str">
        <f ca="1">IFERROR(__xludf.DUMMYFUNCTION("""COMPUTED_VALUE"""),"620 N Walden Dr")</f>
        <v>620 N Walden Dr</v>
      </c>
      <c r="C734" s="5" t="str">
        <f ca="1">IFERROR(__xludf.DUMMYFUNCTION("""COMPUTED_VALUE"""),"Beverly Hills")</f>
        <v>Beverly Hills</v>
      </c>
      <c r="D734" s="5" t="str">
        <f ca="1">IFERROR(__xludf.DUMMYFUNCTION("""COMPUTED_VALUE"""),"CA")</f>
        <v>CA</v>
      </c>
      <c r="E734" s="5">
        <f ca="1">IFERROR(__xludf.DUMMYFUNCTION("""COMPUTED_VALUE"""),90210)</f>
        <v>90210</v>
      </c>
      <c r="F734" s="19">
        <f ca="1">IFERROR(__xludf.DUMMYFUNCTION("""COMPUTED_VALUE"""),49500)</f>
        <v>49500</v>
      </c>
      <c r="G734" s="19">
        <f ca="1">IFERROR(__xludf.DUMMYFUNCTION("""COMPUTED_VALUE"""),55000)</f>
        <v>55000</v>
      </c>
      <c r="H734" s="18">
        <f ca="1">IFERROR(__xludf.DUMMYFUNCTION("""COMPUTED_VALUE"""),45667)</f>
        <v>45667</v>
      </c>
      <c r="I734" s="5" t="str">
        <f ca="1">IFERROR(__xludf.DUMMYFUNCTION("""COMPUTED_VALUE"""),"Zillow")</f>
        <v>Zillow</v>
      </c>
      <c r="J734" s="25" t="str">
        <f ca="1">IFERROR(__xludf.DUMMYFUNCTION("""COMPUTED_VALUE"""),"https://www.zillow.com/homedetails/620-N-Walden-Dr-Beverly-Hills-CA-90210/2054212565_zpid/")</f>
        <v>https://www.zillow.com/homedetails/620-N-Walden-Dr-Beverly-Hills-CA-90210/2054212565_zpid/</v>
      </c>
      <c r="K734" s="5" t="str">
        <f ca="1">IFERROR(__xludf.DUMMYFUNCTION("""COMPUTED_VALUE"""),"Dustin Nicholas")</f>
        <v>Dustin Nicholas</v>
      </c>
      <c r="L734" s="5"/>
      <c r="M734" s="5"/>
      <c r="N734" s="26" t="str">
        <f ca="1">IFERROR(__xludf.DUMMYFUNCTION("""COMPUTED_VALUE"""),"https://drive.google.com/open?id=1z2tZVhrjBEU6gShZuGw3lc000pX2JNYE")</f>
        <v>https://drive.google.com/open?id=1z2tZVhrjBEU6gShZuGw3lc000pX2JNYE</v>
      </c>
      <c r="O734" s="5" t="str">
        <f ca="1">IFERROR(__xludf.DUMMYFUNCTION("""COMPUTED_VALUE"""),"NA")</f>
        <v>NA</v>
      </c>
      <c r="P734" s="5" t="str">
        <f ca="1">IFERROR(__xludf.DUMMYFUNCTION("""COMPUTED_VALUE"""),"(310) 770-1847")</f>
        <v>(310) 770-1847</v>
      </c>
      <c r="Q734" s="5"/>
      <c r="R734" s="5"/>
      <c r="S734" s="5"/>
      <c r="T734" s="5"/>
    </row>
    <row r="735" spans="1:20" ht="12.75">
      <c r="A735" s="24">
        <f ca="1">IFERROR(__xludf.DUMMYFUNCTION("""COMPUTED_VALUE"""),45671.1799706481)</f>
        <v>45671.179970648103</v>
      </c>
      <c r="B735" s="5" t="str">
        <f ca="1">IFERROR(__xludf.DUMMYFUNCTION("""COMPUTED_VALUE"""),"2935 Westwood Blvd")</f>
        <v>2935 Westwood Blvd</v>
      </c>
      <c r="C735" s="5" t="str">
        <f ca="1">IFERROR(__xludf.DUMMYFUNCTION("""COMPUTED_VALUE"""),"Los Angeles")</f>
        <v>Los Angeles</v>
      </c>
      <c r="D735" s="5" t="str">
        <f ca="1">IFERROR(__xludf.DUMMYFUNCTION("""COMPUTED_VALUE"""),"CA")</f>
        <v>CA</v>
      </c>
      <c r="E735" s="5">
        <f ca="1">IFERROR(__xludf.DUMMYFUNCTION("""COMPUTED_VALUE"""),90064)</f>
        <v>90064</v>
      </c>
      <c r="F735" s="19">
        <f ca="1">IFERROR(__xludf.DUMMYFUNCTION("""COMPUTED_VALUE"""),4985)</f>
        <v>4985</v>
      </c>
      <c r="G735" s="19">
        <f ca="1">IFERROR(__xludf.DUMMYFUNCTION("""COMPUTED_VALUE"""),6485)</f>
        <v>6485</v>
      </c>
      <c r="H735" s="18">
        <f ca="1">IFERROR(__xludf.DUMMYFUNCTION("""COMPUTED_VALUE"""),45667)</f>
        <v>45667</v>
      </c>
      <c r="I735" s="5" t="str">
        <f ca="1">IFERROR(__xludf.DUMMYFUNCTION("""COMPUTED_VALUE"""),"Zillow")</f>
        <v>Zillow</v>
      </c>
      <c r="J735" s="25" t="str">
        <f ca="1">IFERROR(__xludf.DUMMYFUNCTION("""COMPUTED_VALUE"""),"https://www.zillow.com/homedetails/2935-Westwood-Blvd-Los-Angeles-CA-90064/20460870_zpid/")</f>
        <v>https://www.zillow.com/homedetails/2935-Westwood-Blvd-Los-Angeles-CA-90064/20460870_zpid/</v>
      </c>
      <c r="K735" s="5" t="str">
        <f ca="1">IFERROR(__xludf.DUMMYFUNCTION("""COMPUTED_VALUE"""),"Charles Bellavia")</f>
        <v>Charles Bellavia</v>
      </c>
      <c r="L735" s="5"/>
      <c r="M735" s="5"/>
      <c r="N735" s="26" t="str">
        <f ca="1">IFERROR(__xludf.DUMMYFUNCTION("""COMPUTED_VALUE"""),"https://drive.google.com/open?id=1g2UMXY2otHkN_Np1HCRHFspECLE8Cw40")</f>
        <v>https://drive.google.com/open?id=1g2UMXY2otHkN_Np1HCRHFspECLE8Cw40</v>
      </c>
      <c r="O735" s="5">
        <f ca="1">IFERROR(__xludf.DUMMYFUNCTION("""COMPUTED_VALUE"""),4254003004)</f>
        <v>4254003004</v>
      </c>
      <c r="P735" s="5">
        <f ca="1">IFERROR(__xludf.DUMMYFUNCTION("""COMPUTED_VALUE"""),9495001229)</f>
        <v>9495001229</v>
      </c>
      <c r="Q735" s="5" t="str">
        <f ca="1">IFERROR(__xludf.DUMMYFUNCTION("""COMPUTED_VALUE"""),"Dennis@BVLuxuryHomes.com")</f>
        <v>Dennis@BVLuxuryHomes.com</v>
      </c>
      <c r="R735" s="5"/>
      <c r="S735" s="5"/>
      <c r="T735" s="5"/>
    </row>
    <row r="736" spans="1:20" ht="12.75">
      <c r="A736" s="24">
        <f ca="1">IFERROR(__xludf.DUMMYFUNCTION("""COMPUTED_VALUE"""),45671.1804723148)</f>
        <v>45671.180472314802</v>
      </c>
      <c r="B736" s="5" t="str">
        <f ca="1">IFERROR(__xludf.DUMMYFUNCTION("""COMPUTED_VALUE"""),"815 N Whittier Dr")</f>
        <v>815 N Whittier Dr</v>
      </c>
      <c r="C736" s="5" t="str">
        <f ca="1">IFERROR(__xludf.DUMMYFUNCTION("""COMPUTED_VALUE"""),"Beverly Hills")</f>
        <v>Beverly Hills</v>
      </c>
      <c r="D736" s="5" t="str">
        <f ca="1">IFERROR(__xludf.DUMMYFUNCTION("""COMPUTED_VALUE"""),"CA")</f>
        <v>CA</v>
      </c>
      <c r="E736" s="5">
        <f ca="1">IFERROR(__xludf.DUMMYFUNCTION("""COMPUTED_VALUE"""),90210)</f>
        <v>90210</v>
      </c>
      <c r="F736" s="19">
        <f ca="1">IFERROR(__xludf.DUMMYFUNCTION("""COMPUTED_VALUE"""),29000)</f>
        <v>29000</v>
      </c>
      <c r="G736" s="19">
        <f ca="1">IFERROR(__xludf.DUMMYFUNCTION("""COMPUTED_VALUE"""),67500)</f>
        <v>67500</v>
      </c>
      <c r="H736" s="18">
        <f ca="1">IFERROR(__xludf.DUMMYFUNCTION("""COMPUTED_VALUE"""),45669)</f>
        <v>45669</v>
      </c>
      <c r="I736" s="5" t="str">
        <f ca="1">IFERROR(__xludf.DUMMYFUNCTION("""COMPUTED_VALUE"""),"Zillow")</f>
        <v>Zillow</v>
      </c>
      <c r="J736" s="25" t="str">
        <f ca="1">IFERROR(__xludf.DUMMYFUNCTION("""COMPUTED_VALUE"""),"https://www.zillow.com/homedetails/815-N-Whittier-Dr-Beverly-Hills-CA-90210/20521924_zpid/")</f>
        <v>https://www.zillow.com/homedetails/815-N-Whittier-Dr-Beverly-Hills-CA-90210/20521924_zpid/</v>
      </c>
      <c r="K736" s="5" t="str">
        <f ca="1">IFERROR(__xludf.DUMMYFUNCTION("""COMPUTED_VALUE"""),"EQM Real Estate")</f>
        <v>EQM Real Estate</v>
      </c>
      <c r="L736" s="5"/>
      <c r="M736" s="5"/>
      <c r="N736" s="26" t="str">
        <f ca="1">IFERROR(__xludf.DUMMYFUNCTION("""COMPUTED_VALUE"""),"https://drive.google.com/open?id=1ANs4CrYYP2KIpOa0f1jEPj0Y_WV0QtoU")</f>
        <v>https://drive.google.com/open?id=1ANs4CrYYP2KIpOa0f1jEPj0Y_WV0QtoU</v>
      </c>
      <c r="O736" s="5">
        <f ca="1">IFERROR(__xludf.DUMMYFUNCTION("""COMPUTED_VALUE"""),4345034007)</f>
        <v>4345034007</v>
      </c>
      <c r="P736" s="5" t="str">
        <f ca="1">IFERROR(__xludf.DUMMYFUNCTION("""COMPUTED_VALUE"""),"(213) 772-4996")</f>
        <v>(213) 772-4996</v>
      </c>
      <c r="Q736" s="5"/>
      <c r="R736" s="5"/>
      <c r="S736" s="5"/>
      <c r="T736" s="5"/>
    </row>
    <row r="737" spans="1:20" ht="12.75">
      <c r="A737" s="24">
        <f ca="1">IFERROR(__xludf.DUMMYFUNCTION("""COMPUTED_VALUE"""),45671.1908525115)</f>
        <v>45671.1908525115</v>
      </c>
      <c r="B737" s="5" t="str">
        <f ca="1">IFERROR(__xludf.DUMMYFUNCTION("""COMPUTED_VALUE"""),"4267 Marina City Dr, UNIT 102")</f>
        <v>4267 Marina City Dr, UNIT 102</v>
      </c>
      <c r="C737" s="5" t="str">
        <f ca="1">IFERROR(__xludf.DUMMYFUNCTION("""COMPUTED_VALUE"""),"Marina Del Rey")</f>
        <v>Marina Del Rey</v>
      </c>
      <c r="D737" s="5" t="str">
        <f ca="1">IFERROR(__xludf.DUMMYFUNCTION("""COMPUTED_VALUE"""),"CA")</f>
        <v>CA</v>
      </c>
      <c r="E737" s="5">
        <f ca="1">IFERROR(__xludf.DUMMYFUNCTION("""COMPUTED_VALUE"""),90292)</f>
        <v>90292</v>
      </c>
      <c r="F737" s="19">
        <f ca="1">IFERROR(__xludf.DUMMYFUNCTION("""COMPUTED_VALUE"""),5200)</f>
        <v>5200</v>
      </c>
      <c r="G737" s="19">
        <f ca="1">IFERROR(__xludf.DUMMYFUNCTION("""COMPUTED_VALUE"""),6500)</f>
        <v>6500</v>
      </c>
      <c r="H737" s="18">
        <f ca="1">IFERROR(__xludf.DUMMYFUNCTION("""COMPUTED_VALUE"""),45668)</f>
        <v>45668</v>
      </c>
      <c r="I737" s="5" t="str">
        <f ca="1">IFERROR(__xludf.DUMMYFUNCTION("""COMPUTED_VALUE"""),"Zillow")</f>
        <v>Zillow</v>
      </c>
      <c r="J737" s="25" t="str">
        <f ca="1">IFERROR(__xludf.DUMMYFUNCTION("""COMPUTED_VALUE"""),"https://www.zillow.com/homedetails/4267-Marina-City-Dr-UNIT-102-Marina-Del-Rey-CA-90292/302687068_zpid/")</f>
        <v>https://www.zillow.com/homedetails/4267-Marina-City-Dr-UNIT-102-Marina-Del-Rey-CA-90292/302687068_zpid/</v>
      </c>
      <c r="K737" s="5" t="str">
        <f ca="1">IFERROR(__xludf.DUMMYFUNCTION("""COMPUTED_VALUE"""),"Eileen Mccarthy")</f>
        <v>Eileen Mccarthy</v>
      </c>
      <c r="L737" s="5"/>
      <c r="M737" s="5"/>
      <c r="N737" s="26" t="str">
        <f ca="1">IFERROR(__xludf.DUMMYFUNCTION("""COMPUTED_VALUE"""),"https://drive.google.com/open?id=1T_M5MmfCBWDPjrAZ3xQSZ1IPega5W75p")</f>
        <v>https://drive.google.com/open?id=1T_M5MmfCBWDPjrAZ3xQSZ1IPega5W75p</v>
      </c>
      <c r="O737" s="5">
        <f ca="1">IFERROR(__xludf.DUMMYFUNCTION("""COMPUTED_VALUE"""),8940435012)</f>
        <v>8940435012</v>
      </c>
      <c r="P737" s="5">
        <f ca="1">IFERROR(__xludf.DUMMYFUNCTION("""COMPUTED_VALUE"""),3108228910)</f>
        <v>3108228910</v>
      </c>
      <c r="Q737" s="5"/>
      <c r="R737" s="5"/>
      <c r="S737" s="5"/>
      <c r="T737" s="5"/>
    </row>
    <row r="738" spans="1:20" ht="12.75">
      <c r="A738" s="24">
        <f ca="1">IFERROR(__xludf.DUMMYFUNCTION("""COMPUTED_VALUE"""),45671.2252834143)</f>
        <v>45671.2252834143</v>
      </c>
      <c r="B738" s="5" t="str">
        <f ca="1">IFERROR(__xludf.DUMMYFUNCTION("""COMPUTED_VALUE"""),"1847 Stearns Dr.")</f>
        <v>1847 Stearns Dr.</v>
      </c>
      <c r="C738" s="5" t="str">
        <f ca="1">IFERROR(__xludf.DUMMYFUNCTION("""COMPUTED_VALUE""")," Los Angeles ")</f>
        <v xml:space="preserve"> Los Angeles </v>
      </c>
      <c r="D738" s="5" t="str">
        <f ca="1">IFERROR(__xludf.DUMMYFUNCTION("""COMPUTED_VALUE"""),"CA")</f>
        <v>CA</v>
      </c>
      <c r="E738" s="5">
        <f ca="1">IFERROR(__xludf.DUMMYFUNCTION("""COMPUTED_VALUE"""),90035)</f>
        <v>90035</v>
      </c>
      <c r="F738" s="19">
        <f ca="1">IFERROR(__xludf.DUMMYFUNCTION("""COMPUTED_VALUE"""),1)</f>
        <v>1</v>
      </c>
      <c r="G738" s="19">
        <f ca="1">IFERROR(__xludf.DUMMYFUNCTION("""COMPUTED_VALUE"""),16990)</f>
        <v>16990</v>
      </c>
      <c r="H738" s="18">
        <f ca="1">IFERROR(__xludf.DUMMYFUNCTION("""COMPUTED_VALUE"""),45671)</f>
        <v>45671</v>
      </c>
      <c r="I738" s="5" t="str">
        <f ca="1">IFERROR(__xludf.DUMMYFUNCTION("""COMPUTED_VALUE"""),"Zillow")</f>
        <v>Zillow</v>
      </c>
      <c r="J738" s="25" t="str">
        <f ca="1">IFERROR(__xludf.DUMMYFUNCTION("""COMPUTED_VALUE"""),"https://www.zillow.com/homedetails/1847-Stearns-Dr-Los-Angeles-CA-90035/20598518_zpid/")</f>
        <v>https://www.zillow.com/homedetails/1847-Stearns-Dr-Los-Angeles-CA-90035/20598518_zpid/</v>
      </c>
      <c r="K738" s="26" t="str">
        <f ca="1">IFERROR(__xludf.DUMMYFUNCTION("""COMPUTED_VALUE"""),"https://www.zillow.com/homedetails/1847-Stearns-Dr-Los-Angeles-CA-90035/20598518_zpid/")</f>
        <v>https://www.zillow.com/homedetails/1847-Stearns-Dr-Los-Angeles-CA-90035/20598518_zpid/</v>
      </c>
      <c r="L738" s="5"/>
      <c r="M738" s="5"/>
      <c r="N738" s="26" t="str">
        <f ca="1">IFERROR(__xludf.DUMMYFUNCTION("""COMPUTED_VALUE"""),"https://drive.google.com/open?id=1vfQUQF1zH9vYJCcmFigdvDL1g_Lfyjkk")</f>
        <v>https://drive.google.com/open?id=1vfQUQF1zH9vYJCcmFigdvDL1g_Lfyjkk</v>
      </c>
      <c r="O738" s="5">
        <f ca="1">IFERROR(__xludf.DUMMYFUNCTION("""COMPUTED_VALUE"""),5066009022)</f>
        <v>5066009022</v>
      </c>
      <c r="P738" s="5" t="str">
        <f ca="1">IFERROR(__xludf.DUMMYFUNCTION("""COMPUTED_VALUE"""),"(213) 715-6250")</f>
        <v>(213) 715-6250</v>
      </c>
      <c r="Q738" s="5"/>
      <c r="R738" s="5"/>
      <c r="S738" s="5"/>
      <c r="T738" s="5"/>
    </row>
    <row r="739" spans="1:20" ht="12.75">
      <c r="A739" s="24">
        <f ca="1">IFERROR(__xludf.DUMMYFUNCTION("""COMPUTED_VALUE"""),45671.3355233101)</f>
        <v>45671.335523310103</v>
      </c>
      <c r="B739" s="5" t="str">
        <f ca="1">IFERROR(__xludf.DUMMYFUNCTION("""COMPUTED_VALUE"""),"4504 Cedros Ave,")</f>
        <v>4504 Cedros Ave,</v>
      </c>
      <c r="C739" s="5" t="str">
        <f ca="1">IFERROR(__xludf.DUMMYFUNCTION("""COMPUTED_VALUE"""),"Sherman Oaks,")</f>
        <v>Sherman Oaks,</v>
      </c>
      <c r="D739" s="5" t="str">
        <f ca="1">IFERROR(__xludf.DUMMYFUNCTION("""COMPUTED_VALUE"""),"CA")</f>
        <v>CA</v>
      </c>
      <c r="E739" s="5">
        <f ca="1">IFERROR(__xludf.DUMMYFUNCTION("""COMPUTED_VALUE"""),91403)</f>
        <v>91403</v>
      </c>
      <c r="F739" s="19">
        <f ca="1">IFERROR(__xludf.DUMMYFUNCTION("""COMPUTED_VALUE"""),18000)</f>
        <v>18000</v>
      </c>
      <c r="G739" s="19">
        <f ca="1">IFERROR(__xludf.DUMMYFUNCTION("""COMPUTED_VALUE"""),25000)</f>
        <v>25000</v>
      </c>
      <c r="H739" s="18">
        <f ca="1">IFERROR(__xludf.DUMMYFUNCTION("""COMPUTED_VALUE"""),45671)</f>
        <v>45671</v>
      </c>
      <c r="I739" s="5" t="str">
        <f ca="1">IFERROR(__xludf.DUMMYFUNCTION("""COMPUTED_VALUE"""),"Zillow")</f>
        <v>Zillow</v>
      </c>
      <c r="J739" s="25" t="str">
        <f ca="1">IFERROR(__xludf.DUMMYFUNCTION("""COMPUTED_VALUE"""),"https://www.zillow.com/homedetails/4504-Cedros-Ave-Sherman-Oaks-CA-91403/19983993_zpid/")</f>
        <v>https://www.zillow.com/homedetails/4504-Cedros-Ave-Sherman-Oaks-CA-91403/19983993_zpid/</v>
      </c>
      <c r="K739" s="5" t="str">
        <f ca="1">IFERROR(__xludf.DUMMYFUNCTION("""COMPUTED_VALUE""")," Michael Azran")</f>
        <v xml:space="preserve"> Michael Azran</v>
      </c>
      <c r="L739" s="5" t="str">
        <f ca="1">IFERROR(__xludf.DUMMYFUNCTION("""COMPUTED_VALUE"""),"Michael arzan")</f>
        <v>Michael arzan</v>
      </c>
      <c r="M739" s="5"/>
      <c r="N739" s="26" t="str">
        <f ca="1">IFERROR(__xludf.DUMMYFUNCTION("""COMPUTED_VALUE"""),"https://drive.google.com/open?id=19aDHEmCcg4Pt9jf2qxt5OhqGf9W9Hynw")</f>
        <v>https://drive.google.com/open?id=19aDHEmCcg4Pt9jf2qxt5OhqGf9W9Hynw</v>
      </c>
      <c r="O739" s="5">
        <f ca="1">IFERROR(__xludf.DUMMYFUNCTION("""COMPUTED_VALUE"""),2265004009)</f>
        <v>2265004009</v>
      </c>
      <c r="P739" s="5" t="str">
        <f ca="1">IFERROR(__xludf.DUMMYFUNCTION("""COMPUTED_VALUE"""),"(323) 474-8338")</f>
        <v>(323) 474-8338</v>
      </c>
      <c r="Q739" s="5"/>
      <c r="R739" s="5" t="str">
        <f ca="1">IFERROR(__xludf.DUMMYFUNCTION("""COMPUTED_VALUE"""),"(323) 474-8338")</f>
        <v>(323) 474-8338</v>
      </c>
      <c r="S739" s="5"/>
      <c r="T739" s="5"/>
    </row>
    <row r="740" spans="1:20" ht="12.75">
      <c r="A740" s="24">
        <f ca="1">IFERROR(__xludf.DUMMYFUNCTION("""COMPUTED_VALUE"""),45671.3430243865)</f>
        <v>45671.3430243865</v>
      </c>
      <c r="B740" s="5" t="str">
        <f ca="1">IFERROR(__xludf.DUMMYFUNCTION("""COMPUTED_VALUE"""),"16 park avenue")</f>
        <v>16 park avenue</v>
      </c>
      <c r="C740" s="5" t="str">
        <f ca="1">IFERROR(__xludf.DUMMYFUNCTION("""COMPUTED_VALUE"""),"Venice")</f>
        <v>Venice</v>
      </c>
      <c r="D740" s="5" t="str">
        <f ca="1">IFERROR(__xludf.DUMMYFUNCTION("""COMPUTED_VALUE"""),"CA")</f>
        <v>CA</v>
      </c>
      <c r="E740" s="5">
        <f ca="1">IFERROR(__xludf.DUMMYFUNCTION("""COMPUTED_VALUE"""),90291)</f>
        <v>90291</v>
      </c>
      <c r="F740" s="19">
        <f ca="1">IFERROR(__xludf.DUMMYFUNCTION("""COMPUTED_VALUE"""),7995)</f>
        <v>7995</v>
      </c>
      <c r="G740" s="19">
        <f ca="1">IFERROR(__xludf.DUMMYFUNCTION("""COMPUTED_VALUE"""),30000)</f>
        <v>30000</v>
      </c>
      <c r="H740" s="18">
        <f ca="1">IFERROR(__xludf.DUMMYFUNCTION("""COMPUTED_VALUE"""),45670)</f>
        <v>45670</v>
      </c>
      <c r="I740" s="5" t="str">
        <f ca="1">IFERROR(__xludf.DUMMYFUNCTION("""COMPUTED_VALUE"""),"Zillow")</f>
        <v>Zillow</v>
      </c>
      <c r="J740" s="25" t="str">
        <f ca="1">IFERROR(__xludf.DUMMYFUNCTION("""COMPUTED_VALUE"""),"https://www.zillow.com/homedetails/16-Park-Ave-Venice-CA-90291/20482259_zpid/")</f>
        <v>https://www.zillow.com/homedetails/16-Park-Ave-Venice-CA-90291/20482259_zpid/</v>
      </c>
      <c r="K740" s="5" t="str">
        <f ca="1">IFERROR(__xludf.DUMMYFUNCTION("""COMPUTED_VALUE"""),"Kevin Krakower")</f>
        <v>Kevin Krakower</v>
      </c>
      <c r="L740" s="5"/>
      <c r="M740" s="5"/>
      <c r="N740" s="26" t="str">
        <f ca="1">IFERROR(__xludf.DUMMYFUNCTION("""COMPUTED_VALUE"""),"https://drive.google.com/open?id=1byRQQW55I47272rEwLG_rZa5vFkvtato")</f>
        <v>https://drive.google.com/open?id=1byRQQW55I47272rEwLG_rZa5vFkvtato</v>
      </c>
      <c r="O740" s="5" t="str">
        <f ca="1">IFERROR(__xludf.DUMMYFUNCTION("""COMPUTED_VALUE"""),"NA")</f>
        <v>NA</v>
      </c>
      <c r="P740" s="5" t="str">
        <f ca="1">IFERROR(__xludf.DUMMYFUNCTION("""COMPUTED_VALUE"""),"(310) 493-9895")</f>
        <v>(310) 493-9895</v>
      </c>
      <c r="Q740" s="5"/>
      <c r="R740" s="5"/>
      <c r="S740" s="5"/>
      <c r="T740" s="5"/>
    </row>
    <row r="741" spans="1:20" ht="12.75">
      <c r="A741" s="24">
        <f ca="1">IFERROR(__xludf.DUMMYFUNCTION("""COMPUTED_VALUE"""),45671.3474948958)</f>
        <v>45671.347494895803</v>
      </c>
      <c r="B741" s="5" t="str">
        <f ca="1">IFERROR(__xludf.DUMMYFUNCTION("""COMPUTED_VALUE"""),"10798 Lindbrook Dr")</f>
        <v>10798 Lindbrook Dr</v>
      </c>
      <c r="C741" s="5" t="str">
        <f ca="1">IFERROR(__xludf.DUMMYFUNCTION("""COMPUTED_VALUE"""),"Los Angeles")</f>
        <v>Los Angeles</v>
      </c>
      <c r="D741" s="5" t="str">
        <f ca="1">IFERROR(__xludf.DUMMYFUNCTION("""COMPUTED_VALUE"""),"CA")</f>
        <v>CA</v>
      </c>
      <c r="E741" s="5">
        <f ca="1">IFERROR(__xludf.DUMMYFUNCTION("""COMPUTED_VALUE"""),90024)</f>
        <v>90024</v>
      </c>
      <c r="F741" s="19">
        <f ca="1">IFERROR(__xludf.DUMMYFUNCTION("""COMPUTED_VALUE"""),14750)</f>
        <v>14750</v>
      </c>
      <c r="G741" s="19">
        <f ca="1">IFERROR(__xludf.DUMMYFUNCTION("""COMPUTED_VALUE"""),25000)</f>
        <v>25000</v>
      </c>
      <c r="H741" s="18">
        <f ca="1">IFERROR(__xludf.DUMMYFUNCTION("""COMPUTED_VALUE"""),45671)</f>
        <v>45671</v>
      </c>
      <c r="I741" s="5" t="str">
        <f ca="1">IFERROR(__xludf.DUMMYFUNCTION("""COMPUTED_VALUE"""),"Zillow")</f>
        <v>Zillow</v>
      </c>
      <c r="J741" s="25" t="str">
        <f ca="1">IFERROR(__xludf.DUMMYFUNCTION("""COMPUTED_VALUE"""),"https://www.zillow.com/homedetails/10798-Lindbrook-Dr-Los-Angeles-CA-90024/20525012_zpid/")</f>
        <v>https://www.zillow.com/homedetails/10798-Lindbrook-Dr-Los-Angeles-CA-90024/20525012_zpid/</v>
      </c>
      <c r="K741" s="5" t="str">
        <f ca="1">IFERROR(__xludf.DUMMYFUNCTION("""COMPUTED_VALUE"""),"Meran Solamany Keller Williams Realty Westside")</f>
        <v>Meran Solamany Keller Williams Realty Westside</v>
      </c>
      <c r="L741" s="5"/>
      <c r="M741" s="5"/>
      <c r="N741" s="5" t="str">
        <f ca="1">IFERROR(__xludf.DUMMYFUNCTION("""COMPUTED_VALUE"""),"https://drive.google.com/open?id=1vg29px5bCFGtZGoBaMIfgtEDeOqgsv1-, https://drive.google.com/open?id=1mFDkPQsS4ttXA88Q1UJbLtGhHfKMpOgU")</f>
        <v>https://drive.google.com/open?id=1vg29px5bCFGtZGoBaMIfgtEDeOqgsv1-, https://drive.google.com/open?id=1mFDkPQsS4ttXA88Q1UJbLtGhHfKMpOgU</v>
      </c>
      <c r="O741" s="5">
        <f ca="1">IFERROR(__xludf.DUMMYFUNCTION("""COMPUTED_VALUE"""),4360004009)</f>
        <v>4360004009</v>
      </c>
      <c r="P741" s="5">
        <f ca="1">IFERROR(__xludf.DUMMYFUNCTION("""COMPUTED_VALUE"""),3106667822)</f>
        <v>3106667822</v>
      </c>
      <c r="Q741" s="5"/>
      <c r="R741" s="5"/>
      <c r="S741" s="5"/>
      <c r="T741" s="5"/>
    </row>
    <row r="742" spans="1:20" ht="12.75">
      <c r="A742" s="24">
        <f ca="1">IFERROR(__xludf.DUMMYFUNCTION("""COMPUTED_VALUE"""),45671.3674062152)</f>
        <v>45671.367406215199</v>
      </c>
      <c r="B742" s="5" t="str">
        <f ca="1">IFERROR(__xludf.DUMMYFUNCTION("""COMPUTED_VALUE"""),"673 Flower Ave")</f>
        <v>673 Flower Ave</v>
      </c>
      <c r="C742" s="5" t="str">
        <f ca="1">IFERROR(__xludf.DUMMYFUNCTION("""COMPUTED_VALUE"""),"Venice")</f>
        <v>Venice</v>
      </c>
      <c r="D742" s="5" t="str">
        <f ca="1">IFERROR(__xludf.DUMMYFUNCTION("""COMPUTED_VALUE"""),"CA")</f>
        <v>CA</v>
      </c>
      <c r="E742" s="5">
        <f ca="1">IFERROR(__xludf.DUMMYFUNCTION("""COMPUTED_VALUE"""),90291)</f>
        <v>90291</v>
      </c>
      <c r="F742" s="19">
        <f ca="1">IFERROR(__xludf.DUMMYFUNCTION("""COMPUTED_VALUE"""),4150)</f>
        <v>4150</v>
      </c>
      <c r="G742" s="19">
        <f ca="1">IFERROR(__xludf.DUMMYFUNCTION("""COMPUTED_VALUE"""),10500)</f>
        <v>10500</v>
      </c>
      <c r="H742" s="18">
        <f ca="1">IFERROR(__xludf.DUMMYFUNCTION("""COMPUTED_VALUE"""),45765)</f>
        <v>45765</v>
      </c>
      <c r="I742" s="5" t="str">
        <f ca="1">IFERROR(__xludf.DUMMYFUNCTION("""COMPUTED_VALUE"""),"I am a tenant and received a notice posted to my door")</f>
        <v>I am a tenant and received a notice posted to my door</v>
      </c>
      <c r="J742" s="25" t="str">
        <f ca="1">IFERROR(__xludf.DUMMYFUNCTION("""COMPUTED_VALUE"""),"www.westsiderentals.com")</f>
        <v>www.westsiderentals.com</v>
      </c>
      <c r="K742" s="5"/>
      <c r="L742" s="5" t="str">
        <f ca="1">IFERROR(__xludf.DUMMYFUNCTION("""COMPUTED_VALUE"""),"Ricardo Valerdi")</f>
        <v>Ricardo Valerdi</v>
      </c>
      <c r="M742" s="5" t="str">
        <f ca="1">IFERROR(__xludf.DUMMYFUNCTION("""COMPUTED_VALUE"""),"I’ve lived here for 19 years, the roof was leaking for 6+ years and i repeatedly requested repairs which were ignored for years. In Jan 2024 I reported mold and water damage and rat infestation to Landlord and then later the LA Health Dept. and Landlord t"&amp;"ook no action until December 2024. The mold has now been remediated and yesterday we received a notification taped to our door of a rent increase far above the 10% allowable by law. I have always had roommates to share in cost of rent and now landlord is "&amp;"saying I am unable to sublet the rooms in the house which I believe is retaliatory and illegal. ")</f>
        <v xml:space="preserve">I’ve lived here for 19 years, the roof was leaking for 6+ years and i repeatedly requested repairs which were ignored for years. In Jan 2024 I reported mold and water damage and rat infestation to Landlord and then later the LA Health Dept. and Landlord took no action until December 2024. The mold has now been remediated and yesterday we received a notification taped to our door of a rent increase far above the 10% allowable by law. I have always had roommates to share in cost of rent and now landlord is saying I am unable to sublet the rooms in the house which I believe is retaliatory and illegal. </v>
      </c>
      <c r="N742" s="5" t="str">
        <f ca="1">IFERROR(__xludf.DUMMYFUNCTION("""COMPUTED_VALUE"""),"https://drive.google.com/open?id=1XiOEUkpB-lpG2YL3y2oKeLnfq3Px9i9E, https://drive.google.com/open?id=1R9u_ss5CVjAdnBBLVzNKratf6_YuZMs_, https://drive.google.com/open?id=1m_0SLDLDeMWh9EmctgCIdx3Jf22pJPTe")</f>
        <v>https://drive.google.com/open?id=1XiOEUkpB-lpG2YL3y2oKeLnfq3Px9i9E, https://drive.google.com/open?id=1R9u_ss5CVjAdnBBLVzNKratf6_YuZMs_, https://drive.google.com/open?id=1m_0SLDLDeMWh9EmctgCIdx3Jf22pJPTe</v>
      </c>
      <c r="O742" s="5" t="str">
        <f ca="1">IFERROR(__xludf.DUMMYFUNCTION("""COMPUTED_VALUE"""),"Notice of change in terms of tenancy posted to door")</f>
        <v>Notice of change in terms of tenancy posted to door</v>
      </c>
      <c r="P742" s="5"/>
      <c r="Q742" s="5"/>
      <c r="R742" s="5" t="str">
        <f ca="1">IFERROR(__xludf.DUMMYFUNCTION("""COMPUTED_VALUE"""),"(213) 440-4378")</f>
        <v>(213) 440-4378</v>
      </c>
      <c r="S742" s="5" t="str">
        <f ca="1">IFERROR(__xludf.DUMMYFUNCTION("""COMPUTED_VALUE"""),"rvalerdi@arizona.edu")</f>
        <v>rvalerdi@arizona.edu</v>
      </c>
      <c r="T742" s="5"/>
    </row>
    <row r="743" spans="1:20" ht="12.75">
      <c r="A743" s="24">
        <f ca="1">IFERROR(__xludf.DUMMYFUNCTION("""COMPUTED_VALUE"""),45671.3794487731)</f>
        <v>45671.379448773099</v>
      </c>
      <c r="B743" s="5" t="str">
        <f ca="1">IFERROR(__xludf.DUMMYFUNCTION("""COMPUTED_VALUE"""),"3055 Landa St")</f>
        <v>3055 Landa St</v>
      </c>
      <c r="C743" s="5" t="str">
        <f ca="1">IFERROR(__xludf.DUMMYFUNCTION("""COMPUTED_VALUE"""),"Los Angeles")</f>
        <v>Los Angeles</v>
      </c>
      <c r="D743" s="5" t="str">
        <f ca="1">IFERROR(__xludf.DUMMYFUNCTION("""COMPUTED_VALUE"""),"CA")</f>
        <v>CA</v>
      </c>
      <c r="E743" s="5">
        <f ca="1">IFERROR(__xludf.DUMMYFUNCTION("""COMPUTED_VALUE"""),90039)</f>
        <v>90039</v>
      </c>
      <c r="F743" s="19">
        <f ca="1">IFERROR(__xludf.DUMMYFUNCTION("""COMPUTED_VALUE"""),9000)</f>
        <v>9000</v>
      </c>
      <c r="G743" s="19">
        <f ca="1">IFERROR(__xludf.DUMMYFUNCTION("""COMPUTED_VALUE"""),12000)</f>
        <v>12000</v>
      </c>
      <c r="H743" s="18">
        <f ca="1">IFERROR(__xludf.DUMMYFUNCTION("""COMPUTED_VALUE"""),45305)</f>
        <v>45305</v>
      </c>
      <c r="I743" s="5" t="str">
        <f ca="1">IFERROR(__xludf.DUMMYFUNCTION("""COMPUTED_VALUE"""),"Zillow")</f>
        <v>Zillow</v>
      </c>
      <c r="J743" s="25" t="str">
        <f ca="1">IFERROR(__xludf.DUMMYFUNCTION("""COMPUTED_VALUE"""),"https://www.zillow.com/homedetails/3055-Landa-St-Los-Angeles-CA-90039/20747666_zpid/")</f>
        <v>https://www.zillow.com/homedetails/3055-Landa-St-Los-Angeles-CA-90039/20747666_zpid/</v>
      </c>
      <c r="K743" s="5"/>
      <c r="L743" s="5" t="str">
        <f ca="1">IFERROR(__xludf.DUMMYFUNCTION("""COMPUTED_VALUE"""),"Edward Kay")</f>
        <v>Edward Kay</v>
      </c>
      <c r="M743" s="5"/>
      <c r="N743" s="5" t="str">
        <f ca="1">IFERROR(__xludf.DUMMYFUNCTION("""COMPUTED_VALUE"""),"https://drive.google.com/open?id=1yHlRil-37-t5VZQ9eYShCV9WQ9Ym3bw0, https://drive.google.com/open?id=17eWthv-7yQwsnPySpewJpa-2yNeSdozK")</f>
        <v>https://drive.google.com/open?id=1yHlRil-37-t5VZQ9eYShCV9WQ9Ym3bw0, https://drive.google.com/open?id=17eWthv-7yQwsnPySpewJpa-2yNeSdozK</v>
      </c>
      <c r="O743" s="5">
        <f ca="1">IFERROR(__xludf.DUMMYFUNCTION("""COMPUTED_VALUE"""),5431021002)</f>
        <v>5431021002</v>
      </c>
      <c r="P743" s="5"/>
      <c r="Q743" s="5"/>
      <c r="R743" s="5" t="str">
        <f ca="1">IFERROR(__xludf.DUMMYFUNCTION("""COMPUTED_VALUE"""),"(818) 401-8719")</f>
        <v>(818) 401-8719</v>
      </c>
      <c r="S743" s="5"/>
      <c r="T743" s="5"/>
    </row>
    <row r="744" spans="1:20" ht="12.75">
      <c r="A744" s="24">
        <f ca="1">IFERROR(__xludf.DUMMYFUNCTION("""COMPUTED_VALUE"""),45671.3812699652)</f>
        <v>45671.381269965197</v>
      </c>
      <c r="B744" s="5" t="str">
        <f ca="1">IFERROR(__xludf.DUMMYFUNCTION("""COMPUTED_VALUE"""),"1439 Cabrillo Ave, Venice")</f>
        <v>1439 Cabrillo Ave, Venice</v>
      </c>
      <c r="C744" s="5" t="str">
        <f ca="1">IFERROR(__xludf.DUMMYFUNCTION("""COMPUTED_VALUE"""),"Venice, Los Angeles")</f>
        <v>Venice, Los Angeles</v>
      </c>
      <c r="D744" s="5" t="str">
        <f ca="1">IFERROR(__xludf.DUMMYFUNCTION("""COMPUTED_VALUE"""),"CA")</f>
        <v>CA</v>
      </c>
      <c r="E744" s="5">
        <f ca="1">IFERROR(__xludf.DUMMYFUNCTION("""COMPUTED_VALUE"""),90291)</f>
        <v>90291</v>
      </c>
      <c r="F744" s="19">
        <f ca="1">IFERROR(__xludf.DUMMYFUNCTION("""COMPUTED_VALUE"""),7200)</f>
        <v>7200</v>
      </c>
      <c r="G744" s="19">
        <f ca="1">IFERROR(__xludf.DUMMYFUNCTION("""COMPUTED_VALUE"""),8500)</f>
        <v>8500</v>
      </c>
      <c r="H744" s="18">
        <f ca="1">IFERROR(__xludf.DUMMYFUNCTION("""COMPUTED_VALUE"""),45671)</f>
        <v>45671</v>
      </c>
      <c r="I744" s="5" t="str">
        <f ca="1">IFERROR(__xludf.DUMMYFUNCTION("""COMPUTED_VALUE"""),"Zillow")</f>
        <v>Zillow</v>
      </c>
      <c r="J744" s="25" t="str">
        <f ca="1">IFERROR(__xludf.DUMMYFUNCTION("""COMPUTED_VALUE"""),"https://www.zillow.com/homedetails/1439-Cabrillo-Ave-Venice-CA-90291/20450140_zpid/?utm_source=txtshare")</f>
        <v>https://www.zillow.com/homedetails/1439-Cabrillo-Ave-Venice-CA-90291/20450140_zpid/?utm_source=txtshare</v>
      </c>
      <c r="K744" s="5" t="str">
        <f ca="1">IFERROR(__xludf.DUMMYFUNCTION("""COMPUTED_VALUE"""),"Alan")</f>
        <v>Alan</v>
      </c>
      <c r="L744" s="5"/>
      <c r="M744" s="5"/>
      <c r="N744" s="5" t="str">
        <f ca="1">IFERROR(__xludf.DUMMYFUNCTION("""COMPUTED_VALUE"""),"https://drive.google.com/open?id=1f2JWPQBLT1ZVZKZQlsfxoBaIqemRzZjp, https://drive.google.com/open?id=1KImuxDIVXErMHSlFcwoBUa5dvBYdNymL, https://drive.google.com/open?id=1Gv3ktVptpj3El4yg18LrMMx9KSuSnyLO, https://drive.google.com/open?id=1p3QyXrv91CzUb71QB"&amp;"DdbOywsL5xh8ua1")</f>
        <v>https://drive.google.com/open?id=1f2JWPQBLT1ZVZKZQlsfxoBaIqemRzZjp, https://drive.google.com/open?id=1KImuxDIVXErMHSlFcwoBUa5dvBYdNymL, https://drive.google.com/open?id=1Gv3ktVptpj3El4yg18LrMMx9KSuSnyLO, https://drive.google.com/open?id=1p3QyXrv91CzUb71QBDdbOywsL5xh8ua1</v>
      </c>
      <c r="O744" s="5">
        <f ca="1">IFERROR(__xludf.DUMMYFUNCTION("""COMPUTED_VALUE"""),4238004028)</f>
        <v>4238004028</v>
      </c>
      <c r="P744" s="5">
        <f ca="1">IFERROR(__xludf.DUMMYFUNCTION("""COMPUTED_VALUE"""),4245676639)</f>
        <v>4245676639</v>
      </c>
      <c r="Q744" s="5"/>
      <c r="R744" s="5"/>
      <c r="S744" s="5"/>
      <c r="T744" s="5"/>
    </row>
    <row r="745" spans="1:20" ht="12.75">
      <c r="A745" s="24">
        <f ca="1">IFERROR(__xludf.DUMMYFUNCTION("""COMPUTED_VALUE"""),45671.3883699884)</f>
        <v>45671.388369988403</v>
      </c>
      <c r="B745" s="5" t="str">
        <f ca="1">IFERROR(__xludf.DUMMYFUNCTION("""COMPUTED_VALUE"""),"1524 N Sierra Bonita Ave")</f>
        <v>1524 N Sierra Bonita Ave</v>
      </c>
      <c r="C745" s="5" t="str">
        <f ca="1">IFERROR(__xludf.DUMMYFUNCTION("""COMPUTED_VALUE"""),"Los Angeles")</f>
        <v>Los Angeles</v>
      </c>
      <c r="D745" s="5" t="str">
        <f ca="1">IFERROR(__xludf.DUMMYFUNCTION("""COMPUTED_VALUE"""),"CA")</f>
        <v>CA</v>
      </c>
      <c r="E745" s="5">
        <f ca="1">IFERROR(__xludf.DUMMYFUNCTION("""COMPUTED_VALUE"""),90046)</f>
        <v>90046</v>
      </c>
      <c r="F745" s="19">
        <f ca="1">IFERROR(__xludf.DUMMYFUNCTION("""COMPUTED_VALUE"""),15000)</f>
        <v>15000</v>
      </c>
      <c r="G745" s="19">
        <f ca="1">IFERROR(__xludf.DUMMYFUNCTION("""COMPUTED_VALUE"""),19500)</f>
        <v>19500</v>
      </c>
      <c r="H745" s="18">
        <f ca="1">IFERROR(__xludf.DUMMYFUNCTION("""COMPUTED_VALUE"""),45670)</f>
        <v>45670</v>
      </c>
      <c r="I745" s="5" t="str">
        <f ca="1">IFERROR(__xludf.DUMMYFUNCTION("""COMPUTED_VALUE"""),"Zillow")</f>
        <v>Zillow</v>
      </c>
      <c r="J745" s="25" t="str">
        <f ca="1">IFERROR(__xludf.DUMMYFUNCTION("""COMPUTED_VALUE"""),"https://www.zillow.com/homedetails/1524-N-Sierra-Bonita-Ave-Los-Angeles-CA-90046/20794339_zpid/")</f>
        <v>https://www.zillow.com/homedetails/1524-N-Sierra-Bonita-Ave-Los-Angeles-CA-90046/20794339_zpid/</v>
      </c>
      <c r="K745" s="5" t="str">
        <f ca="1">IFERROR(__xludf.DUMMYFUNCTION("""COMPUTED_VALUE"""),"Lindsay Segal")</f>
        <v>Lindsay Segal</v>
      </c>
      <c r="L745" s="5" t="str">
        <f ca="1">IFERROR(__xludf.DUMMYFUNCTION("""COMPUTED_VALUE"""),"Charley Walters")</f>
        <v>Charley Walters</v>
      </c>
      <c r="M745" s="5" t="str">
        <f ca="1">IFERROR(__xludf.DUMMYFUNCTION("""COMPUTED_VALUE"""),"This landlord has had the house for rent for several months at $15,000/ month. Immediately after the fires he raised the rent 30% to $19,500/month")</f>
        <v>This landlord has had the house for rent for several months at $15,000/ month. Immediately after the fires he raised the rent 30% to $19,500/month</v>
      </c>
      <c r="N745" s="5" t="str">
        <f ca="1">IFERROR(__xludf.DUMMYFUNCTION("""COMPUTED_VALUE"""),"https://drive.google.com/open?id=16kYamw4Bw6eIW0e_OZObS7pcmIoEd18e, https://drive.google.com/open?id=1scd5qjQQqm9ZMa93cIIQU5Gs2z-kAbDn")</f>
        <v>https://drive.google.com/open?id=16kYamw4Bw6eIW0e_OZObS7pcmIoEd18e, https://drive.google.com/open?id=1scd5qjQQqm9ZMa93cIIQU5Gs2z-kAbDn</v>
      </c>
      <c r="O745" s="5">
        <f ca="1">IFERROR(__xludf.DUMMYFUNCTION("""COMPUTED_VALUE"""),5550010013)</f>
        <v>5550010013</v>
      </c>
      <c r="P745" s="5" t="str">
        <f ca="1">IFERROR(__xludf.DUMMYFUNCTION("""COMPUTED_VALUE"""),"(310) 721-1383")</f>
        <v>(310) 721-1383</v>
      </c>
      <c r="Q745" s="5" t="str">
        <f ca="1">IFERROR(__xludf.DUMMYFUNCTION("""COMPUTED_VALUE"""),"lindsay@waltersplaxen.com")</f>
        <v>lindsay@waltersplaxen.com</v>
      </c>
      <c r="R745" s="5">
        <f ca="1">IFERROR(__xludf.DUMMYFUNCTION("""COMPUTED_VALUE"""),3237912107)</f>
        <v>3237912107</v>
      </c>
      <c r="S745" s="5" t="str">
        <f ca="1">IFERROR(__xludf.DUMMYFUNCTION("""COMPUTED_VALUE"""),"charley@cw3pr.com")</f>
        <v>charley@cw3pr.com</v>
      </c>
      <c r="T745" s="5"/>
    </row>
    <row r="746" spans="1:20" ht="12.75">
      <c r="A746" s="24">
        <f ca="1">IFERROR(__xludf.DUMMYFUNCTION("""COMPUTED_VALUE"""),45671.3962337384)</f>
        <v>45671.3962337384</v>
      </c>
      <c r="B746" s="5" t="str">
        <f ca="1">IFERROR(__xludf.DUMMYFUNCTION("""COMPUTED_VALUE"""),"420 S Sunset Canyon Dr")</f>
        <v>420 S Sunset Canyon Dr</v>
      </c>
      <c r="C746" s="5" t="str">
        <f ca="1">IFERROR(__xludf.DUMMYFUNCTION("""COMPUTED_VALUE"""),"Burbank")</f>
        <v>Burbank</v>
      </c>
      <c r="D746" s="5" t="str">
        <f ca="1">IFERROR(__xludf.DUMMYFUNCTION("""COMPUTED_VALUE"""),"CA")</f>
        <v>CA</v>
      </c>
      <c r="E746" s="5">
        <f ca="1">IFERROR(__xludf.DUMMYFUNCTION("""COMPUTED_VALUE"""),91501)</f>
        <v>91501</v>
      </c>
      <c r="F746" s="19">
        <f ca="1">IFERROR(__xludf.DUMMYFUNCTION("""COMPUTED_VALUE"""),7000)</f>
        <v>7000</v>
      </c>
      <c r="G746" s="19">
        <f ca="1">IFERROR(__xludf.DUMMYFUNCTION("""COMPUTED_VALUE"""),13800)</f>
        <v>13800</v>
      </c>
      <c r="H746" s="18">
        <f ca="1">IFERROR(__xludf.DUMMYFUNCTION("""COMPUTED_VALUE"""),45670)</f>
        <v>45670</v>
      </c>
      <c r="I746" s="5" t="str">
        <f ca="1">IFERROR(__xludf.DUMMYFUNCTION("""COMPUTED_VALUE"""),"Zillow")</f>
        <v>Zillow</v>
      </c>
      <c r="J746" s="25" t="str">
        <f ca="1">IFERROR(__xludf.DUMMYFUNCTION("""COMPUTED_VALUE"""),"https://www.zillow.com/homedetails/420-S-Sunset-Canyon-Dr-Burbank-CA-91501/20816835_zpid/")</f>
        <v>https://www.zillow.com/homedetails/420-S-Sunset-Canyon-Dr-Burbank-CA-91501/20816835_zpid/</v>
      </c>
      <c r="K746" s="5" t="str">
        <f ca="1">IFERROR(__xludf.DUMMYFUNCTION("""COMPUTED_VALUE"""),"Greg Pogosyan")</f>
        <v>Greg Pogosyan</v>
      </c>
      <c r="L746" s="5" t="str">
        <f ca="1">IFERROR(__xludf.DUMMYFUNCTION("""COMPUTED_VALUE"""),"Greg Pogosyan")</f>
        <v>Greg Pogosyan</v>
      </c>
      <c r="M746" s="5" t="str">
        <f ca="1">IFERROR(__xludf.DUMMYFUNCTION("""COMPUTED_VALUE"""),"Up 97% from 2020- 5 year gap so an increase is understandable, but the rental price is much higher compared to similar properties (sq ft, bedrooms, etc) in the area")</f>
        <v>Up 97% from 2020- 5 year gap so an increase is understandable, but the rental price is much higher compared to similar properties (sq ft, bedrooms, etc) in the area</v>
      </c>
      <c r="N746" s="26" t="str">
        <f ca="1">IFERROR(__xludf.DUMMYFUNCTION("""COMPUTED_VALUE"""),"https://drive.google.com/open?id=1zsJS51Z-YmCYtrWIlaN8mg7Nk7F2j4DX")</f>
        <v>https://drive.google.com/open?id=1zsJS51Z-YmCYtrWIlaN8mg7Nk7F2j4DX</v>
      </c>
      <c r="O746" s="5" t="str">
        <f ca="1">IFERROR(__xludf.DUMMYFUNCTION("""COMPUTED_VALUE"""),"NA")</f>
        <v>NA</v>
      </c>
      <c r="P746" s="5" t="str">
        <f ca="1">IFERROR(__xludf.DUMMYFUNCTION("""COMPUTED_VALUE"""),"(818) 974-8998")</f>
        <v>(818) 974-8998</v>
      </c>
      <c r="Q746" s="5"/>
      <c r="R746" s="5" t="str">
        <f ca="1">IFERROR(__xludf.DUMMYFUNCTION("""COMPUTED_VALUE"""),"(818) 974-8998")</f>
        <v>(818) 974-8998</v>
      </c>
      <c r="S746" s="5"/>
      <c r="T746" s="5"/>
    </row>
    <row r="747" spans="1:20" ht="12.75">
      <c r="A747" s="24">
        <f ca="1">IFERROR(__xludf.DUMMYFUNCTION("""COMPUTED_VALUE"""),45671.4136532175)</f>
        <v>45671.413653217503</v>
      </c>
      <c r="B747" s="5" t="str">
        <f ca="1">IFERROR(__xludf.DUMMYFUNCTION("""COMPUTED_VALUE"""),"3180 Casitas Ave")</f>
        <v>3180 Casitas Ave</v>
      </c>
      <c r="C747" s="5" t="str">
        <f ca="1">IFERROR(__xludf.DUMMYFUNCTION("""COMPUTED_VALUE"""),"Los Angeles")</f>
        <v>Los Angeles</v>
      </c>
      <c r="D747" s="5" t="str">
        <f ca="1">IFERROR(__xludf.DUMMYFUNCTION("""COMPUTED_VALUE"""),"CA")</f>
        <v>CA</v>
      </c>
      <c r="E747" s="5">
        <f ca="1">IFERROR(__xludf.DUMMYFUNCTION("""COMPUTED_VALUE"""),90039)</f>
        <v>90039</v>
      </c>
      <c r="F747" s="19">
        <f ca="1">IFERROR(__xludf.DUMMYFUNCTION("""COMPUTED_VALUE"""),2400)</f>
        <v>2400</v>
      </c>
      <c r="G747" s="19">
        <f ca="1">IFERROR(__xludf.DUMMYFUNCTION("""COMPUTED_VALUE"""),3200)</f>
        <v>3200</v>
      </c>
      <c r="H747" s="18">
        <f ca="1">IFERROR(__xludf.DUMMYFUNCTION("""COMPUTED_VALUE"""),45670)</f>
        <v>45670</v>
      </c>
      <c r="I747" s="5" t="str">
        <f ca="1">IFERROR(__xludf.DUMMYFUNCTION("""COMPUTED_VALUE"""),"Zillow")</f>
        <v>Zillow</v>
      </c>
      <c r="J747" s="25" t="str">
        <f ca="1">IFERROR(__xludf.DUMMYFUNCTION("""COMPUTED_VALUE"""),"https://www.zillow.com/homedetails/3180-Casitas-Ave-Los-Angeles-CA-90039/20750713_zpid/?utm_campaign=iosappmessage&amp;utm_medium=referral&amp;utm_source=txtshare")</f>
        <v>https://www.zillow.com/homedetails/3180-Casitas-Ave-Los-Angeles-CA-90039/20750713_zpid/?utm_campaign=iosappmessage&amp;utm_medium=referral&amp;utm_source=txtshare</v>
      </c>
      <c r="K747" s="5" t="str">
        <f ca="1">IFERROR(__xludf.DUMMYFUNCTION("""COMPUTED_VALUE"""),"Odet")</f>
        <v>Odet</v>
      </c>
      <c r="L747" s="5"/>
      <c r="M747" s="5"/>
      <c r="N747" s="5" t="str">
        <f ca="1">IFERROR(__xludf.DUMMYFUNCTION("""COMPUTED_VALUE"""),"https://drive.google.com/open?id=1XiOzQ3Z3T5QYKbDT-CIpID2s7lxddl2-, https://drive.google.com/open?id=1LPBLj2XJcO8QNEZ2Z-9uoCw-hsKD6kbe")</f>
        <v>https://drive.google.com/open?id=1XiOzQ3Z3T5QYKbDT-CIpID2s7lxddl2-, https://drive.google.com/open?id=1LPBLj2XJcO8QNEZ2Z-9uoCw-hsKD6kbe</v>
      </c>
      <c r="O747" s="5">
        <f ca="1">IFERROR(__xludf.DUMMYFUNCTION("""COMPUTED_VALUE"""),5436009020)</f>
        <v>5436009020</v>
      </c>
      <c r="P747" s="5" t="str">
        <f ca="1">IFERROR(__xludf.DUMMYFUNCTION("""COMPUTED_VALUE"""),"(818) 636-2252")</f>
        <v>(818) 636-2252</v>
      </c>
      <c r="Q747" s="5" t="str">
        <f ca="1">IFERROR(__xludf.DUMMYFUNCTION("""COMPUTED_VALUE"""),"cerowastecindy@gmail.com")</f>
        <v>cerowastecindy@gmail.com</v>
      </c>
      <c r="R747" s="5"/>
      <c r="S747" s="5" t="str">
        <f ca="1">IFERROR(__xludf.DUMMYFUNCTION("""COMPUTED_VALUE"""),"cerowastecindy@gmail.com")</f>
        <v>cerowastecindy@gmail.com</v>
      </c>
      <c r="T747" s="5"/>
    </row>
    <row r="748" spans="1:20" ht="12.75">
      <c r="A748" s="24">
        <f ca="1">IFERROR(__xludf.DUMMYFUNCTION("""COMPUTED_VALUE"""),45671.4230326157)</f>
        <v>45671.423032615698</v>
      </c>
      <c r="B748" s="5" t="str">
        <f ca="1">IFERROR(__xludf.DUMMYFUNCTION("""COMPUTED_VALUE"""),"11410 Dona Pegita Drive")</f>
        <v>11410 Dona Pegita Drive</v>
      </c>
      <c r="C748" s="5" t="str">
        <f ca="1">IFERROR(__xludf.DUMMYFUNCTION("""COMPUTED_VALUE"""),"Studio City")</f>
        <v>Studio City</v>
      </c>
      <c r="D748" s="5" t="str">
        <f ca="1">IFERROR(__xludf.DUMMYFUNCTION("""COMPUTED_VALUE"""),"CA")</f>
        <v>CA</v>
      </c>
      <c r="E748" s="5">
        <f ca="1">IFERROR(__xludf.DUMMYFUNCTION("""COMPUTED_VALUE"""),91604)</f>
        <v>91604</v>
      </c>
      <c r="F748" s="19">
        <f ca="1">IFERROR(__xludf.DUMMYFUNCTION("""COMPUTED_VALUE"""),12000)</f>
        <v>12000</v>
      </c>
      <c r="G748" s="19">
        <f ca="1">IFERROR(__xludf.DUMMYFUNCTION("""COMPUTED_VALUE"""),14000)</f>
        <v>14000</v>
      </c>
      <c r="H748" s="18">
        <f ca="1">IFERROR(__xludf.DUMMYFUNCTION("""COMPUTED_VALUE"""),45666)</f>
        <v>45666</v>
      </c>
      <c r="I748" s="5" t="str">
        <f ca="1">IFERROR(__xludf.DUMMYFUNCTION("""COMPUTED_VALUE"""),"Zillow")</f>
        <v>Zillow</v>
      </c>
      <c r="J748" s="25" t="str">
        <f ca="1">IFERROR(__xludf.DUMMYFUNCTION("""COMPUTED_VALUE"""),"https://www.zillow.com/homedetails/11410-Dona-Pegita-Dr-Studio-City-CA-91604/20031183_zpid/")</f>
        <v>https://www.zillow.com/homedetails/11410-Dona-Pegita-Dr-Studio-City-CA-91604/20031183_zpid/</v>
      </c>
      <c r="K748" s="5"/>
      <c r="L748" s="5"/>
      <c r="M748" s="5"/>
      <c r="N748" s="26" t="str">
        <f ca="1">IFERROR(__xludf.DUMMYFUNCTION("""COMPUTED_VALUE"""),"https://drive.google.com/open?id=1oxke1RljeG6U1SO2Fk90WdYKcFcoVW1e")</f>
        <v>https://drive.google.com/open?id=1oxke1RljeG6U1SO2Fk90WdYKcFcoVW1e</v>
      </c>
      <c r="O748" s="5">
        <f ca="1">IFERROR(__xludf.DUMMYFUNCTION("""COMPUTED_VALUE"""),2380020012)</f>
        <v>2380020012</v>
      </c>
      <c r="P748" s="5"/>
      <c r="Q748" s="5"/>
      <c r="R748" s="5"/>
      <c r="S748" s="5"/>
      <c r="T748" s="5"/>
    </row>
    <row r="749" spans="1:20" ht="12.75">
      <c r="A749" s="24">
        <f ca="1">IFERROR(__xludf.DUMMYFUNCTION("""COMPUTED_VALUE"""),45671.4370915162)</f>
        <v>45671.4370915162</v>
      </c>
      <c r="B749" s="5" t="str">
        <f ca="1">IFERROR(__xludf.DUMMYFUNCTION("""COMPUTED_VALUE"""),"3055 Landa Street")</f>
        <v>3055 Landa Street</v>
      </c>
      <c r="C749" s="5" t="str">
        <f ca="1">IFERROR(__xludf.DUMMYFUNCTION("""COMPUTED_VALUE"""),"Los Angeles")</f>
        <v>Los Angeles</v>
      </c>
      <c r="D749" s="5" t="str">
        <f ca="1">IFERROR(__xludf.DUMMYFUNCTION("""COMPUTED_VALUE"""),"CA")</f>
        <v>CA</v>
      </c>
      <c r="E749" s="5">
        <f ca="1">IFERROR(__xludf.DUMMYFUNCTION("""COMPUTED_VALUE"""),90039)</f>
        <v>90039</v>
      </c>
      <c r="F749" s="19">
        <f ca="1">IFERROR(__xludf.DUMMYFUNCTION("""COMPUTED_VALUE"""),9000)</f>
        <v>9000</v>
      </c>
      <c r="G749" s="19">
        <f ca="1">IFERROR(__xludf.DUMMYFUNCTION("""COMPUTED_VALUE"""),12000)</f>
        <v>12000</v>
      </c>
      <c r="H749" s="18">
        <f ca="1">IFERROR(__xludf.DUMMYFUNCTION("""COMPUTED_VALUE"""),45671)</f>
        <v>45671</v>
      </c>
      <c r="I749" s="5" t="str">
        <f ca="1">IFERROR(__xludf.DUMMYFUNCTION("""COMPUTED_VALUE"""),"Zillow")</f>
        <v>Zillow</v>
      </c>
      <c r="J749" s="25" t="str">
        <f ca="1">IFERROR(__xludf.DUMMYFUNCTION("""COMPUTED_VALUE"""),"https://www.zillow.com/homedetails/3055-Landa-St-Los-Angeles-CA-90039/20747666_zpid/?utm_campaign=iosappmessage&amp;utm_medium=referral&amp;utm_source=txtshare")</f>
        <v>https://www.zillow.com/homedetails/3055-Landa-St-Los-Angeles-CA-90039/20747666_zpid/?utm_campaign=iosappmessage&amp;utm_medium=referral&amp;utm_source=txtshare</v>
      </c>
      <c r="K749" s="5"/>
      <c r="L749" s="5" t="str">
        <f ca="1">IFERROR(__xludf.DUMMYFUNCTION("""COMPUTED_VALUE"""),"Edward Kay")</f>
        <v>Edward Kay</v>
      </c>
      <c r="M749" s="5"/>
      <c r="N749" s="26" t="str">
        <f ca="1">IFERROR(__xludf.DUMMYFUNCTION("""COMPUTED_VALUE"""),"https://drive.google.com/open?id=1686Lfrn3iToWKCiR80GwCrRTByY9W-VX")</f>
        <v>https://drive.google.com/open?id=1686Lfrn3iToWKCiR80GwCrRTByY9W-VX</v>
      </c>
      <c r="O749" s="5">
        <f ca="1">IFERROR(__xludf.DUMMYFUNCTION("""COMPUTED_VALUE"""),5431021002)</f>
        <v>5431021002</v>
      </c>
      <c r="P749" s="5"/>
      <c r="Q749" s="5"/>
      <c r="R749" s="5" t="str">
        <f ca="1">IFERROR(__xludf.DUMMYFUNCTION("""COMPUTED_VALUE"""),"818-401-8719")</f>
        <v>818-401-8719</v>
      </c>
      <c r="S749" s="5"/>
      <c r="T749" s="5"/>
    </row>
    <row r="750" spans="1:20" ht="12.75">
      <c r="A750" s="24">
        <f ca="1">IFERROR(__xludf.DUMMYFUNCTION("""COMPUTED_VALUE"""),45671.439343993)</f>
        <v>45671.439343992999</v>
      </c>
      <c r="B750" s="5" t="str">
        <f ca="1">IFERROR(__xludf.DUMMYFUNCTION("""COMPUTED_VALUE"""),"644 E 97th st Apt 7")</f>
        <v>644 E 97th st Apt 7</v>
      </c>
      <c r="C750" s="5" t="str">
        <f ca="1">IFERROR(__xludf.DUMMYFUNCTION("""COMPUTED_VALUE"""),"Inglewood")</f>
        <v>Inglewood</v>
      </c>
      <c r="D750" s="5" t="str">
        <f ca="1">IFERROR(__xludf.DUMMYFUNCTION("""COMPUTED_VALUE"""),"CA")</f>
        <v>CA</v>
      </c>
      <c r="E750" s="5">
        <f ca="1">IFERROR(__xludf.DUMMYFUNCTION("""COMPUTED_VALUE"""),90301)</f>
        <v>90301</v>
      </c>
      <c r="F750" s="19">
        <f ca="1">IFERROR(__xludf.DUMMYFUNCTION("""COMPUTED_VALUE"""),1495)</f>
        <v>1495</v>
      </c>
      <c r="G750" s="19">
        <f ca="1">IFERROR(__xludf.DUMMYFUNCTION("""COMPUTED_VALUE"""),1600)</f>
        <v>1600</v>
      </c>
      <c r="H750" s="18">
        <f ca="1">IFERROR(__xludf.DUMMYFUNCTION("""COMPUTED_VALUE"""),45666)</f>
        <v>45666</v>
      </c>
      <c r="I750" s="5" t="str">
        <f ca="1">IFERROR(__xludf.DUMMYFUNCTION("""COMPUTED_VALUE"""),"Zillow")</f>
        <v>Zillow</v>
      </c>
      <c r="J750" s="25" t="str">
        <f ca="1">IFERROR(__xludf.DUMMYFUNCTION("""COMPUTED_VALUE"""),"https://www.zillow.com/homedetails/644-E-97th-St-APT-7-Inglewood-CA-90301/2061286817_zpid/?utm_campaign=iosappmessage&amp;utm_medium=referral&amp;utm_source=txtshare")</f>
        <v>https://www.zillow.com/homedetails/644-E-97th-St-APT-7-Inglewood-CA-90301/2061286817_zpid/?utm_campaign=iosappmessage&amp;utm_medium=referral&amp;utm_source=txtshare</v>
      </c>
      <c r="K750" s="5" t="str">
        <f ca="1">IFERROR(__xludf.DUMMYFUNCTION("""COMPUTED_VALUE"""),"Richard")</f>
        <v>Richard</v>
      </c>
      <c r="L750" s="5"/>
      <c r="M750" s="5"/>
      <c r="N750" s="26" t="str">
        <f ca="1">IFERROR(__xludf.DUMMYFUNCTION("""COMPUTED_VALUE"""),"https://drive.google.com/open?id=1eEuG15FeQHAZFhvWGTcvI1-rocSS5ljT")</f>
        <v>https://drive.google.com/open?id=1eEuG15FeQHAZFhvWGTcvI1-rocSS5ljT</v>
      </c>
      <c r="O750" s="5" t="str">
        <f ca="1">IFERROR(__xludf.DUMMYFUNCTION("""COMPUTED_VALUE"""),"NA")</f>
        <v>NA</v>
      </c>
      <c r="P750" s="5" t="str">
        <f ca="1">IFERROR(__xludf.DUMMYFUNCTION("""COMPUTED_VALUE"""),"424-254-5023")</f>
        <v>424-254-5023</v>
      </c>
      <c r="Q750" s="5"/>
      <c r="R750" s="5"/>
      <c r="S750" s="5"/>
      <c r="T750" s="5"/>
    </row>
    <row r="751" spans="1:20" ht="12.75">
      <c r="A751" s="24">
        <f ca="1">IFERROR(__xludf.DUMMYFUNCTION("""COMPUTED_VALUE"""),45671.465690162)</f>
        <v>45671.465690161996</v>
      </c>
      <c r="B751" s="5" t="str">
        <f ca="1">IFERROR(__xludf.DUMMYFUNCTION("""COMPUTED_VALUE"""),"3055 Landa St")</f>
        <v>3055 Landa St</v>
      </c>
      <c r="C751" s="5" t="str">
        <f ca="1">IFERROR(__xludf.DUMMYFUNCTION("""COMPUTED_VALUE"""),"Los Angeles")</f>
        <v>Los Angeles</v>
      </c>
      <c r="D751" s="5" t="str">
        <f ca="1">IFERROR(__xludf.DUMMYFUNCTION("""COMPUTED_VALUE"""),"CA")</f>
        <v>CA</v>
      </c>
      <c r="E751" s="5">
        <f ca="1">IFERROR(__xludf.DUMMYFUNCTION("""COMPUTED_VALUE"""),90039)</f>
        <v>90039</v>
      </c>
      <c r="F751" s="19">
        <f ca="1">IFERROR(__xludf.DUMMYFUNCTION("""COMPUTED_VALUE"""),9000)</f>
        <v>9000</v>
      </c>
      <c r="G751" s="19">
        <f ca="1">IFERROR(__xludf.DUMMYFUNCTION("""COMPUTED_VALUE"""),12000)</f>
        <v>12000</v>
      </c>
      <c r="H751" s="18">
        <f ca="1">IFERROR(__xludf.DUMMYFUNCTION("""COMPUTED_VALUE"""),45671)</f>
        <v>45671</v>
      </c>
      <c r="I751" s="5" t="str">
        <f ca="1">IFERROR(__xludf.DUMMYFUNCTION("""COMPUTED_VALUE"""),"Zillow")</f>
        <v>Zillow</v>
      </c>
      <c r="J751" s="25" t="str">
        <f ca="1">IFERROR(__xludf.DUMMYFUNCTION("""COMPUTED_VALUE"""),"https://www.zillow.com/homedetails/3055-Landa-St-Los-Angeles-CA-90039/20747666_zpid/")</f>
        <v>https://www.zillow.com/homedetails/3055-Landa-St-Los-Angeles-CA-90039/20747666_zpid/</v>
      </c>
      <c r="K751" s="5" t="str">
        <f ca="1">IFERROR(__xludf.DUMMYFUNCTION("""COMPUTED_VALUE"""),"Edward Kay")</f>
        <v>Edward Kay</v>
      </c>
      <c r="L751" s="5" t="str">
        <f ca="1">IFERROR(__xludf.DUMMYFUNCTION("""COMPUTED_VALUE"""),"Edward Kay")</f>
        <v>Edward Kay</v>
      </c>
      <c r="M751" s="5"/>
      <c r="N751" s="5" t="str">
        <f ca="1">IFERROR(__xludf.DUMMYFUNCTION("""COMPUTED_VALUE"""),"https://drive.google.com/open?id=1K2keTKQFFvABu1FAmlaYihXug2NrSyxv, https://drive.google.com/open?id=1uaBgK2rp19V33j-wQggmKBKXs3noZjvD")</f>
        <v>https://drive.google.com/open?id=1K2keTKQFFvABu1FAmlaYihXug2NrSyxv, https://drive.google.com/open?id=1uaBgK2rp19V33j-wQggmKBKXs3noZjvD</v>
      </c>
      <c r="O751" s="5">
        <f ca="1">IFERROR(__xludf.DUMMYFUNCTION("""COMPUTED_VALUE"""),5431021002)</f>
        <v>5431021002</v>
      </c>
      <c r="P751" s="5" t="str">
        <f ca="1">IFERROR(__xludf.DUMMYFUNCTION("""COMPUTED_VALUE"""),"(818) 401-8719")</f>
        <v>(818) 401-8719</v>
      </c>
      <c r="Q751" s="5"/>
      <c r="R751" s="5" t="str">
        <f ca="1">IFERROR(__xludf.DUMMYFUNCTION("""COMPUTED_VALUE"""),"(818) 401-8719")</f>
        <v>(818) 401-8719</v>
      </c>
      <c r="S751" s="5"/>
      <c r="T751" s="5"/>
    </row>
    <row r="752" spans="1:20" ht="12.75">
      <c r="A752" s="24">
        <f ca="1">IFERROR(__xludf.DUMMYFUNCTION("""COMPUTED_VALUE"""),45671.4711586805)</f>
        <v>45671.471158680499</v>
      </c>
      <c r="B752" s="5" t="str">
        <f ca="1">IFERROR(__xludf.DUMMYFUNCTION("""COMPUTED_VALUE"""),"6665 Franklin Ave APT 6")</f>
        <v>6665 Franklin Ave APT 6</v>
      </c>
      <c r="C752" s="5" t="str">
        <f ca="1">IFERROR(__xludf.DUMMYFUNCTION("""COMPUTED_VALUE"""),"Los Angeles")</f>
        <v>Los Angeles</v>
      </c>
      <c r="D752" s="5" t="str">
        <f ca="1">IFERROR(__xludf.DUMMYFUNCTION("""COMPUTED_VALUE"""),"CA")</f>
        <v>CA</v>
      </c>
      <c r="E752" s="5">
        <f ca="1">IFERROR(__xludf.DUMMYFUNCTION("""COMPUTED_VALUE"""),90028)</f>
        <v>90028</v>
      </c>
      <c r="F752" s="19">
        <f ca="1">IFERROR(__xludf.DUMMYFUNCTION("""COMPUTED_VALUE"""),4000)</f>
        <v>4000</v>
      </c>
      <c r="G752" s="19">
        <f ca="1">IFERROR(__xludf.DUMMYFUNCTION("""COMPUTED_VALUE"""),4800)</f>
        <v>4800</v>
      </c>
      <c r="H752" s="18">
        <f ca="1">IFERROR(__xludf.DUMMYFUNCTION("""COMPUTED_VALUE"""),45671)</f>
        <v>45671</v>
      </c>
      <c r="I752" s="5" t="str">
        <f ca="1">IFERROR(__xludf.DUMMYFUNCTION("""COMPUTED_VALUE"""),"Zillow")</f>
        <v>Zillow</v>
      </c>
      <c r="J752" s="25" t="str">
        <f ca="1">IFERROR(__xludf.DUMMYFUNCTION("""COMPUTED_VALUE"""),"https://www.zillow.com/homedetails/6665-Franklin-Ave-APT-6-Los-Angeles-CA-90028/20803776_zpid/")</f>
        <v>https://www.zillow.com/homedetails/6665-Franklin-Ave-APT-6-Los-Angeles-CA-90028/20803776_zpid/</v>
      </c>
      <c r="K752" s="5" t="str">
        <f ca="1">IFERROR(__xludf.DUMMYFUNCTION("""COMPUTED_VALUE"""),"Kiran")</f>
        <v>Kiran</v>
      </c>
      <c r="L752" s="5"/>
      <c r="M752" s="5"/>
      <c r="N752" s="5" t="str">
        <f ca="1">IFERROR(__xludf.DUMMYFUNCTION("""COMPUTED_VALUE"""),"https://drive.google.com/open?id=1itoo4ZQIIBIFJZ2I3eJYPm6H0cOn6fLz, https://drive.google.com/open?id=1sffluGwbxwhjOTRXKUPMxTCGqfC3bvud")</f>
        <v>https://drive.google.com/open?id=1itoo4ZQIIBIFJZ2I3eJYPm6H0cOn6fLz, https://drive.google.com/open?id=1sffluGwbxwhjOTRXKUPMxTCGqfC3bvud</v>
      </c>
      <c r="O752" s="5">
        <f ca="1">IFERROR(__xludf.DUMMYFUNCTION("""COMPUTED_VALUE"""),5575007040)</f>
        <v>5575007040</v>
      </c>
      <c r="P752" s="5" t="str">
        <f ca="1">IFERROR(__xludf.DUMMYFUNCTION("""COMPUTED_VALUE"""),"(971) 265-6367")</f>
        <v>(971) 265-6367</v>
      </c>
      <c r="Q752" s="5"/>
      <c r="R752" s="5"/>
      <c r="S752" s="5"/>
      <c r="T752" s="5"/>
    </row>
    <row r="753" spans="1:20" ht="12.75">
      <c r="A753" s="24">
        <f ca="1">IFERROR(__xludf.DUMMYFUNCTION("""COMPUTED_VALUE"""),45671.4754648495)</f>
        <v>45671.4754648495</v>
      </c>
      <c r="B753" s="5" t="str">
        <f ca="1">IFERROR(__xludf.DUMMYFUNCTION("""COMPUTED_VALUE"""),"1140 N Clark St, Apt 209A")</f>
        <v>1140 N Clark St, Apt 209A</v>
      </c>
      <c r="C753" s="5" t="str">
        <f ca="1">IFERROR(__xludf.DUMMYFUNCTION("""COMPUTED_VALUE"""),"West Hollywood")</f>
        <v>West Hollywood</v>
      </c>
      <c r="D753" s="5" t="str">
        <f ca="1">IFERROR(__xludf.DUMMYFUNCTION("""COMPUTED_VALUE"""),"CA")</f>
        <v>CA</v>
      </c>
      <c r="E753" s="5">
        <f ca="1">IFERROR(__xludf.DUMMYFUNCTION("""COMPUTED_VALUE"""),90069)</f>
        <v>90069</v>
      </c>
      <c r="F753" s="19">
        <f ca="1">IFERROR(__xludf.DUMMYFUNCTION("""COMPUTED_VALUE"""),1810)</f>
        <v>1810</v>
      </c>
      <c r="G753" s="19">
        <f ca="1">IFERROR(__xludf.DUMMYFUNCTION("""COMPUTED_VALUE"""),1995)</f>
        <v>1995</v>
      </c>
      <c r="H753" s="18">
        <f ca="1">IFERROR(__xludf.DUMMYFUNCTION("""COMPUTED_VALUE"""),45666)</f>
        <v>45666</v>
      </c>
      <c r="I753" s="5" t="str">
        <f ca="1">IFERROR(__xludf.DUMMYFUNCTION("""COMPUTED_VALUE"""),"Zillow")</f>
        <v>Zillow</v>
      </c>
      <c r="J753" s="25" t="str">
        <f ca="1">IFERROR(__xludf.DUMMYFUNCTION("""COMPUTED_VALUE"""),"https://www.zillow.com/homedetails/1140-N-Clark-St-209A-West-Hollywood-CA-90069/443853695_zpid/")</f>
        <v>https://www.zillow.com/homedetails/1140-N-Clark-St-209A-West-Hollywood-CA-90069/443853695_zpid/</v>
      </c>
      <c r="K753" s="5"/>
      <c r="L753" s="5"/>
      <c r="M753" s="5" t="str">
        <f ca="1">IFERROR(__xludf.DUMMYFUNCTION("""COMPUTED_VALUE"""),"I live in this building and the management company is so shit, with all the crap they've tried to pull on us, they're definitely just trying to maximize profits")</f>
        <v>I live in this building and the management company is so shit, with all the crap they've tried to pull on us, they're definitely just trying to maximize profits</v>
      </c>
      <c r="N753" s="26" t="str">
        <f ca="1">IFERROR(__xludf.DUMMYFUNCTION("""COMPUTED_VALUE"""),"https://drive.google.com/open?id=1HOUn51uaVl9Ch4HKhnA-uWhtrSCdk2m8")</f>
        <v>https://drive.google.com/open?id=1HOUn51uaVl9Ch4HKhnA-uWhtrSCdk2m8</v>
      </c>
      <c r="O753" s="5" t="str">
        <f ca="1">IFERROR(__xludf.DUMMYFUNCTION("""COMPUTED_VALUE"""),"NA")</f>
        <v>NA</v>
      </c>
      <c r="P753" s="5"/>
      <c r="Q753" s="5"/>
      <c r="R753" s="5"/>
      <c r="S753" s="5"/>
      <c r="T753" s="5"/>
    </row>
    <row r="754" spans="1:20" ht="12.75">
      <c r="A754" s="24">
        <f ca="1">IFERROR(__xludf.DUMMYFUNCTION("""COMPUTED_VALUE"""),45671.4783091666)</f>
        <v>45671.478309166603</v>
      </c>
      <c r="B754" s="5" t="str">
        <f ca="1">IFERROR(__xludf.DUMMYFUNCTION("""COMPUTED_VALUE"""),"3055 Landa St")</f>
        <v>3055 Landa St</v>
      </c>
      <c r="C754" s="5" t="str">
        <f ca="1">IFERROR(__xludf.DUMMYFUNCTION("""COMPUTED_VALUE"""),"Los Angeles")</f>
        <v>Los Angeles</v>
      </c>
      <c r="D754" s="5" t="str">
        <f ca="1">IFERROR(__xludf.DUMMYFUNCTION("""COMPUTED_VALUE"""),"CA")</f>
        <v>CA</v>
      </c>
      <c r="E754" s="5">
        <f ca="1">IFERROR(__xludf.DUMMYFUNCTION("""COMPUTED_VALUE"""),90039)</f>
        <v>90039</v>
      </c>
      <c r="F754" s="19">
        <f ca="1">IFERROR(__xludf.DUMMYFUNCTION("""COMPUTED_VALUE"""),9000)</f>
        <v>9000</v>
      </c>
      <c r="G754" s="19">
        <f ca="1">IFERROR(__xludf.DUMMYFUNCTION("""COMPUTED_VALUE"""),12000)</f>
        <v>12000</v>
      </c>
      <c r="H754" s="18">
        <f ca="1">IFERROR(__xludf.DUMMYFUNCTION("""COMPUTED_VALUE"""),45671)</f>
        <v>45671</v>
      </c>
      <c r="I754" s="5" t="str">
        <f ca="1">IFERROR(__xludf.DUMMYFUNCTION("""COMPUTED_VALUE"""),"Zillow")</f>
        <v>Zillow</v>
      </c>
      <c r="J754" s="25" t="str">
        <f ca="1">IFERROR(__xludf.DUMMYFUNCTION("""COMPUTED_VALUE"""),"https://www.zillow.com/homedetails/3055-Landa-St-Los-Angeles-CA-90039/20747666_zpid/")</f>
        <v>https://www.zillow.com/homedetails/3055-Landa-St-Los-Angeles-CA-90039/20747666_zpid/</v>
      </c>
      <c r="K754" s="5"/>
      <c r="L754" s="5" t="str">
        <f ca="1">IFERROR(__xludf.DUMMYFUNCTION("""COMPUTED_VALUE"""),"Edward Kay")</f>
        <v>Edward Kay</v>
      </c>
      <c r="M754" s="5"/>
      <c r="N754" s="5" t="str">
        <f ca="1">IFERROR(__xludf.DUMMYFUNCTION("""COMPUTED_VALUE"""),"https://drive.google.com/open?id=1J6Uq6Nut_WBk5O5j3jyAYDFbHlaKxgUd, https://drive.google.com/open?id=12QMHdYysYFqAg6OQqeza-BP9zYjw3CTP")</f>
        <v>https://drive.google.com/open?id=1J6Uq6Nut_WBk5O5j3jyAYDFbHlaKxgUd, https://drive.google.com/open?id=12QMHdYysYFqAg6OQqeza-BP9zYjw3CTP</v>
      </c>
      <c r="O754" s="5">
        <f ca="1">IFERROR(__xludf.DUMMYFUNCTION("""COMPUTED_VALUE"""),5431021002)</f>
        <v>5431021002</v>
      </c>
      <c r="P754" s="5"/>
      <c r="Q754" s="5"/>
      <c r="R754" s="5" t="str">
        <f ca="1">IFERROR(__xludf.DUMMYFUNCTION("""COMPUTED_VALUE"""),"(818) 401-8719")</f>
        <v>(818) 401-8719</v>
      </c>
      <c r="S754" s="5"/>
      <c r="T754" s="5"/>
    </row>
    <row r="755" spans="1:20" ht="12.75">
      <c r="A755" s="24">
        <f ca="1">IFERROR(__xludf.DUMMYFUNCTION("""COMPUTED_VALUE"""),45671.483722743)</f>
        <v>45671.483722743003</v>
      </c>
      <c r="B755" s="5" t="str">
        <f ca="1">IFERROR(__xludf.DUMMYFUNCTION("""COMPUTED_VALUE"""),"2315 Glendale Blvd")</f>
        <v>2315 Glendale Blvd</v>
      </c>
      <c r="C755" s="5" t="str">
        <f ca="1">IFERROR(__xludf.DUMMYFUNCTION("""COMPUTED_VALUE"""),"Los Angeles")</f>
        <v>Los Angeles</v>
      </c>
      <c r="D755" s="5" t="str">
        <f ca="1">IFERROR(__xludf.DUMMYFUNCTION("""COMPUTED_VALUE"""),"CA")</f>
        <v>CA</v>
      </c>
      <c r="E755" s="5">
        <f ca="1">IFERROR(__xludf.DUMMYFUNCTION("""COMPUTED_VALUE"""),90039)</f>
        <v>90039</v>
      </c>
      <c r="F755" s="19">
        <f ca="1">IFERROR(__xludf.DUMMYFUNCTION("""COMPUTED_VALUE"""),2400)</f>
        <v>2400</v>
      </c>
      <c r="G755" s="19">
        <f ca="1">IFERROR(__xludf.DUMMYFUNCTION("""COMPUTED_VALUE"""),2800)</f>
        <v>2800</v>
      </c>
      <c r="H755" s="18">
        <f ca="1">IFERROR(__xludf.DUMMYFUNCTION("""COMPUTED_VALUE"""),45666)</f>
        <v>45666</v>
      </c>
      <c r="I755" s="5" t="str">
        <f ca="1">IFERROR(__xludf.DUMMYFUNCTION("""COMPUTED_VALUE"""),"Zillow")</f>
        <v>Zillow</v>
      </c>
      <c r="J755" s="25" t="str">
        <f ca="1">IFERROR(__xludf.DUMMYFUNCTION("""COMPUTED_VALUE"""),"https://www.zillow.com/homedetails/2315-Glendale-Blvd-Los-Angeles-CA-90039/2069329510_zpid/")</f>
        <v>https://www.zillow.com/homedetails/2315-Glendale-Blvd-Los-Angeles-CA-90039/2069329510_zpid/</v>
      </c>
      <c r="K755" s="5"/>
      <c r="L755" s="5" t="str">
        <f ca="1">IFERROR(__xludf.DUMMYFUNCTION("""COMPUTED_VALUE"""),"Angela Zaidman")</f>
        <v>Angela Zaidman</v>
      </c>
      <c r="M755" s="5"/>
      <c r="N755" s="5" t="str">
        <f ca="1">IFERROR(__xludf.DUMMYFUNCTION("""COMPUTED_VALUE"""),"https://drive.google.com/open?id=1owPqfwNAfkdAxXy4RMVrqZ8hAC0YlXPf, https://drive.google.com/open?id=1M35GRSHZkOW2VbLryJgnNAL3YzF9TRMc")</f>
        <v>https://drive.google.com/open?id=1owPqfwNAfkdAxXy4RMVrqZ8hAC0YlXPf, https://drive.google.com/open?id=1M35GRSHZkOW2VbLryJgnNAL3YzF9TRMc</v>
      </c>
      <c r="O755" s="5" t="str">
        <f ca="1">IFERROR(__xludf.DUMMYFUNCTION("""COMPUTED_VALUE"""),"NA")</f>
        <v>NA</v>
      </c>
      <c r="P755" s="5"/>
      <c r="Q755" s="5"/>
      <c r="R755" s="5" t="str">
        <f ca="1">IFERROR(__xludf.DUMMYFUNCTION("""COMPUTED_VALUE"""),"(661) 714-1385")</f>
        <v>(661) 714-1385</v>
      </c>
      <c r="S755" s="5"/>
      <c r="T755" s="5"/>
    </row>
    <row r="756" spans="1:20" ht="12.75">
      <c r="A756" s="24">
        <f ca="1">IFERROR(__xludf.DUMMYFUNCTION("""COMPUTED_VALUE"""),45671.4863604398)</f>
        <v>45671.486360439798</v>
      </c>
      <c r="B756" s="5" t="str">
        <f ca="1">IFERROR(__xludf.DUMMYFUNCTION("""COMPUTED_VALUE"""),"2822 Grayson Ave")</f>
        <v>2822 Grayson Ave</v>
      </c>
      <c r="C756" s="5" t="str">
        <f ca="1">IFERROR(__xludf.DUMMYFUNCTION("""COMPUTED_VALUE"""),"Venice")</f>
        <v>Venice</v>
      </c>
      <c r="D756" s="5" t="str">
        <f ca="1">IFERROR(__xludf.DUMMYFUNCTION("""COMPUTED_VALUE"""),"CA")</f>
        <v>CA</v>
      </c>
      <c r="E756" s="5">
        <f ca="1">IFERROR(__xludf.DUMMYFUNCTION("""COMPUTED_VALUE"""),90291)</f>
        <v>90291</v>
      </c>
      <c r="F756" s="19">
        <f ca="1">IFERROR(__xludf.DUMMYFUNCTION("""COMPUTED_VALUE"""),16000)</f>
        <v>16000</v>
      </c>
      <c r="G756" s="19">
        <f ca="1">IFERROR(__xludf.DUMMYFUNCTION("""COMPUTED_VALUE"""),18000)</f>
        <v>18000</v>
      </c>
      <c r="H756" s="18">
        <f ca="1">IFERROR(__xludf.DUMMYFUNCTION("""COMPUTED_VALUE"""),45671)</f>
        <v>45671</v>
      </c>
      <c r="I756" s="5" t="str">
        <f ca="1">IFERROR(__xludf.DUMMYFUNCTION("""COMPUTED_VALUE"""),"Zillow")</f>
        <v>Zillow</v>
      </c>
      <c r="J756" s="25" t="str">
        <f ca="1">IFERROR(__xludf.DUMMYFUNCTION("""COMPUTED_VALUE"""),"https://www.zillow.com/homedetails/2822-Grayson-Ave-Venice-CA-90291/20444393_zpid/")</f>
        <v>https://www.zillow.com/homedetails/2822-Grayson-Ave-Venice-CA-90291/20444393_zpid/</v>
      </c>
      <c r="K756" s="5" t="str">
        <f ca="1">IFERROR(__xludf.DUMMYFUNCTION("""COMPUTED_VALUE"""),"Leili")</f>
        <v>Leili</v>
      </c>
      <c r="L756" s="5"/>
      <c r="M756" s="5"/>
      <c r="N756" s="26" t="str">
        <f ca="1">IFERROR(__xludf.DUMMYFUNCTION("""COMPUTED_VALUE"""),"https://drive.google.com/open?id=18Sq_80zmyIFrgIZhfbzy90G3-5ExQgUk")</f>
        <v>https://drive.google.com/open?id=18Sq_80zmyIFrgIZhfbzy90G3-5ExQgUk</v>
      </c>
      <c r="O756" s="5">
        <f ca="1">IFERROR(__xludf.DUMMYFUNCTION("""COMPUTED_VALUE"""),4227023010)</f>
        <v>4227023010</v>
      </c>
      <c r="P756" s="5" t="str">
        <f ca="1">IFERROR(__xludf.DUMMYFUNCTION("""COMPUTED_VALUE"""),"(617) 309-8836")</f>
        <v>(617) 309-8836</v>
      </c>
      <c r="Q756" s="5"/>
      <c r="R756" s="5"/>
      <c r="S756" s="5"/>
      <c r="T756" s="5"/>
    </row>
    <row r="757" spans="1:20" ht="12.75">
      <c r="A757" s="24">
        <f ca="1">IFERROR(__xludf.DUMMYFUNCTION("""COMPUTED_VALUE"""),45671.4866373263)</f>
        <v>45671.486637326299</v>
      </c>
      <c r="B757" s="5" t="str">
        <f ca="1">IFERROR(__xludf.DUMMYFUNCTION("""COMPUTED_VALUE"""),"8911 Cynthia St Apt 10")</f>
        <v>8911 Cynthia St Apt 10</v>
      </c>
      <c r="C757" s="5" t="str">
        <f ca="1">IFERROR(__xludf.DUMMYFUNCTION("""COMPUTED_VALUE"""),"West Hollywood")</f>
        <v>West Hollywood</v>
      </c>
      <c r="D757" s="5" t="str">
        <f ca="1">IFERROR(__xludf.DUMMYFUNCTION("""COMPUTED_VALUE"""),"CA")</f>
        <v>CA</v>
      </c>
      <c r="E757" s="5">
        <f ca="1">IFERROR(__xludf.DUMMYFUNCTION("""COMPUTED_VALUE"""),90069)</f>
        <v>90069</v>
      </c>
      <c r="F757" s="19">
        <f ca="1">IFERROR(__xludf.DUMMYFUNCTION("""COMPUTED_VALUE"""),4264)</f>
        <v>4264</v>
      </c>
      <c r="G757" s="19">
        <f ca="1">IFERROR(__xludf.DUMMYFUNCTION("""COMPUTED_VALUE"""),4950)</f>
        <v>4950</v>
      </c>
      <c r="H757" s="18">
        <f ca="1">IFERROR(__xludf.DUMMYFUNCTION("""COMPUTED_VALUE"""),45667)</f>
        <v>45667</v>
      </c>
      <c r="I757" s="5" t="str">
        <f ca="1">IFERROR(__xludf.DUMMYFUNCTION("""COMPUTED_VALUE"""),"Zillow")</f>
        <v>Zillow</v>
      </c>
      <c r="J757" s="25" t="str">
        <f ca="1">IFERROR(__xludf.DUMMYFUNCTION("""COMPUTED_VALUE"""),"https://www.zillow.com/homedetails/8911-Cynthia-St-APT-10-West-Hollywood-CA-90069/2058171272_zpid/")</f>
        <v>https://www.zillow.com/homedetails/8911-Cynthia-St-APT-10-West-Hollywood-CA-90069/2058171272_zpid/</v>
      </c>
      <c r="K757" s="5"/>
      <c r="L757" s="5"/>
      <c r="M757" s="5"/>
      <c r="N757" s="26" t="str">
        <f ca="1">IFERROR(__xludf.DUMMYFUNCTION("""COMPUTED_VALUE"""),"https://drive.google.com/open?id=1XRvOVWHeuFpeMZSu646O2Nu9LyUbHfMv")</f>
        <v>https://drive.google.com/open?id=1XRvOVWHeuFpeMZSu646O2Nu9LyUbHfMv</v>
      </c>
      <c r="O757" s="5" t="str">
        <f ca="1">IFERROR(__xludf.DUMMYFUNCTION("""COMPUTED_VALUE"""),"NA")</f>
        <v>NA</v>
      </c>
      <c r="P757" s="5"/>
      <c r="Q757" s="5"/>
      <c r="R757" s="5"/>
      <c r="S757" s="5"/>
      <c r="T757" s="5"/>
    </row>
    <row r="758" spans="1:20" ht="12.75">
      <c r="A758" s="24">
        <f ca="1">IFERROR(__xludf.DUMMYFUNCTION("""COMPUTED_VALUE"""),45671.4876432175)</f>
        <v>45671.487643217501</v>
      </c>
      <c r="B758" s="5" t="str">
        <f ca="1">IFERROR(__xludf.DUMMYFUNCTION("""COMPUTED_VALUE"""),"undisclosed")</f>
        <v>undisclosed</v>
      </c>
      <c r="C758" s="5" t="str">
        <f ca="1">IFERROR(__xludf.DUMMYFUNCTION("""COMPUTED_VALUE"""),"Los Angeles")</f>
        <v>Los Angeles</v>
      </c>
      <c r="D758" s="5" t="str">
        <f ca="1">IFERROR(__xludf.DUMMYFUNCTION("""COMPUTED_VALUE"""),"CA")</f>
        <v>CA</v>
      </c>
      <c r="E758" s="5">
        <f ca="1">IFERROR(__xludf.DUMMYFUNCTION("""COMPUTED_VALUE"""),90004)</f>
        <v>90004</v>
      </c>
      <c r="F758" s="19">
        <f ca="1">IFERROR(__xludf.DUMMYFUNCTION("""COMPUTED_VALUE"""),2995)</f>
        <v>2995</v>
      </c>
      <c r="G758" s="19">
        <f ca="1">IFERROR(__xludf.DUMMYFUNCTION("""COMPUTED_VALUE"""),5295)</f>
        <v>5295</v>
      </c>
      <c r="H758" s="18">
        <f ca="1">IFERROR(__xludf.DUMMYFUNCTION("""COMPUTED_VALUE"""),45668)</f>
        <v>45668</v>
      </c>
      <c r="I758" s="5" t="str">
        <f ca="1">IFERROR(__xludf.DUMMYFUNCTION("""COMPUTED_VALUE"""),"Zillow")</f>
        <v>Zillow</v>
      </c>
      <c r="J758" s="25" t="str">
        <f ca="1">IFERROR(__xludf.DUMMYFUNCTION("""COMPUTED_VALUE"""),"https://www.zillow.com/homedetails/Los-Angeles-CA-90004/2092617999_zpid/")</f>
        <v>https://www.zillow.com/homedetails/Los-Angeles-CA-90004/2092617999_zpid/</v>
      </c>
      <c r="K758" s="5" t="str">
        <f ca="1">IFERROR(__xludf.DUMMYFUNCTION("""COMPUTED_VALUE"""),"Gadi / 635 N Berendo LLC")</f>
        <v>Gadi / 635 N Berendo LLC</v>
      </c>
      <c r="L758" s="5"/>
      <c r="M758" s="5" t="str">
        <f ca="1">IFERROR(__xludf.DUMMYFUNCTION("""COMPUTED_VALUE"""),"They initially raised it to $5495 on 1/11 but then lowered to $5295 the following day")</f>
        <v>They initially raised it to $5495 on 1/11 but then lowered to $5295 the following day</v>
      </c>
      <c r="N758" s="5" t="str">
        <f ca="1">IFERROR(__xludf.DUMMYFUNCTION("""COMPUTED_VALUE"""),"https://drive.google.com/open?id=1QZHpspHKF6YSb1xgbY6cjLX6W0gusjOO, https://drive.google.com/open?id=1zkbxHQ-5p6JTN960FrsXugMryX473kaA")</f>
        <v>https://drive.google.com/open?id=1QZHpspHKF6YSb1xgbY6cjLX6W0gusjOO, https://drive.google.com/open?id=1zkbxHQ-5p6JTN960FrsXugMryX473kaA</v>
      </c>
      <c r="O758" s="5" t="str">
        <f ca="1">IFERROR(__xludf.DUMMYFUNCTION("""COMPUTED_VALUE"""),"NA")</f>
        <v>NA</v>
      </c>
      <c r="P758" s="5" t="str">
        <f ca="1">IFERROR(__xludf.DUMMYFUNCTION("""COMPUTED_VALUE"""),"(310) 963-9727")</f>
        <v>(310) 963-9727</v>
      </c>
      <c r="Q758" s="5"/>
      <c r="R758" s="5"/>
      <c r="S758" s="5"/>
      <c r="T758" s="5"/>
    </row>
    <row r="759" spans="1:20" ht="12.75">
      <c r="A759" s="24">
        <f ca="1">IFERROR(__xludf.DUMMYFUNCTION("""COMPUTED_VALUE"""),45671.4886588194)</f>
        <v>45671.488658819399</v>
      </c>
      <c r="B759" s="5" t="str">
        <f ca="1">IFERROR(__xludf.DUMMYFUNCTION("""COMPUTED_VALUE"""),"600 Flower Ave")</f>
        <v>600 Flower Ave</v>
      </c>
      <c r="C759" s="5" t="str">
        <f ca="1">IFERROR(__xludf.DUMMYFUNCTION("""COMPUTED_VALUE"""),"Venice")</f>
        <v>Venice</v>
      </c>
      <c r="D759" s="5" t="str">
        <f ca="1">IFERROR(__xludf.DUMMYFUNCTION("""COMPUTED_VALUE"""),"CA")</f>
        <v>CA</v>
      </c>
      <c r="E759" s="5">
        <f ca="1">IFERROR(__xludf.DUMMYFUNCTION("""COMPUTED_VALUE"""),90291)</f>
        <v>90291</v>
      </c>
      <c r="F759" s="19">
        <f ca="1">IFERROR(__xludf.DUMMYFUNCTION("""COMPUTED_VALUE"""),3750)</f>
        <v>3750</v>
      </c>
      <c r="G759" s="19">
        <f ca="1">IFERROR(__xludf.DUMMYFUNCTION("""COMPUTED_VALUE"""),4795)</f>
        <v>4795</v>
      </c>
      <c r="H759" s="18">
        <f ca="1">IFERROR(__xludf.DUMMYFUNCTION("""COMPUTED_VALUE"""),45671)</f>
        <v>45671</v>
      </c>
      <c r="I759" s="5" t="str">
        <f ca="1">IFERROR(__xludf.DUMMYFUNCTION("""COMPUTED_VALUE"""),"Zillow")</f>
        <v>Zillow</v>
      </c>
      <c r="J759" s="25" t="str">
        <f ca="1">IFERROR(__xludf.DUMMYFUNCTION("""COMPUTED_VALUE"""),"https://www.zillow.com/homedetails/600-Flower-Ave-Venice-CA-90291/2076687188_zpid/")</f>
        <v>https://www.zillow.com/homedetails/600-Flower-Ave-Venice-CA-90291/2076687188_zpid/</v>
      </c>
      <c r="K759" s="5" t="str">
        <f ca="1">IFERROR(__xludf.DUMMYFUNCTION("""COMPUTED_VALUE"""),"Ami Tabak")</f>
        <v>Ami Tabak</v>
      </c>
      <c r="L759" s="5"/>
      <c r="M759" s="5" t="str">
        <f ca="1">IFERROR(__xludf.DUMMYFUNCTION("""COMPUTED_VALUE"""),"Sandstone Realty Inc")</f>
        <v>Sandstone Realty Inc</v>
      </c>
      <c r="N759" s="26" t="str">
        <f ca="1">IFERROR(__xludf.DUMMYFUNCTION("""COMPUTED_VALUE"""),"https://drive.google.com/open?id=1rOOlPZ63vXE8gFV4DkEeJsu9wGA-dMut")</f>
        <v>https://drive.google.com/open?id=1rOOlPZ63vXE8gFV4DkEeJsu9wGA-dMut</v>
      </c>
      <c r="O759" s="5" t="str">
        <f ca="1">IFERROR(__xludf.DUMMYFUNCTION("""COMPUTED_VALUE"""),"NA")</f>
        <v>NA</v>
      </c>
      <c r="P759" s="5">
        <f ca="1">IFERROR(__xludf.DUMMYFUNCTION("""COMPUTED_VALUE"""),2135099328)</f>
        <v>2135099328</v>
      </c>
      <c r="Q759" s="5"/>
      <c r="R759" s="5"/>
      <c r="S759" s="5"/>
      <c r="T759" s="5"/>
    </row>
    <row r="760" spans="1:20" ht="12.75">
      <c r="A760" s="24">
        <f ca="1">IFERROR(__xludf.DUMMYFUNCTION("""COMPUTED_VALUE"""),45671.4907656018)</f>
        <v>45671.490765601797</v>
      </c>
      <c r="B760" s="5" t="str">
        <f ca="1">IFERROR(__xludf.DUMMYFUNCTION("""COMPUTED_VALUE"""),"16 Park Ave")</f>
        <v>16 Park Ave</v>
      </c>
      <c r="C760" s="5" t="str">
        <f ca="1">IFERROR(__xludf.DUMMYFUNCTION("""COMPUTED_VALUE"""),"Venice")</f>
        <v>Venice</v>
      </c>
      <c r="D760" s="5" t="str">
        <f ca="1">IFERROR(__xludf.DUMMYFUNCTION("""COMPUTED_VALUE"""),"CA")</f>
        <v>CA</v>
      </c>
      <c r="E760" s="5">
        <f ca="1">IFERROR(__xludf.DUMMYFUNCTION("""COMPUTED_VALUE"""),90291)</f>
        <v>90291</v>
      </c>
      <c r="F760" s="19">
        <f ca="1">IFERROR(__xludf.DUMMYFUNCTION("""COMPUTED_VALUE"""),7995)</f>
        <v>7995</v>
      </c>
      <c r="G760" s="19">
        <f ca="1">IFERROR(__xludf.DUMMYFUNCTION("""COMPUTED_VALUE"""),30000)</f>
        <v>30000</v>
      </c>
      <c r="H760" s="18">
        <f ca="1">IFERROR(__xludf.DUMMYFUNCTION("""COMPUTED_VALUE"""),45670)</f>
        <v>45670</v>
      </c>
      <c r="I760" s="5" t="str">
        <f ca="1">IFERROR(__xludf.DUMMYFUNCTION("""COMPUTED_VALUE"""),"Zillow")</f>
        <v>Zillow</v>
      </c>
      <c r="J760" s="25" t="str">
        <f ca="1">IFERROR(__xludf.DUMMYFUNCTION("""COMPUTED_VALUE"""),"https://www.zillow.com/homedetails/16-Park-Ave-Venice-CA-90291/20482259_zpid/")</f>
        <v>https://www.zillow.com/homedetails/16-Park-Ave-Venice-CA-90291/20482259_zpid/</v>
      </c>
      <c r="K760" s="5" t="str">
        <f ca="1">IFERROR(__xludf.DUMMYFUNCTION("""COMPUTED_VALUE"""),"Kevin Krakower")</f>
        <v>Kevin Krakower</v>
      </c>
      <c r="L760" s="5" t="str">
        <f ca="1">IFERROR(__xludf.DUMMYFUNCTION("""COMPUTED_VALUE"""),"Douglas Elliman")</f>
        <v>Douglas Elliman</v>
      </c>
      <c r="M760" s="5"/>
      <c r="N760" s="26" t="str">
        <f ca="1">IFERROR(__xludf.DUMMYFUNCTION("""COMPUTED_VALUE"""),"https://drive.google.com/open?id=1RZVLIDFqjA5GrbZPxYS5A2GJ4KgcZaTM")</f>
        <v>https://drive.google.com/open?id=1RZVLIDFqjA5GrbZPxYS5A2GJ4KgcZaTM</v>
      </c>
      <c r="O760" s="5">
        <f ca="1">IFERROR(__xludf.DUMMYFUNCTION("""COMPUTED_VALUE"""),4286025001)</f>
        <v>4286025001</v>
      </c>
      <c r="P760" s="5">
        <f ca="1">IFERROR(__xludf.DUMMYFUNCTION("""COMPUTED_VALUE"""),3104939895)</f>
        <v>3104939895</v>
      </c>
      <c r="Q760" s="5"/>
      <c r="R760" s="5"/>
      <c r="S760" s="5"/>
      <c r="T760" s="5"/>
    </row>
    <row r="761" spans="1:20" ht="12.75">
      <c r="A761" s="24">
        <f ca="1">IFERROR(__xludf.DUMMYFUNCTION("""COMPUTED_VALUE"""),45671.4907727777)</f>
        <v>45671.490772777703</v>
      </c>
      <c r="B761" s="5" t="str">
        <f ca="1">IFERROR(__xludf.DUMMYFUNCTION("""COMPUTED_VALUE"""),"532 N Rossmore Ave Apt 103")</f>
        <v>532 N Rossmore Ave Apt 103</v>
      </c>
      <c r="C761" s="5" t="str">
        <f ca="1">IFERROR(__xludf.DUMMYFUNCTION("""COMPUTED_VALUE"""),"Los Angeles")</f>
        <v>Los Angeles</v>
      </c>
      <c r="D761" s="5" t="str">
        <f ca="1">IFERROR(__xludf.DUMMYFUNCTION("""COMPUTED_VALUE"""),"CA")</f>
        <v>CA</v>
      </c>
      <c r="E761" s="5">
        <f ca="1">IFERROR(__xludf.DUMMYFUNCTION("""COMPUTED_VALUE"""),90004)</f>
        <v>90004</v>
      </c>
      <c r="F761" s="19">
        <f ca="1">IFERROR(__xludf.DUMMYFUNCTION("""COMPUTED_VALUE"""),2950)</f>
        <v>2950</v>
      </c>
      <c r="G761" s="19">
        <f ca="1">IFERROR(__xludf.DUMMYFUNCTION("""COMPUTED_VALUE"""),3300)</f>
        <v>3300</v>
      </c>
      <c r="H761" s="18">
        <f ca="1">IFERROR(__xludf.DUMMYFUNCTION("""COMPUTED_VALUE"""),45668)</f>
        <v>45668</v>
      </c>
      <c r="I761" s="5" t="str">
        <f ca="1">IFERROR(__xludf.DUMMYFUNCTION("""COMPUTED_VALUE"""),"Zillow")</f>
        <v>Zillow</v>
      </c>
      <c r="J761" s="25" t="str">
        <f ca="1">IFERROR(__xludf.DUMMYFUNCTION("""COMPUTED_VALUE"""),"https://www.zillow.com/homedetails/532-N-Rossmore-Ave-APT-103-Los-Angeles-CA-90004/20782624_zpid/")</f>
        <v>https://www.zillow.com/homedetails/532-N-Rossmore-Ave-APT-103-Los-Angeles-CA-90004/20782624_zpid/</v>
      </c>
      <c r="K761" s="5"/>
      <c r="L761" s="5" t="str">
        <f ca="1">IFERROR(__xludf.DUMMYFUNCTION("""COMPUTED_VALUE"""),"Nadia Harebin")</f>
        <v>Nadia Harebin</v>
      </c>
      <c r="M761" s="5"/>
      <c r="N761" s="5" t="str">
        <f ca="1">IFERROR(__xludf.DUMMYFUNCTION("""COMPUTED_VALUE"""),"https://drive.google.com/open?id=1stSIs-3CmTuzTk9wUyOr5rQxzvXLXViG, https://drive.google.com/open?id=1FTdXYjwyAOOBbCe9trFK79EC6ngqfMLn")</f>
        <v>https://drive.google.com/open?id=1stSIs-3CmTuzTk9wUyOr5rQxzvXLXViG, https://drive.google.com/open?id=1FTdXYjwyAOOBbCe9trFK79EC6ngqfMLn</v>
      </c>
      <c r="O761" s="5">
        <f ca="1">IFERROR(__xludf.DUMMYFUNCTION("""COMPUTED_VALUE"""),5523014039)</f>
        <v>5523014039</v>
      </c>
      <c r="P761" s="5"/>
      <c r="Q761" s="5"/>
      <c r="R761" s="5" t="str">
        <f ca="1">IFERROR(__xludf.DUMMYFUNCTION("""COMPUTED_VALUE"""),"(813) 516-1421")</f>
        <v>(813) 516-1421</v>
      </c>
      <c r="S761" s="5"/>
      <c r="T761" s="5"/>
    </row>
    <row r="762" spans="1:20" ht="12.75">
      <c r="A762" s="24">
        <f ca="1">IFERROR(__xludf.DUMMYFUNCTION("""COMPUTED_VALUE"""),45671.4914578587)</f>
        <v>45671.491457858698</v>
      </c>
      <c r="B762" s="5" t="str">
        <f ca="1">IFERROR(__xludf.DUMMYFUNCTION("""COMPUTED_VALUE"""),"1525 Selby Ave APT 203")</f>
        <v>1525 Selby Ave APT 203</v>
      </c>
      <c r="C762" s="5" t="str">
        <f ca="1">IFERROR(__xludf.DUMMYFUNCTION("""COMPUTED_VALUE"""),"Los Angeles")</f>
        <v>Los Angeles</v>
      </c>
      <c r="D762" s="5" t="str">
        <f ca="1">IFERROR(__xludf.DUMMYFUNCTION("""COMPUTED_VALUE"""),"CA")</f>
        <v>CA</v>
      </c>
      <c r="E762" s="5">
        <f ca="1">IFERROR(__xludf.DUMMYFUNCTION("""COMPUTED_VALUE"""),90024)</f>
        <v>90024</v>
      </c>
      <c r="F762" s="19">
        <f ca="1">IFERROR(__xludf.DUMMYFUNCTION("""COMPUTED_VALUE"""),2725)</f>
        <v>2725</v>
      </c>
      <c r="G762" s="19">
        <f ca="1">IFERROR(__xludf.DUMMYFUNCTION("""COMPUTED_VALUE"""),4200)</f>
        <v>4200</v>
      </c>
      <c r="H762" s="18">
        <f ca="1">IFERROR(__xludf.DUMMYFUNCTION("""COMPUTED_VALUE"""),45671)</f>
        <v>45671</v>
      </c>
      <c r="I762" s="5" t="str">
        <f ca="1">IFERROR(__xludf.DUMMYFUNCTION("""COMPUTED_VALUE"""),"Zillow")</f>
        <v>Zillow</v>
      </c>
      <c r="J762" s="25" t="str">
        <f ca="1">IFERROR(__xludf.DUMMYFUNCTION("""COMPUTED_VALUE"""),"https://www.zillow.com/homedetails/1525-Selby-Ave-APT-203-Los-Angeles-CA-90024/2094114909_zpid/")</f>
        <v>https://www.zillow.com/homedetails/1525-Selby-Ave-APT-203-Los-Angeles-CA-90024/2094114909_zpid/</v>
      </c>
      <c r="K762" s="5"/>
      <c r="L762" s="5" t="str">
        <f ca="1">IFERROR(__xludf.DUMMYFUNCTION("""COMPUTED_VALUE"""),"Alice")</f>
        <v>Alice</v>
      </c>
      <c r="M762" s="5"/>
      <c r="N762" s="26" t="str">
        <f ca="1">IFERROR(__xludf.DUMMYFUNCTION("""COMPUTED_VALUE"""),"https://drive.google.com/open?id=1OHVAjv3vXWHHYt7GY8yRgwb-gk2SXval")</f>
        <v>https://drive.google.com/open?id=1OHVAjv3vXWHHYt7GY8yRgwb-gk2SXval</v>
      </c>
      <c r="O762" s="5" t="str">
        <f ca="1">IFERROR(__xludf.DUMMYFUNCTION("""COMPUTED_VALUE"""),"NA")</f>
        <v>NA</v>
      </c>
      <c r="P762" s="5"/>
      <c r="Q762" s="5"/>
      <c r="R762" s="5" t="str">
        <f ca="1">IFERROR(__xludf.DUMMYFUNCTION("""COMPUTED_VALUE"""),"(323) 863-8171")</f>
        <v>(323) 863-8171</v>
      </c>
      <c r="S762" s="5"/>
      <c r="T762" s="5"/>
    </row>
    <row r="763" spans="1:20" ht="12.75">
      <c r="A763" s="24">
        <f ca="1">IFERROR(__xludf.DUMMYFUNCTION("""COMPUTED_VALUE"""),45671.4927815625)</f>
        <v>45671.492781562498</v>
      </c>
      <c r="B763" s="5" t="str">
        <f ca="1">IFERROR(__xludf.DUMMYFUNCTION("""COMPUTED_VALUE"""),"233 3/4 S Gale Dr")</f>
        <v>233 3/4 S Gale Dr</v>
      </c>
      <c r="C763" s="5" t="str">
        <f ca="1">IFERROR(__xludf.DUMMYFUNCTION("""COMPUTED_VALUE"""),"Beverly Hills")</f>
        <v>Beverly Hills</v>
      </c>
      <c r="D763" s="5" t="str">
        <f ca="1">IFERROR(__xludf.DUMMYFUNCTION("""COMPUTED_VALUE"""),"CA")</f>
        <v>CA</v>
      </c>
      <c r="E763" s="5">
        <f ca="1">IFERROR(__xludf.DUMMYFUNCTION("""COMPUTED_VALUE"""),90211)</f>
        <v>90211</v>
      </c>
      <c r="F763" s="19">
        <f ca="1">IFERROR(__xludf.DUMMYFUNCTION("""COMPUTED_VALUE"""),3100)</f>
        <v>3100</v>
      </c>
      <c r="G763" s="19">
        <f ca="1">IFERROR(__xludf.DUMMYFUNCTION("""COMPUTED_VALUE"""),3500)</f>
        <v>3500</v>
      </c>
      <c r="H763" s="18">
        <f ca="1">IFERROR(__xludf.DUMMYFUNCTION("""COMPUTED_VALUE"""),45670)</f>
        <v>45670</v>
      </c>
      <c r="I763" s="5" t="str">
        <f ca="1">IFERROR(__xludf.DUMMYFUNCTION("""COMPUTED_VALUE"""),"Zillow")</f>
        <v>Zillow</v>
      </c>
      <c r="J763" s="25" t="str">
        <f ca="1">IFERROR(__xludf.DUMMYFUNCTION("""COMPUTED_VALUE"""),"https://www.zillow.com/homedetails/233-3-4-S-Gale-Dr-Beverly-Hills-CA-90211/2083952220_zpid/")</f>
        <v>https://www.zillow.com/homedetails/233-3-4-S-Gale-Dr-Beverly-Hills-CA-90211/2083952220_zpid/</v>
      </c>
      <c r="K763" s="5"/>
      <c r="L763" s="5"/>
      <c r="M763" s="5"/>
      <c r="N763" s="26" t="str">
        <f ca="1">IFERROR(__xludf.DUMMYFUNCTION("""COMPUTED_VALUE"""),"https://drive.google.com/open?id=136zMoE4ZtONyYHjgIh7lAiNhDRinfZvQ")</f>
        <v>https://drive.google.com/open?id=136zMoE4ZtONyYHjgIh7lAiNhDRinfZvQ</v>
      </c>
      <c r="O763" s="5" t="str">
        <f ca="1">IFERROR(__xludf.DUMMYFUNCTION("""COMPUTED_VALUE"""),"NA")</f>
        <v>NA</v>
      </c>
      <c r="P763" s="5"/>
      <c r="Q763" s="5"/>
      <c r="R763" s="5"/>
      <c r="S763" s="5"/>
      <c r="T763" s="5"/>
    </row>
    <row r="764" spans="1:20" ht="12.75">
      <c r="A764" s="24">
        <f ca="1">IFERROR(__xludf.DUMMYFUNCTION("""COMPUTED_VALUE"""),45671.4950859143)</f>
        <v>45671.495085914299</v>
      </c>
      <c r="B764" s="5" t="str">
        <f ca="1">IFERROR(__xludf.DUMMYFUNCTION("""COMPUTED_VALUE"""),"11863 Darlington Ave UNIT 308")</f>
        <v>11863 Darlington Ave UNIT 308</v>
      </c>
      <c r="C764" s="5" t="str">
        <f ca="1">IFERROR(__xludf.DUMMYFUNCTION("""COMPUTED_VALUE"""),"Los Angeles")</f>
        <v>Los Angeles</v>
      </c>
      <c r="D764" s="5" t="str">
        <f ca="1">IFERROR(__xludf.DUMMYFUNCTION("""COMPUTED_VALUE"""),"CA")</f>
        <v>CA</v>
      </c>
      <c r="E764" s="5">
        <f ca="1">IFERROR(__xludf.DUMMYFUNCTION("""COMPUTED_VALUE"""),90049)</f>
        <v>90049</v>
      </c>
      <c r="F764" s="19">
        <f ca="1">IFERROR(__xludf.DUMMYFUNCTION("""COMPUTED_VALUE"""),5950)</f>
        <v>5950</v>
      </c>
      <c r="G764" s="19">
        <f ca="1">IFERROR(__xludf.DUMMYFUNCTION("""COMPUTED_VALUE"""),7500)</f>
        <v>7500</v>
      </c>
      <c r="H764" s="18">
        <f ca="1">IFERROR(__xludf.DUMMYFUNCTION("""COMPUTED_VALUE"""),45670)</f>
        <v>45670</v>
      </c>
      <c r="I764" s="5" t="str">
        <f ca="1">IFERROR(__xludf.DUMMYFUNCTION("""COMPUTED_VALUE"""),"Zillow")</f>
        <v>Zillow</v>
      </c>
      <c r="J764" s="25" t="str">
        <f ca="1">IFERROR(__xludf.DUMMYFUNCTION("""COMPUTED_VALUE"""),"https://www.zillow.com/homedetails/11863-Darlington-Ave-UNIT-308-Los-Angeles-CA-90049/135374969_zpid/")</f>
        <v>https://www.zillow.com/homedetails/11863-Darlington-Ave-UNIT-308-Los-Angeles-CA-90049/135374969_zpid/</v>
      </c>
      <c r="K764" s="5" t="str">
        <f ca="1">IFERROR(__xludf.DUMMYFUNCTION("""COMPUTED_VALUE"""),"David")</f>
        <v>David</v>
      </c>
      <c r="L764" s="5"/>
      <c r="M764" s="5"/>
      <c r="N764" s="26" t="str">
        <f ca="1">IFERROR(__xludf.DUMMYFUNCTION("""COMPUTED_VALUE"""),"https://drive.google.com/open?id=1vX-nJ7f1LTWdg5s5EZMEfXqtcEL56ELS")</f>
        <v>https://drive.google.com/open?id=1vX-nJ7f1LTWdg5s5EZMEfXqtcEL56ELS</v>
      </c>
      <c r="O764" s="5">
        <f ca="1">IFERROR(__xludf.DUMMYFUNCTION("""COMPUTED_VALUE"""),4265017160)</f>
        <v>4265017160</v>
      </c>
      <c r="P764" s="5" t="str">
        <f ca="1">IFERROR(__xludf.DUMMYFUNCTION("""COMPUTED_VALUE"""),"(323) 855-5566")</f>
        <v>(323) 855-5566</v>
      </c>
      <c r="Q764" s="5"/>
      <c r="R764" s="5"/>
      <c r="S764" s="5"/>
      <c r="T764" s="5"/>
    </row>
    <row r="765" spans="1:20" ht="12.75">
      <c r="A765" s="24">
        <f ca="1">IFERROR(__xludf.DUMMYFUNCTION("""COMPUTED_VALUE"""),45671.4962646643)</f>
        <v>45671.496264664303</v>
      </c>
      <c r="B765" s="5" t="str">
        <f ca="1">IFERROR(__xludf.DUMMYFUNCTION("""COMPUTED_VALUE"""),"417 1/2 S Cochran Ave")</f>
        <v>417 1/2 S Cochran Ave</v>
      </c>
      <c r="C765" s="5" t="str">
        <f ca="1">IFERROR(__xludf.DUMMYFUNCTION("""COMPUTED_VALUE"""),"Los Angeles")</f>
        <v>Los Angeles</v>
      </c>
      <c r="D765" s="5" t="str">
        <f ca="1">IFERROR(__xludf.DUMMYFUNCTION("""COMPUTED_VALUE"""),"CA")</f>
        <v>CA</v>
      </c>
      <c r="E765" s="5">
        <f ca="1">IFERROR(__xludf.DUMMYFUNCTION("""COMPUTED_VALUE"""),90036)</f>
        <v>90036</v>
      </c>
      <c r="F765" s="19">
        <f ca="1">IFERROR(__xludf.DUMMYFUNCTION("""COMPUTED_VALUE"""),2250)</f>
        <v>2250</v>
      </c>
      <c r="G765" s="19">
        <f ca="1">IFERROR(__xludf.DUMMYFUNCTION("""COMPUTED_VALUE"""),2800)</f>
        <v>2800</v>
      </c>
      <c r="H765" s="18">
        <f ca="1">IFERROR(__xludf.DUMMYFUNCTION("""COMPUTED_VALUE"""),45670)</f>
        <v>45670</v>
      </c>
      <c r="I765" s="5" t="str">
        <f ca="1">IFERROR(__xludf.DUMMYFUNCTION("""COMPUTED_VALUE"""),"Zillow")</f>
        <v>Zillow</v>
      </c>
      <c r="J765" s="25" t="str">
        <f ca="1">IFERROR(__xludf.DUMMYFUNCTION("""COMPUTED_VALUE"""),"https://www.zillow.com/homedetails/417-1-2-S-Cochran-Ave-Los-Angeles-CA-90036/2082146739_zpid/")</f>
        <v>https://www.zillow.com/homedetails/417-1-2-S-Cochran-Ave-Los-Angeles-CA-90036/2082146739_zpid/</v>
      </c>
      <c r="K765" s="5"/>
      <c r="L765" s="5"/>
      <c r="M765" s="5"/>
      <c r="N765" s="26" t="str">
        <f ca="1">IFERROR(__xludf.DUMMYFUNCTION("""COMPUTED_VALUE"""),"https://drive.google.com/open?id=1ONl2BSJQla3RjDJZ0avvMmpt3bqfBW_q")</f>
        <v>https://drive.google.com/open?id=1ONl2BSJQla3RjDJZ0avvMmpt3bqfBW_q</v>
      </c>
      <c r="O765" s="5" t="str">
        <f ca="1">IFERROR(__xludf.DUMMYFUNCTION("""COMPUTED_VALUE"""),"NA")</f>
        <v>NA</v>
      </c>
      <c r="P765" s="5"/>
      <c r="Q765" s="5"/>
      <c r="R765" s="5"/>
      <c r="S765" s="5"/>
      <c r="T765" s="5"/>
    </row>
    <row r="766" spans="1:20" ht="12.75">
      <c r="A766" s="24">
        <f ca="1">IFERROR(__xludf.DUMMYFUNCTION("""COMPUTED_VALUE"""),45671.4968844791)</f>
        <v>45671.4968844791</v>
      </c>
      <c r="B766" s="5" t="str">
        <f ca="1">IFERROR(__xludf.DUMMYFUNCTION("""COMPUTED_VALUE"""),"10501 Wilshire Blvd UNIT 1501")</f>
        <v>10501 Wilshire Blvd UNIT 1501</v>
      </c>
      <c r="C766" s="5" t="str">
        <f ca="1">IFERROR(__xludf.DUMMYFUNCTION("""COMPUTED_VALUE"""),"Los Angeles")</f>
        <v>Los Angeles</v>
      </c>
      <c r="D766" s="5" t="str">
        <f ca="1">IFERROR(__xludf.DUMMYFUNCTION("""COMPUTED_VALUE"""),"CA")</f>
        <v>CA</v>
      </c>
      <c r="E766" s="5">
        <f ca="1">IFERROR(__xludf.DUMMYFUNCTION("""COMPUTED_VALUE"""),90024)</f>
        <v>90024</v>
      </c>
      <c r="F766" s="19">
        <f ca="1">IFERROR(__xludf.DUMMYFUNCTION("""COMPUTED_VALUE"""),5700)</f>
        <v>5700</v>
      </c>
      <c r="G766" s="19">
        <f ca="1">IFERROR(__xludf.DUMMYFUNCTION("""COMPUTED_VALUE"""),7000)</f>
        <v>7000</v>
      </c>
      <c r="H766" s="18">
        <f ca="1">IFERROR(__xludf.DUMMYFUNCTION("""COMPUTED_VALUE"""),45669)</f>
        <v>45669</v>
      </c>
      <c r="I766" s="5" t="str">
        <f ca="1">IFERROR(__xludf.DUMMYFUNCTION("""COMPUTED_VALUE"""),"Zillow")</f>
        <v>Zillow</v>
      </c>
      <c r="J766" s="25" t="str">
        <f ca="1">IFERROR(__xludf.DUMMYFUNCTION("""COMPUTED_VALUE"""),"https://www.zillow.com/homedetails/10501-Wilshire-Blvd-UNIT-1501-Los-Angeles-CA-90024/82883623_zpid/")</f>
        <v>https://www.zillow.com/homedetails/10501-Wilshire-Blvd-UNIT-1501-Los-Angeles-CA-90024/82883623_zpid/</v>
      </c>
      <c r="K766" s="5" t="str">
        <f ca="1">IFERROR(__xludf.DUMMYFUNCTION("""COMPUTED_VALUE"""),"Dittany Zhang Seltzer")</f>
        <v>Dittany Zhang Seltzer</v>
      </c>
      <c r="L766" s="5"/>
      <c r="M766" s="5"/>
      <c r="N766" s="26" t="str">
        <f ca="1">IFERROR(__xludf.DUMMYFUNCTION("""COMPUTED_VALUE"""),"https://drive.google.com/open?id=16ZGKbIbfKpY42OCFWwVI33gJXMR3cWCn")</f>
        <v>https://drive.google.com/open?id=16ZGKbIbfKpY42OCFWwVI33gJXMR3cWCn</v>
      </c>
      <c r="O766" s="5">
        <f ca="1">IFERROR(__xludf.DUMMYFUNCTION("""COMPUTED_VALUE"""),4360034101)</f>
        <v>4360034101</v>
      </c>
      <c r="P766" s="5" t="str">
        <f ca="1">IFERROR(__xludf.DUMMYFUNCTION("""COMPUTED_VALUE"""),"(310) 867-0171")</f>
        <v>(310) 867-0171</v>
      </c>
      <c r="Q766" s="5"/>
      <c r="R766" s="5"/>
      <c r="S766" s="5"/>
      <c r="T766" s="5"/>
    </row>
    <row r="767" spans="1:20" ht="12.75">
      <c r="A767" s="24">
        <f ca="1">IFERROR(__xludf.DUMMYFUNCTION("""COMPUTED_VALUE"""),45671.4984561574)</f>
        <v>45671.498456157402</v>
      </c>
      <c r="B767" s="5" t="str">
        <f ca="1">IFERROR(__xludf.DUMMYFUNCTION("""COMPUTED_VALUE"""),"2346 Selby Ave")</f>
        <v>2346 Selby Ave</v>
      </c>
      <c r="C767" s="5" t="str">
        <f ca="1">IFERROR(__xludf.DUMMYFUNCTION("""COMPUTED_VALUE"""),"Los Angeles")</f>
        <v>Los Angeles</v>
      </c>
      <c r="D767" s="5" t="str">
        <f ca="1">IFERROR(__xludf.DUMMYFUNCTION("""COMPUTED_VALUE"""),"CA")</f>
        <v>CA</v>
      </c>
      <c r="E767" s="5">
        <f ca="1">IFERROR(__xludf.DUMMYFUNCTION("""COMPUTED_VALUE"""),90064)</f>
        <v>90064</v>
      </c>
      <c r="F767" s="19">
        <f ca="1">IFERROR(__xludf.DUMMYFUNCTION("""COMPUTED_VALUE"""),17900)</f>
        <v>17900</v>
      </c>
      <c r="G767" s="19">
        <f ca="1">IFERROR(__xludf.DUMMYFUNCTION("""COMPUTED_VALUE"""),25500)</f>
        <v>25500</v>
      </c>
      <c r="H767" s="18">
        <f ca="1">IFERROR(__xludf.DUMMYFUNCTION("""COMPUTED_VALUE"""),45667)</f>
        <v>45667</v>
      </c>
      <c r="I767" s="5" t="str">
        <f ca="1">IFERROR(__xludf.DUMMYFUNCTION("""COMPUTED_VALUE"""),"Zillow")</f>
        <v>Zillow</v>
      </c>
      <c r="J767" s="25" t="str">
        <f ca="1">IFERROR(__xludf.DUMMYFUNCTION("""COMPUTED_VALUE"""),"https://www.zillow.com/homedetails/2346-Selby-Ave-Los-Angeles-CA-90064/20500634_zpid/")</f>
        <v>https://www.zillow.com/homedetails/2346-Selby-Ave-Los-Angeles-CA-90064/20500634_zpid/</v>
      </c>
      <c r="K767" s="5" t="str">
        <f ca="1">IFERROR(__xludf.DUMMYFUNCTION("""COMPUTED_VALUE"""),"Joel Newton / Coldwell Banker")</f>
        <v>Joel Newton / Coldwell Banker</v>
      </c>
      <c r="L767" s="5"/>
      <c r="M767" s="5"/>
      <c r="N767" s="26" t="str">
        <f ca="1">IFERROR(__xludf.DUMMYFUNCTION("""COMPUTED_VALUE"""),"https://drive.google.com/open?id=1zEdHJ8q8fBJL2fXlg9n9EMradTwTCkFp")</f>
        <v>https://drive.google.com/open?id=1zEdHJ8q8fBJL2fXlg9n9EMradTwTCkFp</v>
      </c>
      <c r="O767" s="5">
        <f ca="1">IFERROR(__xludf.DUMMYFUNCTION("""COMPUTED_VALUE"""),4320005031)</f>
        <v>4320005031</v>
      </c>
      <c r="P767" s="5" t="str">
        <f ca="1">IFERROR(__xludf.DUMMYFUNCTION("""COMPUTED_VALUE"""),"(310) 663-8200")</f>
        <v>(310) 663-8200</v>
      </c>
      <c r="Q767" s="5"/>
      <c r="R767" s="5"/>
      <c r="S767" s="5"/>
      <c r="T767" s="5"/>
    </row>
    <row r="768" spans="1:20" ht="12.75">
      <c r="A768" s="24">
        <f ca="1">IFERROR(__xludf.DUMMYFUNCTION("""COMPUTED_VALUE"""),45671.4987122453)</f>
        <v>45671.498712245302</v>
      </c>
      <c r="B768" s="5" t="str">
        <f ca="1">IFERROR(__xludf.DUMMYFUNCTION("""COMPUTED_VALUE"""),"5661 Spreading Oak Dr")</f>
        <v>5661 Spreading Oak Dr</v>
      </c>
      <c r="C768" s="5" t="str">
        <f ca="1">IFERROR(__xludf.DUMMYFUNCTION("""COMPUTED_VALUE"""),"Los Angeles")</f>
        <v>Los Angeles</v>
      </c>
      <c r="D768" s="5" t="str">
        <f ca="1">IFERROR(__xludf.DUMMYFUNCTION("""COMPUTED_VALUE"""),"CA")</f>
        <v>CA</v>
      </c>
      <c r="E768" s="5">
        <f ca="1">IFERROR(__xludf.DUMMYFUNCTION("""COMPUTED_VALUE"""),90068)</f>
        <v>90068</v>
      </c>
      <c r="F768" s="19">
        <f ca="1">IFERROR(__xludf.DUMMYFUNCTION("""COMPUTED_VALUE"""),7500)</f>
        <v>7500</v>
      </c>
      <c r="G768" s="19">
        <f ca="1">IFERROR(__xludf.DUMMYFUNCTION("""COMPUTED_VALUE"""),9500)</f>
        <v>9500</v>
      </c>
      <c r="H768" s="18">
        <f ca="1">IFERROR(__xludf.DUMMYFUNCTION("""COMPUTED_VALUE"""),45671)</f>
        <v>45671</v>
      </c>
      <c r="I768" s="5" t="str">
        <f ca="1">IFERROR(__xludf.DUMMYFUNCTION("""COMPUTED_VALUE"""),"Zillow")</f>
        <v>Zillow</v>
      </c>
      <c r="J768" s="25" t="str">
        <f ca="1">IFERROR(__xludf.DUMMYFUNCTION("""COMPUTED_VALUE"""),"https://www.zillow.com/homedetails/5661-Spreading-Oak-Dr-Los-Angeles-CA-90068/20808029_zpid/")</f>
        <v>https://www.zillow.com/homedetails/5661-Spreading-Oak-Dr-Los-Angeles-CA-90068/20808029_zpid/</v>
      </c>
      <c r="K768" s="5" t="str">
        <f ca="1">IFERROR(__xludf.DUMMYFUNCTION("""COMPUTED_VALUE"""),"Timo Ketola")</f>
        <v>Timo Ketola</v>
      </c>
      <c r="L768" s="5"/>
      <c r="M768" s="5"/>
      <c r="N768" s="5" t="str">
        <f ca="1">IFERROR(__xludf.DUMMYFUNCTION("""COMPUTED_VALUE"""),"https://drive.google.com/open?id=1a8CT05A-LxwAhDt_VtvzvFar0j6SY-W4, https://drive.google.com/open?id=1DA1F1xSG88_5VIOzPV3odhI7j1BWGvGD")</f>
        <v>https://drive.google.com/open?id=1a8CT05A-LxwAhDt_VtvzvFar0j6SY-W4, https://drive.google.com/open?id=1DA1F1xSG88_5VIOzPV3odhI7j1BWGvGD</v>
      </c>
      <c r="O768" s="5">
        <f ca="1">IFERROR(__xludf.DUMMYFUNCTION("""COMPUTED_VALUE"""),5587002021)</f>
        <v>5587002021</v>
      </c>
      <c r="P768" s="5" t="str">
        <f ca="1">IFERROR(__xludf.DUMMYFUNCTION("""COMPUTED_VALUE"""),"(213) 786-9015")</f>
        <v>(213) 786-9015</v>
      </c>
      <c r="Q768" s="5"/>
      <c r="R768" s="5"/>
      <c r="S768" s="5"/>
      <c r="T768" s="5"/>
    </row>
    <row r="769" spans="1:20" ht="12.75">
      <c r="A769" s="24">
        <f ca="1">IFERROR(__xludf.DUMMYFUNCTION("""COMPUTED_VALUE"""),45671.4993450231)</f>
        <v>45671.499345023098</v>
      </c>
      <c r="B769" s="5" t="str">
        <f ca="1">IFERROR(__xludf.DUMMYFUNCTION("""COMPUTED_VALUE"""),"523 N Rossmore Ave Apt 103")</f>
        <v>523 N Rossmore Ave Apt 103</v>
      </c>
      <c r="C769" s="5" t="str">
        <f ca="1">IFERROR(__xludf.DUMMYFUNCTION("""COMPUTED_VALUE"""),"Los Angeles")</f>
        <v>Los Angeles</v>
      </c>
      <c r="D769" s="5" t="str">
        <f ca="1">IFERROR(__xludf.DUMMYFUNCTION("""COMPUTED_VALUE"""),"CA")</f>
        <v>CA</v>
      </c>
      <c r="E769" s="5">
        <f ca="1">IFERROR(__xludf.DUMMYFUNCTION("""COMPUTED_VALUE"""),90004)</f>
        <v>90004</v>
      </c>
      <c r="F769" s="19">
        <f ca="1">IFERROR(__xludf.DUMMYFUNCTION("""COMPUTED_VALUE"""),2950)</f>
        <v>2950</v>
      </c>
      <c r="G769" s="19">
        <f ca="1">IFERROR(__xludf.DUMMYFUNCTION("""COMPUTED_VALUE"""),3300)</f>
        <v>3300</v>
      </c>
      <c r="H769" s="18">
        <f ca="1">IFERROR(__xludf.DUMMYFUNCTION("""COMPUTED_VALUE"""),45668)</f>
        <v>45668</v>
      </c>
      <c r="I769" s="5" t="str">
        <f ca="1">IFERROR(__xludf.DUMMYFUNCTION("""COMPUTED_VALUE"""),"Zillow")</f>
        <v>Zillow</v>
      </c>
      <c r="J769" s="25" t="str">
        <f ca="1">IFERROR(__xludf.DUMMYFUNCTION("""COMPUTED_VALUE"""),"https://www.zillow.com/homedetails/532-N-Rossmore-Ave-APT-103-Los-Angeles-CA-90004/20782624_zpid/")</f>
        <v>https://www.zillow.com/homedetails/532-N-Rossmore-Ave-APT-103-Los-Angeles-CA-90004/20782624_zpid/</v>
      </c>
      <c r="K769" s="5"/>
      <c r="L769" s="5"/>
      <c r="M769" s="5"/>
      <c r="N769" s="26" t="str">
        <f ca="1">IFERROR(__xludf.DUMMYFUNCTION("""COMPUTED_VALUE"""),"https://drive.google.com/open?id=1c0sGZ9bpa84_b2_fHzFVtd4xnklfjfFz")</f>
        <v>https://drive.google.com/open?id=1c0sGZ9bpa84_b2_fHzFVtd4xnklfjfFz</v>
      </c>
      <c r="O769" s="5" t="str">
        <f ca="1">IFERROR(__xludf.DUMMYFUNCTION("""COMPUTED_VALUE"""),"NA")</f>
        <v>NA</v>
      </c>
      <c r="P769" s="5"/>
      <c r="Q769" s="5"/>
      <c r="R769" s="5"/>
      <c r="S769" s="5"/>
      <c r="T769" s="5"/>
    </row>
    <row r="770" spans="1:20" ht="12.75">
      <c r="A770" s="24">
        <f ca="1">IFERROR(__xludf.DUMMYFUNCTION("""COMPUTED_VALUE"""),45671.5005789814)</f>
        <v>45671.500578981402</v>
      </c>
      <c r="B770" s="5" t="str">
        <f ca="1">IFERROR(__xludf.DUMMYFUNCTION("""COMPUTED_VALUE"""),"6884 Warm Springs Ave")</f>
        <v>6884 Warm Springs Ave</v>
      </c>
      <c r="C770" s="5" t="str">
        <f ca="1">IFERROR(__xludf.DUMMYFUNCTION("""COMPUTED_VALUE"""),"La Verne")</f>
        <v>La Verne</v>
      </c>
      <c r="D770" s="5" t="str">
        <f ca="1">IFERROR(__xludf.DUMMYFUNCTION("""COMPUTED_VALUE"""),"CA")</f>
        <v>CA</v>
      </c>
      <c r="E770" s="5">
        <f ca="1">IFERROR(__xludf.DUMMYFUNCTION("""COMPUTED_VALUE"""),91750)</f>
        <v>91750</v>
      </c>
      <c r="F770" s="19">
        <f ca="1">IFERROR(__xludf.DUMMYFUNCTION("""COMPUTED_VALUE"""),3750)</f>
        <v>3750</v>
      </c>
      <c r="G770" s="19">
        <f ca="1">IFERROR(__xludf.DUMMYFUNCTION("""COMPUTED_VALUE"""),5100)</f>
        <v>5100</v>
      </c>
      <c r="H770" s="18">
        <f ca="1">IFERROR(__xludf.DUMMYFUNCTION("""COMPUTED_VALUE"""),45671)</f>
        <v>45671</v>
      </c>
      <c r="I770" s="5" t="str">
        <f ca="1">IFERROR(__xludf.DUMMYFUNCTION("""COMPUTED_VALUE"""),"Zillow")</f>
        <v>Zillow</v>
      </c>
      <c r="J770" s="25" t="str">
        <f ca="1">IFERROR(__xludf.DUMMYFUNCTION("""COMPUTED_VALUE"""),"https://www.zillow.com/homedetails/6884-Warm-Springs-Ave-La-Verne-CA-91750/21656968_zpid/")</f>
        <v>https://www.zillow.com/homedetails/6884-Warm-Springs-Ave-La-Verne-CA-91750/21656968_zpid/</v>
      </c>
      <c r="K770" s="5" t="str">
        <f ca="1">IFERROR(__xludf.DUMMYFUNCTION("""COMPUTED_VALUE"""),"Doorstead Inc.")</f>
        <v>Doorstead Inc.</v>
      </c>
      <c r="L770" s="5"/>
      <c r="M770" s="5" t="str">
        <f ca="1">IFERROR(__xludf.DUMMYFUNCTION("""COMPUTED_VALUE"""),"Off the market for 5 years so not sure if this qualifies, but 36% increase since 2020")</f>
        <v>Off the market for 5 years so not sure if this qualifies, but 36% increase since 2020</v>
      </c>
      <c r="N770" s="5" t="str">
        <f ca="1">IFERROR(__xludf.DUMMYFUNCTION("""COMPUTED_VALUE"""),"https://drive.google.com/open?id=1mKAauoXSuy6EyZQdxwDmODaqYgDeb5r_, https://drive.google.com/open?id=1YWwEa56xI2JI-AceoBsq1h3HFV1tK5aP")</f>
        <v>https://drive.google.com/open?id=1mKAauoXSuy6EyZQdxwDmODaqYgDeb5r_, https://drive.google.com/open?id=1YWwEa56xI2JI-AceoBsq1h3HFV1tK5aP</v>
      </c>
      <c r="O770" s="5">
        <f ca="1">IFERROR(__xludf.DUMMYFUNCTION("""COMPUTED_VALUE"""),8678044031)</f>
        <v>8678044031</v>
      </c>
      <c r="P770" s="5" t="str">
        <f ca="1">IFERROR(__xludf.DUMMYFUNCTION("""COMPUTED_VALUE"""),"(628) 265-8446")</f>
        <v>(628) 265-8446</v>
      </c>
      <c r="Q770" s="5"/>
      <c r="R770" s="5"/>
      <c r="S770" s="5"/>
      <c r="T770" s="5"/>
    </row>
    <row r="771" spans="1:20" ht="12.75">
      <c r="A771" s="24">
        <f ca="1">IFERROR(__xludf.DUMMYFUNCTION("""COMPUTED_VALUE"""),45671.5022777893)</f>
        <v>45671.502277789303</v>
      </c>
      <c r="B771" s="5" t="str">
        <f ca="1">IFERROR(__xludf.DUMMYFUNCTION("""COMPUTED_VALUE"""),"1524 N Sierra Bonita Ave")</f>
        <v>1524 N Sierra Bonita Ave</v>
      </c>
      <c r="C771" s="5" t="str">
        <f ca="1">IFERROR(__xludf.DUMMYFUNCTION("""COMPUTED_VALUE"""),"Los Angeles")</f>
        <v>Los Angeles</v>
      </c>
      <c r="D771" s="5" t="str">
        <f ca="1">IFERROR(__xludf.DUMMYFUNCTION("""COMPUTED_VALUE"""),"CA")</f>
        <v>CA</v>
      </c>
      <c r="E771" s="5">
        <f ca="1">IFERROR(__xludf.DUMMYFUNCTION("""COMPUTED_VALUE"""),90046)</f>
        <v>90046</v>
      </c>
      <c r="F771" s="19">
        <f ca="1">IFERROR(__xludf.DUMMYFUNCTION("""COMPUTED_VALUE"""),15000)</f>
        <v>15000</v>
      </c>
      <c r="G771" s="19">
        <f ca="1">IFERROR(__xludf.DUMMYFUNCTION("""COMPUTED_VALUE"""),19500)</f>
        <v>19500</v>
      </c>
      <c r="H771" s="18">
        <f ca="1">IFERROR(__xludf.DUMMYFUNCTION("""COMPUTED_VALUE"""),45670)</f>
        <v>45670</v>
      </c>
      <c r="I771" s="5" t="str">
        <f ca="1">IFERROR(__xludf.DUMMYFUNCTION("""COMPUTED_VALUE"""),"Zillow")</f>
        <v>Zillow</v>
      </c>
      <c r="J771" s="25" t="str">
        <f ca="1">IFERROR(__xludf.DUMMYFUNCTION("""COMPUTED_VALUE"""),"https://www.zillow.com/homedetails/1524-N-Sierra-Bonita-Ave-Los-Angeles-CA-90046/20794339_zpid/")</f>
        <v>https://www.zillow.com/homedetails/1524-N-Sierra-Bonita-Ave-Los-Angeles-CA-90046/20794339_zpid/</v>
      </c>
      <c r="K771" s="5"/>
      <c r="L771" s="5"/>
      <c r="M771" s="5"/>
      <c r="N771" s="26" t="str">
        <f ca="1">IFERROR(__xludf.DUMMYFUNCTION("""COMPUTED_VALUE"""),"https://drive.google.com/open?id=1yPfL4pehU-7IgPffGmDae-F2NUr_enB0")</f>
        <v>https://drive.google.com/open?id=1yPfL4pehU-7IgPffGmDae-F2NUr_enB0</v>
      </c>
      <c r="O771" s="5" t="str">
        <f ca="1">IFERROR(__xludf.DUMMYFUNCTION("""COMPUTED_VALUE"""),"NA")</f>
        <v>NA</v>
      </c>
      <c r="P771" s="5"/>
      <c r="Q771" s="5"/>
      <c r="R771" s="5"/>
      <c r="S771" s="5"/>
      <c r="T771" s="5"/>
    </row>
    <row r="772" spans="1:20" ht="12.75">
      <c r="A772" s="24">
        <f ca="1">IFERROR(__xludf.DUMMYFUNCTION("""COMPUTED_VALUE"""),45671.5028779629)</f>
        <v>45671.502877962899</v>
      </c>
      <c r="B772" s="5" t="str">
        <f ca="1">IFERROR(__xludf.DUMMYFUNCTION("""COMPUTED_VALUE"""),"1036 Ruberta Ave")</f>
        <v>1036 Ruberta Ave</v>
      </c>
      <c r="C772" s="5" t="str">
        <f ca="1">IFERROR(__xludf.DUMMYFUNCTION("""COMPUTED_VALUE"""),"Glendale")</f>
        <v>Glendale</v>
      </c>
      <c r="D772" s="5" t="str">
        <f ca="1">IFERROR(__xludf.DUMMYFUNCTION("""COMPUTED_VALUE"""),"CA")</f>
        <v>CA</v>
      </c>
      <c r="E772" s="5">
        <f ca="1">IFERROR(__xludf.DUMMYFUNCTION("""COMPUTED_VALUE"""),91201)</f>
        <v>91201</v>
      </c>
      <c r="F772" s="19">
        <f ca="1">IFERROR(__xludf.DUMMYFUNCTION("""COMPUTED_VALUE"""),1400)</f>
        <v>1400</v>
      </c>
      <c r="G772" s="19">
        <f ca="1">IFERROR(__xludf.DUMMYFUNCTION("""COMPUTED_VALUE"""),2700)</f>
        <v>2700</v>
      </c>
      <c r="H772" s="18">
        <f ca="1">IFERROR(__xludf.DUMMYFUNCTION("""COMPUTED_VALUE"""),45665)</f>
        <v>45665</v>
      </c>
      <c r="I772" s="5" t="str">
        <f ca="1">IFERROR(__xludf.DUMMYFUNCTION("""COMPUTED_VALUE"""),"Zillow")</f>
        <v>Zillow</v>
      </c>
      <c r="J772" s="25" t="str">
        <f ca="1">IFERROR(__xludf.DUMMYFUNCTION("""COMPUTED_VALUE"""),"https://www.zillow.com/homedetails/1036-Ruberta-Ave-Glendale-CA-91201/20824498_zpid/")</f>
        <v>https://www.zillow.com/homedetails/1036-Ruberta-Ave-Glendale-CA-91201/20824498_zpid/</v>
      </c>
      <c r="K772" s="5"/>
      <c r="L772" s="5" t="str">
        <f ca="1">IFERROR(__xludf.DUMMYFUNCTION("""COMPUTED_VALUE"""),"David Jimeno")</f>
        <v>David Jimeno</v>
      </c>
      <c r="M772" s="5"/>
      <c r="N772" s="5" t="str">
        <f ca="1">IFERROR(__xludf.DUMMYFUNCTION("""COMPUTED_VALUE"""),"https://drive.google.com/open?id=1KZBAK89ryijwHQ9r5o4uJ9kypzdxFy7o, https://drive.google.com/open?id=1_jAbCLMwDNlptNgK_vNPX7pcczHbjq4T")</f>
        <v>https://drive.google.com/open?id=1KZBAK89ryijwHQ9r5o4uJ9kypzdxFy7o, https://drive.google.com/open?id=1_jAbCLMwDNlptNgK_vNPX7pcczHbjq4T</v>
      </c>
      <c r="O772" s="5">
        <f ca="1">IFERROR(__xludf.DUMMYFUNCTION("""COMPUTED_VALUE"""),5623029048)</f>
        <v>5623029048</v>
      </c>
      <c r="P772" s="5"/>
      <c r="Q772" s="5"/>
      <c r="R772" s="5"/>
      <c r="S772" s="5"/>
      <c r="T772" s="5"/>
    </row>
    <row r="773" spans="1:20" ht="12.75">
      <c r="A773" s="24">
        <f ca="1">IFERROR(__xludf.DUMMYFUNCTION("""COMPUTED_VALUE"""),45671.5035690856)</f>
        <v>45671.503569085602</v>
      </c>
      <c r="B773" s="5" t="str">
        <f ca="1">IFERROR(__xludf.DUMMYFUNCTION("""COMPUTED_VALUE"""),"1016 S Wooster Apt 8")</f>
        <v>1016 S Wooster Apt 8</v>
      </c>
      <c r="C773" s="5" t="str">
        <f ca="1">IFERROR(__xludf.DUMMYFUNCTION("""COMPUTED_VALUE"""),"Los Angeles")</f>
        <v>Los Angeles</v>
      </c>
      <c r="D773" s="5" t="str">
        <f ca="1">IFERROR(__xludf.DUMMYFUNCTION("""COMPUTED_VALUE"""),"CA")</f>
        <v>CA</v>
      </c>
      <c r="E773" s="5">
        <f ca="1">IFERROR(__xludf.DUMMYFUNCTION("""COMPUTED_VALUE"""),90035)</f>
        <v>90035</v>
      </c>
      <c r="F773" s="19">
        <f ca="1">IFERROR(__xludf.DUMMYFUNCTION("""COMPUTED_VALUE"""),2757)</f>
        <v>2757</v>
      </c>
      <c r="G773" s="19">
        <f ca="1">IFERROR(__xludf.DUMMYFUNCTION("""COMPUTED_VALUE"""),3504)</f>
        <v>3504</v>
      </c>
      <c r="H773" s="18">
        <f ca="1">IFERROR(__xludf.DUMMYFUNCTION("""COMPUTED_VALUE"""),45668)</f>
        <v>45668</v>
      </c>
      <c r="I773" s="5" t="str">
        <f ca="1">IFERROR(__xludf.DUMMYFUNCTION("""COMPUTED_VALUE"""),"Zillow")</f>
        <v>Zillow</v>
      </c>
      <c r="J773" s="25" t="str">
        <f ca="1">IFERROR(__xludf.DUMMYFUNCTION("""COMPUTED_VALUE"""),"https://www.zillow.com/homedetails/1016-S-Wooster-St-APT-8-Los-Angeles-CA-90035/2108655700_zpid/")</f>
        <v>https://www.zillow.com/homedetails/1016-S-Wooster-St-APT-8-Los-Angeles-CA-90035/2108655700_zpid/</v>
      </c>
      <c r="K773" s="5" t="str">
        <f ca="1">IFERROR(__xludf.DUMMYFUNCTION("""COMPUTED_VALUE"""),"MASHCOLE")</f>
        <v>MASHCOLE</v>
      </c>
      <c r="L773" s="5"/>
      <c r="M773" s="5" t="str">
        <f ca="1">IFERROR(__xludf.DUMMYFUNCTION("""COMPUTED_VALUE"""),"Rent-controlled building. previous tenets payed $2K a month, they moved out summer of 2024")</f>
        <v>Rent-controlled building. previous tenets payed $2K a month, they moved out summer of 2024</v>
      </c>
      <c r="N773" s="5" t="str">
        <f ca="1">IFERROR(__xludf.DUMMYFUNCTION("""COMPUTED_VALUE"""),"https://drive.google.com/open?id=18c0pdrPAqmbiGqT89TvBAXEjZZ3AJyoQ, https://drive.google.com/open?id=1KFW44TP28e3N75dBfXreO6BOA5DXZxxU")</f>
        <v>https://drive.google.com/open?id=18c0pdrPAqmbiGqT89TvBAXEjZZ3AJyoQ, https://drive.google.com/open?id=1KFW44TP28e3N75dBfXreO6BOA5DXZxxU</v>
      </c>
      <c r="O773" s="5" t="str">
        <f ca="1">IFERROR(__xludf.DUMMYFUNCTION("""COMPUTED_VALUE"""),"NA")</f>
        <v>NA</v>
      </c>
      <c r="P773" s="5" t="str">
        <f ca="1">IFERROR(__xludf.DUMMYFUNCTION("""COMPUTED_VALUE"""),"(818) 888-8052")</f>
        <v>(818) 888-8052</v>
      </c>
      <c r="Q773" s="5"/>
      <c r="R773" s="5"/>
      <c r="S773" s="5"/>
      <c r="T773" s="5"/>
    </row>
    <row r="774" spans="1:20" ht="12.75">
      <c r="A774" s="24">
        <f ca="1">IFERROR(__xludf.DUMMYFUNCTION("""COMPUTED_VALUE"""),45671.504215243)</f>
        <v>45671.504215243003</v>
      </c>
      <c r="B774" s="5" t="str">
        <f ca="1">IFERROR(__xludf.DUMMYFUNCTION("""COMPUTED_VALUE"""),"918 7th St")</f>
        <v>918 7th St</v>
      </c>
      <c r="C774" s="5" t="str">
        <f ca="1">IFERROR(__xludf.DUMMYFUNCTION("""COMPUTED_VALUE"""),"Santa Monica")</f>
        <v>Santa Monica</v>
      </c>
      <c r="D774" s="5" t="str">
        <f ca="1">IFERROR(__xludf.DUMMYFUNCTION("""COMPUTED_VALUE"""),"CA")</f>
        <v>CA</v>
      </c>
      <c r="E774" s="5">
        <f ca="1">IFERROR(__xludf.DUMMYFUNCTION("""COMPUTED_VALUE"""),90403)</f>
        <v>90403</v>
      </c>
      <c r="F774" s="19">
        <f ca="1">IFERROR(__xludf.DUMMYFUNCTION("""COMPUTED_VALUE"""),3245)</f>
        <v>3245</v>
      </c>
      <c r="G774" s="19">
        <f ca="1">IFERROR(__xludf.DUMMYFUNCTION("""COMPUTED_VALUE"""),4055)</f>
        <v>4055</v>
      </c>
      <c r="H774" s="18">
        <f ca="1">IFERROR(__xludf.DUMMYFUNCTION("""COMPUTED_VALUE"""),45669)</f>
        <v>45669</v>
      </c>
      <c r="I774" s="5" t="str">
        <f ca="1">IFERROR(__xludf.DUMMYFUNCTION("""COMPUTED_VALUE"""),"Zillow")</f>
        <v>Zillow</v>
      </c>
      <c r="J774" s="5" t="str">
        <f ca="1">IFERROR(__xludf.DUMMYFUNCTION("""COMPUTED_VALUE"""),"N/A")</f>
        <v>N/A</v>
      </c>
      <c r="K774" s="5" t="str">
        <f ca="1">IFERROR(__xludf.DUMMYFUNCTION("""COMPUTED_VALUE"""),"Ben Leeds Properties")</f>
        <v>Ben Leeds Properties</v>
      </c>
      <c r="L774" s="5"/>
      <c r="M774" s="5"/>
      <c r="N774" s="26" t="str">
        <f ca="1">IFERROR(__xludf.DUMMYFUNCTION("""COMPUTED_VALUE"""),"https://drive.google.com/open?id=1WM7mZbCkA56yE4v9JEjL_gXqRl7ri6ry")</f>
        <v>https://drive.google.com/open?id=1WM7mZbCkA56yE4v9JEjL_gXqRl7ri6ry</v>
      </c>
      <c r="O774" s="5" t="str">
        <f ca="1">IFERROR(__xludf.DUMMYFUNCTION("""COMPUTED_VALUE"""),"N/A")</f>
        <v>N/A</v>
      </c>
      <c r="P774" s="5" t="str">
        <f ca="1">IFERROR(__xludf.DUMMYFUNCTION("""COMPUTED_VALUE"""),"424-484-7692")</f>
        <v>424-484-7692</v>
      </c>
      <c r="Q774" s="5"/>
      <c r="R774" s="5"/>
      <c r="S774" s="5"/>
      <c r="T774" s="5"/>
    </row>
    <row r="775" spans="1:20" ht="12.75">
      <c r="A775" s="24">
        <f ca="1">IFERROR(__xludf.DUMMYFUNCTION("""COMPUTED_VALUE"""),45671.5081722337)</f>
        <v>45671.508172233698</v>
      </c>
      <c r="B775" s="5" t="str">
        <f ca="1">IFERROR(__xludf.DUMMYFUNCTION("""COMPUTED_VALUE"""),"2822 Oak Point Dr")</f>
        <v>2822 Oak Point Dr</v>
      </c>
      <c r="C775" s="5" t="str">
        <f ca="1">IFERROR(__xludf.DUMMYFUNCTION("""COMPUTED_VALUE"""),"Los Angeles")</f>
        <v>Los Angeles</v>
      </c>
      <c r="D775" s="5" t="str">
        <f ca="1">IFERROR(__xludf.DUMMYFUNCTION("""COMPUTED_VALUE"""),"CA")</f>
        <v>CA</v>
      </c>
      <c r="E775" s="5">
        <f ca="1">IFERROR(__xludf.DUMMYFUNCTION("""COMPUTED_VALUE"""),90068)</f>
        <v>90068</v>
      </c>
      <c r="F775" s="19">
        <f ca="1">IFERROR(__xludf.DUMMYFUNCTION("""COMPUTED_VALUE"""),7850)</f>
        <v>7850</v>
      </c>
      <c r="G775" s="19">
        <f ca="1">IFERROR(__xludf.DUMMYFUNCTION("""COMPUTED_VALUE"""),10250)</f>
        <v>10250</v>
      </c>
      <c r="H775" s="18">
        <f ca="1">IFERROR(__xludf.DUMMYFUNCTION("""COMPUTED_VALUE"""),45671)</f>
        <v>45671</v>
      </c>
      <c r="I775" s="5" t="str">
        <f ca="1">IFERROR(__xludf.DUMMYFUNCTION("""COMPUTED_VALUE"""),"Zillow")</f>
        <v>Zillow</v>
      </c>
      <c r="J775" s="25" t="str">
        <f ca="1">IFERROR(__xludf.DUMMYFUNCTION("""COMPUTED_VALUE"""),"https://www.zillow.com/homedetails/2822-Oak-Point-Dr-Los-Angeles-CA-90068/20045383_zpid/?rtoken=52342285-6e47-4b10-8880-ecb1f26ed70b~X1-ZUycucvuvnqscp_6le3i&amp;utm_campaign=emo-propertyalertnew&amp;utm_source=email&amp;utm_term=urn:msg:20250114174940e9d2ee5dec8fdbbc"&amp;"&amp;utm_medium=email&amp;utm_content=forrentaddress")</f>
        <v>https://www.zillow.com/homedetails/2822-Oak-Point-Dr-Los-Angeles-CA-90068/20045383_zpid/?rtoken=52342285-6e47-4b10-8880-ecb1f26ed70b~X1-ZUycucvuvnqscp_6le3i&amp;utm_campaign=emo-propertyalertnew&amp;utm_source=email&amp;utm_term=urn:msg:20250114174940e9d2ee5dec8fdbbc&amp;utm_medium=email&amp;utm_content=forrentaddress</v>
      </c>
      <c r="K775" s="5" t="str">
        <f ca="1">IFERROR(__xludf.DUMMYFUNCTION("""COMPUTED_VALUE"""),"Katy, Temporary Housing Inc ")</f>
        <v xml:space="preserve">Katy, Temporary Housing Inc </v>
      </c>
      <c r="L775" s="5"/>
      <c r="M775" s="5" t="str">
        <f ca="1">IFERROR(__xludf.DUMMYFUNCTION("""COMPUTED_VALUE"""),"2bed 2bath - price listed even higher on 1/8 ($12k), then down slightly but still over the legal limit")</f>
        <v>2bed 2bath - price listed even higher on 1/8 ($12k), then down slightly but still over the legal limit</v>
      </c>
      <c r="N775" s="26" t="str">
        <f ca="1">IFERROR(__xludf.DUMMYFUNCTION("""COMPUTED_VALUE"""),"https://drive.google.com/open?id=1AIAGt4WxM5fFq0PFvBt1GDoFhA_8Kh09")</f>
        <v>https://drive.google.com/open?id=1AIAGt4WxM5fFq0PFvBt1GDoFhA_8Kh09</v>
      </c>
      <c r="O775" s="5" t="str">
        <f ca="1">IFERROR(__xludf.DUMMYFUNCTION("""COMPUTED_VALUE"""),"NA")</f>
        <v>NA</v>
      </c>
      <c r="P775" s="5" t="str">
        <f ca="1">IFERROR(__xludf.DUMMYFUNCTION("""COMPUTED_VALUE"""),"(310) 938-8723")</f>
        <v>(310) 938-8723</v>
      </c>
      <c r="Q775" s="5"/>
      <c r="R775" s="5"/>
      <c r="S775" s="5"/>
      <c r="T775" s="5"/>
    </row>
    <row r="776" spans="1:20" ht="12.75">
      <c r="A776" s="24">
        <f ca="1">IFERROR(__xludf.DUMMYFUNCTION("""COMPUTED_VALUE"""),45671.5111296643)</f>
        <v>45671.511129664301</v>
      </c>
      <c r="B776" s="5" t="str">
        <f ca="1">IFERROR(__xludf.DUMMYFUNCTION("""COMPUTED_VALUE"""),"412 Westminster Ave #1")</f>
        <v>412 Westminster Ave #1</v>
      </c>
      <c r="C776" s="5" t="str">
        <f ca="1">IFERROR(__xludf.DUMMYFUNCTION("""COMPUTED_VALUE"""),"Venice")</f>
        <v>Venice</v>
      </c>
      <c r="D776" s="5" t="str">
        <f ca="1">IFERROR(__xludf.DUMMYFUNCTION("""COMPUTED_VALUE"""),"CA")</f>
        <v>CA</v>
      </c>
      <c r="E776" s="5">
        <f ca="1">IFERROR(__xludf.DUMMYFUNCTION("""COMPUTED_VALUE"""),90291)</f>
        <v>90291</v>
      </c>
      <c r="F776" s="19">
        <f ca="1">IFERROR(__xludf.DUMMYFUNCTION("""COMPUTED_VALUE"""),2650)</f>
        <v>2650</v>
      </c>
      <c r="G776" s="19">
        <f ca="1">IFERROR(__xludf.DUMMYFUNCTION("""COMPUTED_VALUE"""),2850)</f>
        <v>2850</v>
      </c>
      <c r="H776" s="18">
        <f ca="1">IFERROR(__xludf.DUMMYFUNCTION("""COMPUTED_VALUE"""),45671)</f>
        <v>45671</v>
      </c>
      <c r="I776" s="5" t="str">
        <f ca="1">IFERROR(__xludf.DUMMYFUNCTION("""COMPUTED_VALUE"""),"Zillow")</f>
        <v>Zillow</v>
      </c>
      <c r="J776" s="25" t="str">
        <f ca="1">IFERROR(__xludf.DUMMYFUNCTION("""COMPUTED_VALUE"""),"https://www.zillow.com/homedetails/412-Westminster-Ave-1-Venice-CA-90291/2078913805_zpid/")</f>
        <v>https://www.zillow.com/homedetails/412-Westminster-Ave-1-Venice-CA-90291/2078913805_zpid/</v>
      </c>
      <c r="K776" s="5" t="str">
        <f ca="1">IFERROR(__xludf.DUMMYFUNCTION("""COMPUTED_VALUE"""),"Chris")</f>
        <v>Chris</v>
      </c>
      <c r="L776" s="5"/>
      <c r="M776" s="5" t="str">
        <f ca="1">IFERROR(__xludf.DUMMYFUNCTION("""COMPUTED_VALUE"""),"Offering 2 free months for a one year lease which may mean their intentions aren't bad, but still posted with an increased price nonetheless")</f>
        <v>Offering 2 free months for a one year lease which may mean their intentions aren't bad, but still posted with an increased price nonetheless</v>
      </c>
      <c r="N776" s="5" t="str">
        <f ca="1">IFERROR(__xludf.DUMMYFUNCTION("""COMPUTED_VALUE"""),"https://drive.google.com/open?id=1O9OPIxxKEDSR-5VLyVVO0NsCyzckjOTF, https://drive.google.com/open?id=1OjV6PBH0-t3LFtB_y9cv6d7vW47T9Nkw")</f>
        <v>https://drive.google.com/open?id=1O9OPIxxKEDSR-5VLyVVO0NsCyzckjOTF, https://drive.google.com/open?id=1OjV6PBH0-t3LFtB_y9cv6d7vW47T9Nkw</v>
      </c>
      <c r="O776" s="5" t="str">
        <f ca="1">IFERROR(__xludf.DUMMYFUNCTION("""COMPUTED_VALUE"""),"NA")</f>
        <v>NA</v>
      </c>
      <c r="P776" s="5" t="str">
        <f ca="1">IFERROR(__xludf.DUMMYFUNCTION("""COMPUTED_VALUE"""),"(424) 272-1881")</f>
        <v>(424) 272-1881</v>
      </c>
      <c r="Q776" s="5"/>
      <c r="R776" s="5"/>
      <c r="S776" s="5"/>
      <c r="T776" s="5"/>
    </row>
    <row r="777" spans="1:20" ht="12.75">
      <c r="A777" s="24">
        <f ca="1">IFERROR(__xludf.DUMMYFUNCTION("""COMPUTED_VALUE"""),45671.5136909722)</f>
        <v>45671.513690972199</v>
      </c>
      <c r="B777" s="5" t="str">
        <f ca="1">IFERROR(__xludf.DUMMYFUNCTION("""COMPUTED_VALUE"""),"12530 Braddock Drive, Apt. 129")</f>
        <v>12530 Braddock Drive, Apt. 129</v>
      </c>
      <c r="C777" s="5" t="str">
        <f ca="1">IFERROR(__xludf.DUMMYFUNCTION("""COMPUTED_VALUE"""),"Los Angeles")</f>
        <v>Los Angeles</v>
      </c>
      <c r="D777" s="5" t="str">
        <f ca="1">IFERROR(__xludf.DUMMYFUNCTION("""COMPUTED_VALUE"""),"CA")</f>
        <v>CA</v>
      </c>
      <c r="E777" s="5">
        <f ca="1">IFERROR(__xludf.DUMMYFUNCTION("""COMPUTED_VALUE"""),90066)</f>
        <v>90066</v>
      </c>
      <c r="F777" s="19">
        <f ca="1">IFERROR(__xludf.DUMMYFUNCTION("""COMPUTED_VALUE"""),3064)</f>
        <v>3064</v>
      </c>
      <c r="G777" s="19">
        <f ca="1">IFERROR(__xludf.DUMMYFUNCTION("""COMPUTED_VALUE"""),3753)</f>
        <v>3753</v>
      </c>
      <c r="H777" s="18">
        <f ca="1">IFERROR(__xludf.DUMMYFUNCTION("""COMPUTED_VALUE"""),45671)</f>
        <v>45671</v>
      </c>
      <c r="I777" s="5" t="str">
        <f ca="1">IFERROR(__xludf.DUMMYFUNCTION("""COMPUTED_VALUE"""),"The old price is still listed on www.zillow.com, but their updated prices is on www.casademarinaapartments.com")</f>
        <v>The old price is still listed on www.zillow.com, but their updated prices is on www.casademarinaapartments.com</v>
      </c>
      <c r="J777" s="25" t="str">
        <f ca="1">IFERROR(__xludf.DUMMYFUNCTION("""COMPUTED_VALUE"""),"https://www.casademarinaapartments.com/interactivepropertymap")</f>
        <v>https://www.casademarinaapartments.com/interactivepropertymap</v>
      </c>
      <c r="K777" s="5" t="str">
        <f ca="1">IFERROR(__xludf.DUMMYFUNCTION("""COMPUTED_VALUE"""),"Jones &amp; Jones Communities")</f>
        <v>Jones &amp; Jones Communities</v>
      </c>
      <c r="L777" s="5" t="str">
        <f ca="1">IFERROR(__xludf.DUMMYFUNCTION("""COMPUTED_VALUE"""),"Jones &amp; Jones Communities")</f>
        <v>Jones &amp; Jones Communities</v>
      </c>
      <c r="M777" s="5" t="str">
        <f ca="1">IFERROR(__xludf.DUMMYFUNCTION("""COMPUTED_VALUE"""),"I lived in this complex and moved out about 6 months ago due to slumlord conditions, constant disrepair, and shady pricing practices and weird frequent rent increases despite rent control.  Sure enough, they jacked up rents and are placing ads on their si"&amp;"te about ""helping"" displaced people from the fire. Jones and Jones are the worst this is the first property of many they will jack the rents up on .")</f>
        <v>I lived in this complex and moved out about 6 months ago due to slumlord conditions, constant disrepair, and shady pricing practices and weird frequent rent increases despite rent control.  Sure enough, they jacked up rents and are placing ads on their site about "helping" displaced people from the fire. Jones and Jones are the worst this is the first property of many they will jack the rents up on .</v>
      </c>
      <c r="N777" s="5" t="str">
        <f ca="1">IFERROR(__xludf.DUMMYFUNCTION("""COMPUTED_VALUE"""),"https://drive.google.com/open?id=1dIxoMwfQdGwp0wGa8rzpDq7W8oVZ8dBH, https://drive.google.com/open?id=1DVramzgsA5CnrVi6yaXVf_SdeZC7MiKQ")</f>
        <v>https://drive.google.com/open?id=1dIxoMwfQdGwp0wGa8rzpDq7W8oVZ8dBH, https://drive.google.com/open?id=1DVramzgsA5CnrVi6yaXVf_SdeZC7MiKQ</v>
      </c>
      <c r="O777" s="5" t="str">
        <f ca="1">IFERROR(__xludf.DUMMYFUNCTION("""COMPUTED_VALUE"""),"NA")</f>
        <v>NA</v>
      </c>
      <c r="P777" s="5" t="str">
        <f ca="1">IFERROR(__xludf.DUMMYFUNCTION("""COMPUTED_VALUE"""),"(855) 951-4330")</f>
        <v>(855) 951-4330</v>
      </c>
      <c r="Q777" s="5" t="str">
        <f ca="1">IFERROR(__xludf.DUMMYFUNCTION("""COMPUTED_VALUE"""),"guestservices@jjcommunities.com")</f>
        <v>guestservices@jjcommunities.com</v>
      </c>
      <c r="R777" s="5" t="str">
        <f ca="1">IFERROR(__xludf.DUMMYFUNCTION("""COMPUTED_VALUE"""),"(818) 227-0099")</f>
        <v>(818) 227-0099</v>
      </c>
      <c r="S777" s="5" t="str">
        <f ca="1">IFERROR(__xludf.DUMMYFUNCTION("""COMPUTED_VALUE"""),"guestservices@jjcommunities.com")</f>
        <v>guestservices@jjcommunities.com</v>
      </c>
      <c r="T777" s="5"/>
    </row>
    <row r="778" spans="1:20" ht="12.75">
      <c r="A778" s="24">
        <f ca="1">IFERROR(__xludf.DUMMYFUNCTION("""COMPUTED_VALUE"""),45671.5139506597)</f>
        <v>45671.513950659697</v>
      </c>
      <c r="B778" s="5" t="str">
        <f ca="1">IFERROR(__xludf.DUMMYFUNCTION("""COMPUTED_VALUE"""),"12530 Braddock Drive, Apt. 222")</f>
        <v>12530 Braddock Drive, Apt. 222</v>
      </c>
      <c r="C778" s="5" t="str">
        <f ca="1">IFERROR(__xludf.DUMMYFUNCTION("""COMPUTED_VALUE"""),"Los Angeles")</f>
        <v>Los Angeles</v>
      </c>
      <c r="D778" s="5" t="str">
        <f ca="1">IFERROR(__xludf.DUMMYFUNCTION("""COMPUTED_VALUE"""),"CA")</f>
        <v>CA</v>
      </c>
      <c r="E778" s="5">
        <f ca="1">IFERROR(__xludf.DUMMYFUNCTION("""COMPUTED_VALUE"""),90066)</f>
        <v>90066</v>
      </c>
      <c r="F778" s="19">
        <f ca="1">IFERROR(__xludf.DUMMYFUNCTION("""COMPUTED_VALUE"""),3195)</f>
        <v>3195</v>
      </c>
      <c r="G778" s="19">
        <f ca="1">IFERROR(__xludf.DUMMYFUNCTION("""COMPUTED_VALUE"""),3890)</f>
        <v>3890</v>
      </c>
      <c r="H778" s="18">
        <f ca="1">IFERROR(__xludf.DUMMYFUNCTION("""COMPUTED_VALUE"""),45671)</f>
        <v>45671</v>
      </c>
      <c r="I778" s="5" t="str">
        <f ca="1">IFERROR(__xludf.DUMMYFUNCTION("""COMPUTED_VALUE"""),"The old price is still listed on www.zillow.com, but their updated prices is on www.casademarinaapartments.com")</f>
        <v>The old price is still listed on www.zillow.com, but their updated prices is on www.casademarinaapartments.com</v>
      </c>
      <c r="J778" s="25" t="str">
        <f ca="1">IFERROR(__xludf.DUMMYFUNCTION("""COMPUTED_VALUE"""),"https://www.casademarinaapartments.com/interactivepropertymap")</f>
        <v>https://www.casademarinaapartments.com/interactivepropertymap</v>
      </c>
      <c r="K778" s="5" t="str">
        <f ca="1">IFERROR(__xludf.DUMMYFUNCTION("""COMPUTED_VALUE"""),"Jones &amp; Jones Communities")</f>
        <v>Jones &amp; Jones Communities</v>
      </c>
      <c r="L778" s="5" t="str">
        <f ca="1">IFERROR(__xludf.DUMMYFUNCTION("""COMPUTED_VALUE"""),"Jones &amp; Jones Communities")</f>
        <v>Jones &amp; Jones Communities</v>
      </c>
      <c r="M778" s="5" t="str">
        <f ca="1">IFERROR(__xludf.DUMMYFUNCTION("""COMPUTED_VALUE"""),"I lived in this complex and moved out about 6 months ago due to slumlord conditions, constant disrepair, and shady pricing practices and weird frequent rent increases despite rent control.  Sure enough, they jacked up rents and are placing ads on their si"&amp;"te about ""helping"" displaced people from the fire. Jones and Jones are the worst this is the first property of many they will jack the rents up on .")</f>
        <v>I lived in this complex and moved out about 6 months ago due to slumlord conditions, constant disrepair, and shady pricing practices and weird frequent rent increases despite rent control.  Sure enough, they jacked up rents and are placing ads on their site about "helping" displaced people from the fire. Jones and Jones are the worst this is the first property of many they will jack the rents up on .</v>
      </c>
      <c r="N778" s="5" t="str">
        <f ca="1">IFERROR(__xludf.DUMMYFUNCTION("""COMPUTED_VALUE"""),"https://drive.google.com/open?id=1WB-SqrFTrd2ez5tU0d7nhR9LhfOjnVCw, https://drive.google.com/open?id=1O7SAIbShl2e2ElcHJ_y-bjsOvxyxxxi2")</f>
        <v>https://drive.google.com/open?id=1WB-SqrFTrd2ez5tU0d7nhR9LhfOjnVCw, https://drive.google.com/open?id=1O7SAIbShl2e2ElcHJ_y-bjsOvxyxxxi2</v>
      </c>
      <c r="O778" s="5" t="str">
        <f ca="1">IFERROR(__xludf.DUMMYFUNCTION("""COMPUTED_VALUE"""),"NA")</f>
        <v>NA</v>
      </c>
      <c r="P778" s="5" t="str">
        <f ca="1">IFERROR(__xludf.DUMMYFUNCTION("""COMPUTED_VALUE"""),"(855) 951-4330")</f>
        <v>(855) 951-4330</v>
      </c>
      <c r="Q778" s="5" t="str">
        <f ca="1">IFERROR(__xludf.DUMMYFUNCTION("""COMPUTED_VALUE"""),"guestservices@jjcommunities.com")</f>
        <v>guestservices@jjcommunities.com</v>
      </c>
      <c r="R778" s="5" t="str">
        <f ca="1">IFERROR(__xludf.DUMMYFUNCTION("""COMPUTED_VALUE"""),"(818) 227-0099")</f>
        <v>(818) 227-0099</v>
      </c>
      <c r="S778" s="5" t="str">
        <f ca="1">IFERROR(__xludf.DUMMYFUNCTION("""COMPUTED_VALUE"""),"guestservices@jjcommunities.com")</f>
        <v>guestservices@jjcommunities.com</v>
      </c>
      <c r="T778" s="5"/>
    </row>
    <row r="779" spans="1:20" ht="12.75">
      <c r="A779" s="24">
        <f ca="1">IFERROR(__xludf.DUMMYFUNCTION("""COMPUTED_VALUE"""),45671.5277722106)</f>
        <v>45671.527772210597</v>
      </c>
      <c r="B779" s="5" t="str">
        <f ca="1">IFERROR(__xludf.DUMMYFUNCTION("""COMPUTED_VALUE"""),"12426 Idaho Ave")</f>
        <v>12426 Idaho Ave</v>
      </c>
      <c r="C779" s="5" t="str">
        <f ca="1">IFERROR(__xludf.DUMMYFUNCTION("""COMPUTED_VALUE"""),"Los Angeles")</f>
        <v>Los Angeles</v>
      </c>
      <c r="D779" s="5" t="str">
        <f ca="1">IFERROR(__xludf.DUMMYFUNCTION("""COMPUTED_VALUE"""),"CA")</f>
        <v>CA</v>
      </c>
      <c r="E779" s="5">
        <f ca="1">IFERROR(__xludf.DUMMYFUNCTION("""COMPUTED_VALUE"""),90025)</f>
        <v>90025</v>
      </c>
      <c r="F779" s="19">
        <f ca="1">IFERROR(__xludf.DUMMYFUNCTION("""COMPUTED_VALUE"""),14500)</f>
        <v>14500</v>
      </c>
      <c r="G779" s="19">
        <f ca="1">IFERROR(__xludf.DUMMYFUNCTION("""COMPUTED_VALUE"""),18500)</f>
        <v>18500</v>
      </c>
      <c r="H779" s="18">
        <f ca="1">IFERROR(__xludf.DUMMYFUNCTION("""COMPUTED_VALUE"""),45671)</f>
        <v>45671</v>
      </c>
      <c r="I779" s="5" t="str">
        <f ca="1">IFERROR(__xludf.DUMMYFUNCTION("""COMPUTED_VALUE"""),"Zillow")</f>
        <v>Zillow</v>
      </c>
      <c r="J779" s="25" t="str">
        <f ca="1">IFERROR(__xludf.DUMMYFUNCTION("""COMPUTED_VALUE"""),"https://www.zillow.com/homedetails/12426-Idaho-Ave-Los-Angeles-CA-90025/20464168_zpid/")</f>
        <v>https://www.zillow.com/homedetails/12426-Idaho-Ave-Los-Angeles-CA-90025/20464168_zpid/</v>
      </c>
      <c r="K779" s="5" t="str">
        <f ca="1">IFERROR(__xludf.DUMMYFUNCTION("""COMPUTED_VALUE"""),"Robert Tran, HPT Realty")</f>
        <v>Robert Tran, HPT Realty</v>
      </c>
      <c r="L779" s="5"/>
      <c r="M779" s="5" t="str">
        <f ca="1">IFERROR(__xludf.DUMMYFUNCTION("""COMPUTED_VALUE"""),"Price raised twice since 12/26 listing - to $16,500 on 1/9, then they decided that wasn't enough of a gouge and raised it to $18,500 on 1/14. 27.58% increase")</f>
        <v>Price raised twice since 12/26 listing - to $16,500 on 1/9, then they decided that wasn't enough of a gouge and raised it to $18,500 on 1/14. 27.58% increase</v>
      </c>
      <c r="N779" s="5" t="str">
        <f ca="1">IFERROR(__xludf.DUMMYFUNCTION("""COMPUTED_VALUE"""),"https://drive.google.com/open?id=1JKz9Vty8xmI08a8AW_caphERWQQU04_b, https://drive.google.com/open?id=1VxyOwVEtf1a076ITmt9Bl5p7ZaFvEfbQ")</f>
        <v>https://drive.google.com/open?id=1JKz9Vty8xmI08a8AW_caphERWQQU04_b, https://drive.google.com/open?id=1VxyOwVEtf1a076ITmt9Bl5p7ZaFvEfbQ</v>
      </c>
      <c r="O779" s="5">
        <f ca="1">IFERROR(__xludf.DUMMYFUNCTION("""COMPUTED_VALUE"""),4259007007)</f>
        <v>4259007007</v>
      </c>
      <c r="P779" s="5" t="str">
        <f ca="1">IFERROR(__xludf.DUMMYFUNCTION("""COMPUTED_VALUE"""),"(714) 702-3127")</f>
        <v>(714) 702-3127</v>
      </c>
      <c r="Q779" s="5" t="str">
        <f ca="1">IFERROR(__xludf.DUMMYFUNCTION("""COMPUTED_VALUE"""),"tranphdh@gmail.com")</f>
        <v>tranphdh@gmail.com</v>
      </c>
      <c r="R779" s="5"/>
      <c r="S779" s="5"/>
      <c r="T779" s="5"/>
    </row>
    <row r="780" spans="1:20" ht="12.75">
      <c r="A780" s="24">
        <f ca="1">IFERROR(__xludf.DUMMYFUNCTION("""COMPUTED_VALUE"""),45671.5296223958)</f>
        <v>45671.529622395799</v>
      </c>
      <c r="B780" s="5" t="str">
        <f ca="1">IFERROR(__xludf.DUMMYFUNCTION("""COMPUTED_VALUE"""),"2084 E Washington Blvd")</f>
        <v>2084 E Washington Blvd</v>
      </c>
      <c r="C780" s="5" t="str">
        <f ca="1">IFERROR(__xludf.DUMMYFUNCTION("""COMPUTED_VALUE"""),"Pasadena ")</f>
        <v xml:space="preserve">Pasadena </v>
      </c>
      <c r="D780" s="5" t="str">
        <f ca="1">IFERROR(__xludf.DUMMYFUNCTION("""COMPUTED_VALUE"""),"CA")</f>
        <v>CA</v>
      </c>
      <c r="E780" s="5">
        <f ca="1">IFERROR(__xludf.DUMMYFUNCTION("""COMPUTED_VALUE"""),91104)</f>
        <v>91104</v>
      </c>
      <c r="F780" s="19">
        <f ca="1">IFERROR(__xludf.DUMMYFUNCTION("""COMPUTED_VALUE"""),2600)</f>
        <v>2600</v>
      </c>
      <c r="G780" s="19">
        <f ca="1">IFERROR(__xludf.DUMMYFUNCTION("""COMPUTED_VALUE"""),2900)</f>
        <v>2900</v>
      </c>
      <c r="H780" s="18">
        <f ca="1">IFERROR(__xludf.DUMMYFUNCTION("""COMPUTED_VALUE"""),45642)</f>
        <v>45642</v>
      </c>
      <c r="I780" s="5" t="str">
        <f ca="1">IFERROR(__xludf.DUMMYFUNCTION("""COMPUTED_VALUE"""),"Zillow")</f>
        <v>Zillow</v>
      </c>
      <c r="J780" s="25" t="str">
        <f ca="1">IFERROR(__xludf.DUMMYFUNCTION("""COMPUTED_VALUE"""),"https://www.zillow.com/homedetails/2084-E-Washington-Blvd-Pasadena-CA-91104/20872343_zpid/")</f>
        <v>https://www.zillow.com/homedetails/2084-E-Washington-Blvd-Pasadena-CA-91104/20872343_zpid/</v>
      </c>
      <c r="K780" s="5"/>
      <c r="L780" s="5"/>
      <c r="M780" s="5"/>
      <c r="N780" s="26" t="str">
        <f ca="1">IFERROR(__xludf.DUMMYFUNCTION("""COMPUTED_VALUE"""),"https://drive.google.com/open?id=1QfbdS2tJzV1SWz82GXGJJsqMxT465oaV")</f>
        <v>https://drive.google.com/open?id=1QfbdS2tJzV1SWz82GXGJJsqMxT465oaV</v>
      </c>
      <c r="O780" s="5">
        <f ca="1">IFERROR(__xludf.DUMMYFUNCTION("""COMPUTED_VALUE"""),5743002001)</f>
        <v>5743002001</v>
      </c>
      <c r="P780" s="5"/>
      <c r="Q780" s="5"/>
      <c r="R780" s="5"/>
      <c r="S780" s="5"/>
      <c r="T780" s="5"/>
    </row>
    <row r="781" spans="1:20" ht="12.75">
      <c r="A781" s="24">
        <f ca="1">IFERROR(__xludf.DUMMYFUNCTION("""COMPUTED_VALUE"""),45671.5296976041)</f>
        <v>45671.529697604099</v>
      </c>
      <c r="B781" s="5" t="str">
        <f ca="1">IFERROR(__xludf.DUMMYFUNCTION("""COMPUTED_VALUE"""),"750  S Oxford Ave #669")</f>
        <v>750  S Oxford Ave #669</v>
      </c>
      <c r="C781" s="5" t="str">
        <f ca="1">IFERROR(__xludf.DUMMYFUNCTION("""COMPUTED_VALUE"""),"Los Angeles")</f>
        <v>Los Angeles</v>
      </c>
      <c r="D781" s="5" t="str">
        <f ca="1">IFERROR(__xludf.DUMMYFUNCTION("""COMPUTED_VALUE"""),"CA")</f>
        <v>CA</v>
      </c>
      <c r="E781" s="5">
        <f ca="1">IFERROR(__xludf.DUMMYFUNCTION("""COMPUTED_VALUE"""),90005)</f>
        <v>90005</v>
      </c>
      <c r="F781" s="19">
        <f ca="1">IFERROR(__xludf.DUMMYFUNCTION("""COMPUTED_VALUE"""),3230)</f>
        <v>3230</v>
      </c>
      <c r="G781" s="19">
        <f ca="1">IFERROR(__xludf.DUMMYFUNCTION("""COMPUTED_VALUE"""),3996)</f>
        <v>3996</v>
      </c>
      <c r="H781" s="18">
        <f ca="1">IFERROR(__xludf.DUMMYFUNCTION("""COMPUTED_VALUE"""),45670)</f>
        <v>45670</v>
      </c>
      <c r="I781" s="5" t="str">
        <f ca="1">IFERROR(__xludf.DUMMYFUNCTION("""COMPUTED_VALUE"""),"Compass ")</f>
        <v xml:space="preserve">Compass </v>
      </c>
      <c r="J781" s="25" t="str">
        <f ca="1">IFERROR(__xludf.DUMMYFUNCTION("""COMPUTED_VALUE"""),"https://www.compass.com/listing/750-south-oxford-avenue-unit-669-los-angeles-ca-90005/1681986269086401201/")</f>
        <v>https://www.compass.com/listing/750-south-oxford-avenue-unit-669-los-angeles-ca-90005/1681986269086401201/</v>
      </c>
      <c r="K781" s="5" t="str">
        <f ca="1">IFERROR(__xludf.DUMMYFUNCTION("""COMPUTED_VALUE"""),"Niko Deleon")</f>
        <v>Niko Deleon</v>
      </c>
      <c r="L781" s="5"/>
      <c r="M781" s="5" t="str">
        <f ca="1">IFERROR(__xludf.DUMMYFUNCTION("""COMPUTED_VALUE"""),"31.1% rent increase (repeat offender with multiple rentals that are currently price gauged) ")</f>
        <v xml:space="preserve">31.1% rent increase (repeat offender with multiple rentals that are currently price gauged) </v>
      </c>
      <c r="N781" s="26" t="str">
        <f ca="1">IFERROR(__xludf.DUMMYFUNCTION("""COMPUTED_VALUE"""),"https://drive.google.com/open?id=1YXrNSUF_IRiWVcU5rO4MsQdTHe2LJllv")</f>
        <v>https://drive.google.com/open?id=1YXrNSUF_IRiWVcU5rO4MsQdTHe2LJllv</v>
      </c>
      <c r="O781" s="5" t="str">
        <f ca="1">IFERROR(__xludf.DUMMYFUNCTION("""COMPUTED_VALUE"""),"NA")</f>
        <v>NA</v>
      </c>
      <c r="P781" s="5" t="str">
        <f ca="1">IFERROR(__xludf.DUMMYFUNCTION("""COMPUTED_VALUE"""),"P: (833)-525-3273  M: (833)-525-3273")</f>
        <v>P: (833)-525-3273  M: (833)-525-3273</v>
      </c>
      <c r="Q781" s="5" t="str">
        <f ca="1">IFERROR(__xludf.DUMMYFUNCTION("""COMPUTED_VALUE"""),"info@nikolaleasing.com")</f>
        <v>info@nikolaleasing.com</v>
      </c>
      <c r="R781" s="5"/>
      <c r="S781" s="5"/>
      <c r="T781" s="5"/>
    </row>
    <row r="782" spans="1:20" ht="12.75">
      <c r="A782" s="24">
        <f ca="1">IFERROR(__xludf.DUMMYFUNCTION("""COMPUTED_VALUE"""),45671.5305623726)</f>
        <v>45671.530562372602</v>
      </c>
      <c r="B782" s="5" t="str">
        <f ca="1">IFERROR(__xludf.DUMMYFUNCTION("""COMPUTED_VALUE"""),"17862 Via Vallarta")</f>
        <v>17862 Via Vallarta</v>
      </c>
      <c r="C782" s="5" t="str">
        <f ca="1">IFERROR(__xludf.DUMMYFUNCTION("""COMPUTED_VALUE"""),"Encino")</f>
        <v>Encino</v>
      </c>
      <c r="D782" s="5" t="str">
        <f ca="1">IFERROR(__xludf.DUMMYFUNCTION("""COMPUTED_VALUE"""),"CA")</f>
        <v>CA</v>
      </c>
      <c r="E782" s="5">
        <f ca="1">IFERROR(__xludf.DUMMYFUNCTION("""COMPUTED_VALUE"""),91316)</f>
        <v>91316</v>
      </c>
      <c r="F782" s="19">
        <f ca="1">IFERROR(__xludf.DUMMYFUNCTION("""COMPUTED_VALUE"""),30000)</f>
        <v>30000</v>
      </c>
      <c r="G782" s="19">
        <f ca="1">IFERROR(__xludf.DUMMYFUNCTION("""COMPUTED_VALUE"""),36000)</f>
        <v>36000</v>
      </c>
      <c r="H782" s="18">
        <f ca="1">IFERROR(__xludf.DUMMYFUNCTION("""COMPUTED_VALUE"""),45671)</f>
        <v>45671</v>
      </c>
      <c r="I782" s="5" t="str">
        <f ca="1">IFERROR(__xludf.DUMMYFUNCTION("""COMPUTED_VALUE"""),"Zillow")</f>
        <v>Zillow</v>
      </c>
      <c r="J782" s="25" t="str">
        <f ca="1">IFERROR(__xludf.DUMMYFUNCTION("""COMPUTED_VALUE"""),"https://www.zillow.com/homedetails/17862-Via-Vallarta-Encino-CA-91316/19950893_zpid/")</f>
        <v>https://www.zillow.com/homedetails/17862-Via-Vallarta-Encino-CA-91316/19950893_zpid/</v>
      </c>
      <c r="K782" s="5" t="str">
        <f ca="1">IFERROR(__xludf.DUMMYFUNCTION("""COMPUTED_VALUE"""),"Barak Maimon, The Maimon Group Inc.")</f>
        <v>Barak Maimon, The Maimon Group Inc.</v>
      </c>
      <c r="L782" s="5"/>
      <c r="M782" s="5"/>
      <c r="N782" s="5" t="str">
        <f ca="1">IFERROR(__xludf.DUMMYFUNCTION("""COMPUTED_VALUE"""),"https://drive.google.com/open?id=1Jj581CRwOdPCBOQ0_UmxxqLa0q-HkBin, https://drive.google.com/open?id=1rmTCpYngd5eAmjVUEhZA0jztp1Gt3khS")</f>
        <v>https://drive.google.com/open?id=1Jj581CRwOdPCBOQ0_UmxxqLa0q-HkBin, https://drive.google.com/open?id=1rmTCpYngd5eAmjVUEhZA0jztp1Gt3khS</v>
      </c>
      <c r="O782" s="5">
        <f ca="1">IFERROR(__xludf.DUMMYFUNCTION("""COMPUTED_VALUE"""),2184037029)</f>
        <v>2184037029</v>
      </c>
      <c r="P782" s="5" t="str">
        <f ca="1">IFERROR(__xludf.DUMMYFUNCTION("""COMPUTED_VALUE"""),"(818) 699-2191")</f>
        <v>(818) 699-2191</v>
      </c>
      <c r="Q782" s="5"/>
      <c r="R782" s="5"/>
      <c r="S782" s="5"/>
      <c r="T782" s="5"/>
    </row>
    <row r="783" spans="1:20" ht="12.75">
      <c r="A783" s="24">
        <f ca="1">IFERROR(__xludf.DUMMYFUNCTION("""COMPUTED_VALUE"""),45671.5318154166)</f>
        <v>45671.531815416602</v>
      </c>
      <c r="B783" s="5" t="str">
        <f ca="1">IFERROR(__xludf.DUMMYFUNCTION("""COMPUTED_VALUE"""),"10320 Newcomb Ave")</f>
        <v>10320 Newcomb Ave</v>
      </c>
      <c r="C783" s="5" t="str">
        <f ca="1">IFERROR(__xludf.DUMMYFUNCTION("""COMPUTED_VALUE"""),"Whittier")</f>
        <v>Whittier</v>
      </c>
      <c r="D783" s="5" t="str">
        <f ca="1">IFERROR(__xludf.DUMMYFUNCTION("""COMPUTED_VALUE"""),"CA")</f>
        <v>CA</v>
      </c>
      <c r="E783" s="5">
        <f ca="1">IFERROR(__xludf.DUMMYFUNCTION("""COMPUTED_VALUE"""),90603)</f>
        <v>90603</v>
      </c>
      <c r="F783" s="19">
        <f ca="1">IFERROR(__xludf.DUMMYFUNCTION("""COMPUTED_VALUE"""),2900)</f>
        <v>2900</v>
      </c>
      <c r="G783" s="19">
        <f ca="1">IFERROR(__xludf.DUMMYFUNCTION("""COMPUTED_VALUE"""),3850)</f>
        <v>3850</v>
      </c>
      <c r="H783" s="18">
        <f ca="1">IFERROR(__xludf.DUMMYFUNCTION("""COMPUTED_VALUE"""),45671)</f>
        <v>45671</v>
      </c>
      <c r="I783" s="5" t="str">
        <f ca="1">IFERROR(__xludf.DUMMYFUNCTION("""COMPUTED_VALUE"""),"Zillow")</f>
        <v>Zillow</v>
      </c>
      <c r="J783" s="25" t="str">
        <f ca="1">IFERROR(__xludf.DUMMYFUNCTION("""COMPUTED_VALUE"""),"https://www.zillow.com/homedetails/10320-Newcomb-Ave-Whittier-CA-90603/21466492_zpid/")</f>
        <v>https://www.zillow.com/homedetails/10320-Newcomb-Ave-Whittier-CA-90603/21466492_zpid/</v>
      </c>
      <c r="K783" s="5"/>
      <c r="L783" s="5" t="str">
        <f ca="1">IFERROR(__xludf.DUMMYFUNCTION("""COMPUTED_VALUE"""),"Mike")</f>
        <v>Mike</v>
      </c>
      <c r="M783" s="5"/>
      <c r="N783" s="5" t="str">
        <f ca="1">IFERROR(__xludf.DUMMYFUNCTION("""COMPUTED_VALUE"""),"https://drive.google.com/open?id=1MTBEV2YnCiSQb3-0c37M6Z10Mh9RYnsY, https://drive.google.com/open?id=1FSJnVbSAanP7z4SlHR90bictkbt31w9Q")</f>
        <v>https://drive.google.com/open?id=1MTBEV2YnCiSQb3-0c37M6Z10Mh9RYnsY, https://drive.google.com/open?id=1FSJnVbSAanP7z4SlHR90bictkbt31w9Q</v>
      </c>
      <c r="O783" s="5">
        <f ca="1">IFERROR(__xludf.DUMMYFUNCTION("""COMPUTED_VALUE"""),8233011029)</f>
        <v>8233011029</v>
      </c>
      <c r="P783" s="5"/>
      <c r="Q783" s="5"/>
      <c r="R783" s="5"/>
      <c r="S783" s="5"/>
      <c r="T783" s="5"/>
    </row>
    <row r="784" spans="1:20" ht="12.75">
      <c r="A784" s="24">
        <f ca="1">IFERROR(__xludf.DUMMYFUNCTION("""COMPUTED_VALUE"""),45671.5319353356)</f>
        <v>45671.531935335603</v>
      </c>
      <c r="B784" s="5" t="str">
        <f ca="1">IFERROR(__xludf.DUMMYFUNCTION("""COMPUTED_VALUE"""),"1812 Navy St.")</f>
        <v>1812 Navy St.</v>
      </c>
      <c r="C784" s="5" t="str">
        <f ca="1">IFERROR(__xludf.DUMMYFUNCTION("""COMPUTED_VALUE"""),"Santa Monica")</f>
        <v>Santa Monica</v>
      </c>
      <c r="D784" s="5" t="str">
        <f ca="1">IFERROR(__xludf.DUMMYFUNCTION("""COMPUTED_VALUE"""),"CA")</f>
        <v>CA</v>
      </c>
      <c r="E784" s="5">
        <f ca="1">IFERROR(__xludf.DUMMYFUNCTION("""COMPUTED_VALUE"""),90405)</f>
        <v>90405</v>
      </c>
      <c r="F784" s="19">
        <f ca="1">IFERROR(__xludf.DUMMYFUNCTION("""COMPUTED_VALUE"""),12750)</f>
        <v>12750</v>
      </c>
      <c r="G784" s="19">
        <f ca="1">IFERROR(__xludf.DUMMYFUNCTION("""COMPUTED_VALUE"""),28000)</f>
        <v>28000</v>
      </c>
      <c r="H784" s="18">
        <f ca="1">IFERROR(__xludf.DUMMYFUNCTION("""COMPUTED_VALUE"""),45667)</f>
        <v>45667</v>
      </c>
      <c r="I784" s="5" t="str">
        <f ca="1">IFERROR(__xludf.DUMMYFUNCTION("""COMPUTED_VALUE"""),"Zillow")</f>
        <v>Zillow</v>
      </c>
      <c r="J784" s="25" t="str">
        <f ca="1">IFERROR(__xludf.DUMMYFUNCTION("""COMPUTED_VALUE"""),"https://www.zillow.com/homedetails/1812-Navy-St-Santa-Monica-CA-90405/20472397_zpid/")</f>
        <v>https://www.zillow.com/homedetails/1812-Navy-St-Santa-Monica-CA-90405/20472397_zpid/</v>
      </c>
      <c r="K784" s="5" t="str">
        <f ca="1">IFERROR(__xludf.DUMMYFUNCTION("""COMPUTED_VALUE"""),"Gabriel Palmrot - Westside Estate Agency")</f>
        <v>Gabriel Palmrot - Westside Estate Agency</v>
      </c>
      <c r="L784" s="5" t="str">
        <f ca="1">IFERROR(__xludf.DUMMYFUNCTION("""COMPUTED_VALUE"""),"Donald W. Harris (according to public record)")</f>
        <v>Donald W. Harris (according to public record)</v>
      </c>
      <c r="M784" s="5" t="str">
        <f ca="1">IFERROR(__xludf.DUMMYFUNCTION("""COMPUTED_VALUE"""),"After a reporter called the realtor to ask about the 119% monthly rent increase, the listing was pulled down. Please keep an eye on it as I'm sure it will go back on the market when they think nobody is paying attention. One more thing ... I cropped out t"&amp;"he browser bar URL because keeping it on screen reveals identifying information about me in my bookmarks bar.")</f>
        <v>After a reporter called the realtor to ask about the 119% monthly rent increase, the listing was pulled down. Please keep an eye on it as I'm sure it will go back on the market when they think nobody is paying attention. One more thing ... I cropped out the browser bar URL because keeping it on screen reveals identifying information about me in my bookmarks bar.</v>
      </c>
      <c r="N784" s="5" t="str">
        <f ca="1">IFERROR(__xludf.DUMMYFUNCTION("""COMPUTED_VALUE"""),"https://drive.google.com/open?id=1LtAH3iMMnge1x9V5U6o-Pf3RXp_Z8ZVA, https://drive.google.com/open?id=16enByOTuSaW8rUKqi9KlObcXhnyCn0sq, https://drive.google.com/open?id=1SR4KWT2HYd6wJBPWJLtV362sY9RpZTPp, https://drive.google.com/open?id=1cmiYFWvCH-gNSkzEg"&amp;"0FbVa8BL7w91IoX")</f>
        <v>https://drive.google.com/open?id=1LtAH3iMMnge1x9V5U6o-Pf3RXp_Z8ZVA, https://drive.google.com/open?id=16enByOTuSaW8rUKqi9KlObcXhnyCn0sq, https://drive.google.com/open?id=1SR4KWT2HYd6wJBPWJLtV362sY9RpZTPp, https://drive.google.com/open?id=1cmiYFWvCH-gNSkzEg0FbVa8BL7w91IoX</v>
      </c>
      <c r="O784" s="5" t="str">
        <f ca="1">IFERROR(__xludf.DUMMYFUNCTION("""COMPUTED_VALUE"""),"NA")</f>
        <v>NA</v>
      </c>
      <c r="P784" s="5">
        <f ca="1">IFERROR(__xludf.DUMMYFUNCTION("""COMPUTED_VALUE"""),4243945309)</f>
        <v>4243945309</v>
      </c>
      <c r="Q784" s="5"/>
      <c r="R784" s="5"/>
      <c r="S784" s="5"/>
      <c r="T784" s="5"/>
    </row>
    <row r="785" spans="1:20" ht="12.75">
      <c r="A785" s="24">
        <f ca="1">IFERROR(__xludf.DUMMYFUNCTION("""COMPUTED_VALUE"""),45671.5335310185)</f>
        <v>45671.533531018496</v>
      </c>
      <c r="B785" s="5" t="str">
        <f ca="1">IFERROR(__xludf.DUMMYFUNCTION("""COMPUTED_VALUE"""),"2016 Trinity St")</f>
        <v>2016 Trinity St</v>
      </c>
      <c r="C785" s="5" t="str">
        <f ca="1">IFERROR(__xludf.DUMMYFUNCTION("""COMPUTED_VALUE"""),"Los Angeles")</f>
        <v>Los Angeles</v>
      </c>
      <c r="D785" s="5" t="str">
        <f ca="1">IFERROR(__xludf.DUMMYFUNCTION("""COMPUTED_VALUE"""),"CA")</f>
        <v>CA</v>
      </c>
      <c r="E785" s="5">
        <f ca="1">IFERROR(__xludf.DUMMYFUNCTION("""COMPUTED_VALUE"""),90011)</f>
        <v>90011</v>
      </c>
      <c r="F785" s="19">
        <f ca="1">IFERROR(__xludf.DUMMYFUNCTION("""COMPUTED_VALUE"""),3500)</f>
        <v>3500</v>
      </c>
      <c r="G785" s="19">
        <f ca="1">IFERROR(__xludf.DUMMYFUNCTION("""COMPUTED_VALUE"""),5000)</f>
        <v>5000</v>
      </c>
      <c r="H785" s="18">
        <f ca="1">IFERROR(__xludf.DUMMYFUNCTION("""COMPUTED_VALUE"""),45671)</f>
        <v>45671</v>
      </c>
      <c r="I785" s="5" t="str">
        <f ca="1">IFERROR(__xludf.DUMMYFUNCTION("""COMPUTED_VALUE"""),"Zillow")</f>
        <v>Zillow</v>
      </c>
      <c r="J785" s="25" t="str">
        <f ca="1">IFERROR(__xludf.DUMMYFUNCTION("""COMPUTED_VALUE"""),"https://www.zillow.com/homedetails/2016-Trinity-St-Los-Angeles-CA-90011/20622860_zpid/")</f>
        <v>https://www.zillow.com/homedetails/2016-Trinity-St-Los-Angeles-CA-90011/20622860_zpid/</v>
      </c>
      <c r="K785" s="5"/>
      <c r="L785" s="5" t="str">
        <f ca="1">IFERROR(__xludf.DUMMYFUNCTION("""COMPUTED_VALUE"""),"Jessica Lee")</f>
        <v>Jessica Lee</v>
      </c>
      <c r="M785" s="5"/>
      <c r="N785" s="5" t="str">
        <f ca="1">IFERROR(__xludf.DUMMYFUNCTION("""COMPUTED_VALUE"""),"https://drive.google.com/open?id=184kUXRiyKj0t6PWshL0XPzJlJk0CSgSY, https://drive.google.com/open?id=1_ME_mgJWhsVeO82bxz_Kbnu1nlno7juk")</f>
        <v>https://drive.google.com/open?id=184kUXRiyKj0t6PWshL0XPzJlJk0CSgSY, https://drive.google.com/open?id=1_ME_mgJWhsVeO82bxz_Kbnu1nlno7juk</v>
      </c>
      <c r="O785" s="5">
        <f ca="1">IFERROR(__xludf.DUMMYFUNCTION("""COMPUTED_VALUE"""),5127003014)</f>
        <v>5127003014</v>
      </c>
      <c r="P785" s="5"/>
      <c r="Q785" s="5"/>
      <c r="R785" s="5" t="str">
        <f ca="1">IFERROR(__xludf.DUMMYFUNCTION("""COMPUTED_VALUE"""),"(323) 541-4860")</f>
        <v>(323) 541-4860</v>
      </c>
      <c r="S785" s="5"/>
      <c r="T785" s="5"/>
    </row>
    <row r="786" spans="1:20" ht="12.75">
      <c r="A786" s="24">
        <f ca="1">IFERROR(__xludf.DUMMYFUNCTION("""COMPUTED_VALUE"""),45671.5363097106)</f>
        <v>45671.536309710602</v>
      </c>
      <c r="B786" s="5" t="str">
        <f ca="1">IFERROR(__xludf.DUMMYFUNCTION("""COMPUTED_VALUE"""),"717  W OLYMPIC BLVD #1903")</f>
        <v>717  W OLYMPIC BLVD #1903</v>
      </c>
      <c r="C786" s="5" t="str">
        <f ca="1">IFERROR(__xludf.DUMMYFUNCTION("""COMPUTED_VALUE"""),"Los Angeles")</f>
        <v>Los Angeles</v>
      </c>
      <c r="D786" s="5" t="str">
        <f ca="1">IFERROR(__xludf.DUMMYFUNCTION("""COMPUTED_VALUE"""),"CA")</f>
        <v>CA</v>
      </c>
      <c r="E786" s="5">
        <f ca="1">IFERROR(__xludf.DUMMYFUNCTION("""COMPUTED_VALUE"""),90015)</f>
        <v>90015</v>
      </c>
      <c r="F786" s="19">
        <f ca="1">IFERROR(__xludf.DUMMYFUNCTION("""COMPUTED_VALUE"""),2472)</f>
        <v>2472</v>
      </c>
      <c r="G786" s="19">
        <f ca="1">IFERROR(__xludf.DUMMYFUNCTION("""COMPUTED_VALUE"""),2985)</f>
        <v>2985</v>
      </c>
      <c r="H786" s="18">
        <f ca="1">IFERROR(__xludf.DUMMYFUNCTION("""COMPUTED_VALUE"""),45670)</f>
        <v>45670</v>
      </c>
      <c r="I786" s="5" t="str">
        <f ca="1">IFERROR(__xludf.DUMMYFUNCTION("""COMPUTED_VALUE"""),"Compass")</f>
        <v>Compass</v>
      </c>
      <c r="J786" s="25" t="str">
        <f ca="1">IFERROR(__xludf.DUMMYFUNCTION("""COMPUTED_VALUE"""),"https://www.compass.com/listing/717-west-olympic-boulevard-unit-1903-los-angeles-ca-90015/1682045154295747281/")</f>
        <v>https://www.compass.com/listing/717-west-olympic-boulevard-unit-1903-los-angeles-ca-90015/1682045154295747281/</v>
      </c>
      <c r="K786" s="5" t="str">
        <f ca="1">IFERROR(__xludf.DUMMYFUNCTION("""COMPUTED_VALUE"""),"Niko Deleon")</f>
        <v>Niko Deleon</v>
      </c>
      <c r="L786" s="5"/>
      <c r="M786" s="5" t="str">
        <f ca="1">IFERROR(__xludf.DUMMYFUNCTION("""COMPUTED_VALUE"""),"20.8% rent increase (repeat offender with multiple listings currently price gauged) ")</f>
        <v xml:space="preserve">20.8% rent increase (repeat offender with multiple listings currently price gauged) </v>
      </c>
      <c r="N786" s="26" t="str">
        <f ca="1">IFERROR(__xludf.DUMMYFUNCTION("""COMPUTED_VALUE"""),"https://drive.google.com/open?id=12p7eLoRDCdhCWulQwYHWkGo_-g0H-gLj")</f>
        <v>https://drive.google.com/open?id=12p7eLoRDCdhCWulQwYHWkGo_-g0H-gLj</v>
      </c>
      <c r="O786" s="5" t="str">
        <f ca="1">IFERROR(__xludf.DUMMYFUNCTION("""COMPUTED_VALUE"""),"NA")</f>
        <v>NA</v>
      </c>
      <c r="P786" s="5" t="str">
        <f ca="1">IFERROR(__xludf.DUMMYFUNCTION("""COMPUTED_VALUE"""),"P: (833)-525-3273  M: (833)-525-3273")</f>
        <v>P: (833)-525-3273  M: (833)-525-3273</v>
      </c>
      <c r="Q786" s="5" t="str">
        <f ca="1">IFERROR(__xludf.DUMMYFUNCTION("""COMPUTED_VALUE"""),"info@nikolaleasing.com")</f>
        <v>info@nikolaleasing.com</v>
      </c>
      <c r="R786" s="5"/>
      <c r="S786" s="5"/>
      <c r="T786" s="5"/>
    </row>
    <row r="787" spans="1:20" ht="12.75">
      <c r="A787" s="24">
        <f ca="1">IFERROR(__xludf.DUMMYFUNCTION("""COMPUTED_VALUE"""),45671.5366143634)</f>
        <v>45671.536614363402</v>
      </c>
      <c r="B787" s="5" t="str">
        <f ca="1">IFERROR(__xludf.DUMMYFUNCTION("""COMPUTED_VALUE"""),"336 Museum Dr")</f>
        <v>336 Museum Dr</v>
      </c>
      <c r="C787" s="5" t="str">
        <f ca="1">IFERROR(__xludf.DUMMYFUNCTION("""COMPUTED_VALUE"""),"Los Angeles")</f>
        <v>Los Angeles</v>
      </c>
      <c r="D787" s="5" t="str">
        <f ca="1">IFERROR(__xludf.DUMMYFUNCTION("""COMPUTED_VALUE"""),"CA")</f>
        <v>CA</v>
      </c>
      <c r="E787" s="5">
        <f ca="1">IFERROR(__xludf.DUMMYFUNCTION("""COMPUTED_VALUE"""),90065)</f>
        <v>90065</v>
      </c>
      <c r="F787" s="19">
        <f ca="1">IFERROR(__xludf.DUMMYFUNCTION("""COMPUTED_VALUE"""),3900)</f>
        <v>3900</v>
      </c>
      <c r="G787" s="19">
        <f ca="1">IFERROR(__xludf.DUMMYFUNCTION("""COMPUTED_VALUE"""),4400)</f>
        <v>4400</v>
      </c>
      <c r="H787" s="18">
        <f ca="1">IFERROR(__xludf.DUMMYFUNCTION("""COMPUTED_VALUE"""),45671)</f>
        <v>45671</v>
      </c>
      <c r="I787" s="5" t="str">
        <f ca="1">IFERROR(__xludf.DUMMYFUNCTION("""COMPUTED_VALUE"""),"Zillow")</f>
        <v>Zillow</v>
      </c>
      <c r="J787" s="25" t="str">
        <f ca="1">IFERROR(__xludf.DUMMYFUNCTION("""COMPUTED_VALUE"""),"https://www.zillow.com/homedetails/336-Museum-Dr-Los-Angeles-CA-90065/20761567_zpid/")</f>
        <v>https://www.zillow.com/homedetails/336-Museum-Dr-Los-Angeles-CA-90065/20761567_zpid/</v>
      </c>
      <c r="K787" s="5" t="str">
        <f ca="1">IFERROR(__xludf.DUMMYFUNCTION("""COMPUTED_VALUE"""),"Andrew Yonce, Silver Platter Realty, Inc.")</f>
        <v>Andrew Yonce, Silver Platter Realty, Inc.</v>
      </c>
      <c r="L787" s="5"/>
      <c r="M787" s="5" t="str">
        <f ca="1">IFERROR(__xludf.DUMMYFUNCTION("""COMPUTED_VALUE"""),"NOTE: previous rental price not in price history on Zillow, but found listed on Compass website in 2023 with same photos.")</f>
        <v>NOTE: previous rental price not in price history on Zillow, but found listed on Compass website in 2023 with same photos.</v>
      </c>
      <c r="N787" s="5" t="str">
        <f ca="1">IFERROR(__xludf.DUMMYFUNCTION("""COMPUTED_VALUE"""),"https://drive.google.com/open?id=1eAgggBfz-bFBqB-UKk6ndbLCvYuZuIDu, https://drive.google.com/open?id=1Hl0Id53XaeISYzL_SnPklgo0Ievy9jVR")</f>
        <v>https://drive.google.com/open?id=1eAgggBfz-bFBqB-UKk6ndbLCvYuZuIDu, https://drive.google.com/open?id=1Hl0Id53XaeISYzL_SnPklgo0Ievy9jVR</v>
      </c>
      <c r="O787" s="5">
        <f ca="1">IFERROR(__xludf.DUMMYFUNCTION("""COMPUTED_VALUE"""),5467019020)</f>
        <v>5467019020</v>
      </c>
      <c r="P787" s="5"/>
      <c r="Q787" s="5"/>
      <c r="R787" s="5"/>
      <c r="S787" s="5"/>
      <c r="T787" s="5"/>
    </row>
    <row r="788" spans="1:20" ht="12.75">
      <c r="A788" s="24">
        <f ca="1">IFERROR(__xludf.DUMMYFUNCTION("""COMPUTED_VALUE"""),45671.5367715046)</f>
        <v>45671.536771504601</v>
      </c>
      <c r="B788" s="5" t="str">
        <f ca="1">IFERROR(__xludf.DUMMYFUNCTION("""COMPUTED_VALUE"""),"1224 Wesley Ave")</f>
        <v>1224 Wesley Ave</v>
      </c>
      <c r="C788" s="5" t="str">
        <f ca="1">IFERROR(__xludf.DUMMYFUNCTION("""COMPUTED_VALUE"""),"Pasadena ")</f>
        <v xml:space="preserve">Pasadena </v>
      </c>
      <c r="D788" s="5" t="str">
        <f ca="1">IFERROR(__xludf.DUMMYFUNCTION("""COMPUTED_VALUE"""),"CA")</f>
        <v>CA</v>
      </c>
      <c r="E788" s="5">
        <f ca="1">IFERROR(__xludf.DUMMYFUNCTION("""COMPUTED_VALUE"""),91104)</f>
        <v>91104</v>
      </c>
      <c r="F788" s="19">
        <f ca="1">IFERROR(__xludf.DUMMYFUNCTION("""COMPUTED_VALUE"""),3800)</f>
        <v>3800</v>
      </c>
      <c r="G788" s="19">
        <f ca="1">IFERROR(__xludf.DUMMYFUNCTION("""COMPUTED_VALUE"""),4900)</f>
        <v>4900</v>
      </c>
      <c r="H788" s="18">
        <f ca="1">IFERROR(__xludf.DUMMYFUNCTION("""COMPUTED_VALUE"""),45657)</f>
        <v>45657</v>
      </c>
      <c r="I788" s="5" t="str">
        <f ca="1">IFERROR(__xludf.DUMMYFUNCTION("""COMPUTED_VALUE"""),"Zillow")</f>
        <v>Zillow</v>
      </c>
      <c r="J788" s="25" t="str">
        <f ca="1">IFERROR(__xludf.DUMMYFUNCTION("""COMPUTED_VALUE"""),"https://www.zillow.com/homedetails/1224-Wesley-Ave-Pasadena-CA-91104/20871318_zpid/")</f>
        <v>https://www.zillow.com/homedetails/1224-Wesley-Ave-Pasadena-CA-91104/20871318_zpid/</v>
      </c>
      <c r="K788" s="5"/>
      <c r="L788" s="5"/>
      <c r="M788" s="5"/>
      <c r="N788" s="26" t="str">
        <f ca="1">IFERROR(__xludf.DUMMYFUNCTION("""COMPUTED_VALUE"""),"https://drive.google.com/open?id=1YT2EwwV1cajOJwpH9zcue5ZtSTs2f2Ux")</f>
        <v>https://drive.google.com/open?id=1YT2EwwV1cajOJwpH9zcue5ZtSTs2f2Ux</v>
      </c>
      <c r="O788" s="5">
        <f ca="1">IFERROR(__xludf.DUMMYFUNCTION("""COMPUTED_VALUE"""),5741002019)</f>
        <v>5741002019</v>
      </c>
      <c r="P788" s="5"/>
      <c r="Q788" s="5"/>
      <c r="R788" s="5"/>
      <c r="S788" s="5"/>
      <c r="T788" s="5"/>
    </row>
    <row r="789" spans="1:20" ht="12.75">
      <c r="A789" s="24">
        <f ca="1">IFERROR(__xludf.DUMMYFUNCTION("""COMPUTED_VALUE"""),45671.5411542129)</f>
        <v>45671.5411542129</v>
      </c>
      <c r="B789" s="5" t="str">
        <f ca="1">IFERROR(__xludf.DUMMYFUNCTION("""COMPUTED_VALUE"""),"11908 Exposition Blvd #408")</f>
        <v>11908 Exposition Blvd #408</v>
      </c>
      <c r="C789" s="5" t="str">
        <f ca="1">IFERROR(__xludf.DUMMYFUNCTION("""COMPUTED_VALUE"""),"Los Angeles")</f>
        <v>Los Angeles</v>
      </c>
      <c r="D789" s="5" t="str">
        <f ca="1">IFERROR(__xludf.DUMMYFUNCTION("""COMPUTED_VALUE"""),"CA")</f>
        <v>CA</v>
      </c>
      <c r="E789" s="5">
        <f ca="1">IFERROR(__xludf.DUMMYFUNCTION("""COMPUTED_VALUE"""),90064)</f>
        <v>90064</v>
      </c>
      <c r="F789" s="19">
        <f ca="1">IFERROR(__xludf.DUMMYFUNCTION("""COMPUTED_VALUE"""),2595)</f>
        <v>2595</v>
      </c>
      <c r="G789" s="19">
        <f ca="1">IFERROR(__xludf.DUMMYFUNCTION("""COMPUTED_VALUE"""),3175)</f>
        <v>3175</v>
      </c>
      <c r="H789" s="18">
        <f ca="1">IFERROR(__xludf.DUMMYFUNCTION("""COMPUTED_VALUE"""),45666)</f>
        <v>45666</v>
      </c>
      <c r="I789" s="5" t="str">
        <f ca="1">IFERROR(__xludf.DUMMYFUNCTION("""COMPUTED_VALUE"""),"Compass")</f>
        <v>Compass</v>
      </c>
      <c r="J789" s="25" t="str">
        <f ca="1">IFERROR(__xludf.DUMMYFUNCTION("""COMPUTED_VALUE"""),"https://www.compass.com/listing/11908-exposition-boulevard-unit-408-los-angeles-ca-90064/1710264785158877257/")</f>
        <v>https://www.compass.com/listing/11908-exposition-boulevard-unit-408-los-angeles-ca-90064/1710264785158877257/</v>
      </c>
      <c r="K789" s="5" t="str">
        <f ca="1">IFERROR(__xludf.DUMMYFUNCTION("""COMPUTED_VALUE"""),"Dyonte Griffin")</f>
        <v>Dyonte Griffin</v>
      </c>
      <c r="L789" s="5"/>
      <c r="M789" s="5" t="str">
        <f ca="1">IFERROR(__xludf.DUMMYFUNCTION("""COMPUTED_VALUE"""),"22.4% rent increase")</f>
        <v>22.4% rent increase</v>
      </c>
      <c r="N789" s="26" t="str">
        <f ca="1">IFERROR(__xludf.DUMMYFUNCTION("""COMPUTED_VALUE"""),"https://drive.google.com/open?id=13-KsPoZSJqofzyk-0u_3oxoBZaFmdcrA")</f>
        <v>https://drive.google.com/open?id=13-KsPoZSJqofzyk-0u_3oxoBZaFmdcrA</v>
      </c>
      <c r="O789" s="5" t="str">
        <f ca="1">IFERROR(__xludf.DUMMYFUNCTION("""COMPUTED_VALUE"""),"NA")</f>
        <v>NA</v>
      </c>
      <c r="P789" s="5" t="str">
        <f ca="1">IFERROR(__xludf.DUMMYFUNCTION("""COMPUTED_VALUE"""),"P: (424)-407-0107  M: (424)-407-0107")</f>
        <v>P: (424)-407-0107  M: (424)-407-0107</v>
      </c>
      <c r="Q789" s="5" t="str">
        <f ca="1">IFERROR(__xludf.DUMMYFUNCTION("""COMPUTED_VALUE"""),"dontrell@dreamgroupla.com")</f>
        <v>dontrell@dreamgroupla.com</v>
      </c>
      <c r="R789" s="5"/>
      <c r="S789" s="5"/>
      <c r="T789" s="5"/>
    </row>
    <row r="790" spans="1:20" ht="12.75">
      <c r="A790" s="24">
        <f ca="1">IFERROR(__xludf.DUMMYFUNCTION("""COMPUTED_VALUE"""),45671.5420954629)</f>
        <v>45671.542095462901</v>
      </c>
      <c r="B790" s="5" t="str">
        <f ca="1">IFERROR(__xludf.DUMMYFUNCTION("""COMPUTED_VALUE"""),"1017 Pearl St UNIT C")</f>
        <v>1017 Pearl St UNIT C</v>
      </c>
      <c r="C790" s="5" t="str">
        <f ca="1">IFERROR(__xludf.DUMMYFUNCTION("""COMPUTED_VALUE"""),"Santa Monica")</f>
        <v>Santa Monica</v>
      </c>
      <c r="D790" s="5" t="str">
        <f ca="1">IFERROR(__xludf.DUMMYFUNCTION("""COMPUTED_VALUE"""),"CA")</f>
        <v>CA</v>
      </c>
      <c r="E790" s="5">
        <f ca="1">IFERROR(__xludf.DUMMYFUNCTION("""COMPUTED_VALUE"""),90405)</f>
        <v>90405</v>
      </c>
      <c r="F790" s="19">
        <f ca="1">IFERROR(__xludf.DUMMYFUNCTION("""COMPUTED_VALUE"""),4500)</f>
        <v>4500</v>
      </c>
      <c r="G790" s="19">
        <f ca="1">IFERROR(__xludf.DUMMYFUNCTION("""COMPUTED_VALUE"""),5500)</f>
        <v>5500</v>
      </c>
      <c r="H790" s="18">
        <f ca="1">IFERROR(__xludf.DUMMYFUNCTION("""COMPUTED_VALUE"""),45671)</f>
        <v>45671</v>
      </c>
      <c r="I790" s="5" t="str">
        <f ca="1">IFERROR(__xludf.DUMMYFUNCTION("""COMPUTED_VALUE"""),"Zillow")</f>
        <v>Zillow</v>
      </c>
      <c r="J790" s="25" t="str">
        <f ca="1">IFERROR(__xludf.DUMMYFUNCTION("""COMPUTED_VALUE"""),"https://www.zillow.com/homedetails/1017-Pearl-St-UNIT-C-Santa-Monica-CA-90405/20480338_zpid/")</f>
        <v>https://www.zillow.com/homedetails/1017-Pearl-St-UNIT-C-Santa-Monica-CA-90405/20480338_zpid/</v>
      </c>
      <c r="K790" s="5"/>
      <c r="L790" s="5"/>
      <c r="M790" s="5"/>
      <c r="N790" s="5" t="str">
        <f ca="1">IFERROR(__xludf.DUMMYFUNCTION("""COMPUTED_VALUE"""),"https://drive.google.com/open?id=1L_Ou52Q97o57gyDo5z-42pRU4EpG3sfh, https://drive.google.com/open?id=19BpfGKkPoDSL7xFu7ViXZ9dLVru81dcQ")</f>
        <v>https://drive.google.com/open?id=1L_Ou52Q97o57gyDo5z-42pRU4EpG3sfh, https://drive.google.com/open?id=19BpfGKkPoDSL7xFu7ViXZ9dLVru81dcQ</v>
      </c>
      <c r="O790" s="5">
        <f ca="1">IFERROR(__xludf.DUMMYFUNCTION("""COMPUTED_VALUE"""),4284013028)</f>
        <v>4284013028</v>
      </c>
      <c r="P790" s="5"/>
      <c r="Q790" s="5"/>
      <c r="R790" s="5" t="str">
        <f ca="1">IFERROR(__xludf.DUMMYFUNCTION("""COMPUTED_VALUE"""),"(323) 989-3874")</f>
        <v>(323) 989-3874</v>
      </c>
      <c r="S790" s="5"/>
      <c r="T790" s="5"/>
    </row>
    <row r="791" spans="1:20" ht="12.75">
      <c r="A791" s="24">
        <f ca="1">IFERROR(__xludf.DUMMYFUNCTION("""COMPUTED_VALUE"""),45671.542537662)</f>
        <v>45671.542537661997</v>
      </c>
      <c r="B791" s="5" t="str">
        <f ca="1">IFERROR(__xludf.DUMMYFUNCTION("""COMPUTED_VALUE"""),"267 Barthe Dr #14")</f>
        <v>267 Barthe Dr #14</v>
      </c>
      <c r="C791" s="5" t="str">
        <f ca="1">IFERROR(__xludf.DUMMYFUNCTION("""COMPUTED_VALUE"""),"Pasadena")</f>
        <v>Pasadena</v>
      </c>
      <c r="D791" s="5" t="str">
        <f ca="1">IFERROR(__xludf.DUMMYFUNCTION("""COMPUTED_VALUE"""),"CA")</f>
        <v>CA</v>
      </c>
      <c r="E791" s="5">
        <f ca="1">IFERROR(__xludf.DUMMYFUNCTION("""COMPUTED_VALUE"""),91103)</f>
        <v>91103</v>
      </c>
      <c r="F791" s="19">
        <f ca="1">IFERROR(__xludf.DUMMYFUNCTION("""COMPUTED_VALUE"""),2292)</f>
        <v>2292</v>
      </c>
      <c r="G791" s="19">
        <f ca="1">IFERROR(__xludf.DUMMYFUNCTION("""COMPUTED_VALUE"""),2850)</f>
        <v>2850</v>
      </c>
      <c r="H791" s="18">
        <f ca="1">IFERROR(__xludf.DUMMYFUNCTION("""COMPUTED_VALUE"""),45305)</f>
        <v>45305</v>
      </c>
      <c r="I791" s="5" t="str">
        <f ca="1">IFERROR(__xludf.DUMMYFUNCTION("""COMPUTED_VALUE"""),"Zillow")</f>
        <v>Zillow</v>
      </c>
      <c r="J791" s="25" t="str">
        <f ca="1">IFERROR(__xludf.DUMMYFUNCTION("""COMPUTED_VALUE"""),"https://www.zillow.com/homedetails/267-Barthe-Dr-14-Pasadena-CA-91103/441812912_zpid/")</f>
        <v>https://www.zillow.com/homedetails/267-Barthe-Dr-14-Pasadena-CA-91103/441812912_zpid/</v>
      </c>
      <c r="K791" s="5" t="str">
        <f ca="1">IFERROR(__xludf.DUMMYFUNCTION("""COMPUTED_VALUE"""),"Affordable Housing (not a joke)")</f>
        <v>Affordable Housing (not a joke)</v>
      </c>
      <c r="L791" s="5" t="str">
        <f ca="1">IFERROR(__xludf.DUMMYFUNCTION("""COMPUTED_VALUE"""),"WISE,CARROLL D TR WISE FAMILY TRUST C/O STEVEN WISE")</f>
        <v>WISE,CARROLL D TR WISE FAMILY TRUST C/O STEVEN WISE</v>
      </c>
      <c r="M791" s="5" t="str">
        <f ca="1">IFERROR(__xludf.DUMMYFUNCTION("""COMPUTED_VALUE"""),"This property has been under going major renovations. The owners and their agents have been trying get the tenants out through harassment and threats for over a year. I have personal knowledge of this property and it's issues. This unit is covered by the "&amp;"Pasadena RSO.")</f>
        <v>This property has been under going major renovations. The owners and their agents have been trying get the tenants out through harassment and threats for over a year. I have personal knowledge of this property and it's issues. This unit is covered by the Pasadena RSO.</v>
      </c>
      <c r="N791" s="5" t="str">
        <f ca="1">IFERROR(__xludf.DUMMYFUNCTION("""COMPUTED_VALUE"""),"https://drive.google.com/open?id=1JvRZbhJV6JtXacSEM_asA6fba_omPoMb, https://drive.google.com/open?id=19ZmXl3-s6SDkf-puTxgFYFZWBIOAWiyb, https://drive.google.com/open?id=1aqGDRWX2xwXT9q6btmB_CRjYOuQm-Qus")</f>
        <v>https://drive.google.com/open?id=1JvRZbhJV6JtXacSEM_asA6fba_omPoMb, https://drive.google.com/open?id=19ZmXl3-s6SDkf-puTxgFYFZWBIOAWiyb, https://drive.google.com/open?id=1aqGDRWX2xwXT9q6btmB_CRjYOuQm-Qus</v>
      </c>
      <c r="O791" s="5">
        <f ca="1">IFERROR(__xludf.DUMMYFUNCTION("""COMPUTED_VALUE"""),5726008019)</f>
        <v>5726008019</v>
      </c>
      <c r="P791" s="5" t="str">
        <f ca="1">IFERROR(__xludf.DUMMYFUNCTION("""COMPUTED_VALUE"""),"(323) 422-1735")</f>
        <v>(323) 422-1735</v>
      </c>
      <c r="Q791" s="5"/>
      <c r="R791" s="5"/>
      <c r="S791" s="5"/>
      <c r="T791" s="5"/>
    </row>
    <row r="792" spans="1:20" ht="12.75">
      <c r="A792" s="24">
        <f ca="1">IFERROR(__xludf.DUMMYFUNCTION("""COMPUTED_VALUE"""),45671.543712118)</f>
        <v>45671.543712118</v>
      </c>
      <c r="B792" s="5" t="str">
        <f ca="1">IFERROR(__xludf.DUMMYFUNCTION("""COMPUTED_VALUE"""),"802 N Edinburgh Ave")</f>
        <v>802 N Edinburgh Ave</v>
      </c>
      <c r="C792" s="5" t="str">
        <f ca="1">IFERROR(__xludf.DUMMYFUNCTION("""COMPUTED_VALUE"""),"Los Angeles")</f>
        <v>Los Angeles</v>
      </c>
      <c r="D792" s="5" t="str">
        <f ca="1">IFERROR(__xludf.DUMMYFUNCTION("""COMPUTED_VALUE"""),"CA")</f>
        <v>CA</v>
      </c>
      <c r="E792" s="5">
        <f ca="1">IFERROR(__xludf.DUMMYFUNCTION("""COMPUTED_VALUE"""),90046)</f>
        <v>90046</v>
      </c>
      <c r="F792" s="19">
        <f ca="1">IFERROR(__xludf.DUMMYFUNCTION("""COMPUTED_VALUE"""),4500)</f>
        <v>4500</v>
      </c>
      <c r="G792" s="19">
        <f ca="1">IFERROR(__xludf.DUMMYFUNCTION("""COMPUTED_VALUE"""),4999)</f>
        <v>4999</v>
      </c>
      <c r="H792" s="18">
        <f ca="1">IFERROR(__xludf.DUMMYFUNCTION("""COMPUTED_VALUE"""),45667)</f>
        <v>45667</v>
      </c>
      <c r="I792" s="5" t="str">
        <f ca="1">IFERROR(__xludf.DUMMYFUNCTION("""COMPUTED_VALUE"""),"Zillow")</f>
        <v>Zillow</v>
      </c>
      <c r="J792" s="25" t="str">
        <f ca="1">IFERROR(__xludf.DUMMYFUNCTION("""COMPUTED_VALUE"""),"https://www.zillow.com/homedetails/802-N-Edinburgh-Ave-Los-Angeles-CA-90046/441737128_zpid/")</f>
        <v>https://www.zillow.com/homedetails/802-N-Edinburgh-Ave-Los-Angeles-CA-90046/441737128_zpid/</v>
      </c>
      <c r="K792" s="5" t="str">
        <f ca="1">IFERROR(__xludf.DUMMYFUNCTION("""COMPUTED_VALUE"""),"Dylan Mantay")</f>
        <v>Dylan Mantay</v>
      </c>
      <c r="L792" s="5" t="str">
        <f ca="1">IFERROR(__xludf.DUMMYFUNCTION("""COMPUTED_VALUE"""),"HighPoint Real Estate")</f>
        <v>HighPoint Real Estate</v>
      </c>
      <c r="M792" s="5" t="str">
        <f ca="1">IFERROR(__xludf.DUMMYFUNCTION("""COMPUTED_VALUE"""),"This is an update to the entry for listing mentioned already, as I know that the realtor Dylan Mantay is employed by Highpoint Real Estate (property managment company) due to being a tenant at one of their other (slumlord) properties. Here is the link to "&amp;"the listing on their own website as well for proof: https://www.highpointcre.com/listings/detail/7f2a29a9-50e2-40b3-a931-4ba1cd912088")</f>
        <v>This is an update to the entry for listing mentioned already, as I know that the realtor Dylan Mantay is employed by Highpoint Real Estate (property managment company) due to being a tenant at one of their other (slumlord) properties. Here is the link to the listing on their own website as well for proof: https://www.highpointcre.com/listings/detail/7f2a29a9-50e2-40b3-a931-4ba1cd912088</v>
      </c>
      <c r="N792" s="5" t="str">
        <f ca="1">IFERROR(__xludf.DUMMYFUNCTION("""COMPUTED_VALUE"""),"https://drive.google.com/open?id=1CIyEwgyW8ljMP3gtxns_7IGjbjqYjMIY, https://drive.google.com/open?id=1gBxjv18e3sktfG9o3OaV5N2AOrdbb4Xh, https://drive.google.com/open?id=11lOZISUamU2018lnzbIe3KZNKf9Tx-_U, https://drive.google.com/open?id=1jARu8EbZ9_6zrFC0A"&amp;"StUHkTnqZnUZEgz, https://drive.google.com/open?id=1jMJrWgGhFw_e3CyYmpRm5bSjfXguWKv6")</f>
        <v>https://drive.google.com/open?id=1CIyEwgyW8ljMP3gtxns_7IGjbjqYjMIY, https://drive.google.com/open?id=1gBxjv18e3sktfG9o3OaV5N2AOrdbb4Xh, https://drive.google.com/open?id=11lOZISUamU2018lnzbIe3KZNKf9Tx-_U, https://drive.google.com/open?id=1jARu8EbZ9_6zrFC0AStUHkTnqZnUZEgz, https://drive.google.com/open?id=1jMJrWgGhFw_e3CyYmpRm5bSjfXguWKv6</v>
      </c>
      <c r="O792" s="5" t="str">
        <f ca="1">IFERROR(__xludf.DUMMYFUNCTION("""COMPUTED_VALUE"""),"NA")</f>
        <v>NA</v>
      </c>
      <c r="P792" s="5" t="str">
        <f ca="1">IFERROR(__xludf.DUMMYFUNCTION("""COMPUTED_VALUE"""),"(310) 634-1751")</f>
        <v>(310) 634-1751</v>
      </c>
      <c r="Q792" s="5" t="str">
        <f ca="1">IFERROR(__xludf.DUMMYFUNCTION("""COMPUTED_VALUE"""),"Hello@HighPointCRE.com")</f>
        <v>Hello@HighPointCRE.com</v>
      </c>
      <c r="R792" s="5" t="str">
        <f ca="1">IFERROR(__xludf.DUMMYFUNCTION("""COMPUTED_VALUE"""),"(310) 691-2090")</f>
        <v>(310) 691-2090</v>
      </c>
      <c r="S792" s="5" t="str">
        <f ca="1">IFERROR(__xludf.DUMMYFUNCTION("""COMPUTED_VALUE"""),"management@highpointcre.com")</f>
        <v>management@highpointcre.com</v>
      </c>
      <c r="T792" s="5"/>
    </row>
    <row r="793" spans="1:20" ht="12.75">
      <c r="A793" s="24">
        <f ca="1">IFERROR(__xludf.DUMMYFUNCTION("""COMPUTED_VALUE"""),45671.5456725925)</f>
        <v>45671.545672592503</v>
      </c>
      <c r="B793" s="5" t="str">
        <f ca="1">IFERROR(__xludf.DUMMYFUNCTION("""COMPUTED_VALUE"""),"11633 Chenault St UNIT 202")</f>
        <v>11633 Chenault St UNIT 202</v>
      </c>
      <c r="C793" s="5" t="str">
        <f ca="1">IFERROR(__xludf.DUMMYFUNCTION("""COMPUTED_VALUE"""),"Los Angeles")</f>
        <v>Los Angeles</v>
      </c>
      <c r="D793" s="5" t="str">
        <f ca="1">IFERROR(__xludf.DUMMYFUNCTION("""COMPUTED_VALUE"""),"CA")</f>
        <v>CA</v>
      </c>
      <c r="E793" s="5">
        <f ca="1">IFERROR(__xludf.DUMMYFUNCTION("""COMPUTED_VALUE"""),90049)</f>
        <v>90049</v>
      </c>
      <c r="F793" s="19">
        <f ca="1">IFERROR(__xludf.DUMMYFUNCTION("""COMPUTED_VALUE"""),4995)</f>
        <v>4995</v>
      </c>
      <c r="G793" s="19">
        <f ca="1">IFERROR(__xludf.DUMMYFUNCTION("""COMPUTED_VALUE"""),7500)</f>
        <v>7500</v>
      </c>
      <c r="H793" s="18">
        <f ca="1">IFERROR(__xludf.DUMMYFUNCTION("""COMPUTED_VALUE"""),45670)</f>
        <v>45670</v>
      </c>
      <c r="I793" s="5" t="str">
        <f ca="1">IFERROR(__xludf.DUMMYFUNCTION("""COMPUTED_VALUE"""),"Zillow")</f>
        <v>Zillow</v>
      </c>
      <c r="J793" s="25" t="str">
        <f ca="1">IFERROR(__xludf.DUMMYFUNCTION("""COMPUTED_VALUE"""),"https://www.zillow.com/homedetails/11633-Chenault-St-UNIT-202-Los-Angeles-CA-90049/119677949_zpid/")</f>
        <v>https://www.zillow.com/homedetails/11633-Chenault-St-UNIT-202-Los-Angeles-CA-90049/119677949_zpid/</v>
      </c>
      <c r="K793" s="5" t="str">
        <f ca="1">IFERROR(__xludf.DUMMYFUNCTION("""COMPUTED_VALUE"""),"Keven Stirdivant")</f>
        <v>Keven Stirdivant</v>
      </c>
      <c r="L793" s="5"/>
      <c r="M793" s="5"/>
      <c r="N793" s="26" t="str">
        <f ca="1">IFERROR(__xludf.DUMMYFUNCTION("""COMPUTED_VALUE"""),"https://drive.google.com/open?id=1nlm_7TkcinguWMjaHK6idZnlaiI0ZPu2")</f>
        <v>https://drive.google.com/open?id=1nlm_7TkcinguWMjaHK6idZnlaiI0ZPu2</v>
      </c>
      <c r="O793" s="5">
        <f ca="1">IFERROR(__xludf.DUMMYFUNCTION("""COMPUTED_VALUE"""),4401026052)</f>
        <v>4401026052</v>
      </c>
      <c r="P793" s="5" t="str">
        <f ca="1">IFERROR(__xludf.DUMMYFUNCTION("""COMPUTED_VALUE"""),"(949) 545-8588")</f>
        <v>(949) 545-8588</v>
      </c>
      <c r="Q793" s="5"/>
      <c r="R793" s="5"/>
      <c r="S793" s="5"/>
      <c r="T793" s="5"/>
    </row>
    <row r="794" spans="1:20" ht="12.75">
      <c r="A794" s="24">
        <f ca="1">IFERROR(__xludf.DUMMYFUNCTION("""COMPUTED_VALUE"""),45671.5496246759)</f>
        <v>45671.549624675899</v>
      </c>
      <c r="B794" s="5" t="str">
        <f ca="1">IFERROR(__xludf.DUMMYFUNCTION("""COMPUTED_VALUE"""),"11822 Marshall St")</f>
        <v>11822 Marshall St</v>
      </c>
      <c r="C794" s="5" t="str">
        <f ca="1">IFERROR(__xludf.DUMMYFUNCTION("""COMPUTED_VALUE"""),"Los Angeles ")</f>
        <v xml:space="preserve">Los Angeles </v>
      </c>
      <c r="D794" s="5" t="str">
        <f ca="1">IFERROR(__xludf.DUMMYFUNCTION("""COMPUTED_VALUE"""),"CA")</f>
        <v>CA</v>
      </c>
      <c r="E794" s="5">
        <f ca="1">IFERROR(__xludf.DUMMYFUNCTION("""COMPUTED_VALUE"""),90230)</f>
        <v>90230</v>
      </c>
      <c r="F794" s="19">
        <f ca="1">IFERROR(__xludf.DUMMYFUNCTION("""COMPUTED_VALUE"""),9200)</f>
        <v>9200</v>
      </c>
      <c r="G794" s="19">
        <f ca="1">IFERROR(__xludf.DUMMYFUNCTION("""COMPUTED_VALUE"""),10500)</f>
        <v>10500</v>
      </c>
      <c r="H794" s="18">
        <f ca="1">IFERROR(__xludf.DUMMYFUNCTION("""COMPUTED_VALUE"""),45667)</f>
        <v>45667</v>
      </c>
      <c r="I794" s="5" t="str">
        <f ca="1">IFERROR(__xludf.DUMMYFUNCTION("""COMPUTED_VALUE"""),"Zillow")</f>
        <v>Zillow</v>
      </c>
      <c r="J794" s="25" t="str">
        <f ca="1">IFERROR(__xludf.DUMMYFUNCTION("""COMPUTED_VALUE"""),"https://www.zillow.com/homedetails/11822-Marshall-St-Los-Angeles-CA-90230/20439428_zpid/?utm_campaign=iosappmessage&amp;utm_medium=referral&amp;utm_source=txtshare")</f>
        <v>https://www.zillow.com/homedetails/11822-Marshall-St-Los-Angeles-CA-90230/20439428_zpid/?utm_campaign=iosappmessage&amp;utm_medium=referral&amp;utm_source=txtshare</v>
      </c>
      <c r="K794" s="5" t="str">
        <f ca="1">IFERROR(__xludf.DUMMYFUNCTION("""COMPUTED_VALUE"""),"Taryn Aldridge")</f>
        <v>Taryn Aldridge</v>
      </c>
      <c r="L794" s="5"/>
      <c r="M794" s="5"/>
      <c r="N794" s="5" t="str">
        <f ca="1">IFERROR(__xludf.DUMMYFUNCTION("""COMPUTED_VALUE"""),"https://drive.google.com/open?id=1p1uV5h7tPUO8wErSnzHHdTjuutwZjyW9, https://drive.google.com/open?id=1O-q1AOYL5X1u2vHNg9LfoUkPjGrJkjdR, https://drive.google.com/open?id=1iNtFyYPZdyQd17isBBPhRymp2TRBISsw")</f>
        <v>https://drive.google.com/open?id=1p1uV5h7tPUO8wErSnzHHdTjuutwZjyW9, https://drive.google.com/open?id=1O-q1AOYL5X1u2vHNg9LfoUkPjGrJkjdR, https://drive.google.com/open?id=1iNtFyYPZdyQd17isBBPhRymp2TRBISsw</v>
      </c>
      <c r="O794" s="5">
        <f ca="1">IFERROR(__xludf.DUMMYFUNCTION("""COMPUTED_VALUE"""),4218010043)</f>
        <v>4218010043</v>
      </c>
      <c r="P794" s="5">
        <f ca="1">IFERROR(__xludf.DUMMYFUNCTION("""COMPUTED_VALUE"""),3604201626)</f>
        <v>3604201626</v>
      </c>
      <c r="Q794" s="5"/>
      <c r="R794" s="5"/>
      <c r="S794" s="5"/>
      <c r="T794" s="5"/>
    </row>
    <row r="795" spans="1:20" ht="12.75">
      <c r="A795" s="24">
        <f ca="1">IFERROR(__xludf.DUMMYFUNCTION("""COMPUTED_VALUE"""),45671.5516556944)</f>
        <v>45671.551655694399</v>
      </c>
      <c r="B795" s="5" t="str">
        <f ca="1">IFERROR(__xludf.DUMMYFUNCTION("""COMPUTED_VALUE"""),"9243 Cordell Dr")</f>
        <v>9243 Cordell Dr</v>
      </c>
      <c r="C795" s="5" t="str">
        <f ca="1">IFERROR(__xludf.DUMMYFUNCTION("""COMPUTED_VALUE"""),"Los Angeles")</f>
        <v>Los Angeles</v>
      </c>
      <c r="D795" s="5" t="str">
        <f ca="1">IFERROR(__xludf.DUMMYFUNCTION("""COMPUTED_VALUE"""),"CA")</f>
        <v>CA</v>
      </c>
      <c r="E795" s="5">
        <f ca="1">IFERROR(__xludf.DUMMYFUNCTION("""COMPUTED_VALUE"""),90069)</f>
        <v>90069</v>
      </c>
      <c r="F795" s="19">
        <f ca="1">IFERROR(__xludf.DUMMYFUNCTION("""COMPUTED_VALUE"""),16000)</f>
        <v>16000</v>
      </c>
      <c r="G795" s="19">
        <f ca="1">IFERROR(__xludf.DUMMYFUNCTION("""COMPUTED_VALUE"""),29000)</f>
        <v>29000</v>
      </c>
      <c r="H795" s="18">
        <f ca="1">IFERROR(__xludf.DUMMYFUNCTION("""COMPUTED_VALUE"""),45671)</f>
        <v>45671</v>
      </c>
      <c r="I795" s="5" t="str">
        <f ca="1">IFERROR(__xludf.DUMMYFUNCTION("""COMPUTED_VALUE"""),"Zillow")</f>
        <v>Zillow</v>
      </c>
      <c r="J795" s="25" t="str">
        <f ca="1">IFERROR(__xludf.DUMMYFUNCTION("""COMPUTED_VALUE"""),"https://www.zillow.com/homedetails/9243-Cordell-Dr-Los-Angeles-CA-90069/20534852_zpid/")</f>
        <v>https://www.zillow.com/homedetails/9243-Cordell-Dr-Los-Angeles-CA-90069/20534852_zpid/</v>
      </c>
      <c r="K795" s="5" t="str">
        <f ca="1">IFERROR(__xludf.DUMMYFUNCTION("""COMPUTED_VALUE"""),"Oraklus Rental Properties")</f>
        <v>Oraklus Rental Properties</v>
      </c>
      <c r="L795" s="5"/>
      <c r="M795" s="5"/>
      <c r="N795" s="26" t="str">
        <f ca="1">IFERROR(__xludf.DUMMYFUNCTION("""COMPUTED_VALUE"""),"https://drive.google.com/open?id=1TEpAXWGU8Ex9z5do9EyrYV8HLMs76hMR")</f>
        <v>https://drive.google.com/open?id=1TEpAXWGU8Ex9z5do9EyrYV8HLMs76hMR</v>
      </c>
      <c r="O795" s="5">
        <f ca="1">IFERROR(__xludf.DUMMYFUNCTION("""COMPUTED_VALUE"""),4392009014)</f>
        <v>4392009014</v>
      </c>
      <c r="P795" s="5" t="str">
        <f ca="1">IFERROR(__xludf.DUMMYFUNCTION("""COMPUTED_VALUE"""),"(424) 388-9703")</f>
        <v>(424) 388-9703</v>
      </c>
      <c r="Q795" s="5"/>
      <c r="R795" s="5"/>
      <c r="S795" s="5"/>
      <c r="T795" s="5"/>
    </row>
    <row r="796" spans="1:20" ht="12.75">
      <c r="A796" s="24">
        <f ca="1">IFERROR(__xludf.DUMMYFUNCTION("""COMPUTED_VALUE"""),45671.5576051851)</f>
        <v>45671.557605185102</v>
      </c>
      <c r="B796" s="5" t="str">
        <f ca="1">IFERROR(__xludf.DUMMYFUNCTION("""COMPUTED_VALUE"""),"1612 Courtney Ave")</f>
        <v>1612 Courtney Ave</v>
      </c>
      <c r="C796" s="5" t="str">
        <f ca="1">IFERROR(__xludf.DUMMYFUNCTION("""COMPUTED_VALUE"""),"Los Angeles")</f>
        <v>Los Angeles</v>
      </c>
      <c r="D796" s="5" t="str">
        <f ca="1">IFERROR(__xludf.DUMMYFUNCTION("""COMPUTED_VALUE"""),"CA")</f>
        <v>CA</v>
      </c>
      <c r="E796" s="5">
        <f ca="1">IFERROR(__xludf.DUMMYFUNCTION("""COMPUTED_VALUE"""),90046)</f>
        <v>90046</v>
      </c>
      <c r="F796" s="19">
        <f ca="1">IFERROR(__xludf.DUMMYFUNCTION("""COMPUTED_VALUE"""),9000)</f>
        <v>9000</v>
      </c>
      <c r="G796" s="19">
        <f ca="1">IFERROR(__xludf.DUMMYFUNCTION("""COMPUTED_VALUE"""),10500)</f>
        <v>10500</v>
      </c>
      <c r="H796" s="18">
        <f ca="1">IFERROR(__xludf.DUMMYFUNCTION("""COMPUTED_VALUE"""),45667)</f>
        <v>45667</v>
      </c>
      <c r="I796" s="5" t="str">
        <f ca="1">IFERROR(__xludf.DUMMYFUNCTION("""COMPUTED_VALUE"""),"Compass")</f>
        <v>Compass</v>
      </c>
      <c r="J796" s="25" t="str">
        <f ca="1">IFERROR(__xludf.DUMMYFUNCTION("""COMPUTED_VALUE"""),"https://www.compass.com/listing/1612-courtney-avenue-los-angeles-ca-90046/1747876484574831273/")</f>
        <v>https://www.compass.com/listing/1612-courtney-avenue-los-angeles-ca-90046/1747876484574831273/</v>
      </c>
      <c r="K796" s="5" t="str">
        <f ca="1">IFERROR(__xludf.DUMMYFUNCTION("""COMPUTED_VALUE"""),"Robert Erickson")</f>
        <v>Robert Erickson</v>
      </c>
      <c r="L796" s="5"/>
      <c r="M796" s="5" t="str">
        <f ca="1">IFERROR(__xludf.DUMMYFUNCTION("""COMPUTED_VALUE"""),"16.7% rent increase")</f>
        <v>16.7% rent increase</v>
      </c>
      <c r="N796" s="26" t="str">
        <f ca="1">IFERROR(__xludf.DUMMYFUNCTION("""COMPUTED_VALUE"""),"https://drive.google.com/open?id=1rKMoMeU_EKZrbNcW0Nd0F-rEflJ6cLya")</f>
        <v>https://drive.google.com/open?id=1rKMoMeU_EKZrbNcW0Nd0F-rEflJ6cLya</v>
      </c>
      <c r="O796" s="5" t="str">
        <f ca="1">IFERROR(__xludf.DUMMYFUNCTION("""COMPUTED_VALUE"""),"NA")</f>
        <v>NA</v>
      </c>
      <c r="P796" s="5" t="str">
        <f ca="1">IFERROR(__xludf.DUMMYFUNCTION("""COMPUTED_VALUE"""),"P: (310)-890-7895  M: (310)-890-7895")</f>
        <v>P: (310)-890-7895  M: (310)-890-7895</v>
      </c>
      <c r="Q796" s="5" t="str">
        <f ca="1">IFERROR(__xludf.DUMMYFUNCTION("""COMPUTED_VALUE"""),"robert@RobertEricksonRE.com")</f>
        <v>robert@RobertEricksonRE.com</v>
      </c>
      <c r="R796" s="5"/>
      <c r="S796" s="5"/>
      <c r="T796" s="5"/>
    </row>
    <row r="797" spans="1:20" ht="12.75">
      <c r="A797" s="24">
        <f ca="1">IFERROR(__xludf.DUMMYFUNCTION("""COMPUTED_VALUE"""),45671.5577490856)</f>
        <v>45671.557749085601</v>
      </c>
      <c r="B797" s="5" t="str">
        <f ca="1">IFERROR(__xludf.DUMMYFUNCTION("""COMPUTED_VALUE"""),"1525 Selby Ave APT 203")</f>
        <v>1525 Selby Ave APT 203</v>
      </c>
      <c r="C797" s="5" t="str">
        <f ca="1">IFERROR(__xludf.DUMMYFUNCTION("""COMPUTED_VALUE"""),"Los Angeles")</f>
        <v>Los Angeles</v>
      </c>
      <c r="D797" s="5" t="str">
        <f ca="1">IFERROR(__xludf.DUMMYFUNCTION("""COMPUTED_VALUE"""),"CA")</f>
        <v>CA</v>
      </c>
      <c r="E797" s="5">
        <f ca="1">IFERROR(__xludf.DUMMYFUNCTION("""COMPUTED_VALUE"""),90024)</f>
        <v>90024</v>
      </c>
      <c r="F797" s="19">
        <f ca="1">IFERROR(__xludf.DUMMYFUNCTION("""COMPUTED_VALUE"""),2725)</f>
        <v>2725</v>
      </c>
      <c r="G797" s="19">
        <f ca="1">IFERROR(__xludf.DUMMYFUNCTION("""COMPUTED_VALUE"""),4200)</f>
        <v>4200</v>
      </c>
      <c r="H797" s="18">
        <f ca="1">IFERROR(__xludf.DUMMYFUNCTION("""COMPUTED_VALUE"""),45671)</f>
        <v>45671</v>
      </c>
      <c r="I797" s="5" t="str">
        <f ca="1">IFERROR(__xludf.DUMMYFUNCTION("""COMPUTED_VALUE"""),"Zillow")</f>
        <v>Zillow</v>
      </c>
      <c r="J797" s="25" t="str">
        <f ca="1">IFERROR(__xludf.DUMMYFUNCTION("""COMPUTED_VALUE"""),"https://www.zillow.com/homedetails/1525-Selby-Ave-APT-203-Los-Angeles-CA-90024/2094114909_zpid/")</f>
        <v>https://www.zillow.com/homedetails/1525-Selby-Ave-APT-203-Los-Angeles-CA-90024/2094114909_zpid/</v>
      </c>
      <c r="K797" s="5"/>
      <c r="L797" s="5" t="str">
        <f ca="1">IFERROR(__xludf.DUMMYFUNCTION("""COMPUTED_VALUE"""),"Alice")</f>
        <v>Alice</v>
      </c>
      <c r="M797" s="5" t="str">
        <f ca="1">IFERROR(__xludf.DUMMYFUNCTION("""COMPUTED_VALUE"""),"Was originally listed at $3,300 in October. Then, price lowered to $2,725, presumably due to lack of interest. Raised in January.")</f>
        <v>Was originally listed at $3,300 in October. Then, price lowered to $2,725, presumably due to lack of interest. Raised in January.</v>
      </c>
      <c r="N797" s="5" t="str">
        <f ca="1">IFERROR(__xludf.DUMMYFUNCTION("""COMPUTED_VALUE"""),"https://drive.google.com/open?id=1NLwdsCaySZTTBhCMS3o6deCIV8hjgzQz, https://drive.google.com/open?id=18gMFSqgel8wbGFe4IYBevJ-JD_6R2Un8")</f>
        <v>https://drive.google.com/open?id=1NLwdsCaySZTTBhCMS3o6deCIV8hjgzQz, https://drive.google.com/open?id=18gMFSqgel8wbGFe4IYBevJ-JD_6R2Un8</v>
      </c>
      <c r="O797" s="5" t="str">
        <f ca="1">IFERROR(__xludf.DUMMYFUNCTION("""COMPUTED_VALUE"""),"NA")</f>
        <v>NA</v>
      </c>
      <c r="P797" s="5"/>
      <c r="Q797" s="5"/>
      <c r="R797" s="5" t="str">
        <f ca="1">IFERROR(__xludf.DUMMYFUNCTION("""COMPUTED_VALUE"""),"(323) 863-8171")</f>
        <v>(323) 863-8171</v>
      </c>
      <c r="S797" s="5"/>
      <c r="T797" s="5"/>
    </row>
    <row r="798" spans="1:20" ht="12.75">
      <c r="A798" s="24">
        <f ca="1">IFERROR(__xludf.DUMMYFUNCTION("""COMPUTED_VALUE"""),45671.5604060648)</f>
        <v>45671.560406064797</v>
      </c>
      <c r="B798" s="5" t="str">
        <f ca="1">IFERROR(__xludf.DUMMYFUNCTION("""COMPUTED_VALUE"""),"3464 Greenwood Abe")</f>
        <v>3464 Greenwood Abe</v>
      </c>
      <c r="C798" s="5" t="str">
        <f ca="1">IFERROR(__xludf.DUMMYFUNCTION("""COMPUTED_VALUE"""),"Los Angeles")</f>
        <v>Los Angeles</v>
      </c>
      <c r="D798" s="5" t="str">
        <f ca="1">IFERROR(__xludf.DUMMYFUNCTION("""COMPUTED_VALUE"""),"CA")</f>
        <v>CA</v>
      </c>
      <c r="E798" s="5">
        <f ca="1">IFERROR(__xludf.DUMMYFUNCTION("""COMPUTED_VALUE"""),90066)</f>
        <v>90066</v>
      </c>
      <c r="F798" s="19">
        <f ca="1">IFERROR(__xludf.DUMMYFUNCTION("""COMPUTED_VALUE"""),15000)</f>
        <v>15000</v>
      </c>
      <c r="G798" s="19">
        <f ca="1">IFERROR(__xludf.DUMMYFUNCTION("""COMPUTED_VALUE"""),22000)</f>
        <v>22000</v>
      </c>
      <c r="H798" s="18">
        <f ca="1">IFERROR(__xludf.DUMMYFUNCTION("""COMPUTED_VALUE"""),45666)</f>
        <v>45666</v>
      </c>
      <c r="I798" s="5" t="str">
        <f ca="1">IFERROR(__xludf.DUMMYFUNCTION("""COMPUTED_VALUE"""),"Redfin")</f>
        <v>Redfin</v>
      </c>
      <c r="J798" s="25" t="str">
        <f ca="1">IFERROR(__xludf.DUMMYFUNCTION("""COMPUTED_VALUE"""),"https://www.redfin.com/CA/Los-Angeles/3464-Greenwood-Ave-90066/home/6745328?utm_source=ios_share&amp;utm_medium=share&amp;utm_campaign=copy_link&amp;utm_nooverride=1&amp;utm_content=link")</f>
        <v>https://www.redfin.com/CA/Los-Angeles/3464-Greenwood-Ave-90066/home/6745328?utm_source=ios_share&amp;utm_medium=share&amp;utm_campaign=copy_link&amp;utm_nooverride=1&amp;utm_content=link</v>
      </c>
      <c r="K798" s="5"/>
      <c r="L798" s="5"/>
      <c r="M798" s="5" t="str">
        <f ca="1">IFERROR(__xludf.DUMMYFUNCTION("""COMPUTED_VALUE"""),"This property has been on the market for a very long time with limited interest even at its $15k price but obviously with the fires people are looking for housing and the listing agent took advantage of this. ")</f>
        <v xml:space="preserve">This property has been on the market for a very long time with limited interest even at its $15k price but obviously with the fires people are looking for housing and the listing agent took advantage of this. </v>
      </c>
      <c r="N798" s="26" t="str">
        <f ca="1">IFERROR(__xludf.DUMMYFUNCTION("""COMPUTED_VALUE"""),"https://drive.google.com/open?id=1ijJ7LFCkSFiZeCZ1n3uGjQhWT98nfP52")</f>
        <v>https://drive.google.com/open?id=1ijJ7LFCkSFiZeCZ1n3uGjQhWT98nfP52</v>
      </c>
      <c r="O798" s="5">
        <f ca="1">IFERROR(__xludf.DUMMYFUNCTION("""COMPUTED_VALUE"""),4244008006)</f>
        <v>4244008006</v>
      </c>
      <c r="P798" s="5"/>
      <c r="Q798" s="5"/>
      <c r="R798" s="5"/>
      <c r="S798" s="5"/>
      <c r="T798" s="5"/>
    </row>
    <row r="799" spans="1:20" ht="12.75">
      <c r="A799" s="24">
        <f ca="1">IFERROR(__xludf.DUMMYFUNCTION("""COMPUTED_VALUE"""),45671.5619949884)</f>
        <v>45671.561994988399</v>
      </c>
      <c r="B799" s="5" t="str">
        <f ca="1">IFERROR(__xludf.DUMMYFUNCTION("""COMPUTED_VALUE"""),"380 Trousdale Pl")</f>
        <v>380 Trousdale Pl</v>
      </c>
      <c r="C799" s="5" t="str">
        <f ca="1">IFERROR(__xludf.DUMMYFUNCTION("""COMPUTED_VALUE"""),"Beverly HIlls")</f>
        <v>Beverly HIlls</v>
      </c>
      <c r="D799" s="5" t="str">
        <f ca="1">IFERROR(__xludf.DUMMYFUNCTION("""COMPUTED_VALUE"""),"CA")</f>
        <v>CA</v>
      </c>
      <c r="E799" s="5">
        <f ca="1">IFERROR(__xludf.DUMMYFUNCTION("""COMPUTED_VALUE"""),90210)</f>
        <v>90210</v>
      </c>
      <c r="F799" s="19">
        <f ca="1">IFERROR(__xludf.DUMMYFUNCTION("""COMPUTED_VALUE"""),50000)</f>
        <v>50000</v>
      </c>
      <c r="G799" s="19">
        <f ca="1">IFERROR(__xludf.DUMMYFUNCTION("""COMPUTED_VALUE"""),88000)</f>
        <v>88000</v>
      </c>
      <c r="H799" s="18">
        <f ca="1">IFERROR(__xludf.DUMMYFUNCTION("""COMPUTED_VALUE"""),45665)</f>
        <v>45665</v>
      </c>
      <c r="I799" s="5" t="str">
        <f ca="1">IFERROR(__xludf.DUMMYFUNCTION("""COMPUTED_VALUE"""),"Zillow")</f>
        <v>Zillow</v>
      </c>
      <c r="J799" s="25" t="str">
        <f ca="1">IFERROR(__xludf.DUMMYFUNCTION("""COMPUTED_VALUE"""),"https://www.zillow.com/homedetails/380-Trousdale-Pl-Beverly-Hills-CA-90210/20534471_zpid/")</f>
        <v>https://www.zillow.com/homedetails/380-Trousdale-Pl-Beverly-Hills-CA-90210/20534471_zpid/</v>
      </c>
      <c r="K799" s="5" t="str">
        <f ca="1">IFERROR(__xludf.DUMMYFUNCTION("""COMPUTED_VALUE"""),"Safir Shamsi")</f>
        <v>Safir Shamsi</v>
      </c>
      <c r="L799" s="5"/>
      <c r="M799" s="5"/>
      <c r="N799" s="26" t="str">
        <f ca="1">IFERROR(__xludf.DUMMYFUNCTION("""COMPUTED_VALUE"""),"https://drive.google.com/open?id=1Bn1zIZLk3t5xol_apsjjev7HQLhgwwen")</f>
        <v>https://drive.google.com/open?id=1Bn1zIZLk3t5xol_apsjjev7HQLhgwwen</v>
      </c>
      <c r="O799" s="5">
        <f ca="1">IFERROR(__xludf.DUMMYFUNCTION("""COMPUTED_VALUE"""),4391016004)</f>
        <v>4391016004</v>
      </c>
      <c r="P799" s="5" t="str">
        <f ca="1">IFERROR(__xludf.DUMMYFUNCTION("""COMPUTED_VALUE"""),"(310) 400-2046")</f>
        <v>(310) 400-2046</v>
      </c>
      <c r="Q799" s="5"/>
      <c r="R799" s="5"/>
      <c r="S799" s="5"/>
      <c r="T799" s="5"/>
    </row>
    <row r="800" spans="1:20" ht="12.75">
      <c r="A800" s="24">
        <f ca="1">IFERROR(__xludf.DUMMYFUNCTION("""COMPUTED_VALUE"""),45671.5643073958)</f>
        <v>45671.564307395798</v>
      </c>
      <c r="B800" s="5" t="str">
        <f ca="1">IFERROR(__xludf.DUMMYFUNCTION("""COMPUTED_VALUE"""),"2470 VENUS DR ")</f>
        <v xml:space="preserve">2470 VENUS DR </v>
      </c>
      <c r="C800" s="5" t="str">
        <f ca="1">IFERROR(__xludf.DUMMYFUNCTION("""COMPUTED_VALUE"""),"Los Angeles")</f>
        <v>Los Angeles</v>
      </c>
      <c r="D800" s="5" t="str">
        <f ca="1">IFERROR(__xludf.DUMMYFUNCTION("""COMPUTED_VALUE"""),"CA")</f>
        <v>CA</v>
      </c>
      <c r="E800" s="5">
        <f ca="1">IFERROR(__xludf.DUMMYFUNCTION("""COMPUTED_VALUE"""),90046)</f>
        <v>90046</v>
      </c>
      <c r="F800" s="19">
        <f ca="1">IFERROR(__xludf.DUMMYFUNCTION("""COMPUTED_VALUE"""),13999)</f>
        <v>13999</v>
      </c>
      <c r="G800" s="19">
        <f ca="1">IFERROR(__xludf.DUMMYFUNCTION("""COMPUTED_VALUE"""),15999)</f>
        <v>15999</v>
      </c>
      <c r="H800" s="18">
        <f ca="1">IFERROR(__xludf.DUMMYFUNCTION("""COMPUTED_VALUE"""),45665)</f>
        <v>45665</v>
      </c>
      <c r="I800" s="5" t="str">
        <f ca="1">IFERROR(__xludf.DUMMYFUNCTION("""COMPUTED_VALUE"""),"Compass")</f>
        <v>Compass</v>
      </c>
      <c r="J800" s="25" t="str">
        <f ca="1">IFERROR(__xludf.DUMMYFUNCTION("""COMPUTED_VALUE"""),"https://www.compass.com/listing/2470-venus-drive-los-angeles-ca-90046/1692131304925978729/")</f>
        <v>https://www.compass.com/listing/2470-venus-drive-los-angeles-ca-90046/1692131304925978729/</v>
      </c>
      <c r="K800" s="5" t="str">
        <f ca="1">IFERROR(__xludf.DUMMYFUNCTION("""COMPUTED_VALUE"""),"Lara Kajajian")</f>
        <v>Lara Kajajian</v>
      </c>
      <c r="L800" s="5"/>
      <c r="M800" s="5" t="str">
        <f ca="1">IFERROR(__xludf.DUMMYFUNCTION("""COMPUTED_VALUE"""),"14.3% rent increase")</f>
        <v>14.3% rent increase</v>
      </c>
      <c r="N800" s="26" t="str">
        <f ca="1">IFERROR(__xludf.DUMMYFUNCTION("""COMPUTED_VALUE"""),"https://drive.google.com/open?id=1iOcDL5ArvPVY_8GdFhnwmL3dnNdoPALB")</f>
        <v>https://drive.google.com/open?id=1iOcDL5ArvPVY_8GdFhnwmL3dnNdoPALB</v>
      </c>
      <c r="O800" s="5" t="str">
        <f ca="1">IFERROR(__xludf.DUMMYFUNCTION("""COMPUTED_VALUE"""),"NA")</f>
        <v>NA</v>
      </c>
      <c r="P800" s="5" t="str">
        <f ca="1">IFERROR(__xludf.DUMMYFUNCTION("""COMPUTED_VALUE"""),"P: (310)-729-0156  M: (310)-729-0156")</f>
        <v>P: (310)-729-0156  M: (310)-729-0156</v>
      </c>
      <c r="Q800" s="5" t="str">
        <f ca="1">IFERROR(__xludf.DUMMYFUNCTION("""COMPUTED_VALUE"""),"larakajajian@gmail.com")</f>
        <v>larakajajian@gmail.com</v>
      </c>
      <c r="R800" s="5"/>
      <c r="S800" s="5"/>
      <c r="T800" s="5"/>
    </row>
    <row r="801" spans="1:20" ht="12.75">
      <c r="A801" s="24">
        <f ca="1">IFERROR(__xludf.DUMMYFUNCTION("""COMPUTED_VALUE"""),45671.5653901504)</f>
        <v>45671.565390150397</v>
      </c>
      <c r="B801" s="5" t="str">
        <f ca="1">IFERROR(__xludf.DUMMYFUNCTION("""COMPUTED_VALUE"""),"532 N Rossmore Ave APT 103")</f>
        <v>532 N Rossmore Ave APT 103</v>
      </c>
      <c r="C801" s="5" t="str">
        <f ca="1">IFERROR(__xludf.DUMMYFUNCTION("""COMPUTED_VALUE"""),"Los Angeles")</f>
        <v>Los Angeles</v>
      </c>
      <c r="D801" s="5" t="str">
        <f ca="1">IFERROR(__xludf.DUMMYFUNCTION("""COMPUTED_VALUE"""),"CA")</f>
        <v>CA</v>
      </c>
      <c r="E801" s="5">
        <f ca="1">IFERROR(__xludf.DUMMYFUNCTION("""COMPUTED_VALUE"""),90004)</f>
        <v>90004</v>
      </c>
      <c r="F801" s="19">
        <f ca="1">IFERROR(__xludf.DUMMYFUNCTION("""COMPUTED_VALUE"""),2950)</f>
        <v>2950</v>
      </c>
      <c r="G801" s="19">
        <f ca="1">IFERROR(__xludf.DUMMYFUNCTION("""COMPUTED_VALUE"""),3300)</f>
        <v>3300</v>
      </c>
      <c r="H801" s="18">
        <f ca="1">IFERROR(__xludf.DUMMYFUNCTION("""COMPUTED_VALUE"""),45668)</f>
        <v>45668</v>
      </c>
      <c r="I801" s="5" t="str">
        <f ca="1">IFERROR(__xludf.DUMMYFUNCTION("""COMPUTED_VALUE"""),"Zillow")</f>
        <v>Zillow</v>
      </c>
      <c r="J801" s="25" t="str">
        <f ca="1">IFERROR(__xludf.DUMMYFUNCTION("""COMPUTED_VALUE"""),"https://www.zillow.com/homedetails/532-N-Rossmore-Ave-APT-103-Los-Angeles-CA-90004/20782624_zpid/")</f>
        <v>https://www.zillow.com/homedetails/532-N-Rossmore-Ave-APT-103-Los-Angeles-CA-90004/20782624_zpid/</v>
      </c>
      <c r="K801" s="5"/>
      <c r="L801" s="5" t="str">
        <f ca="1">IFERROR(__xludf.DUMMYFUNCTION("""COMPUTED_VALUE"""),"Nadia Harebin")</f>
        <v>Nadia Harebin</v>
      </c>
      <c r="M801" s="5"/>
      <c r="N801" s="26" t="str">
        <f ca="1">IFERROR(__xludf.DUMMYFUNCTION("""COMPUTED_VALUE"""),"https://drive.google.com/open?id=1Y3kMINCYE3_WBrnk5-i4_CPKRXlwo7Ga")</f>
        <v>https://drive.google.com/open?id=1Y3kMINCYE3_WBrnk5-i4_CPKRXlwo7Ga</v>
      </c>
      <c r="O801" s="5">
        <f ca="1">IFERROR(__xludf.DUMMYFUNCTION("""COMPUTED_VALUE"""),5523014039)</f>
        <v>5523014039</v>
      </c>
      <c r="P801" s="5"/>
      <c r="Q801" s="5"/>
      <c r="R801" s="5" t="str">
        <f ca="1">IFERROR(__xludf.DUMMYFUNCTION("""COMPUTED_VALUE"""),"(813) 516-1421")</f>
        <v>(813) 516-1421</v>
      </c>
      <c r="S801" s="5"/>
      <c r="T801" s="5"/>
    </row>
    <row r="802" spans="1:20" ht="12.75">
      <c r="A802" s="24">
        <f ca="1">IFERROR(__xludf.DUMMYFUNCTION("""COMPUTED_VALUE"""),45671.5659636342)</f>
        <v>45671.565963634202</v>
      </c>
      <c r="B802" s="5" t="str">
        <f ca="1">IFERROR(__xludf.DUMMYFUNCTION("""COMPUTED_VALUE"""),"201 Ocean Ave UNIT 1702P")</f>
        <v>201 Ocean Ave UNIT 1702P</v>
      </c>
      <c r="C802" s="5" t="str">
        <f ca="1">IFERROR(__xludf.DUMMYFUNCTION("""COMPUTED_VALUE"""),"Santa Monica")</f>
        <v>Santa Monica</v>
      </c>
      <c r="D802" s="5" t="str">
        <f ca="1">IFERROR(__xludf.DUMMYFUNCTION("""COMPUTED_VALUE"""),"CA")</f>
        <v>CA</v>
      </c>
      <c r="E802" s="5">
        <f ca="1">IFERROR(__xludf.DUMMYFUNCTION("""COMPUTED_VALUE"""),90402)</f>
        <v>90402</v>
      </c>
      <c r="F802" s="19">
        <f ca="1">IFERROR(__xludf.DUMMYFUNCTION("""COMPUTED_VALUE"""),3800)</f>
        <v>3800</v>
      </c>
      <c r="G802" s="19">
        <f ca="1">IFERROR(__xludf.DUMMYFUNCTION("""COMPUTED_VALUE"""),4500)</f>
        <v>4500</v>
      </c>
      <c r="H802" s="18">
        <f ca="1">IFERROR(__xludf.DUMMYFUNCTION("""COMPUTED_VALUE"""),45666)</f>
        <v>45666</v>
      </c>
      <c r="I802" s="5" t="str">
        <f ca="1">IFERROR(__xludf.DUMMYFUNCTION("""COMPUTED_VALUE"""),"Zillow")</f>
        <v>Zillow</v>
      </c>
      <c r="J802" s="25" t="str">
        <f ca="1">IFERROR(__xludf.DUMMYFUNCTION("""COMPUTED_VALUE"""),"https://www.zillow.com/homedetails/201-Ocean-Ave-UNIT-1702P-Santa-Monica-CA-90402/20487065_zpid/")</f>
        <v>https://www.zillow.com/homedetails/201-Ocean-Ave-UNIT-1702P-Santa-Monica-CA-90402/20487065_zpid/</v>
      </c>
      <c r="K802" s="5" t="str">
        <f ca="1">IFERROR(__xludf.DUMMYFUNCTION("""COMPUTED_VALUE"""),"Nora B Melamed")</f>
        <v>Nora B Melamed</v>
      </c>
      <c r="L802" s="5"/>
      <c r="M802" s="5" t="str">
        <f ca="1">IFERROR(__xludf.DUMMYFUNCTION("""COMPUTED_VALUE"""),"Page saved to archive.org")</f>
        <v>Page saved to archive.org</v>
      </c>
      <c r="N802" s="5" t="str">
        <f ca="1">IFERROR(__xludf.DUMMYFUNCTION("""COMPUTED_VALUE"""),"https://drive.google.com/open?id=1RyKGW5pNimKvQcal6_QvSncf7KXhenuz, https://drive.google.com/open?id=1_FFhn6eOJFqr7cAGWTT1H6yXLttCjMBU")</f>
        <v>https://drive.google.com/open?id=1RyKGW5pNimKvQcal6_QvSncf7KXhenuz, https://drive.google.com/open?id=1_FFhn6eOJFqr7cAGWTT1H6yXLttCjMBU</v>
      </c>
      <c r="O802" s="5">
        <f ca="1">IFERROR(__xludf.DUMMYFUNCTION("""COMPUTED_VALUE"""),4293019129)</f>
        <v>4293019129</v>
      </c>
      <c r="P802" s="5" t="str">
        <f ca="1">IFERROR(__xludf.DUMMYFUNCTION("""COMPUTED_VALUE"""),"(310) 962-6672")</f>
        <v>(310) 962-6672</v>
      </c>
      <c r="Q802" s="5"/>
      <c r="R802" s="5"/>
      <c r="S802" s="5"/>
      <c r="T802" s="5"/>
    </row>
    <row r="803" spans="1:20" ht="12.75">
      <c r="A803" s="24">
        <f ca="1">IFERROR(__xludf.DUMMYFUNCTION("""COMPUTED_VALUE"""),45671.5685243518)</f>
        <v>45671.568524351802</v>
      </c>
      <c r="B803" s="5" t="str">
        <f ca="1">IFERROR(__xludf.DUMMYFUNCTION("""COMPUTED_VALUE"""),"1293 Monte Cielo Dr")</f>
        <v>1293 Monte Cielo Dr</v>
      </c>
      <c r="C803" s="5" t="str">
        <f ca="1">IFERROR(__xludf.DUMMYFUNCTION("""COMPUTED_VALUE"""),"Beverly Hills")</f>
        <v>Beverly Hills</v>
      </c>
      <c r="D803" s="5" t="str">
        <f ca="1">IFERROR(__xludf.DUMMYFUNCTION("""COMPUTED_VALUE"""),"CA")</f>
        <v>CA</v>
      </c>
      <c r="E803" s="5">
        <f ca="1">IFERROR(__xludf.DUMMYFUNCTION("""COMPUTED_VALUE"""),90210)</f>
        <v>90210</v>
      </c>
      <c r="F803" s="19">
        <f ca="1">IFERROR(__xludf.DUMMYFUNCTION("""COMPUTED_VALUE"""),29500)</f>
        <v>29500</v>
      </c>
      <c r="G803" s="19">
        <f ca="1">IFERROR(__xludf.DUMMYFUNCTION("""COMPUTED_VALUE"""),38950)</f>
        <v>38950</v>
      </c>
      <c r="H803" s="18">
        <f ca="1">IFERROR(__xludf.DUMMYFUNCTION("""COMPUTED_VALUE"""),45671)</f>
        <v>45671</v>
      </c>
      <c r="I803" s="5" t="str">
        <f ca="1">IFERROR(__xludf.DUMMYFUNCTION("""COMPUTED_VALUE"""),"Zillow")</f>
        <v>Zillow</v>
      </c>
      <c r="J803" s="25" t="str">
        <f ca="1">IFERROR(__xludf.DUMMYFUNCTION("""COMPUTED_VALUE"""),"https://www.zillow.com/homedetails/1293-Monte-Cielo-Dr-Beverly-Hills-CA-90210/95618498_zpid/")</f>
        <v>https://www.zillow.com/homedetails/1293-Monte-Cielo-Dr-Beverly-Hills-CA-90210/95618498_zpid/</v>
      </c>
      <c r="K803" s="5" t="str">
        <f ca="1">IFERROR(__xludf.DUMMYFUNCTION("""COMPUTED_VALUE"""),"Lia Vydria, Nest Seekers")</f>
        <v>Lia Vydria, Nest Seekers</v>
      </c>
      <c r="L803" s="5"/>
      <c r="M803" s="5" t="str">
        <f ca="1">IFERROR(__xludf.DUMMYFUNCTION("""COMPUTED_VALUE"""),"Saved to archive.org")</f>
        <v>Saved to archive.org</v>
      </c>
      <c r="N803" s="5" t="str">
        <f ca="1">IFERROR(__xludf.DUMMYFUNCTION("""COMPUTED_VALUE"""),"https://drive.google.com/open?id=1RJALswcpXpH_12k-aagclJwnAfLbdDuw, https://drive.google.com/open?id=1Q4YwTgg9ZB965Qi6UTjiS2Y9FlEmLUwU")</f>
        <v>https://drive.google.com/open?id=1RJALswcpXpH_12k-aagclJwnAfLbdDuw, https://drive.google.com/open?id=1Q4YwTgg9ZB965Qi6UTjiS2Y9FlEmLUwU</v>
      </c>
      <c r="O803" s="5">
        <f ca="1">IFERROR(__xludf.DUMMYFUNCTION("""COMPUTED_VALUE"""),4350018047)</f>
        <v>4350018047</v>
      </c>
      <c r="P803" s="5" t="str">
        <f ca="1">IFERROR(__xludf.DUMMYFUNCTION("""COMPUTED_VALUE"""),"(310) 929-0754")</f>
        <v>(310) 929-0754</v>
      </c>
      <c r="Q803" s="5"/>
      <c r="R803" s="5"/>
      <c r="S803" s="5"/>
      <c r="T803" s="5"/>
    </row>
    <row r="804" spans="1:20" ht="12.75">
      <c r="A804" s="24">
        <f ca="1">IFERROR(__xludf.DUMMYFUNCTION("""COMPUTED_VALUE"""),45671.5701174537)</f>
        <v>45671.570117453703</v>
      </c>
      <c r="B804" s="5" t="str">
        <f ca="1">IFERROR(__xludf.DUMMYFUNCTION("""COMPUTED_VALUE"""),"715 N Rexford Dr")</f>
        <v>715 N Rexford Dr</v>
      </c>
      <c r="C804" s="5" t="str">
        <f ca="1">IFERROR(__xludf.DUMMYFUNCTION("""COMPUTED_VALUE"""),"Beverly HIlls")</f>
        <v>Beverly HIlls</v>
      </c>
      <c r="D804" s="5" t="str">
        <f ca="1">IFERROR(__xludf.DUMMYFUNCTION("""COMPUTED_VALUE"""),"CA")</f>
        <v>CA</v>
      </c>
      <c r="E804" s="5">
        <f ca="1">IFERROR(__xludf.DUMMYFUNCTION("""COMPUTED_VALUE"""),90210)</f>
        <v>90210</v>
      </c>
      <c r="F804" s="19">
        <f ca="1">IFERROR(__xludf.DUMMYFUNCTION("""COMPUTED_VALUE"""),37500)</f>
        <v>37500</v>
      </c>
      <c r="G804" s="19">
        <f ca="1">IFERROR(__xludf.DUMMYFUNCTION("""COMPUTED_VALUE"""),55000)</f>
        <v>55000</v>
      </c>
      <c r="H804" s="18">
        <f ca="1">IFERROR(__xludf.DUMMYFUNCTION("""COMPUTED_VALUE"""),45670)</f>
        <v>45670</v>
      </c>
      <c r="I804" s="5" t="str">
        <f ca="1">IFERROR(__xludf.DUMMYFUNCTION("""COMPUTED_VALUE"""),"Zillow")</f>
        <v>Zillow</v>
      </c>
      <c r="J804" s="25" t="str">
        <f ca="1">IFERROR(__xludf.DUMMYFUNCTION("""COMPUTED_VALUE"""),"https://www.zillow.com/homedetails/715-N-Rexford-Dr-Beverly-Hills-CA-90210/20520993_zpid/")</f>
        <v>https://www.zillow.com/homedetails/715-N-Rexford-Dr-Beverly-Hills-CA-90210/20520993_zpid/</v>
      </c>
      <c r="K804" s="5" t="str">
        <f ca="1">IFERROR(__xludf.DUMMYFUNCTION("""COMPUTED_VALUE"""),"Luxury Property management LLC")</f>
        <v>Luxury Property management LLC</v>
      </c>
      <c r="L804" s="5"/>
      <c r="M804" s="5"/>
      <c r="N804" s="26" t="str">
        <f ca="1">IFERROR(__xludf.DUMMYFUNCTION("""COMPUTED_VALUE"""),"https://drive.google.com/open?id=1xqX9FNVQ12PyBZ693Pli-4IMIhnaY2vq")</f>
        <v>https://drive.google.com/open?id=1xqX9FNVQ12PyBZ693Pli-4IMIhnaY2vq</v>
      </c>
      <c r="O804" s="5">
        <f ca="1">IFERROR(__xludf.DUMMYFUNCTION("""COMPUTED_VALUE"""),4344003017)</f>
        <v>4344003017</v>
      </c>
      <c r="P804" s="5" t="str">
        <f ca="1">IFERROR(__xludf.DUMMYFUNCTION("""COMPUTED_VALUE"""),"(818) 620-4955")</f>
        <v>(818) 620-4955</v>
      </c>
      <c r="Q804" s="5"/>
      <c r="R804" s="5"/>
      <c r="S804" s="5"/>
      <c r="T804" s="5"/>
    </row>
    <row r="805" spans="1:20" ht="12.75">
      <c r="A805" s="24">
        <f ca="1">IFERROR(__xludf.DUMMYFUNCTION("""COMPUTED_VALUE"""),45671.5710781944)</f>
        <v>45671.5710781944</v>
      </c>
      <c r="B805" s="5" t="str">
        <f ca="1">IFERROR(__xludf.DUMMYFUNCTION("""COMPUTED_VALUE"""),"695 S Santa Fe AVE #302")</f>
        <v>695 S Santa Fe AVE #302</v>
      </c>
      <c r="C805" s="5" t="str">
        <f ca="1">IFERROR(__xludf.DUMMYFUNCTION("""COMPUTED_VALUE"""),"Los Angeles")</f>
        <v>Los Angeles</v>
      </c>
      <c r="D805" s="5" t="str">
        <f ca="1">IFERROR(__xludf.DUMMYFUNCTION("""COMPUTED_VALUE"""),"CA")</f>
        <v>CA</v>
      </c>
      <c r="E805" s="5">
        <f ca="1">IFERROR(__xludf.DUMMYFUNCTION("""COMPUTED_VALUE"""),90021)</f>
        <v>90021</v>
      </c>
      <c r="F805" s="19">
        <f ca="1">IFERROR(__xludf.DUMMYFUNCTION("""COMPUTED_VALUE"""),3931)</f>
        <v>3931</v>
      </c>
      <c r="G805" s="19">
        <f ca="1">IFERROR(__xludf.DUMMYFUNCTION("""COMPUTED_VALUE"""),4606)</f>
        <v>4606</v>
      </c>
      <c r="H805" s="18">
        <f ca="1">IFERROR(__xludf.DUMMYFUNCTION("""COMPUTED_VALUE"""),45670)</f>
        <v>45670</v>
      </c>
      <c r="I805" s="5" t="str">
        <f ca="1">IFERROR(__xludf.DUMMYFUNCTION("""COMPUTED_VALUE"""),"Compass")</f>
        <v>Compass</v>
      </c>
      <c r="J805" s="25" t="str">
        <f ca="1">IFERROR(__xludf.DUMMYFUNCTION("""COMPUTED_VALUE"""),"https://www.compass.com/listing/695-south-santa-fe-avenue-unit-302-los-angeles-ca-90021/1517643130692156657/")</f>
        <v>https://www.compass.com/listing/695-south-santa-fe-avenue-unit-302-los-angeles-ca-90021/1517643130692156657/</v>
      </c>
      <c r="K805" s="5" t="str">
        <f ca="1">IFERROR(__xludf.DUMMYFUNCTION("""COMPUTED_VALUE"""),"Niko Deleon")</f>
        <v>Niko Deleon</v>
      </c>
      <c r="L805" s="5"/>
      <c r="M805" s="5" t="str">
        <f ca="1">IFERROR(__xludf.DUMMYFUNCTION("""COMPUTED_VALUE"""),"17.2% rent increase")</f>
        <v>17.2% rent increase</v>
      </c>
      <c r="N805" s="26" t="str">
        <f ca="1">IFERROR(__xludf.DUMMYFUNCTION("""COMPUTED_VALUE"""),"https://drive.google.com/open?id=1RcCVF4sb3BB8ccKDUtiDnOdfJ0m5kV-n")</f>
        <v>https://drive.google.com/open?id=1RcCVF4sb3BB8ccKDUtiDnOdfJ0m5kV-n</v>
      </c>
      <c r="O805" s="5" t="str">
        <f ca="1">IFERROR(__xludf.DUMMYFUNCTION("""COMPUTED_VALUE"""),"NA")</f>
        <v>NA</v>
      </c>
      <c r="P805" s="5" t="str">
        <f ca="1">IFERROR(__xludf.DUMMYFUNCTION("""COMPUTED_VALUE"""),"P: (833)-525-3273  M: (833)-525-3273")</f>
        <v>P: (833)-525-3273  M: (833)-525-3273</v>
      </c>
      <c r="Q805" s="5" t="str">
        <f ca="1">IFERROR(__xludf.DUMMYFUNCTION("""COMPUTED_VALUE"""),"info@nikolaleasing.com")</f>
        <v>info@nikolaleasing.com</v>
      </c>
      <c r="R805" s="5"/>
      <c r="S805" s="5"/>
      <c r="T805" s="5"/>
    </row>
    <row r="806" spans="1:20" ht="12.75">
      <c r="A806" s="24">
        <f ca="1">IFERROR(__xludf.DUMMYFUNCTION("""COMPUTED_VALUE"""),45671.5711072569)</f>
        <v>45671.571107256903</v>
      </c>
      <c r="B806" s="5" t="str">
        <f ca="1">IFERROR(__xludf.DUMMYFUNCTION("""COMPUTED_VALUE"""),"12036 Wood Ranch Rd")</f>
        <v>12036 Wood Ranch Rd</v>
      </c>
      <c r="C806" s="5" t="str">
        <f ca="1">IFERROR(__xludf.DUMMYFUNCTION("""COMPUTED_VALUE"""),"Granada Hills")</f>
        <v>Granada Hills</v>
      </c>
      <c r="D806" s="5" t="str">
        <f ca="1">IFERROR(__xludf.DUMMYFUNCTION("""COMPUTED_VALUE"""),"CA")</f>
        <v>CA</v>
      </c>
      <c r="E806" s="5">
        <f ca="1">IFERROR(__xludf.DUMMYFUNCTION("""COMPUTED_VALUE"""),91344)</f>
        <v>91344</v>
      </c>
      <c r="F806" s="19">
        <f ca="1">IFERROR(__xludf.DUMMYFUNCTION("""COMPUTED_VALUE"""),9950)</f>
        <v>9950</v>
      </c>
      <c r="G806" s="19">
        <f ca="1">IFERROR(__xludf.DUMMYFUNCTION("""COMPUTED_VALUE"""),13000)</f>
        <v>13000</v>
      </c>
      <c r="H806" s="18">
        <f ca="1">IFERROR(__xludf.DUMMYFUNCTION("""COMPUTED_VALUE"""),45671)</f>
        <v>45671</v>
      </c>
      <c r="I806" s="5" t="str">
        <f ca="1">IFERROR(__xludf.DUMMYFUNCTION("""COMPUTED_VALUE"""),"Zillow")</f>
        <v>Zillow</v>
      </c>
      <c r="J806" s="25" t="str">
        <f ca="1">IFERROR(__xludf.DUMMYFUNCTION("""COMPUTED_VALUE"""),"https://www.zillow.com/homedetails/12036-Wood-Ranch-Rd-Granada-Hills-CA-91344/20104747_zpid/?utm_campaign=iosappmessage&amp;utm_medium=referral&amp;utm_source=txtshare")</f>
        <v>https://www.zillow.com/homedetails/12036-Wood-Ranch-Rd-Granada-Hills-CA-91344/20104747_zpid/?utm_campaign=iosappmessage&amp;utm_medium=referral&amp;utm_source=txtshare</v>
      </c>
      <c r="K806" s="5" t="str">
        <f ca="1">IFERROR(__xludf.DUMMYFUNCTION("""COMPUTED_VALUE"""),"Krista Leanne Walter")</f>
        <v>Krista Leanne Walter</v>
      </c>
      <c r="L806" s="5" t="str">
        <f ca="1">IFERROR(__xludf.DUMMYFUNCTION("""COMPUTED_VALUE"""),"Krista Leanne Walter")</f>
        <v>Krista Leanne Walter</v>
      </c>
      <c r="M806" s="5" t="str">
        <f ca="1">IFERROR(__xludf.DUMMYFUNCTION("""COMPUTED_VALUE"""),"For rent. Last price was $9950 in August of 2024")</f>
        <v>For rent. Last price was $9950 in August of 2024</v>
      </c>
      <c r="N806" s="26" t="str">
        <f ca="1">IFERROR(__xludf.DUMMYFUNCTION("""COMPUTED_VALUE"""),"https://drive.google.com/open?id=1vPXV6kXaePv3jNdI1GBtFga5rqXnPRG9")</f>
        <v>https://drive.google.com/open?id=1vPXV6kXaePv3jNdI1GBtFga5rqXnPRG9</v>
      </c>
      <c r="O806" s="5">
        <f ca="1">IFERROR(__xludf.DUMMYFUNCTION("""COMPUTED_VALUE"""),2601068003)</f>
        <v>2601068003</v>
      </c>
      <c r="P806" s="5">
        <f ca="1">IFERROR(__xludf.DUMMYFUNCTION("""COMPUTED_VALUE"""),4244840609)</f>
        <v>4244840609</v>
      </c>
      <c r="Q806" s="5"/>
      <c r="R806" s="5">
        <f ca="1">IFERROR(__xludf.DUMMYFUNCTION("""COMPUTED_VALUE"""),4244840609)</f>
        <v>4244840609</v>
      </c>
      <c r="S806" s="5"/>
      <c r="T806" s="5"/>
    </row>
    <row r="807" spans="1:20" ht="12.75">
      <c r="A807" s="24">
        <f ca="1">IFERROR(__xludf.DUMMYFUNCTION("""COMPUTED_VALUE"""),45671.580469456)</f>
        <v>45671.580469455999</v>
      </c>
      <c r="B807" s="5" t="str">
        <f ca="1">IFERROR(__xludf.DUMMYFUNCTION("""COMPUTED_VALUE"""),"800 W 1st St #3106")</f>
        <v>800 W 1st St #3106</v>
      </c>
      <c r="C807" s="5" t="str">
        <f ca="1">IFERROR(__xludf.DUMMYFUNCTION("""COMPUTED_VALUE"""),"Los Angeles")</f>
        <v>Los Angeles</v>
      </c>
      <c r="D807" s="5" t="str">
        <f ca="1">IFERROR(__xludf.DUMMYFUNCTION("""COMPUTED_VALUE"""),"CA")</f>
        <v>CA</v>
      </c>
      <c r="E807" s="5">
        <f ca="1">IFERROR(__xludf.DUMMYFUNCTION("""COMPUTED_VALUE"""),90012)</f>
        <v>90012</v>
      </c>
      <c r="F807" s="19">
        <f ca="1">IFERROR(__xludf.DUMMYFUNCTION("""COMPUTED_VALUE"""),4900)</f>
        <v>4900</v>
      </c>
      <c r="G807" s="19">
        <f ca="1">IFERROR(__xludf.DUMMYFUNCTION("""COMPUTED_VALUE"""),5500)</f>
        <v>5500</v>
      </c>
      <c r="H807" s="18">
        <f ca="1">IFERROR(__xludf.DUMMYFUNCTION("""COMPUTED_VALUE"""),45668)</f>
        <v>45668</v>
      </c>
      <c r="I807" s="5" t="str">
        <f ca="1">IFERROR(__xludf.DUMMYFUNCTION("""COMPUTED_VALUE"""),"Redfin")</f>
        <v>Redfin</v>
      </c>
      <c r="J807" s="25" t="str">
        <f ca="1">IFERROR(__xludf.DUMMYFUNCTION("""COMPUTED_VALUE"""),"https://www.redfin.com/CA/Los-Angeles/800-W-1st-St-90012/unit-3106/home/6933851")</f>
        <v>https://www.redfin.com/CA/Los-Angeles/800-W-1st-St-90012/unit-3106/home/6933851</v>
      </c>
      <c r="K807" s="5" t="str">
        <f ca="1">IFERROR(__xludf.DUMMYFUNCTION("""COMPUTED_VALUE"""),"Russell Chan")</f>
        <v>Russell Chan</v>
      </c>
      <c r="L807" s="5"/>
      <c r="M807" s="5" t="str">
        <f ca="1">IFERROR(__xludf.DUMMYFUNCTION("""COMPUTED_VALUE"""),"12.2% rent increase")</f>
        <v>12.2% rent increase</v>
      </c>
      <c r="N807" s="26" t="str">
        <f ca="1">IFERROR(__xludf.DUMMYFUNCTION("""COMPUTED_VALUE"""),"https://drive.google.com/open?id=1q-P0wYnFKhbwwFFlH3hWjYlpq0OH2zuG")</f>
        <v>https://drive.google.com/open?id=1q-P0wYnFKhbwwFFlH3hWjYlpq0OH2zuG</v>
      </c>
      <c r="O807" s="5" t="str">
        <f ca="1">IFERROR(__xludf.DUMMYFUNCTION("""COMPUTED_VALUE"""),"NA")</f>
        <v>NA</v>
      </c>
      <c r="P807" s="5" t="str">
        <f ca="1">IFERROR(__xludf.DUMMYFUNCTION("""COMPUTED_VALUE"""),"213-590-2588")</f>
        <v>213-590-2588</v>
      </c>
      <c r="Q807" s="5"/>
      <c r="R807" s="5"/>
      <c r="S807" s="5"/>
      <c r="T807" s="5"/>
    </row>
    <row r="808" spans="1:20" ht="12.75">
      <c r="A808" s="24">
        <f ca="1">IFERROR(__xludf.DUMMYFUNCTION("""COMPUTED_VALUE"""),45671.5817914583)</f>
        <v>45671.581791458302</v>
      </c>
      <c r="B808" s="5" t="str">
        <f ca="1">IFERROR(__xludf.DUMMYFUNCTION("""COMPUTED_VALUE"""),"508 N Canon Dr")</f>
        <v>508 N Canon Dr</v>
      </c>
      <c r="C808" s="5" t="str">
        <f ca="1">IFERROR(__xludf.DUMMYFUNCTION("""COMPUTED_VALUE"""),"Beverly Hills")</f>
        <v>Beverly Hills</v>
      </c>
      <c r="D808" s="5" t="str">
        <f ca="1">IFERROR(__xludf.DUMMYFUNCTION("""COMPUTED_VALUE"""),"CA")</f>
        <v>CA</v>
      </c>
      <c r="E808" s="5">
        <f ca="1">IFERROR(__xludf.DUMMYFUNCTION("""COMPUTED_VALUE"""),90210)</f>
        <v>90210</v>
      </c>
      <c r="F808" s="19">
        <f ca="1">IFERROR(__xludf.DUMMYFUNCTION("""COMPUTED_VALUE"""),20000)</f>
        <v>20000</v>
      </c>
      <c r="G808" s="19">
        <f ca="1">IFERROR(__xludf.DUMMYFUNCTION("""COMPUTED_VALUE"""),30000)</f>
        <v>30000</v>
      </c>
      <c r="H808" s="18">
        <f ca="1">IFERROR(__xludf.DUMMYFUNCTION("""COMPUTED_VALUE"""),45665)</f>
        <v>45665</v>
      </c>
      <c r="I808" s="5" t="str">
        <f ca="1">IFERROR(__xludf.DUMMYFUNCTION("""COMPUTED_VALUE"""),"Zillow")</f>
        <v>Zillow</v>
      </c>
      <c r="J808" s="25" t="str">
        <f ca="1">IFERROR(__xludf.DUMMYFUNCTION("""COMPUTED_VALUE"""),"https://www.zillow.com/homedetails/508-N-Canon-Dr-Beverly-Hills-CA-90210/20521062_zpid/")</f>
        <v>https://www.zillow.com/homedetails/508-N-Canon-Dr-Beverly-Hills-CA-90210/20521062_zpid/</v>
      </c>
      <c r="K808" s="5" t="str">
        <f ca="1">IFERROR(__xludf.DUMMYFUNCTION("""COMPUTED_VALUE"""),"Ariel Dromy")</f>
        <v>Ariel Dromy</v>
      </c>
      <c r="L808" s="5"/>
      <c r="M808" s="5"/>
      <c r="N808" s="26" t="str">
        <f ca="1">IFERROR(__xludf.DUMMYFUNCTION("""COMPUTED_VALUE"""),"https://drive.google.com/open?id=1VT02kAEBqqJx1m1HVKgQdvLPQHCGutBe")</f>
        <v>https://drive.google.com/open?id=1VT02kAEBqqJx1m1HVKgQdvLPQHCGutBe</v>
      </c>
      <c r="O808" s="5">
        <f ca="1">IFERROR(__xludf.DUMMYFUNCTION("""COMPUTED_VALUE"""),4344007003)</f>
        <v>4344007003</v>
      </c>
      <c r="P808" s="5" t="str">
        <f ca="1">IFERROR(__xludf.DUMMYFUNCTION("""COMPUTED_VALUE"""),"(213) 545-1059")</f>
        <v>(213) 545-1059</v>
      </c>
      <c r="Q808" s="5"/>
      <c r="R808" s="5"/>
      <c r="S808" s="5"/>
      <c r="T808" s="5"/>
    </row>
    <row r="809" spans="1:20" ht="12.75">
      <c r="A809" s="24">
        <f ca="1">IFERROR(__xludf.DUMMYFUNCTION("""COMPUTED_VALUE"""),45671.582732037)</f>
        <v>45671.582732037001</v>
      </c>
      <c r="B809" s="5" t="str">
        <f ca="1">IFERROR(__xludf.DUMMYFUNCTION("""COMPUTED_VALUE"""),"1524 N Sierra Bonita Ave")</f>
        <v>1524 N Sierra Bonita Ave</v>
      </c>
      <c r="C809" s="5" t="str">
        <f ca="1">IFERROR(__xludf.DUMMYFUNCTION("""COMPUTED_VALUE"""),"Los Angeles")</f>
        <v>Los Angeles</v>
      </c>
      <c r="D809" s="5" t="str">
        <f ca="1">IFERROR(__xludf.DUMMYFUNCTION("""COMPUTED_VALUE"""),"CA")</f>
        <v>CA</v>
      </c>
      <c r="E809" s="5">
        <f ca="1">IFERROR(__xludf.DUMMYFUNCTION("""COMPUTED_VALUE"""),90046)</f>
        <v>90046</v>
      </c>
      <c r="F809" s="19">
        <f ca="1">IFERROR(__xludf.DUMMYFUNCTION("""COMPUTED_VALUE"""),15000)</f>
        <v>15000</v>
      </c>
      <c r="G809" s="19">
        <f ca="1">IFERROR(__xludf.DUMMYFUNCTION("""COMPUTED_VALUE"""),19500)</f>
        <v>19500</v>
      </c>
      <c r="H809" s="18">
        <f ca="1">IFERROR(__xludf.DUMMYFUNCTION("""COMPUTED_VALUE"""),45670)</f>
        <v>45670</v>
      </c>
      <c r="I809" s="5" t="str">
        <f ca="1">IFERROR(__xludf.DUMMYFUNCTION("""COMPUTED_VALUE"""),"Zillow")</f>
        <v>Zillow</v>
      </c>
      <c r="J809" s="25" t="str">
        <f ca="1">IFERROR(__xludf.DUMMYFUNCTION("""COMPUTED_VALUE"""),"https://www.zillow.com/homedetails/1524-N-Sierra-Bonita-Ave-Los-Angeles-CA-90046/20794339_zpid/?utm_campaign=iosappmessage&amp;utm_medium=referral&amp;utm_source=txtshare")</f>
        <v>https://www.zillow.com/homedetails/1524-N-Sierra-Bonita-Ave-Los-Angeles-CA-90046/20794339_zpid/?utm_campaign=iosappmessage&amp;utm_medium=referral&amp;utm_source=txtshare</v>
      </c>
      <c r="K809" s="5" t="str">
        <f ca="1">IFERROR(__xludf.DUMMYFUNCTION("""COMPUTED_VALUE"""),"Lindsay Segal")</f>
        <v>Lindsay Segal</v>
      </c>
      <c r="L809" s="5"/>
      <c r="M809" s="5"/>
      <c r="N809" s="26" t="str">
        <f ca="1">IFERROR(__xludf.DUMMYFUNCTION("""COMPUTED_VALUE"""),"https://drive.google.com/open?id=1omINwyGjSqUyNILMF5B2O73JinUCgfe_")</f>
        <v>https://drive.google.com/open?id=1omINwyGjSqUyNILMF5B2O73JinUCgfe_</v>
      </c>
      <c r="O809" s="5">
        <f ca="1">IFERROR(__xludf.DUMMYFUNCTION("""COMPUTED_VALUE"""),5550010013)</f>
        <v>5550010013</v>
      </c>
      <c r="P809" s="5">
        <f ca="1">IFERROR(__xludf.DUMMYFUNCTION("""COMPUTED_VALUE"""),3107211383)</f>
        <v>3107211383</v>
      </c>
      <c r="Q809" s="5"/>
      <c r="R809" s="5"/>
      <c r="S809" s="5"/>
      <c r="T809" s="5"/>
    </row>
    <row r="810" spans="1:20" ht="12.75">
      <c r="A810" s="24">
        <f ca="1">IFERROR(__xludf.DUMMYFUNCTION("""COMPUTED_VALUE"""),45671.5838130555)</f>
        <v>45671.583813055498</v>
      </c>
      <c r="B810" s="5" t="str">
        <f ca="1">IFERROR(__xludf.DUMMYFUNCTION("""COMPUTED_VALUE"""),"1331 N Cahuenga Blvd, unit 4701")</f>
        <v>1331 N Cahuenga Blvd, unit 4701</v>
      </c>
      <c r="C810" s="5" t="str">
        <f ca="1">IFERROR(__xludf.DUMMYFUNCTION("""COMPUTED_VALUE"""),"Los Angeles")</f>
        <v>Los Angeles</v>
      </c>
      <c r="D810" s="5" t="str">
        <f ca="1">IFERROR(__xludf.DUMMYFUNCTION("""COMPUTED_VALUE"""),"CA")</f>
        <v>CA</v>
      </c>
      <c r="E810" s="5">
        <f ca="1">IFERROR(__xludf.DUMMYFUNCTION("""COMPUTED_VALUE"""),90028)</f>
        <v>90028</v>
      </c>
      <c r="F810" s="19">
        <f ca="1">IFERROR(__xludf.DUMMYFUNCTION("""COMPUTED_VALUE"""),3464)</f>
        <v>3464</v>
      </c>
      <c r="G810" s="19">
        <f ca="1">IFERROR(__xludf.DUMMYFUNCTION("""COMPUTED_VALUE"""),3866)</f>
        <v>3866</v>
      </c>
      <c r="H810" s="18">
        <f ca="1">IFERROR(__xludf.DUMMYFUNCTION("""COMPUTED_VALUE"""),45666)</f>
        <v>45666</v>
      </c>
      <c r="I810" s="5" t="str">
        <f ca="1">IFERROR(__xludf.DUMMYFUNCTION("""COMPUTED_VALUE"""),"Redfin")</f>
        <v>Redfin</v>
      </c>
      <c r="J810" s="25" t="str">
        <f ca="1">IFERROR(__xludf.DUMMYFUNCTION("""COMPUTED_VALUE"""),"https://www.redfin.com/CA/Los-Angeles/1331-N-Cahuenga-Blvd-90028/unit-4701/home/194171991")</f>
        <v>https://www.redfin.com/CA/Los-Angeles/1331-N-Cahuenga-Blvd-90028/unit-4701/home/194171991</v>
      </c>
      <c r="K810" s="5" t="str">
        <f ca="1">IFERROR(__xludf.DUMMYFUNCTION("""COMPUTED_VALUE"""),"Niki Deleon")</f>
        <v>Niki Deleon</v>
      </c>
      <c r="L810" s="5"/>
      <c r="M810" s="5" t="str">
        <f ca="1">IFERROR(__xludf.DUMMYFUNCTION("""COMPUTED_VALUE"""),"11.6% rent increase")</f>
        <v>11.6% rent increase</v>
      </c>
      <c r="N810" s="26" t="str">
        <f ca="1">IFERROR(__xludf.DUMMYFUNCTION("""COMPUTED_VALUE"""),"https://drive.google.com/open?id=17PAFCAavJRmU-e73z1DMx5OSsIObfRrD")</f>
        <v>https://drive.google.com/open?id=17PAFCAavJRmU-e73z1DMx5OSsIObfRrD</v>
      </c>
      <c r="O810" s="5" t="str">
        <f ca="1">IFERROR(__xludf.DUMMYFUNCTION("""COMPUTED_VALUE"""),"NA")</f>
        <v>NA</v>
      </c>
      <c r="P810" s="5"/>
      <c r="Q810" s="5" t="str">
        <f ca="1">IFERROR(__xludf.DUMMYFUNCTION("""COMPUTED_VALUE"""),"info@nikolaleasing.com")</f>
        <v>info@nikolaleasing.com</v>
      </c>
      <c r="R810" s="5"/>
      <c r="S810" s="5"/>
      <c r="T810" s="5"/>
    </row>
    <row r="811" spans="1:20" ht="12.75">
      <c r="A811" s="24">
        <f ca="1">IFERROR(__xludf.DUMMYFUNCTION("""COMPUTED_VALUE"""),45671.5863305902)</f>
        <v>45671.586330590202</v>
      </c>
      <c r="B811" s="5" t="str">
        <f ca="1">IFERROR(__xludf.DUMMYFUNCTION("""COMPUTED_VALUE"""),"2463 Treelane Ave")</f>
        <v>2463 Treelane Ave</v>
      </c>
      <c r="C811" s="5" t="str">
        <f ca="1">IFERROR(__xludf.DUMMYFUNCTION("""COMPUTED_VALUE"""),"Monrovia")</f>
        <v>Monrovia</v>
      </c>
      <c r="D811" s="5" t="str">
        <f ca="1">IFERROR(__xludf.DUMMYFUNCTION("""COMPUTED_VALUE"""),"CA")</f>
        <v>CA</v>
      </c>
      <c r="E811" s="5">
        <f ca="1">IFERROR(__xludf.DUMMYFUNCTION("""COMPUTED_VALUE"""),91016)</f>
        <v>91016</v>
      </c>
      <c r="F811" s="19">
        <f ca="1">IFERROR(__xludf.DUMMYFUNCTION("""COMPUTED_VALUE"""),2680)</f>
        <v>2680</v>
      </c>
      <c r="G811" s="19">
        <f ca="1">IFERROR(__xludf.DUMMYFUNCTION("""COMPUTED_VALUE"""),3900)</f>
        <v>3900</v>
      </c>
      <c r="H811" s="18">
        <f ca="1">IFERROR(__xludf.DUMMYFUNCTION("""COMPUTED_VALUE"""),45667)</f>
        <v>45667</v>
      </c>
      <c r="I811" s="5" t="str">
        <f ca="1">IFERROR(__xludf.DUMMYFUNCTION("""COMPUTED_VALUE"""),"Trulia")</f>
        <v>Trulia</v>
      </c>
      <c r="J811" s="25" t="str">
        <f ca="1">IFERROR(__xludf.DUMMYFUNCTION("""COMPUTED_VALUE"""),"https://www.trulia.com/home/2463-treelane-ave-monrovia-ca-91016-21580804")</f>
        <v>https://www.trulia.com/home/2463-treelane-ave-monrovia-ca-91016-21580804</v>
      </c>
      <c r="K811" s="5" t="str">
        <f ca="1">IFERROR(__xludf.DUMMYFUNCTION("""COMPUTED_VALUE"""),"Betty")</f>
        <v>Betty</v>
      </c>
      <c r="L811" s="5"/>
      <c r="M811" s="5" t="str">
        <f ca="1">IFERROR(__xludf.DUMMYFUNCTION("""COMPUTED_VALUE"""),"Sometime today (1/14/25) the listing was removed from Trulia, but prior to it being removed, the price had been raised to $3,900. I have a screenshot of the Trulia price history showing that, even though somehow the new number is no longer visible since t"&amp;"he owner pulled it off the market.")</f>
        <v>Sometime today (1/14/25) the listing was removed from Trulia, but prior to it being removed, the price had been raised to $3,900. I have a screenshot of the Trulia price history showing that, even though somehow the new number is no longer visible since the owner pulled it off the market.</v>
      </c>
      <c r="N811" s="5" t="str">
        <f ca="1">IFERROR(__xludf.DUMMYFUNCTION("""COMPUTED_VALUE"""),"https://drive.google.com/open?id=1hdBSS5-0lWRmObJbmfdaXf8gWftswbha, https://drive.google.com/open?id=1Pu_3onf6GXc83zKA4vz1gqshwQJ-2FS-")</f>
        <v>https://drive.google.com/open?id=1hdBSS5-0lWRmObJbmfdaXf8gWftswbha, https://drive.google.com/open?id=1Pu_3onf6GXc83zKA4vz1gqshwQJ-2FS-</v>
      </c>
      <c r="O811" s="5" t="str">
        <f ca="1">IFERROR(__xludf.DUMMYFUNCTION("""COMPUTED_VALUE"""),"NA")</f>
        <v>NA</v>
      </c>
      <c r="P811" s="5" t="str">
        <f ca="1">IFERROR(__xludf.DUMMYFUNCTION("""COMPUTED_VALUE"""),"626-692-4945")</f>
        <v>626-692-4945</v>
      </c>
      <c r="Q811" s="5"/>
      <c r="R811" s="5"/>
      <c r="S811" s="5"/>
      <c r="T811" s="5"/>
    </row>
    <row r="812" spans="1:20" ht="12.75">
      <c r="A812" s="24">
        <f ca="1">IFERROR(__xludf.DUMMYFUNCTION("""COMPUTED_VALUE"""),45671.5871111574)</f>
        <v>45671.587111157402</v>
      </c>
      <c r="B812" s="5" t="str">
        <f ca="1">IFERROR(__xludf.DUMMYFUNCTION("""COMPUTED_VALUE"""),"1460 Parkway Dr")</f>
        <v>1460 Parkway Dr</v>
      </c>
      <c r="C812" s="5" t="str">
        <f ca="1">IFERROR(__xludf.DUMMYFUNCTION("""COMPUTED_VALUE"""),"Rohnert Park")</f>
        <v>Rohnert Park</v>
      </c>
      <c r="D812" s="5" t="str">
        <f ca="1">IFERROR(__xludf.DUMMYFUNCTION("""COMPUTED_VALUE"""),"CA")</f>
        <v>CA</v>
      </c>
      <c r="E812" s="5">
        <f ca="1">IFERROR(__xludf.DUMMYFUNCTION("""COMPUTED_VALUE"""),94928)</f>
        <v>94928</v>
      </c>
      <c r="F812" s="19">
        <f ca="1">IFERROR(__xludf.DUMMYFUNCTION("""COMPUTED_VALUE"""),449950)</f>
        <v>449950</v>
      </c>
      <c r="G812" s="19">
        <f ca="1">IFERROR(__xludf.DUMMYFUNCTION("""COMPUTED_VALUE"""),1000000)</f>
        <v>1000000</v>
      </c>
      <c r="H812" s="18">
        <f ca="1">IFERROR(__xludf.DUMMYFUNCTION("""COMPUTED_VALUE"""),45670)</f>
        <v>45670</v>
      </c>
      <c r="I812" s="5" t="str">
        <f ca="1">IFERROR(__xludf.DUMMYFUNCTION("""COMPUTED_VALUE"""),"Zillow")</f>
        <v>Zillow</v>
      </c>
      <c r="J812" s="25" t="str">
        <f ca="1">IFERROR(__xludf.DUMMYFUNCTION("""COMPUTED_VALUE"""),"https://www.zillow.com/homedetails/1460-Parkway-Dr-Rohnert-Park-CA-94928/15855437_zpid/")</f>
        <v>https://www.zillow.com/homedetails/1460-Parkway-Dr-Rohnert-Park-CA-94928/15855437_zpid/</v>
      </c>
      <c r="K812" s="5"/>
      <c r="L812" s="5"/>
      <c r="M812" s="5" t="str">
        <f ca="1">IFERROR(__xludf.DUMMYFUNCTION("""COMPUTED_VALUE"""),"This is a listing is for a condo for sale outside of LA County in Sonoma County. I have been looking at listings in this area for quite some time and was alarmed seeing this asking price. It is more than double what condos are worth here and owner is spec"&amp;"ifically listing this for wildfire victims, as seen in their sale listing details. This listing was just listed 24 hours ago. In form, I submitted price of another condo for sale now in that area (before price increase section) and the sale price of this "&amp;"listing (after price increase section). This is link for other listing that is a normal asking price: https://www.zillow.com/homedetails/1451-Parkway-Dr-Rohnert-Park-CA-94928/15855428_zpid/")</f>
        <v>This is a listing is for a condo for sale outside of LA County in Sonoma County. I have been looking at listings in this area for quite some time and was alarmed seeing this asking price. It is more than double what condos are worth here and owner is specifically listing this for wildfire victims, as seen in their sale listing details. This listing was just listed 24 hours ago. In form, I submitted price of another condo for sale now in that area (before price increase section) and the sale price of this listing (after price increase section). This is link for other listing that is a normal asking price: https://www.zillow.com/homedetails/1451-Parkway-Dr-Rohnert-Park-CA-94928/15855428_zpid/</v>
      </c>
      <c r="N812" s="5" t="str">
        <f ca="1">IFERROR(__xludf.DUMMYFUNCTION("""COMPUTED_VALUE"""),"https://drive.google.com/open?id=19daOjFP3g8tiF2MfDWuZsrweNb27Vf-G, https://drive.google.com/open?id=10T4fHMpMso6oOOzjAdJ3fWLrorF6wVGc, https://drive.google.com/open?id=1LeXE_RqIJRc0rVJpqOGfLpbAbm_Unocm, https://drive.google.com/open?id=1SCEpMnE7TNJ3Otoxr"&amp;"k-7q3dqDWPdaX3m, https://drive.google.com/open?id=1g12NmTXaw0fXIhGEKGJz3LjDrWhwIJ3E")</f>
        <v>https://drive.google.com/open?id=19daOjFP3g8tiF2MfDWuZsrweNb27Vf-G, https://drive.google.com/open?id=10T4fHMpMso6oOOzjAdJ3fWLrorF6wVGc, https://drive.google.com/open?id=1LeXE_RqIJRc0rVJpqOGfLpbAbm_Unocm, https://drive.google.com/open?id=1SCEpMnE7TNJ3Otoxrk-7q3dqDWPdaX3m, https://drive.google.com/open?id=1g12NmTXaw0fXIhGEKGJz3LjDrWhwIJ3E</v>
      </c>
      <c r="O812" s="5">
        <f ca="1">IFERROR(__xludf.DUMMYFUNCTION("""COMPUTED_VALUE"""),159500021000)</f>
        <v>159500021000</v>
      </c>
      <c r="P812" s="5"/>
      <c r="Q812" s="5"/>
      <c r="R812" s="5" t="str">
        <f ca="1">IFERROR(__xludf.DUMMYFUNCTION("""COMPUTED_VALUE"""),"(512) 318-4787")</f>
        <v>(512) 318-4787</v>
      </c>
      <c r="S812" s="5"/>
      <c r="T812" s="5"/>
    </row>
    <row r="813" spans="1:20" ht="12.75">
      <c r="A813" s="24">
        <f ca="1">IFERROR(__xludf.DUMMYFUNCTION("""COMPUTED_VALUE"""),45671.5874398379)</f>
        <v>45671.587439837902</v>
      </c>
      <c r="B813" s="5" t="str">
        <f ca="1">IFERROR(__xludf.DUMMYFUNCTION("""COMPUTED_VALUE"""),"12426 Idaho Ave")</f>
        <v>12426 Idaho Ave</v>
      </c>
      <c r="C813" s="5" t="str">
        <f ca="1">IFERROR(__xludf.DUMMYFUNCTION("""COMPUTED_VALUE"""),"Los Angeles")</f>
        <v>Los Angeles</v>
      </c>
      <c r="D813" s="5" t="str">
        <f ca="1">IFERROR(__xludf.DUMMYFUNCTION("""COMPUTED_VALUE"""),"CA")</f>
        <v>CA</v>
      </c>
      <c r="E813" s="5">
        <f ca="1">IFERROR(__xludf.DUMMYFUNCTION("""COMPUTED_VALUE"""),90025)</f>
        <v>90025</v>
      </c>
      <c r="F813" s="19">
        <f ca="1">IFERROR(__xludf.DUMMYFUNCTION("""COMPUTED_VALUE"""),14500)</f>
        <v>14500</v>
      </c>
      <c r="G813" s="19">
        <f ca="1">IFERROR(__xludf.DUMMYFUNCTION("""COMPUTED_VALUE"""),18500)</f>
        <v>18500</v>
      </c>
      <c r="H813" s="18">
        <f ca="1">IFERROR(__xludf.DUMMYFUNCTION("""COMPUTED_VALUE"""),45671)</f>
        <v>45671</v>
      </c>
      <c r="I813" s="5" t="str">
        <f ca="1">IFERROR(__xludf.DUMMYFUNCTION("""COMPUTED_VALUE"""),"Zillow")</f>
        <v>Zillow</v>
      </c>
      <c r="J813" s="25" t="str">
        <f ca="1">IFERROR(__xludf.DUMMYFUNCTION("""COMPUTED_VALUE"""),"https://www.zillow.com/homedetails/12426-Idaho-Ave-Los-Angeles-CA-90025/20464168_zpid/")</f>
        <v>https://www.zillow.com/homedetails/12426-Idaho-Ave-Los-Angeles-CA-90025/20464168_zpid/</v>
      </c>
      <c r="K813" s="5" t="str">
        <f ca="1">IFERROR(__xludf.DUMMYFUNCTION("""COMPUTED_VALUE"""),"Robert Tran")</f>
        <v>Robert Tran</v>
      </c>
      <c r="L813" s="5"/>
      <c r="M813" s="5" t="str">
        <f ca="1">IFERROR(__xludf.DUMMYFUNCTION("""COMPUTED_VALUE"""),"They have actually raised prices twice since the fires started")</f>
        <v>They have actually raised prices twice since the fires started</v>
      </c>
      <c r="N813" s="26" t="str">
        <f ca="1">IFERROR(__xludf.DUMMYFUNCTION("""COMPUTED_VALUE"""),"https://drive.google.com/open?id=1FnWdL5n3Onpr6NnOeE_uYL_H1s8rCDxg")</f>
        <v>https://drive.google.com/open?id=1FnWdL5n3Onpr6NnOeE_uYL_H1s8rCDxg</v>
      </c>
      <c r="O813" s="5">
        <f ca="1">IFERROR(__xludf.DUMMYFUNCTION("""COMPUTED_VALUE"""),4259007007)</f>
        <v>4259007007</v>
      </c>
      <c r="P813" s="5" t="str">
        <f ca="1">IFERROR(__xludf.DUMMYFUNCTION("""COMPUTED_VALUE"""),"(714) 702-3127")</f>
        <v>(714) 702-3127</v>
      </c>
      <c r="Q813" s="5"/>
      <c r="R813" s="5"/>
      <c r="S813" s="5"/>
      <c r="T813" s="5"/>
    </row>
    <row r="814" spans="1:20" ht="12.75">
      <c r="A814" s="24">
        <f ca="1">IFERROR(__xludf.DUMMYFUNCTION("""COMPUTED_VALUE"""),45671.5891276736)</f>
        <v>45671.5891276736</v>
      </c>
      <c r="B814" s="5" t="str">
        <f ca="1">IFERROR(__xludf.DUMMYFUNCTION("""COMPUTED_VALUE"""),"2189 SUNSET PLAZA DR ")</f>
        <v xml:space="preserve">2189 SUNSET PLAZA DR </v>
      </c>
      <c r="C814" s="5" t="str">
        <f ca="1">IFERROR(__xludf.DUMMYFUNCTION("""COMPUTED_VALUE"""),"Los Angeles")</f>
        <v>Los Angeles</v>
      </c>
      <c r="D814" s="5" t="str">
        <f ca="1">IFERROR(__xludf.DUMMYFUNCTION("""COMPUTED_VALUE"""),"CA")</f>
        <v>CA</v>
      </c>
      <c r="E814" s="5">
        <f ca="1">IFERROR(__xludf.DUMMYFUNCTION("""COMPUTED_VALUE"""),90069)</f>
        <v>90069</v>
      </c>
      <c r="F814" s="19">
        <f ca="1">IFERROR(__xludf.DUMMYFUNCTION("""COMPUTED_VALUE"""),35000)</f>
        <v>35000</v>
      </c>
      <c r="G814" s="19">
        <f ca="1">IFERROR(__xludf.DUMMYFUNCTION("""COMPUTED_VALUE"""),45000)</f>
        <v>45000</v>
      </c>
      <c r="H814" s="18">
        <f ca="1">IFERROR(__xludf.DUMMYFUNCTION("""COMPUTED_VALUE"""),45667)</f>
        <v>45667</v>
      </c>
      <c r="I814" s="5" t="str">
        <f ca="1">IFERROR(__xludf.DUMMYFUNCTION("""COMPUTED_VALUE"""),"Zillow")</f>
        <v>Zillow</v>
      </c>
      <c r="J814" s="25" t="str">
        <f ca="1">IFERROR(__xludf.DUMMYFUNCTION("""COMPUTED_VALUE"""),"https://www.zillow.com/homedetails/2189-Sunset-Plaza-Dr-Los-Angeles-CA-90069/20800086_zpid/")</f>
        <v>https://www.zillow.com/homedetails/2189-Sunset-Plaza-Dr-Los-Angeles-CA-90069/20800086_zpid/</v>
      </c>
      <c r="K814" s="5" t="str">
        <f ca="1">IFERROR(__xludf.DUMMYFUNCTION("""COMPUTED_VALUE""")," Luis Pezzini ")</f>
        <v xml:space="preserve"> Luis Pezzini </v>
      </c>
      <c r="L814" s="5"/>
      <c r="M814" s="5" t="str">
        <f ca="1">IFERROR(__xludf.DUMMYFUNCTION("""COMPUTED_VALUE"""),"28% rent increase")</f>
        <v>28% rent increase</v>
      </c>
      <c r="N814" s="26" t="str">
        <f ca="1">IFERROR(__xludf.DUMMYFUNCTION("""COMPUTED_VALUE"""),"https://drive.google.com/open?id=147Wk_ZodFpzXpE1BzL8zX-e5AuiiMFC8")</f>
        <v>https://drive.google.com/open?id=147Wk_ZodFpzXpE1BzL8zX-e5AuiiMFC8</v>
      </c>
      <c r="O814" s="5">
        <f ca="1">IFERROR(__xludf.DUMMYFUNCTION("""COMPUTED_VALUE"""),5562019012)</f>
        <v>5562019012</v>
      </c>
      <c r="P814" s="5" t="str">
        <f ca="1">IFERROR(__xludf.DUMMYFUNCTION("""COMPUTED_VALUE"""),"310-275-2076")</f>
        <v>310-275-2076</v>
      </c>
      <c r="Q814" s="5"/>
      <c r="R814" s="5"/>
      <c r="S814" s="5"/>
      <c r="T814" s="5"/>
    </row>
    <row r="815" spans="1:20" ht="12.75">
      <c r="A815" s="24">
        <f ca="1">IFERROR(__xludf.DUMMYFUNCTION("""COMPUTED_VALUE"""),45671.5963544444)</f>
        <v>45671.596354444402</v>
      </c>
      <c r="B815" s="5" t="str">
        <f ca="1">IFERROR(__xludf.DUMMYFUNCTION("""COMPUTED_VALUE"""),"6015 Saturn St ")</f>
        <v xml:space="preserve">6015 Saturn St </v>
      </c>
      <c r="C815" s="5" t="str">
        <f ca="1">IFERROR(__xludf.DUMMYFUNCTION("""COMPUTED_VALUE"""),"Los Angeles")</f>
        <v>Los Angeles</v>
      </c>
      <c r="D815" s="5" t="str">
        <f ca="1">IFERROR(__xludf.DUMMYFUNCTION("""COMPUTED_VALUE"""),"CA")</f>
        <v>CA</v>
      </c>
      <c r="E815" s="5">
        <f ca="1">IFERROR(__xludf.DUMMYFUNCTION("""COMPUTED_VALUE"""),90035)</f>
        <v>90035</v>
      </c>
      <c r="F815" s="19">
        <f ca="1">IFERROR(__xludf.DUMMYFUNCTION("""COMPUTED_VALUE"""),3000)</f>
        <v>3000</v>
      </c>
      <c r="G815" s="19">
        <f ca="1">IFERROR(__xludf.DUMMYFUNCTION("""COMPUTED_VALUE"""),3400)</f>
        <v>3400</v>
      </c>
      <c r="H815" s="18">
        <f ca="1">IFERROR(__xludf.DUMMYFUNCTION("""COMPUTED_VALUE"""),45664)</f>
        <v>45664</v>
      </c>
      <c r="I815" s="5" t="str">
        <f ca="1">IFERROR(__xludf.DUMMYFUNCTION("""COMPUTED_VALUE"""),"Zillow")</f>
        <v>Zillow</v>
      </c>
      <c r="J815" s="25" t="str">
        <f ca="1">IFERROR(__xludf.DUMMYFUNCTION("""COMPUTED_VALUE"""),"https://www.zillow.com/homedetails/6015-Saturn-St-Los-Angeles-CA-90035/346267631_zpid/")</f>
        <v>https://www.zillow.com/homedetails/6015-Saturn-St-Los-Angeles-CA-90035/346267631_zpid/</v>
      </c>
      <c r="K815" s="5" t="str">
        <f ca="1">IFERROR(__xludf.DUMMYFUNCTION("""COMPUTED_VALUE"""),"Gail Bensimon")</f>
        <v>Gail Bensimon</v>
      </c>
      <c r="L815" s="5"/>
      <c r="M815" s="5" t="str">
        <f ca="1">IFERROR(__xludf.DUMMYFUNCTION("""COMPUTED_VALUE"""),"13.3% rent increase")</f>
        <v>13.3% rent increase</v>
      </c>
      <c r="N815" s="26" t="str">
        <f ca="1">IFERROR(__xludf.DUMMYFUNCTION("""COMPUTED_VALUE"""),"https://drive.google.com/open?id=1oD5--hgFNhNIJPm2_zNyxO_auD4MHAtL")</f>
        <v>https://drive.google.com/open?id=1oD5--hgFNhNIJPm2_zNyxO_auD4MHAtL</v>
      </c>
      <c r="O815" s="5" t="str">
        <f ca="1">IFERROR(__xludf.DUMMYFUNCTION("""COMPUTED_VALUE"""),"NA")</f>
        <v>NA</v>
      </c>
      <c r="P815" s="5" t="str">
        <f ca="1">IFERROR(__xludf.DUMMYFUNCTION("""COMPUTED_VALUE"""),"(310) 927-1388")</f>
        <v>(310) 927-1388</v>
      </c>
      <c r="Q815" s="5"/>
      <c r="R815" s="5"/>
      <c r="S815" s="5"/>
      <c r="T815" s="5"/>
    </row>
    <row r="816" spans="1:20" ht="12.75">
      <c r="A816" s="24">
        <f ca="1">IFERROR(__xludf.DUMMYFUNCTION("""COMPUTED_VALUE"""),45671.606035405)</f>
        <v>45671.606035404999</v>
      </c>
      <c r="B816" s="5" t="str">
        <f ca="1">IFERROR(__xludf.DUMMYFUNCTION("""COMPUTED_VALUE"""),"Undisclosed")</f>
        <v>Undisclosed</v>
      </c>
      <c r="C816" s="5" t="str">
        <f ca="1">IFERROR(__xludf.DUMMYFUNCTION("""COMPUTED_VALUE"""),"Pasadena")</f>
        <v>Pasadena</v>
      </c>
      <c r="D816" s="5" t="str">
        <f ca="1">IFERROR(__xludf.DUMMYFUNCTION("""COMPUTED_VALUE"""),"CA")</f>
        <v>CA</v>
      </c>
      <c r="E816" s="5">
        <f ca="1">IFERROR(__xludf.DUMMYFUNCTION("""COMPUTED_VALUE"""),91104)</f>
        <v>91104</v>
      </c>
      <c r="F816" s="19">
        <f ca="1">IFERROR(__xludf.DUMMYFUNCTION("""COMPUTED_VALUE"""),3500)</f>
        <v>3500</v>
      </c>
      <c r="G816" s="19">
        <f ca="1">IFERROR(__xludf.DUMMYFUNCTION("""COMPUTED_VALUE"""),4000)</f>
        <v>4000</v>
      </c>
      <c r="H816" s="18">
        <f ca="1">IFERROR(__xludf.DUMMYFUNCTION("""COMPUTED_VALUE"""),45667)</f>
        <v>45667</v>
      </c>
      <c r="I816" s="5" t="str">
        <f ca="1">IFERROR(__xludf.DUMMYFUNCTION("""COMPUTED_VALUE"""),"Zillow")</f>
        <v>Zillow</v>
      </c>
      <c r="J816" s="25" t="str">
        <f ca="1">IFERROR(__xludf.DUMMYFUNCTION("""COMPUTED_VALUE"""),"https://www.zillow.com/homedetails/Pasadena-CA-91104/20919815_zpid/")</f>
        <v>https://www.zillow.com/homedetails/Pasadena-CA-91104/20919815_zpid/</v>
      </c>
      <c r="K816" s="5" t="str">
        <f ca="1">IFERROR(__xludf.DUMMYFUNCTION("""COMPUTED_VALUE"""),"Jeana Nordstrom")</f>
        <v>Jeana Nordstrom</v>
      </c>
      <c r="L816" s="5" t="str">
        <f ca="1">IFERROR(__xludf.DUMMYFUNCTION("""COMPUTED_VALUE"""),"Jeana Nordstrom")</f>
        <v>Jeana Nordstrom</v>
      </c>
      <c r="M816" s="5" t="str">
        <f ca="1">IFERROR(__xludf.DUMMYFUNCTION("""COMPUTED_VALUE"""),"The price history includes the CRMLS #ND23124775 from when the property was sold in 2023. Looking up this number leads to the specific address 1094 E Topeka St, Pasadena, CA 91104, which further research seems to confirm was purchased by Jeana Nordstrom.")</f>
        <v>The price history includes the CRMLS #ND23124775 from when the property was sold in 2023. Looking up this number leads to the specific address 1094 E Topeka St, Pasadena, CA 91104, which further research seems to confirm was purchased by Jeana Nordstrom.</v>
      </c>
      <c r="N816" s="5" t="str">
        <f ca="1">IFERROR(__xludf.DUMMYFUNCTION("""COMPUTED_VALUE"""),"https://drive.google.com/open?id=13DnApbZgG2Rnhdo18WYKKtrRHhG4C-ET, https://drive.google.com/open?id=15oH_lO6i0p7v5JlVJuEZ4loAC90lwnX4, https://drive.google.com/open?id=1wmUI-PrGVuQTP57NyUxAw16dozIxMsVt, https://drive.google.com/open?id=1MLiNIt-v4JCQ6PYNw"&amp;"2dWCGiynIKi-pYi, https://drive.google.com/open?id=1nv_9j2vGl3QQMepmrfMGz4rROafr6rNO")</f>
        <v>https://drive.google.com/open?id=13DnApbZgG2Rnhdo18WYKKtrRHhG4C-ET, https://drive.google.com/open?id=15oH_lO6i0p7v5JlVJuEZ4loAC90lwnX4, https://drive.google.com/open?id=1wmUI-PrGVuQTP57NyUxAw16dozIxMsVt, https://drive.google.com/open?id=1MLiNIt-v4JCQ6PYNw2dWCGiynIKi-pYi, https://drive.google.com/open?id=1nv_9j2vGl3QQMepmrfMGz4rROafr6rNO</v>
      </c>
      <c r="O816" s="5" t="str">
        <f ca="1">IFERROR(__xludf.DUMMYFUNCTION("""COMPUTED_VALUE"""),"NA")</f>
        <v>NA</v>
      </c>
      <c r="P816" s="5"/>
      <c r="Q816" s="5"/>
      <c r="R816" s="5"/>
      <c r="S816" s="5"/>
      <c r="T816" s="5"/>
    </row>
    <row r="817" spans="1:20" ht="12.75">
      <c r="A817" s="24">
        <f ca="1">IFERROR(__xludf.DUMMYFUNCTION("""COMPUTED_VALUE"""),45671.6062161689)</f>
        <v>45671.606216168897</v>
      </c>
      <c r="B817" s="5" t="str">
        <f ca="1">IFERROR(__xludf.DUMMYFUNCTION("""COMPUTED_VALUE"""),"540 W Knoll Dr")</f>
        <v>540 W Knoll Dr</v>
      </c>
      <c r="C817" s="5" t="str">
        <f ca="1">IFERROR(__xludf.DUMMYFUNCTION("""COMPUTED_VALUE"""),"West Hollywood")</f>
        <v>West Hollywood</v>
      </c>
      <c r="D817" s="5" t="str">
        <f ca="1">IFERROR(__xludf.DUMMYFUNCTION("""COMPUTED_VALUE"""),"CA")</f>
        <v>CA</v>
      </c>
      <c r="E817" s="5">
        <f ca="1">IFERROR(__xludf.DUMMYFUNCTION("""COMPUTED_VALUE"""),90048)</f>
        <v>90048</v>
      </c>
      <c r="F817" s="19">
        <f ca="1">IFERROR(__xludf.DUMMYFUNCTION("""COMPUTED_VALUE"""),9950)</f>
        <v>9950</v>
      </c>
      <c r="G817" s="19">
        <f ca="1">IFERROR(__xludf.DUMMYFUNCTION("""COMPUTED_VALUE"""),10950)</f>
        <v>10950</v>
      </c>
      <c r="H817" s="18">
        <f ca="1">IFERROR(__xludf.DUMMYFUNCTION("""COMPUTED_VALUE"""),45670)</f>
        <v>45670</v>
      </c>
      <c r="I817" s="5" t="str">
        <f ca="1">IFERROR(__xludf.DUMMYFUNCTION("""COMPUTED_VALUE"""),"Zillow")</f>
        <v>Zillow</v>
      </c>
      <c r="J817" s="25" t="str">
        <f ca="1">IFERROR(__xludf.DUMMYFUNCTION("""COMPUTED_VALUE"""),"https://www.zillow.com/homedetails/540-W-Knoll-Dr-West-Hollywood-CA-90048/2108723145_zpid/")</f>
        <v>https://www.zillow.com/homedetails/540-W-Knoll-Dr-West-Hollywood-CA-90048/2108723145_zpid/</v>
      </c>
      <c r="K817" s="5" t="str">
        <f ca="1">IFERROR(__xludf.DUMMYFUNCTION("""COMPUTED_VALUE"""),"Tanya")</f>
        <v>Tanya</v>
      </c>
      <c r="L817" s="5" t="str">
        <f ca="1">IFERROR(__xludf.DUMMYFUNCTION("""COMPUTED_VALUE"""),"Tanya")</f>
        <v>Tanya</v>
      </c>
      <c r="M817" s="5" t="str">
        <f ca="1">IFERROR(__xludf.DUMMYFUNCTION("""COMPUTED_VALUE"""),"Price was $9,850 on 12/27/24, then shifted to $9,950 1/12/25, and is now $10,950 on 1/13/25")</f>
        <v>Price was $9,850 on 12/27/24, then shifted to $9,950 1/12/25, and is now $10,950 on 1/13/25</v>
      </c>
      <c r="N817" s="26" t="str">
        <f ca="1">IFERROR(__xludf.DUMMYFUNCTION("""COMPUTED_VALUE"""),"https://drive.google.com/open?id=1hEegzj5c5XyMj6VMplcsgPYRnqhmvB7y")</f>
        <v>https://drive.google.com/open?id=1hEegzj5c5XyMj6VMplcsgPYRnqhmvB7y</v>
      </c>
      <c r="O817" s="5" t="str">
        <f ca="1">IFERROR(__xludf.DUMMYFUNCTION("""COMPUTED_VALUE"""),"NA")</f>
        <v>NA</v>
      </c>
      <c r="P817" s="5" t="str">
        <f ca="1">IFERROR(__xludf.DUMMYFUNCTION("""COMPUTED_VALUE"""),"(424) 484-1317")</f>
        <v>(424) 484-1317</v>
      </c>
      <c r="Q817" s="5"/>
      <c r="R817" s="5"/>
      <c r="S817" s="5"/>
      <c r="T817" s="5"/>
    </row>
    <row r="818" spans="1:20" ht="12.75">
      <c r="A818" s="24">
        <f ca="1">IFERROR(__xludf.DUMMYFUNCTION("""COMPUTED_VALUE"""),45671.6064145486)</f>
        <v>45671.606414548602</v>
      </c>
      <c r="B818" s="5" t="str">
        <f ca="1">IFERROR(__xludf.DUMMYFUNCTION("""COMPUTED_VALUE"""),"748 N Detroit St ")</f>
        <v xml:space="preserve">748 N Detroit St </v>
      </c>
      <c r="C818" s="5" t="str">
        <f ca="1">IFERROR(__xludf.DUMMYFUNCTION("""COMPUTED_VALUE"""),"Los Angeles")</f>
        <v>Los Angeles</v>
      </c>
      <c r="D818" s="5" t="str">
        <f ca="1">IFERROR(__xludf.DUMMYFUNCTION("""COMPUTED_VALUE"""),"CA")</f>
        <v>CA</v>
      </c>
      <c r="E818" s="5">
        <f ca="1">IFERROR(__xludf.DUMMYFUNCTION("""COMPUTED_VALUE"""),90046)</f>
        <v>90046</v>
      </c>
      <c r="F818" s="19">
        <f ca="1">IFERROR(__xludf.DUMMYFUNCTION("""COMPUTED_VALUE"""),25000)</f>
        <v>25000</v>
      </c>
      <c r="G818" s="19">
        <f ca="1">IFERROR(__xludf.DUMMYFUNCTION("""COMPUTED_VALUE"""),30000)</f>
        <v>30000</v>
      </c>
      <c r="H818" s="18">
        <f ca="1">IFERROR(__xludf.DUMMYFUNCTION("""COMPUTED_VALUE"""),45667)</f>
        <v>45667</v>
      </c>
      <c r="I818" s="5" t="str">
        <f ca="1">IFERROR(__xludf.DUMMYFUNCTION("""COMPUTED_VALUE"""),"Zillow")</f>
        <v>Zillow</v>
      </c>
      <c r="J818" s="25" t="str">
        <f ca="1">IFERROR(__xludf.DUMMYFUNCTION("""COMPUTED_VALUE"""),"https://www.zillow.com/homedetails/748-N-Detroit-St-Los-Angeles-CA-90046/20784322_zpid/")</f>
        <v>https://www.zillow.com/homedetails/748-N-Detroit-St-Los-Angeles-CA-90046/20784322_zpid/</v>
      </c>
      <c r="K818" s="5" t="str">
        <f ca="1">IFERROR(__xludf.DUMMYFUNCTION("""COMPUTED_VALUE"""),"Luke Anderson")</f>
        <v>Luke Anderson</v>
      </c>
      <c r="L818" s="5"/>
      <c r="M818" s="5" t="str">
        <f ca="1">IFERROR(__xludf.DUMMYFUNCTION("""COMPUTED_VALUE"""),"20% rent increase verified via MLS report and 60,000 security deposit!")</f>
        <v>20% rent increase verified via MLS report and 60,000 security deposit!</v>
      </c>
      <c r="N818" s="26" t="str">
        <f ca="1">IFERROR(__xludf.DUMMYFUNCTION("""COMPUTED_VALUE"""),"https://drive.google.com/open?id=1colKWY9LRfDRKHhMwLzj99M6kESkaXMo")</f>
        <v>https://drive.google.com/open?id=1colKWY9LRfDRKHhMwLzj99M6kESkaXMo</v>
      </c>
      <c r="O818" s="5" t="str">
        <f ca="1">IFERROR(__xludf.DUMMYFUNCTION("""COMPUTED_VALUE"""),"NA")</f>
        <v>NA</v>
      </c>
      <c r="P818" s="5" t="str">
        <f ca="1">IFERROR(__xludf.DUMMYFUNCTION("""COMPUTED_VALUE"""),"(310) 279-6613")</f>
        <v>(310) 279-6613</v>
      </c>
      <c r="Q818" s="5"/>
      <c r="R818" s="5"/>
      <c r="S818" s="5"/>
      <c r="T818" s="5"/>
    </row>
    <row r="819" spans="1:20" ht="12.75">
      <c r="A819" s="24">
        <f ca="1">IFERROR(__xludf.DUMMYFUNCTION("""COMPUTED_VALUE"""),45671.6104319097)</f>
        <v>45671.610431909699</v>
      </c>
      <c r="B819" s="5" t="str">
        <f ca="1">IFERROR(__xludf.DUMMYFUNCTION("""COMPUTED_VALUE"""),"323  N Flores St")</f>
        <v>323  N Flores St</v>
      </c>
      <c r="C819" s="5" t="str">
        <f ca="1">IFERROR(__xludf.DUMMYFUNCTION("""COMPUTED_VALUE"""),"Los Angeles")</f>
        <v>Los Angeles</v>
      </c>
      <c r="D819" s="5" t="str">
        <f ca="1">IFERROR(__xludf.DUMMYFUNCTION("""COMPUTED_VALUE"""),"CA")</f>
        <v>CA</v>
      </c>
      <c r="E819" s="5">
        <f ca="1">IFERROR(__xludf.DUMMYFUNCTION("""COMPUTED_VALUE"""),90048)</f>
        <v>90048</v>
      </c>
      <c r="F819" s="19">
        <f ca="1">IFERROR(__xludf.DUMMYFUNCTION("""COMPUTED_VALUE"""),20750)</f>
        <v>20750</v>
      </c>
      <c r="G819" s="19">
        <f ca="1">IFERROR(__xludf.DUMMYFUNCTION("""COMPUTED_VALUE"""),26750)</f>
        <v>26750</v>
      </c>
      <c r="H819" s="18">
        <f ca="1">IFERROR(__xludf.DUMMYFUNCTION("""COMPUTED_VALUE"""),45666)</f>
        <v>45666</v>
      </c>
      <c r="I819" s="5" t="str">
        <f ca="1">IFERROR(__xludf.DUMMYFUNCTION("""COMPUTED_VALUE"""),"Zillow")</f>
        <v>Zillow</v>
      </c>
      <c r="J819" s="25" t="str">
        <f ca="1">IFERROR(__xludf.DUMMYFUNCTION("""COMPUTED_VALUE"""),"https://www.zillow.com/homedetails/323-N-Flores-St-Los-Angeles-CA-90048/20779076_zpid/")</f>
        <v>https://www.zillow.com/homedetails/323-N-Flores-St-Los-Angeles-CA-90048/20779076_zpid/</v>
      </c>
      <c r="K819" s="5" t="str">
        <f ca="1">IFERROR(__xludf.DUMMYFUNCTION("""COMPUTED_VALUE"""),"David Akhtarzad")</f>
        <v>David Akhtarzad</v>
      </c>
      <c r="L819" s="5"/>
      <c r="M819" s="5" t="str">
        <f ca="1">IFERROR(__xludf.DUMMYFUNCTION("""COMPUTED_VALUE"""),"28.9% rent increase")</f>
        <v>28.9% rent increase</v>
      </c>
      <c r="N819" s="26" t="str">
        <f ca="1">IFERROR(__xludf.DUMMYFUNCTION("""COMPUTED_VALUE"""),"https://drive.google.com/open?id=1P_PEr90J8-g9epjKpT-IcLgPHhDRPtvB")</f>
        <v>https://drive.google.com/open?id=1P_PEr90J8-g9epjKpT-IcLgPHhDRPtvB</v>
      </c>
      <c r="O819" s="5">
        <f ca="1">IFERROR(__xludf.DUMMYFUNCTION("""COMPUTED_VALUE"""),5514010049)</f>
        <v>5514010049</v>
      </c>
      <c r="P819" s="5" t="str">
        <f ca="1">IFERROR(__xludf.DUMMYFUNCTION("""COMPUTED_VALUE"""),"(310) 801-6632")</f>
        <v>(310) 801-6632</v>
      </c>
      <c r="Q819" s="5"/>
      <c r="R819" s="5"/>
      <c r="S819" s="5"/>
      <c r="T819" s="5"/>
    </row>
    <row r="820" spans="1:20" ht="12.75">
      <c r="A820" s="24">
        <f ca="1">IFERROR(__xludf.DUMMYFUNCTION("""COMPUTED_VALUE"""),45671.6109241898)</f>
        <v>45671.610924189801</v>
      </c>
      <c r="B820" s="5" t="str">
        <f ca="1">IFERROR(__xludf.DUMMYFUNCTION("""COMPUTED_VALUE"""),"Undisclosed")</f>
        <v>Undisclosed</v>
      </c>
      <c r="C820" s="5" t="str">
        <f ca="1">IFERROR(__xludf.DUMMYFUNCTION("""COMPUTED_VALUE"""),"Woodland Hills")</f>
        <v>Woodland Hills</v>
      </c>
      <c r="D820" s="5" t="str">
        <f ca="1">IFERROR(__xludf.DUMMYFUNCTION("""COMPUTED_VALUE"""),"CA")</f>
        <v>CA</v>
      </c>
      <c r="E820" s="5">
        <f ca="1">IFERROR(__xludf.DUMMYFUNCTION("""COMPUTED_VALUE"""),91364)</f>
        <v>91364</v>
      </c>
      <c r="F820" s="19">
        <f ca="1">IFERROR(__xludf.DUMMYFUNCTION("""COMPUTED_VALUE"""),9449)</f>
        <v>9449</v>
      </c>
      <c r="G820" s="19">
        <f ca="1">IFERROR(__xludf.DUMMYFUNCTION("""COMPUTED_VALUE"""),10900)</f>
        <v>10900</v>
      </c>
      <c r="H820" s="18">
        <f ca="1">IFERROR(__xludf.DUMMYFUNCTION("""COMPUTED_VALUE"""),45666)</f>
        <v>45666</v>
      </c>
      <c r="I820" s="5" t="str">
        <f ca="1">IFERROR(__xludf.DUMMYFUNCTION("""COMPUTED_VALUE"""),"Zillow")</f>
        <v>Zillow</v>
      </c>
      <c r="J820" s="25" t="str">
        <f ca="1">IFERROR(__xludf.DUMMYFUNCTION("""COMPUTED_VALUE"""),"https://www.zillow.com/homedetails/Woodland-Hills-CA-91364/136709794_zpid/")</f>
        <v>https://www.zillow.com/homedetails/Woodland-Hills-CA-91364/136709794_zpid/</v>
      </c>
      <c r="K820" s="5" t="str">
        <f ca="1">IFERROR(__xludf.DUMMYFUNCTION("""COMPUTED_VALUE"""),"Anna S")</f>
        <v>Anna S</v>
      </c>
      <c r="L820" s="5" t="str">
        <f ca="1">IFERROR(__xludf.DUMMYFUNCTION("""COMPUTED_VALUE"""),"Anna S")</f>
        <v>Anna S</v>
      </c>
      <c r="M820" s="5" t="str">
        <f ca="1">IFERROR(__xludf.DUMMYFUNCTION("""COMPUTED_VALUE"""),"Price history shows it was listed at $9,449 on 12/6/24, removed on 1/1/25 and relisted on 1/9/25 at $10,500")</f>
        <v>Price history shows it was listed at $9,449 on 12/6/24, removed on 1/1/25 and relisted on 1/9/25 at $10,500</v>
      </c>
      <c r="N820" s="5" t="str">
        <f ca="1">IFERROR(__xludf.DUMMYFUNCTION("""COMPUTED_VALUE"""),"https://drive.google.com/open?id=1fYBK_SKmfkZpveqTfypdHDgeE1ovDWrO, https://drive.google.com/open?id=16kx1YMiy0tWnl0j8Vq0-0ybqgff2rH3H")</f>
        <v>https://drive.google.com/open?id=1fYBK_SKmfkZpveqTfypdHDgeE1ovDWrO, https://drive.google.com/open?id=16kx1YMiy0tWnl0j8Vq0-0ybqgff2rH3H</v>
      </c>
      <c r="O820" s="5" t="str">
        <f ca="1">IFERROR(__xludf.DUMMYFUNCTION("""COMPUTED_VALUE"""),"NA")</f>
        <v>NA</v>
      </c>
      <c r="P820" s="5" t="str">
        <f ca="1">IFERROR(__xludf.DUMMYFUNCTION("""COMPUTED_VALUE"""),"(213) 295-3785")</f>
        <v>(213) 295-3785</v>
      </c>
      <c r="Q820" s="5"/>
      <c r="R820" s="5" t="str">
        <f ca="1">IFERROR(__xludf.DUMMYFUNCTION("""COMPUTED_VALUE"""),"(213) 295-3785")</f>
        <v>(213) 295-3785</v>
      </c>
      <c r="S820" s="5"/>
      <c r="T820" s="5"/>
    </row>
    <row r="821" spans="1:20" ht="12.75">
      <c r="A821" s="24">
        <f ca="1">IFERROR(__xludf.DUMMYFUNCTION("""COMPUTED_VALUE"""),45671.6119531944)</f>
        <v>45671.611953194399</v>
      </c>
      <c r="B821" s="5" t="str">
        <f ca="1">IFERROR(__xludf.DUMMYFUNCTION("""COMPUTED_VALUE"""),"9243 Cordell Dr")</f>
        <v>9243 Cordell Dr</v>
      </c>
      <c r="C821" s="5" t="str">
        <f ca="1">IFERROR(__xludf.DUMMYFUNCTION("""COMPUTED_VALUE"""),"Los Angeles")</f>
        <v>Los Angeles</v>
      </c>
      <c r="D821" s="5" t="str">
        <f ca="1">IFERROR(__xludf.DUMMYFUNCTION("""COMPUTED_VALUE"""),"CA")</f>
        <v>CA</v>
      </c>
      <c r="E821" s="5">
        <f ca="1">IFERROR(__xludf.DUMMYFUNCTION("""COMPUTED_VALUE"""),90069)</f>
        <v>90069</v>
      </c>
      <c r="F821" s="19">
        <f ca="1">IFERROR(__xludf.DUMMYFUNCTION("""COMPUTED_VALUE"""),16000)</f>
        <v>16000</v>
      </c>
      <c r="G821" s="19">
        <f ca="1">IFERROR(__xludf.DUMMYFUNCTION("""COMPUTED_VALUE"""),29000)</f>
        <v>29000</v>
      </c>
      <c r="H821" s="18">
        <f ca="1">IFERROR(__xludf.DUMMYFUNCTION("""COMPUTED_VALUE"""),45671)</f>
        <v>45671</v>
      </c>
      <c r="I821" s="5" t="str">
        <f ca="1">IFERROR(__xludf.DUMMYFUNCTION("""COMPUTED_VALUE"""),"Zillow")</f>
        <v>Zillow</v>
      </c>
      <c r="J821" s="25" t="str">
        <f ca="1">IFERROR(__xludf.DUMMYFUNCTION("""COMPUTED_VALUE"""),"https://www.zillow.com/homedetails/9243-Cordell-Dr-Los-Angeles-CA-90069/20534852_zpid/")</f>
        <v>https://www.zillow.com/homedetails/9243-Cordell-Dr-Los-Angeles-CA-90069/20534852_zpid/</v>
      </c>
      <c r="K821" s="5" t="str">
        <f ca="1">IFERROR(__xludf.DUMMYFUNCTION("""COMPUTED_VALUE"""),"Oraklus Rental Properties")</f>
        <v>Oraklus Rental Properties</v>
      </c>
      <c r="L821" s="5"/>
      <c r="M821" s="5"/>
      <c r="N821" s="26" t="str">
        <f ca="1">IFERROR(__xludf.DUMMYFUNCTION("""COMPUTED_VALUE"""),"https://drive.google.com/open?id=168UrlOeiBHs5hm0XiFPrLzuB1RoR556r")</f>
        <v>https://drive.google.com/open?id=168UrlOeiBHs5hm0XiFPrLzuB1RoR556r</v>
      </c>
      <c r="O821" s="5">
        <f ca="1">IFERROR(__xludf.DUMMYFUNCTION("""COMPUTED_VALUE"""),4392009014)</f>
        <v>4392009014</v>
      </c>
      <c r="P821" s="5" t="str">
        <f ca="1">IFERROR(__xludf.DUMMYFUNCTION("""COMPUTED_VALUE"""),"(424) 388-9703")</f>
        <v>(424) 388-9703</v>
      </c>
      <c r="Q821" s="5"/>
      <c r="R821" s="5"/>
      <c r="S821" s="5"/>
      <c r="T821" s="5"/>
    </row>
    <row r="822" spans="1:20" ht="12.75">
      <c r="A822" s="24">
        <f ca="1">IFERROR(__xludf.DUMMYFUNCTION("""COMPUTED_VALUE"""),45671.61497728)</f>
        <v>45671.614977279998</v>
      </c>
      <c r="B822" s="5" t="str">
        <f ca="1">IFERROR(__xludf.DUMMYFUNCTION("""COMPUTED_VALUE"""),"24375 Hatteras St")</f>
        <v>24375 Hatteras St</v>
      </c>
      <c r="C822" s="5" t="str">
        <f ca="1">IFERROR(__xludf.DUMMYFUNCTION("""COMPUTED_VALUE"""),"Woodland Hills")</f>
        <v>Woodland Hills</v>
      </c>
      <c r="D822" s="5" t="str">
        <f ca="1">IFERROR(__xludf.DUMMYFUNCTION("""COMPUTED_VALUE"""),"CA")</f>
        <v>CA</v>
      </c>
      <c r="E822" s="5">
        <f ca="1">IFERROR(__xludf.DUMMYFUNCTION("""COMPUTED_VALUE"""),91367)</f>
        <v>91367</v>
      </c>
      <c r="F822" s="19">
        <f ca="1">IFERROR(__xludf.DUMMYFUNCTION("""COMPUTED_VALUE"""),6900)</f>
        <v>6900</v>
      </c>
      <c r="G822" s="19">
        <f ca="1">IFERROR(__xludf.DUMMYFUNCTION("""COMPUTED_VALUE"""),8750)</f>
        <v>8750</v>
      </c>
      <c r="H822" s="18">
        <f ca="1">IFERROR(__xludf.DUMMYFUNCTION("""COMPUTED_VALUE"""),45671)</f>
        <v>45671</v>
      </c>
      <c r="I822" s="5" t="str">
        <f ca="1">IFERROR(__xludf.DUMMYFUNCTION("""COMPUTED_VALUE"""),"Zillow")</f>
        <v>Zillow</v>
      </c>
      <c r="J822" s="25" t="str">
        <f ca="1">IFERROR(__xludf.DUMMYFUNCTION("""COMPUTED_VALUE"""),"https://www.zillow.com/homedetails/24375-Hatteras-St-Woodland-Hills-CA-91367/19880901_zpid/")</f>
        <v>https://www.zillow.com/homedetails/24375-Hatteras-St-Woodland-Hills-CA-91367/19880901_zpid/</v>
      </c>
      <c r="K822" s="5" t="str">
        <f ca="1">IFERROR(__xludf.DUMMYFUNCTION("""COMPUTED_VALUE"""),"Judit Vidak")</f>
        <v>Judit Vidak</v>
      </c>
      <c r="L822" s="5"/>
      <c r="M822" s="5"/>
      <c r="N822" s="5" t="str">
        <f ca="1">IFERROR(__xludf.DUMMYFUNCTION("""COMPUTED_VALUE"""),"https://drive.google.com/open?id=1pgw5cI1IaAazkAi2t4HOAcW71KKE0wbB, https://drive.google.com/open?id=17C7C6lbYyYJ-UqyA6j8VmUF4nLCvlfow, https://drive.google.com/open?id=1im2EsKoyBk-mwK4xmFgC2UXPpsvUpVK1")</f>
        <v>https://drive.google.com/open?id=1pgw5cI1IaAazkAi2t4HOAcW71KKE0wbB, https://drive.google.com/open?id=17C7C6lbYyYJ-UqyA6j8VmUF4nLCvlfow, https://drive.google.com/open?id=1im2EsKoyBk-mwK4xmFgC2UXPpsvUpVK1</v>
      </c>
      <c r="O822" s="5">
        <f ca="1">IFERROR(__xludf.DUMMYFUNCTION("""COMPUTED_VALUE"""),2046003025)</f>
        <v>2046003025</v>
      </c>
      <c r="P822" s="5" t="str">
        <f ca="1">IFERROR(__xludf.DUMMYFUNCTION("""COMPUTED_VALUE"""),"(818) 522-4484")</f>
        <v>(818) 522-4484</v>
      </c>
      <c r="Q822" s="5"/>
      <c r="R822" s="5"/>
      <c r="S822" s="5"/>
      <c r="T822" s="5"/>
    </row>
    <row r="823" spans="1:20" ht="12.75">
      <c r="A823" s="24">
        <f ca="1">IFERROR(__xludf.DUMMYFUNCTION("""COMPUTED_VALUE"""),45671.6153143287)</f>
        <v>45671.615314328701</v>
      </c>
      <c r="B823" s="5" t="str">
        <f ca="1">IFERROR(__xludf.DUMMYFUNCTION("""COMPUTED_VALUE"""),"12426 Idaho Ave")</f>
        <v>12426 Idaho Ave</v>
      </c>
      <c r="C823" s="5" t="str">
        <f ca="1">IFERROR(__xludf.DUMMYFUNCTION("""COMPUTED_VALUE"""),"Los Angeles")</f>
        <v>Los Angeles</v>
      </c>
      <c r="D823" s="5" t="str">
        <f ca="1">IFERROR(__xludf.DUMMYFUNCTION("""COMPUTED_VALUE"""),"CA")</f>
        <v>CA</v>
      </c>
      <c r="E823" s="5">
        <f ca="1">IFERROR(__xludf.DUMMYFUNCTION("""COMPUTED_VALUE"""),90025)</f>
        <v>90025</v>
      </c>
      <c r="F823" s="19">
        <f ca="1">IFERROR(__xludf.DUMMYFUNCTION("""COMPUTED_VALUE"""),14500)</f>
        <v>14500</v>
      </c>
      <c r="G823" s="19">
        <f ca="1">IFERROR(__xludf.DUMMYFUNCTION("""COMPUTED_VALUE"""),18500)</f>
        <v>18500</v>
      </c>
      <c r="H823" s="18">
        <f ca="1">IFERROR(__xludf.DUMMYFUNCTION("""COMPUTED_VALUE"""),45671)</f>
        <v>45671</v>
      </c>
      <c r="I823" s="5" t="str">
        <f ca="1">IFERROR(__xludf.DUMMYFUNCTION("""COMPUTED_VALUE"""),"Zillow")</f>
        <v>Zillow</v>
      </c>
      <c r="J823" s="25" t="str">
        <f ca="1">IFERROR(__xludf.DUMMYFUNCTION("""COMPUTED_VALUE"""),"https://www.zillow.com/homedetails/12426-Idaho-Ave-Los-Angeles-CA-90025/20464168_zpid/")</f>
        <v>https://www.zillow.com/homedetails/12426-Idaho-Ave-Los-Angeles-CA-90025/20464168_zpid/</v>
      </c>
      <c r="K823" s="5" t="str">
        <f ca="1">IFERROR(__xludf.DUMMYFUNCTION("""COMPUTED_VALUE"""),"Robert Tran, HPT Realty")</f>
        <v>Robert Tran, HPT Realty</v>
      </c>
      <c r="L823" s="5"/>
      <c r="M823" s="5"/>
      <c r="N823" s="26" t="str">
        <f ca="1">IFERROR(__xludf.DUMMYFUNCTION("""COMPUTED_VALUE"""),"https://drive.google.com/open?id=1KKXXdfLldL9hs1oldvJpZ1cf1sMbo41Y")</f>
        <v>https://drive.google.com/open?id=1KKXXdfLldL9hs1oldvJpZ1cf1sMbo41Y</v>
      </c>
      <c r="O823" s="5">
        <f ca="1">IFERROR(__xludf.DUMMYFUNCTION("""COMPUTED_VALUE"""),4259007007)</f>
        <v>4259007007</v>
      </c>
      <c r="P823" s="5" t="str">
        <f ca="1">IFERROR(__xludf.DUMMYFUNCTION("""COMPUTED_VALUE"""),"(714) 702-3127")</f>
        <v>(714) 702-3127</v>
      </c>
      <c r="Q823" s="5"/>
      <c r="R823" s="5"/>
      <c r="S823" s="5"/>
      <c r="T823" s="5"/>
    </row>
    <row r="824" spans="1:20" ht="12.75">
      <c r="A824" s="24">
        <f ca="1">IFERROR(__xludf.DUMMYFUNCTION("""COMPUTED_VALUE"""),45671.615663206)</f>
        <v>45671.615663206001</v>
      </c>
      <c r="B824" s="5" t="str">
        <f ca="1">IFERROR(__xludf.DUMMYFUNCTION("""COMPUTED_VALUE"""),"1745 S Barrington Ave")</f>
        <v>1745 S Barrington Ave</v>
      </c>
      <c r="C824" s="5" t="str">
        <f ca="1">IFERROR(__xludf.DUMMYFUNCTION("""COMPUTED_VALUE"""),"Los Angeles")</f>
        <v>Los Angeles</v>
      </c>
      <c r="D824" s="5" t="str">
        <f ca="1">IFERROR(__xludf.DUMMYFUNCTION("""COMPUTED_VALUE"""),"CA")</f>
        <v>CA</v>
      </c>
      <c r="E824" s="5">
        <f ca="1">IFERROR(__xludf.DUMMYFUNCTION("""COMPUTED_VALUE"""),90025)</f>
        <v>90025</v>
      </c>
      <c r="F824" s="19">
        <f ca="1">IFERROR(__xludf.DUMMYFUNCTION("""COMPUTED_VALUE"""),6000)</f>
        <v>6000</v>
      </c>
      <c r="G824" s="19">
        <f ca="1">IFERROR(__xludf.DUMMYFUNCTION("""COMPUTED_VALUE"""),6600)</f>
        <v>6600</v>
      </c>
      <c r="H824" s="18">
        <f ca="1">IFERROR(__xludf.DUMMYFUNCTION("""COMPUTED_VALUE"""),45670)</f>
        <v>45670</v>
      </c>
      <c r="I824" s="5" t="str">
        <f ca="1">IFERROR(__xludf.DUMMYFUNCTION("""COMPUTED_VALUE"""),"Zillow")</f>
        <v>Zillow</v>
      </c>
      <c r="J824" s="25" t="str">
        <f ca="1">IFERROR(__xludf.DUMMYFUNCTION("""COMPUTED_VALUE"""),"https://www.zillow.com/homedetails/1745-S-Barrington-Ave-Los-Angeles-CA-90025/120789557_zpid/")</f>
        <v>https://www.zillow.com/homedetails/1745-S-Barrington-Ave-Los-Angeles-CA-90025/120789557_zpid/</v>
      </c>
      <c r="K824" s="5" t="str">
        <f ca="1">IFERROR(__xludf.DUMMYFUNCTION("""COMPUTED_VALUE"""),"Andy Huang/Reddoor International Realty")</f>
        <v>Andy Huang/Reddoor International Realty</v>
      </c>
      <c r="L824" s="5"/>
      <c r="M824" s="5" t="str">
        <f ca="1">IFERROR(__xludf.DUMMYFUNCTION("""COMPUTED_VALUE"""),"This property has been seemingly unrented for months based on the listing history. It was listed for 6,450 on 11/8/24 and was actually lowered to 6,000 on 1/8/25, at the start of the fires, but was raised 10% to 6,600 on 1/13/25.")</f>
        <v>This property has been seemingly unrented for months based on the listing history. It was listed for 6,450 on 11/8/24 and was actually lowered to 6,000 on 1/8/25, at the start of the fires, but was raised 10% to 6,600 on 1/13/25.</v>
      </c>
      <c r="N824" s="5" t="str">
        <f ca="1">IFERROR(__xludf.DUMMYFUNCTION("""COMPUTED_VALUE"""),"https://drive.google.com/open?id=1t1HVNy0MeLA1Vh7loliG9BYpM4j05py9, https://drive.google.com/open?id=14BCRgkJFCvr82HrINfGGJF_lXPC_BDSq, https://drive.google.com/open?id=104Q7m42HMwmaurO3veHZfQGE4td95POB")</f>
        <v>https://drive.google.com/open?id=1t1HVNy0MeLA1Vh7loliG9BYpM4j05py9, https://drive.google.com/open?id=14BCRgkJFCvr82HrINfGGJF_lXPC_BDSq, https://drive.google.com/open?id=104Q7m42HMwmaurO3veHZfQGE4td95POB</v>
      </c>
      <c r="O824" s="5">
        <f ca="1">IFERROR(__xludf.DUMMYFUNCTION("""COMPUTED_VALUE"""),4262017099)</f>
        <v>4262017099</v>
      </c>
      <c r="P824" s="5" t="str">
        <f ca="1">IFERROR(__xludf.DUMMYFUNCTION("""COMPUTED_VALUE"""),"(626) 469-7871")</f>
        <v>(626) 469-7871</v>
      </c>
      <c r="Q824" s="5"/>
      <c r="R824" s="5"/>
      <c r="S824" s="5"/>
      <c r="T824" s="5"/>
    </row>
    <row r="825" spans="1:20" ht="12.75">
      <c r="A825" s="24">
        <f ca="1">IFERROR(__xludf.DUMMYFUNCTION("""COMPUTED_VALUE"""),45671.6162689814)</f>
        <v>45671.616268981401</v>
      </c>
      <c r="B825" s="5" t="str">
        <f ca="1">IFERROR(__xludf.DUMMYFUNCTION("""COMPUTED_VALUE"""),"1536 Blue Jay Way ")</f>
        <v xml:space="preserve">1536 Blue Jay Way </v>
      </c>
      <c r="C825" s="5" t="str">
        <f ca="1">IFERROR(__xludf.DUMMYFUNCTION("""COMPUTED_VALUE"""),"Los Angeles")</f>
        <v>Los Angeles</v>
      </c>
      <c r="D825" s="5" t="str">
        <f ca="1">IFERROR(__xludf.DUMMYFUNCTION("""COMPUTED_VALUE"""),"CA")</f>
        <v>CA</v>
      </c>
      <c r="E825" s="5">
        <f ca="1">IFERROR(__xludf.DUMMYFUNCTION("""COMPUTED_VALUE"""),90069)</f>
        <v>90069</v>
      </c>
      <c r="F825" s="19">
        <f ca="1">IFERROR(__xludf.DUMMYFUNCTION("""COMPUTED_VALUE"""),80000)</f>
        <v>80000</v>
      </c>
      <c r="G825" s="19">
        <f ca="1">IFERROR(__xludf.DUMMYFUNCTION("""COMPUTED_VALUE"""),120000)</f>
        <v>120000</v>
      </c>
      <c r="H825" s="18">
        <f ca="1">IFERROR(__xludf.DUMMYFUNCTION("""COMPUTED_VALUE"""),45663)</f>
        <v>45663</v>
      </c>
      <c r="I825" s="5" t="str">
        <f ca="1">IFERROR(__xludf.DUMMYFUNCTION("""COMPUTED_VALUE"""),"Zillow")</f>
        <v>Zillow</v>
      </c>
      <c r="J825" s="25" t="str">
        <f ca="1">IFERROR(__xludf.DUMMYFUNCTION("""COMPUTED_VALUE"""),"https://www.zillow.com/homedetails/1536-Blue-Jay-Way-Los-Angeles-CA-90069/20799751_zpid/")</f>
        <v>https://www.zillow.com/homedetails/1536-Blue-Jay-Way-Los-Angeles-CA-90069/20799751_zpid/</v>
      </c>
      <c r="K825" s="5" t="str">
        <f ca="1">IFERROR(__xludf.DUMMYFUNCTION("""COMPUTED_VALUE"""),"Aaron Kirman")</f>
        <v>Aaron Kirman</v>
      </c>
      <c r="L825" s="5"/>
      <c r="M825" s="5" t="str">
        <f ca="1">IFERROR(__xludf.DUMMYFUNCTION("""COMPUTED_VALUE"""),"50% rent increase")</f>
        <v>50% rent increase</v>
      </c>
      <c r="N825" s="26" t="str">
        <f ca="1">IFERROR(__xludf.DUMMYFUNCTION("""COMPUTED_VALUE"""),"https://drive.google.com/open?id=1mNt7gEInYcRSCQrF42L26tUkT_uXRmW1")</f>
        <v>https://drive.google.com/open?id=1mNt7gEInYcRSCQrF42L26tUkT_uXRmW1</v>
      </c>
      <c r="O825" s="5">
        <f ca="1">IFERROR(__xludf.DUMMYFUNCTION("""COMPUTED_VALUE"""),5561011015)</f>
        <v>5561011015</v>
      </c>
      <c r="P825" s="5" t="str">
        <f ca="1">IFERROR(__xludf.DUMMYFUNCTION("""COMPUTED_VALUE"""),"(424) 249-7162")</f>
        <v>(424) 249-7162</v>
      </c>
      <c r="Q825" s="5"/>
      <c r="R825" s="5"/>
      <c r="S825" s="5"/>
      <c r="T825" s="5"/>
    </row>
    <row r="826" spans="1:20" ht="12.75">
      <c r="A826" s="24">
        <f ca="1">IFERROR(__xludf.DUMMYFUNCTION("""COMPUTED_VALUE"""),45671.6215741435)</f>
        <v>45671.621574143501</v>
      </c>
      <c r="B826" s="5" t="str">
        <f ca="1">IFERROR(__xludf.DUMMYFUNCTION("""COMPUTED_VALUE"""),"17862 Via Vallarta")</f>
        <v>17862 Via Vallarta</v>
      </c>
      <c r="C826" s="5" t="str">
        <f ca="1">IFERROR(__xludf.DUMMYFUNCTION("""COMPUTED_VALUE"""),"Encino")</f>
        <v>Encino</v>
      </c>
      <c r="D826" s="5" t="str">
        <f ca="1">IFERROR(__xludf.DUMMYFUNCTION("""COMPUTED_VALUE"""),"CA")</f>
        <v>CA</v>
      </c>
      <c r="E826" s="5">
        <f ca="1">IFERROR(__xludf.DUMMYFUNCTION("""COMPUTED_VALUE"""),91316)</f>
        <v>91316</v>
      </c>
      <c r="F826" s="19">
        <f ca="1">IFERROR(__xludf.DUMMYFUNCTION("""COMPUTED_VALUE"""),30000)</f>
        <v>30000</v>
      </c>
      <c r="G826" s="19">
        <f ca="1">IFERROR(__xludf.DUMMYFUNCTION("""COMPUTED_VALUE"""),36000)</f>
        <v>36000</v>
      </c>
      <c r="H826" s="18">
        <f ca="1">IFERROR(__xludf.DUMMYFUNCTION("""COMPUTED_VALUE"""),45671)</f>
        <v>45671</v>
      </c>
      <c r="I826" s="5" t="str">
        <f ca="1">IFERROR(__xludf.DUMMYFUNCTION("""COMPUTED_VALUE"""),"Zillow")</f>
        <v>Zillow</v>
      </c>
      <c r="J826" s="25" t="str">
        <f ca="1">IFERROR(__xludf.DUMMYFUNCTION("""COMPUTED_VALUE"""),"https://www.zillow.com/homedetails/17862-Via-Vallarta-Encino-CA-91316/19950893_zpid/")</f>
        <v>https://www.zillow.com/homedetails/17862-Via-Vallarta-Encino-CA-91316/19950893_zpid/</v>
      </c>
      <c r="K826" s="5" t="str">
        <f ca="1">IFERROR(__xludf.DUMMYFUNCTION("""COMPUTED_VALUE"""),"Barak Maimon, The Maimon Group Inc.")</f>
        <v>Barak Maimon, The Maimon Group Inc.</v>
      </c>
      <c r="L826" s="5"/>
      <c r="M826" s="5"/>
      <c r="N826" s="5" t="str">
        <f ca="1">IFERROR(__xludf.DUMMYFUNCTION("""COMPUTED_VALUE"""),"https://drive.google.com/open?id=1WbnkNlIezDK4rge5qryYEhzAFLCILMM_, https://drive.google.com/open?id=1tZRa8Qx7mHN2iunHXGfxAFv3p9yhEMTa")</f>
        <v>https://drive.google.com/open?id=1WbnkNlIezDK4rge5qryYEhzAFLCILMM_, https://drive.google.com/open?id=1tZRa8Qx7mHN2iunHXGfxAFv3p9yhEMTa</v>
      </c>
      <c r="O826" s="5">
        <f ca="1">IFERROR(__xludf.DUMMYFUNCTION("""COMPUTED_VALUE"""),2184037029)</f>
        <v>2184037029</v>
      </c>
      <c r="P826" s="5" t="str">
        <f ca="1">IFERROR(__xludf.DUMMYFUNCTION("""COMPUTED_VALUE""")," (818) 699-2191")</f>
        <v xml:space="preserve"> (818) 699-2191</v>
      </c>
      <c r="Q826" s="5"/>
      <c r="R826" s="5"/>
      <c r="S826" s="5"/>
      <c r="T826" s="5"/>
    </row>
    <row r="827" spans="1:20" ht="12.75">
      <c r="A827" s="24">
        <f ca="1">IFERROR(__xludf.DUMMYFUNCTION("""COMPUTED_VALUE"""),45671.625815162)</f>
        <v>45671.625815161999</v>
      </c>
      <c r="B827" s="5" t="str">
        <f ca="1">IFERROR(__xludf.DUMMYFUNCTION("""COMPUTED_VALUE"""),"12830 Elkwood St")</f>
        <v>12830 Elkwood St</v>
      </c>
      <c r="C827" s="5" t="str">
        <f ca="1">IFERROR(__xludf.DUMMYFUNCTION("""COMPUTED_VALUE"""),"North Hollywood")</f>
        <v>North Hollywood</v>
      </c>
      <c r="D827" s="5" t="str">
        <f ca="1">IFERROR(__xludf.DUMMYFUNCTION("""COMPUTED_VALUE"""),"CA")</f>
        <v>CA</v>
      </c>
      <c r="E827" s="5">
        <f ca="1">IFERROR(__xludf.DUMMYFUNCTION("""COMPUTED_VALUE"""),91605)</f>
        <v>91605</v>
      </c>
      <c r="F827" s="19">
        <f ca="1">IFERROR(__xludf.DUMMYFUNCTION("""COMPUTED_VALUE"""),5500)</f>
        <v>5500</v>
      </c>
      <c r="G827" s="19">
        <f ca="1">IFERROR(__xludf.DUMMYFUNCTION("""COMPUTED_VALUE"""),6500)</f>
        <v>6500</v>
      </c>
      <c r="H827" s="18">
        <f ca="1">IFERROR(__xludf.DUMMYFUNCTION("""COMPUTED_VALUE"""),45671)</f>
        <v>45671</v>
      </c>
      <c r="I827" s="5" t="str">
        <f ca="1">IFERROR(__xludf.DUMMYFUNCTION("""COMPUTED_VALUE"""),"Zillow")</f>
        <v>Zillow</v>
      </c>
      <c r="J827" s="25" t="str">
        <f ca="1">IFERROR(__xludf.DUMMYFUNCTION("""COMPUTED_VALUE"""),"https://www.zillow.com/homedetails/12830-Elkwood-St-North-Hollywood-CA-91605/19997569_zpid/")</f>
        <v>https://www.zillow.com/homedetails/12830-Elkwood-St-North-Hollywood-CA-91605/19997569_zpid/</v>
      </c>
      <c r="K827" s="5" t="str">
        <f ca="1">IFERROR(__xludf.DUMMYFUNCTION("""COMPUTED_VALUE"""),"David")</f>
        <v>David</v>
      </c>
      <c r="L827" s="5" t="str">
        <f ca="1">IFERROR(__xludf.DUMMYFUNCTION("""COMPUTED_VALUE"""),"David")</f>
        <v>David</v>
      </c>
      <c r="M827" s="5"/>
      <c r="N827" s="5" t="str">
        <f ca="1">IFERROR(__xludf.DUMMYFUNCTION("""COMPUTED_VALUE"""),"https://drive.google.com/open?id=1FFhGWH1_Ux_FSAvMT66GYlK8KmfShv11, https://drive.google.com/open?id=1_I-ZO8JgSRx6kAe3LNoIf0oj8qbR3nUl, https://drive.google.com/open?id=1lhv241GINmx9XHDOHbufLKJ7meR_MhMA")</f>
        <v>https://drive.google.com/open?id=1FFhGWH1_Ux_FSAvMT66GYlK8KmfShv11, https://drive.google.com/open?id=1_I-ZO8JgSRx6kAe3LNoIf0oj8qbR3nUl, https://drive.google.com/open?id=1lhv241GINmx9XHDOHbufLKJ7meR_MhMA</v>
      </c>
      <c r="O827" s="5">
        <f ca="1">IFERROR(__xludf.DUMMYFUNCTION("""COMPUTED_VALUE"""),2305033052)</f>
        <v>2305033052</v>
      </c>
      <c r="P827" s="5"/>
      <c r="Q827" s="5"/>
      <c r="R827" s="5"/>
      <c r="S827" s="5"/>
      <c r="T827" s="5"/>
    </row>
    <row r="828" spans="1:20" ht="12.75">
      <c r="A828" s="24">
        <f ca="1">IFERROR(__xludf.DUMMYFUNCTION("""COMPUTED_VALUE"""),45671.6258860185)</f>
        <v>45671.625886018497</v>
      </c>
      <c r="B828" s="5" t="str">
        <f ca="1">IFERROR(__xludf.DUMMYFUNCTION("""COMPUTED_VALUE"""),"(Undisclosed Address)")</f>
        <v>(Undisclosed Address)</v>
      </c>
      <c r="C828" s="5" t="str">
        <f ca="1">IFERROR(__xludf.DUMMYFUNCTION("""COMPUTED_VALUE"""),"Van Nuys")</f>
        <v>Van Nuys</v>
      </c>
      <c r="D828" s="5" t="str">
        <f ca="1">IFERROR(__xludf.DUMMYFUNCTION("""COMPUTED_VALUE"""),"CA")</f>
        <v>CA</v>
      </c>
      <c r="E828" s="5">
        <f ca="1">IFERROR(__xludf.DUMMYFUNCTION("""COMPUTED_VALUE"""),91406)</f>
        <v>91406</v>
      </c>
      <c r="F828" s="19">
        <f ca="1">IFERROR(__xludf.DUMMYFUNCTION("""COMPUTED_VALUE"""),10950)</f>
        <v>10950</v>
      </c>
      <c r="G828" s="19">
        <f ca="1">IFERROR(__xludf.DUMMYFUNCTION("""COMPUTED_VALUE"""),12950)</f>
        <v>12950</v>
      </c>
      <c r="H828" s="18">
        <f ca="1">IFERROR(__xludf.DUMMYFUNCTION("""COMPUTED_VALUE"""),45665)</f>
        <v>45665</v>
      </c>
      <c r="I828" s="5" t="str">
        <f ca="1">IFERROR(__xludf.DUMMYFUNCTION("""COMPUTED_VALUE"""),"Zillow")</f>
        <v>Zillow</v>
      </c>
      <c r="J828" s="25" t="str">
        <f ca="1">IFERROR(__xludf.DUMMYFUNCTION("""COMPUTED_VALUE"""),"https://www.zillow.com/homedetails/Van-Nuys-CA-91406/19953018_zpid/")</f>
        <v>https://www.zillow.com/homedetails/Van-Nuys-CA-91406/19953018_zpid/</v>
      </c>
      <c r="K828" s="5" t="str">
        <f ca="1">IFERROR(__xludf.DUMMYFUNCTION("""COMPUTED_VALUE"""),"Katy, Temporary Housing Inc")</f>
        <v>Katy, Temporary Housing Inc</v>
      </c>
      <c r="L828" s="5"/>
      <c r="M828" s="5"/>
      <c r="N828" s="5" t="str">
        <f ca="1">IFERROR(__xludf.DUMMYFUNCTION("""COMPUTED_VALUE"""),"https://drive.google.com/open?id=1gPSdOjCaz81E8Ac8VTvvpzEnAVnlZow5, https://drive.google.com/open?id=15aN8wZx1zH7XAkQIhbu51NdKtbVDOF8l")</f>
        <v>https://drive.google.com/open?id=1gPSdOjCaz81E8Ac8VTvvpzEnAVnlZow5, https://drive.google.com/open?id=15aN8wZx1zH7XAkQIhbu51NdKtbVDOF8l</v>
      </c>
      <c r="O828" s="5" t="str">
        <f ca="1">IFERROR(__xludf.DUMMYFUNCTION("""COMPUTED_VALUE"""),"NA")</f>
        <v>NA</v>
      </c>
      <c r="P828" s="5" t="str">
        <f ca="1">IFERROR(__xludf.DUMMYFUNCTION("""COMPUTED_VALUE"""),"(310) 938-8723")</f>
        <v>(310) 938-8723</v>
      </c>
      <c r="Q828" s="5"/>
      <c r="R828" s="5"/>
      <c r="S828" s="5"/>
      <c r="T828" s="5"/>
    </row>
    <row r="829" spans="1:20" ht="12.75">
      <c r="A829" s="24">
        <f ca="1">IFERROR(__xludf.DUMMYFUNCTION("""COMPUTED_VALUE"""),45671.6290948611)</f>
        <v>45671.629094861099</v>
      </c>
      <c r="B829" s="5" t="str">
        <f ca="1">IFERROR(__xludf.DUMMYFUNCTION("""COMPUTED_VALUE"""),"110 Box Canyon Rd")</f>
        <v>110 Box Canyon Rd</v>
      </c>
      <c r="C829" s="5" t="str">
        <f ca="1">IFERROR(__xludf.DUMMYFUNCTION("""COMPUTED_VALUE"""),"Canoga Park")</f>
        <v>Canoga Park</v>
      </c>
      <c r="D829" s="5" t="str">
        <f ca="1">IFERROR(__xludf.DUMMYFUNCTION("""COMPUTED_VALUE"""),"CA")</f>
        <v>CA</v>
      </c>
      <c r="E829" s="5">
        <f ca="1">IFERROR(__xludf.DUMMYFUNCTION("""COMPUTED_VALUE"""),91304)</f>
        <v>91304</v>
      </c>
      <c r="F829" s="19">
        <f ca="1">IFERROR(__xludf.DUMMYFUNCTION("""COMPUTED_VALUE"""),10050)</f>
        <v>10050</v>
      </c>
      <c r="G829" s="19">
        <f ca="1">IFERROR(__xludf.DUMMYFUNCTION("""COMPUTED_VALUE"""),12500)</f>
        <v>12500</v>
      </c>
      <c r="H829" s="18">
        <f ca="1">IFERROR(__xludf.DUMMYFUNCTION("""COMPUTED_VALUE"""),45671)</f>
        <v>45671</v>
      </c>
      <c r="I829" s="5" t="str">
        <f ca="1">IFERROR(__xludf.DUMMYFUNCTION("""COMPUTED_VALUE"""),"Zillow")</f>
        <v>Zillow</v>
      </c>
      <c r="J829" s="25" t="str">
        <f ca="1">IFERROR(__xludf.DUMMYFUNCTION("""COMPUTED_VALUE"""),"https://www.zillow.com/homedetails/110-Box-Canyon-Rd-Canoga-Park-CA-91304/16463829_zpid/")</f>
        <v>https://www.zillow.com/homedetails/110-Box-Canyon-Rd-Canoga-Park-CA-91304/16463829_zpid/</v>
      </c>
      <c r="K829" s="5"/>
      <c r="L829" s="5" t="str">
        <f ca="1">IFERROR(__xludf.DUMMYFUNCTION("""COMPUTED_VALUE"""),"Alex Meimand")</f>
        <v>Alex Meimand</v>
      </c>
      <c r="M829" s="5"/>
      <c r="N829" s="5" t="str">
        <f ca="1">IFERROR(__xludf.DUMMYFUNCTION("""COMPUTED_VALUE"""),"https://drive.google.com/open?id=1lzRaR6jXJa_cvW4ShrWcJsb42D4QMCVM, https://drive.google.com/open?id=1rnbdZDR3alqdvVBaTVDH8R_VyiJzmush")</f>
        <v>https://drive.google.com/open?id=1lzRaR6jXJa_cvW4ShrWcJsb42D4QMCVM, https://drive.google.com/open?id=1rnbdZDR3alqdvVBaTVDH8R_VyiJzmush</v>
      </c>
      <c r="O829" s="5">
        <f ca="1">IFERROR(__xludf.DUMMYFUNCTION("""COMPUTED_VALUE"""),6490234100)</f>
        <v>6490234100</v>
      </c>
      <c r="P829" s="5"/>
      <c r="Q829" s="5"/>
      <c r="R829" s="5"/>
      <c r="S829" s="5"/>
      <c r="T829" s="5"/>
    </row>
    <row r="830" spans="1:20" ht="12.75">
      <c r="A830" s="24">
        <f ca="1">IFERROR(__xludf.DUMMYFUNCTION("""COMPUTED_VALUE"""),45671.631280625)</f>
        <v>45671.631280624999</v>
      </c>
      <c r="B830" s="5" t="str">
        <f ca="1">IFERROR(__xludf.DUMMYFUNCTION("""COMPUTED_VALUE"""),"458 S Ramona Ave #B")</f>
        <v>458 S Ramona Ave #B</v>
      </c>
      <c r="C830" s="5" t="str">
        <f ca="1">IFERROR(__xludf.DUMMYFUNCTION("""COMPUTED_VALUE"""),"Monterey Park")</f>
        <v>Monterey Park</v>
      </c>
      <c r="D830" s="5" t="str">
        <f ca="1">IFERROR(__xludf.DUMMYFUNCTION("""COMPUTED_VALUE"""),"CA")</f>
        <v>CA</v>
      </c>
      <c r="E830" s="5">
        <f ca="1">IFERROR(__xludf.DUMMYFUNCTION("""COMPUTED_VALUE"""),91754)</f>
        <v>91754</v>
      </c>
      <c r="F830" s="19">
        <f ca="1">IFERROR(__xludf.DUMMYFUNCTION("""COMPUTED_VALUE"""),1995)</f>
        <v>1995</v>
      </c>
      <c r="G830" s="19">
        <f ca="1">IFERROR(__xludf.DUMMYFUNCTION("""COMPUTED_VALUE"""),2350)</f>
        <v>2350</v>
      </c>
      <c r="H830" s="18">
        <f ca="1">IFERROR(__xludf.DUMMYFUNCTION("""COMPUTED_VALUE"""),45664)</f>
        <v>45664</v>
      </c>
      <c r="I830" s="5" t="str">
        <f ca="1">IFERROR(__xludf.DUMMYFUNCTION("""COMPUTED_VALUE"""),"Trulia")</f>
        <v>Trulia</v>
      </c>
      <c r="J830" s="25" t="str">
        <f ca="1">IFERROR(__xludf.DUMMYFUNCTION("""COMPUTED_VALUE"""),"https://www.trulia.com/home/458-s-ramona-ave-b-monterey-park-ca-91754-2088826105")</f>
        <v>https://www.trulia.com/home/458-s-ramona-ave-b-monterey-park-ca-91754-2088826105</v>
      </c>
      <c r="K830" s="5" t="str">
        <f ca="1">IFERROR(__xludf.DUMMYFUNCTION("""COMPUTED_VALUE"""),"Joe Tseng - Treeline Realty &amp; Investment")</f>
        <v>Joe Tseng - Treeline Realty &amp; Investment</v>
      </c>
      <c r="L830" s="5"/>
      <c r="M830" s="5"/>
      <c r="N830" s="26" t="str">
        <f ca="1">IFERROR(__xludf.DUMMYFUNCTION("""COMPUTED_VALUE"""),"https://drive.google.com/open?id=1fsHQTEsaDKfKuECpN9RqtVV9Rc5eARjj")</f>
        <v>https://drive.google.com/open?id=1fsHQTEsaDKfKuECpN9RqtVV9Rc5eARjj</v>
      </c>
      <c r="O830" s="5" t="str">
        <f ca="1">IFERROR(__xludf.DUMMYFUNCTION("""COMPUTED_VALUE"""),"NA")</f>
        <v>NA</v>
      </c>
      <c r="P830" s="5" t="str">
        <f ca="1">IFERROR(__xludf.DUMMYFUNCTION("""COMPUTED_VALUE"""),"(626) 215-8616")</f>
        <v>(626) 215-8616</v>
      </c>
      <c r="Q830" s="5"/>
      <c r="R830" s="5"/>
      <c r="S830" s="5"/>
      <c r="T830" s="5"/>
    </row>
    <row r="831" spans="1:20" ht="12.75">
      <c r="A831" s="24">
        <f ca="1">IFERROR(__xludf.DUMMYFUNCTION("""COMPUTED_VALUE"""),45671.6367823842)</f>
        <v>45671.636782384201</v>
      </c>
      <c r="B831" s="5" t="str">
        <f ca="1">IFERROR(__xludf.DUMMYFUNCTION("""COMPUTED_VALUE"""),"2324 N Vermont Ave")</f>
        <v>2324 N Vermont Ave</v>
      </c>
      <c r="C831" s="5" t="str">
        <f ca="1">IFERROR(__xludf.DUMMYFUNCTION("""COMPUTED_VALUE"""),"Los Angeles")</f>
        <v>Los Angeles</v>
      </c>
      <c r="D831" s="5" t="str">
        <f ca="1">IFERROR(__xludf.DUMMYFUNCTION("""COMPUTED_VALUE"""),"CA")</f>
        <v>CA</v>
      </c>
      <c r="E831" s="5">
        <f ca="1">IFERROR(__xludf.DUMMYFUNCTION("""COMPUTED_VALUE"""),90027)</f>
        <v>90027</v>
      </c>
      <c r="F831" s="19">
        <f ca="1">IFERROR(__xludf.DUMMYFUNCTION("""COMPUTED_VALUE"""),17850)</f>
        <v>17850</v>
      </c>
      <c r="G831" s="19">
        <f ca="1">IFERROR(__xludf.DUMMYFUNCTION("""COMPUTED_VALUE"""),20000)</f>
        <v>20000</v>
      </c>
      <c r="H831" s="18">
        <f ca="1">IFERROR(__xludf.DUMMYFUNCTION("""COMPUTED_VALUE"""),45671)</f>
        <v>45671</v>
      </c>
      <c r="I831" s="5" t="str">
        <f ca="1">IFERROR(__xludf.DUMMYFUNCTION("""COMPUTED_VALUE"""),"Trulia")</f>
        <v>Trulia</v>
      </c>
      <c r="J831" s="25" t="str">
        <f ca="1">IFERROR(__xludf.DUMMYFUNCTION("""COMPUTED_VALUE"""),"https://www.trulia.com/home/2324-n-vermont-ave-los-angeles-ca-90027-20809114")</f>
        <v>https://www.trulia.com/home/2324-n-vermont-ave-los-angeles-ca-90027-20809114</v>
      </c>
      <c r="K831" s="5" t="str">
        <f ca="1">IFERROR(__xludf.DUMMYFUNCTION("""COMPUTED_VALUE"""),"Carlos Villegas - eXp Realty of California Inc")</f>
        <v>Carlos Villegas - eXp Realty of California Inc</v>
      </c>
      <c r="L831" s="5"/>
      <c r="M831" s="5"/>
      <c r="N831" s="26" t="str">
        <f ca="1">IFERROR(__xludf.DUMMYFUNCTION("""COMPUTED_VALUE"""),"https://drive.google.com/open?id=1k5BvLcs9yJZyi45CAgCpMrXCx2weYHaV")</f>
        <v>https://drive.google.com/open?id=1k5BvLcs9yJZyi45CAgCpMrXCx2weYHaV</v>
      </c>
      <c r="O831" s="5">
        <f ca="1">IFERROR(__xludf.DUMMYFUNCTION("""COMPUTED_VALUE"""),5588024017)</f>
        <v>5588024017</v>
      </c>
      <c r="P831" s="5" t="str">
        <f ca="1">IFERROR(__xludf.DUMMYFUNCTION("""COMPUTED_VALUE"""),"661-619-7335")</f>
        <v>661-619-7335</v>
      </c>
      <c r="Q831" s="5"/>
      <c r="R831" s="5"/>
      <c r="S831" s="5"/>
      <c r="T831" s="5"/>
    </row>
    <row r="832" spans="1:20" ht="12.75">
      <c r="A832" s="24">
        <f ca="1">IFERROR(__xludf.DUMMYFUNCTION("""COMPUTED_VALUE"""),45671.6379624421)</f>
        <v>45671.637962442102</v>
      </c>
      <c r="B832" s="5" t="str">
        <f ca="1">IFERROR(__xludf.DUMMYFUNCTION("""COMPUTED_VALUE"""),"3365 Tyburn St")</f>
        <v>3365 Tyburn St</v>
      </c>
      <c r="C832" s="5" t="str">
        <f ca="1">IFERROR(__xludf.DUMMYFUNCTION("""COMPUTED_VALUE"""),"Los Angeles")</f>
        <v>Los Angeles</v>
      </c>
      <c r="D832" s="5" t="str">
        <f ca="1">IFERROR(__xludf.DUMMYFUNCTION("""COMPUTED_VALUE"""),"CA")</f>
        <v>CA</v>
      </c>
      <c r="E832" s="5">
        <f ca="1">IFERROR(__xludf.DUMMYFUNCTION("""COMPUTED_VALUE"""),90039)</f>
        <v>90039</v>
      </c>
      <c r="F832" s="19">
        <f ca="1">IFERROR(__xludf.DUMMYFUNCTION("""COMPUTED_VALUE"""),3750)</f>
        <v>3750</v>
      </c>
      <c r="G832" s="19">
        <f ca="1">IFERROR(__xludf.DUMMYFUNCTION("""COMPUTED_VALUE"""),6500)</f>
        <v>6500</v>
      </c>
      <c r="H832" s="18">
        <f ca="1">IFERROR(__xludf.DUMMYFUNCTION("""COMPUTED_VALUE"""),45666)</f>
        <v>45666</v>
      </c>
      <c r="I832" s="5" t="str">
        <f ca="1">IFERROR(__xludf.DUMMYFUNCTION("""COMPUTED_VALUE"""),"Zillow")</f>
        <v>Zillow</v>
      </c>
      <c r="J832" s="25" t="str">
        <f ca="1">IFERROR(__xludf.DUMMYFUNCTION("""COMPUTED_VALUE"""),"https://www.zillow.com/homedetails/3365-Tyburn-St-Los-Angeles-CA-90039/20750852_zpid/")</f>
        <v>https://www.zillow.com/homedetails/3365-Tyburn-St-Los-Angeles-CA-90039/20750852_zpid/</v>
      </c>
      <c r="K832" s="5" t="str">
        <f ca="1">IFERROR(__xludf.DUMMYFUNCTION("""COMPUTED_VALUE"""),"Bruno Rossi")</f>
        <v>Bruno Rossi</v>
      </c>
      <c r="L832" s="5" t="str">
        <f ca="1">IFERROR(__xludf.DUMMYFUNCTION("""COMPUTED_VALUE"""),"Bruno Rossi")</f>
        <v>Bruno Rossi</v>
      </c>
      <c r="M832" s="5" t="str">
        <f ca="1">IFERROR(__xludf.DUMMYFUNCTION("""COMPUTED_VALUE"""),"This is a 1 bedroom / 1 bathroom absolutely tiny property. It is not worth this at all. Also charging $13065 to actually move in.")</f>
        <v>This is a 1 bedroom / 1 bathroom absolutely tiny property. It is not worth this at all. Also charging $13065 to actually move in.</v>
      </c>
      <c r="N832" s="5" t="str">
        <f ca="1">IFERROR(__xludf.DUMMYFUNCTION("""COMPUTED_VALUE"""),"https://drive.google.com/open?id=17sVqoKaSmjXb8KwC86GEVXqGPCgiBgw7, https://drive.google.com/open?id=1T5GeU8YrB1VxUB-pHIDOBPlm1u75RaQq")</f>
        <v>https://drive.google.com/open?id=17sVqoKaSmjXb8KwC86GEVXqGPCgiBgw7, https://drive.google.com/open?id=1T5GeU8YrB1VxUB-pHIDOBPlm1u75RaQq</v>
      </c>
      <c r="O832" s="5">
        <f ca="1">IFERROR(__xludf.DUMMYFUNCTION("""COMPUTED_VALUE"""),5436013011)</f>
        <v>5436013011</v>
      </c>
      <c r="P832" s="5" t="str">
        <f ca="1">IFERROR(__xludf.DUMMYFUNCTION("""COMPUTED_VALUE""")," (323) 868-5329")</f>
        <v xml:space="preserve"> (323) 868-5329</v>
      </c>
      <c r="Q832" s="5"/>
      <c r="R832" s="5" t="str">
        <f ca="1">IFERROR(__xludf.DUMMYFUNCTION("""COMPUTED_VALUE""")," (323) 868-5329")</f>
        <v xml:space="preserve"> (323) 868-5329</v>
      </c>
      <c r="S832" s="5"/>
      <c r="T832" s="5"/>
    </row>
    <row r="833" spans="1:20" ht="12.75">
      <c r="A833" s="24">
        <f ca="1">IFERROR(__xludf.DUMMYFUNCTION("""COMPUTED_VALUE"""),45671.6403106018)</f>
        <v>45671.640310601797</v>
      </c>
      <c r="B833" s="5" t="str">
        <f ca="1">IFERROR(__xludf.DUMMYFUNCTION("""COMPUTED_VALUE"""),"30028 Torrepines Pl")</f>
        <v>30028 Torrepines Pl</v>
      </c>
      <c r="C833" s="5" t="str">
        <f ca="1">IFERROR(__xludf.DUMMYFUNCTION("""COMPUTED_VALUE"""),"Agoura Hills")</f>
        <v>Agoura Hills</v>
      </c>
      <c r="D833" s="5" t="str">
        <f ca="1">IFERROR(__xludf.DUMMYFUNCTION("""COMPUTED_VALUE"""),"CA")</f>
        <v>CA</v>
      </c>
      <c r="E833" s="5">
        <f ca="1">IFERROR(__xludf.DUMMYFUNCTION("""COMPUTED_VALUE"""),91301)</f>
        <v>91301</v>
      </c>
      <c r="F833" s="19">
        <f ca="1">IFERROR(__xludf.DUMMYFUNCTION("""COMPUTED_VALUE"""),6500)</f>
        <v>6500</v>
      </c>
      <c r="G833" s="19">
        <f ca="1">IFERROR(__xludf.DUMMYFUNCTION("""COMPUTED_VALUE"""),7500)</f>
        <v>7500</v>
      </c>
      <c r="H833" s="18">
        <f ca="1">IFERROR(__xludf.DUMMYFUNCTION("""COMPUTED_VALUE"""),45671)</f>
        <v>45671</v>
      </c>
      <c r="I833" s="5" t="str">
        <f ca="1">IFERROR(__xludf.DUMMYFUNCTION("""COMPUTED_VALUE"""),"Zillow")</f>
        <v>Zillow</v>
      </c>
      <c r="J833" s="25" t="str">
        <f ca="1">IFERROR(__xludf.DUMMYFUNCTION("""COMPUTED_VALUE"""),"https://www.zillow.com/homedetails/30028-Torrepines-Pl-Agoura-Hills-CA-91301/19887179_zpid/")</f>
        <v>https://www.zillow.com/homedetails/30028-Torrepines-Pl-Agoura-Hills-CA-91301/19887179_zpid/</v>
      </c>
      <c r="K833" s="5" t="str">
        <f ca="1">IFERROR(__xludf.DUMMYFUNCTION("""COMPUTED_VALUE"""),"Cindee Zabner")</f>
        <v>Cindee Zabner</v>
      </c>
      <c r="L833" s="5"/>
      <c r="M833" s="5" t="str">
        <f ca="1">IFERROR(__xludf.DUMMYFUNCTION("""COMPUTED_VALUE"""),"First raised rent to $7950 on 1/12/25, then set it to $7500 on 1/14")</f>
        <v>First raised rent to $7950 on 1/12/25, then set it to $7500 on 1/14</v>
      </c>
      <c r="N833" s="5" t="str">
        <f ca="1">IFERROR(__xludf.DUMMYFUNCTION("""COMPUTED_VALUE"""),"https://drive.google.com/open?id=1MsQxVPvM8xp2fH_Qxg-HpJj-P4vkjom3, https://drive.google.com/open?id=1upyfJIz4UXO-IUpLR5LYGAsrgB2cFcda, https://drive.google.com/open?id=1e4UZh9QJ0n7F4ivNHNmeNvr4_rJCxhgp, https://drive.google.com/open?id=1725JTHP1EjcjaFNH2"&amp;"IIJxLQ9P3k6yMRC")</f>
        <v>https://drive.google.com/open?id=1MsQxVPvM8xp2fH_Qxg-HpJj-P4vkjom3, https://drive.google.com/open?id=1upyfJIz4UXO-IUpLR5LYGAsrgB2cFcda, https://drive.google.com/open?id=1e4UZh9QJ0n7F4ivNHNmeNvr4_rJCxhgp, https://drive.google.com/open?id=1725JTHP1EjcjaFNH2IIJxLQ9P3k6yMRC</v>
      </c>
      <c r="O833" s="5">
        <f ca="1">IFERROR(__xludf.DUMMYFUNCTION("""COMPUTED_VALUE"""),2053030064)</f>
        <v>2053030064</v>
      </c>
      <c r="P833" s="5" t="str">
        <f ca="1">IFERROR(__xludf.DUMMYFUNCTION("""COMPUTED_VALUE"""),"(818) 517-0018")</f>
        <v>(818) 517-0018</v>
      </c>
      <c r="Q833" s="5"/>
      <c r="R833" s="5"/>
      <c r="S833" s="5"/>
      <c r="T833" s="5"/>
    </row>
    <row r="834" spans="1:20" ht="12.75">
      <c r="A834" s="24">
        <f ca="1">IFERROR(__xludf.DUMMYFUNCTION("""COMPUTED_VALUE"""),45671.6410933564)</f>
        <v>45671.641093356397</v>
      </c>
      <c r="B834" s="5" t="str">
        <f ca="1">IFERROR(__xludf.DUMMYFUNCTION("""COMPUTED_VALUE"""),"6760 W Gill Way")</f>
        <v>6760 W Gill Way</v>
      </c>
      <c r="C834" s="5" t="str">
        <f ca="1">IFERROR(__xludf.DUMMYFUNCTION("""COMPUTED_VALUE"""),"Los Angeles")</f>
        <v>Los Angeles</v>
      </c>
      <c r="D834" s="5" t="str">
        <f ca="1">IFERROR(__xludf.DUMMYFUNCTION("""COMPUTED_VALUE"""),"CA")</f>
        <v>CA</v>
      </c>
      <c r="E834" s="5">
        <f ca="1">IFERROR(__xludf.DUMMYFUNCTION("""COMPUTED_VALUE"""),90068)</f>
        <v>90068</v>
      </c>
      <c r="F834" s="19">
        <f ca="1">IFERROR(__xludf.DUMMYFUNCTION("""COMPUTED_VALUE"""),6975)</f>
        <v>6975</v>
      </c>
      <c r="G834" s="19">
        <f ca="1">IFERROR(__xludf.DUMMYFUNCTION("""COMPUTED_VALUE"""),9999)</f>
        <v>9999</v>
      </c>
      <c r="H834" s="18">
        <f ca="1">IFERROR(__xludf.DUMMYFUNCTION("""COMPUTED_VALUE"""),45671)</f>
        <v>45671</v>
      </c>
      <c r="I834" s="5" t="str">
        <f ca="1">IFERROR(__xludf.DUMMYFUNCTION("""COMPUTED_VALUE"""),"Trulia")</f>
        <v>Trulia</v>
      </c>
      <c r="J834" s="25" t="str">
        <f ca="1">IFERROR(__xludf.DUMMYFUNCTION("""COMPUTED_VALUE"""),"https://www.trulia.com/home/6760-w-gill-way-los-angeles-ca-90068-122235808")</f>
        <v>https://www.trulia.com/home/6760-w-gill-way-los-angeles-ca-90068-122235808</v>
      </c>
      <c r="K834" s="5" t="str">
        <f ca="1">IFERROR(__xludf.DUMMYFUNCTION("""COMPUTED_VALUE"""),"James Talbot - Berkshire Hathaway HomeServices California Properties")</f>
        <v>James Talbot - Berkshire Hathaway HomeServices California Properties</v>
      </c>
      <c r="L834" s="5"/>
      <c r="M834" s="5"/>
      <c r="N834" s="26" t="str">
        <f ca="1">IFERROR(__xludf.DUMMYFUNCTION("""COMPUTED_VALUE"""),"https://drive.google.com/open?id=1WqTRBf6BtPVlIjeb1IYxiZsxRtOnCY2W")</f>
        <v>https://drive.google.com/open?id=1WqTRBf6BtPVlIjeb1IYxiZsxRtOnCY2W</v>
      </c>
      <c r="O834" s="5">
        <f ca="1">IFERROR(__xludf.DUMMYFUNCTION("""COMPUTED_VALUE"""),5549032032)</f>
        <v>5549032032</v>
      </c>
      <c r="P834" s="5" t="str">
        <f ca="1">IFERROR(__xludf.DUMMYFUNCTION("""COMPUTED_VALUE"""),"310-430-4186")</f>
        <v>310-430-4186</v>
      </c>
      <c r="Q834" s="5"/>
      <c r="R834" s="5"/>
      <c r="S834" s="5"/>
      <c r="T834" s="5"/>
    </row>
    <row r="835" spans="1:20" ht="12.75">
      <c r="A835" s="24">
        <f ca="1">IFERROR(__xludf.DUMMYFUNCTION("""COMPUTED_VALUE"""),45671.641339618)</f>
        <v>45671.641339618</v>
      </c>
      <c r="B835" s="5" t="str">
        <f ca="1">IFERROR(__xludf.DUMMYFUNCTION("""COMPUTED_VALUE"""),"629 Traction Ave")</f>
        <v>629 Traction Ave</v>
      </c>
      <c r="C835" s="5" t="str">
        <f ca="1">IFERROR(__xludf.DUMMYFUNCTION("""COMPUTED_VALUE"""),"Los Angeles")</f>
        <v>Los Angeles</v>
      </c>
      <c r="D835" s="5" t="str">
        <f ca="1">IFERROR(__xludf.DUMMYFUNCTION("""COMPUTED_VALUE"""),"CA")</f>
        <v>CA</v>
      </c>
      <c r="E835" s="5">
        <f ca="1">IFERROR(__xludf.DUMMYFUNCTION("""COMPUTED_VALUE"""),90013)</f>
        <v>90013</v>
      </c>
      <c r="F835" s="19">
        <f ca="1">IFERROR(__xludf.DUMMYFUNCTION("""COMPUTED_VALUE"""),3500)</f>
        <v>3500</v>
      </c>
      <c r="G835" s="19">
        <f ca="1">IFERROR(__xludf.DUMMYFUNCTION("""COMPUTED_VALUE"""),4900)</f>
        <v>4900</v>
      </c>
      <c r="H835" s="18">
        <f ca="1">IFERROR(__xludf.DUMMYFUNCTION("""COMPUTED_VALUE"""),45665)</f>
        <v>45665</v>
      </c>
      <c r="I835" s="5" t="str">
        <f ca="1">IFERROR(__xludf.DUMMYFUNCTION("""COMPUTED_VALUE"""),"Zillow")</f>
        <v>Zillow</v>
      </c>
      <c r="J835" s="25" t="str">
        <f ca="1">IFERROR(__xludf.DUMMYFUNCTION("""COMPUTED_VALUE"""),"https://www.zillow.com/homedetails/629-Traction-Ave-Los-Angeles-CA-90013/2104238752_zpid/")</f>
        <v>https://www.zillow.com/homedetails/629-Traction-Ave-Los-Angeles-CA-90013/2104238752_zpid/</v>
      </c>
      <c r="K835" s="5"/>
      <c r="L835" s="5" t="str">
        <f ca="1">IFERROR(__xludf.DUMMYFUNCTION("""COMPUTED_VALUE"""),"Edward Kim")</f>
        <v>Edward Kim</v>
      </c>
      <c r="M835" s="5"/>
      <c r="N835" s="26" t="str">
        <f ca="1">IFERROR(__xludf.DUMMYFUNCTION("""COMPUTED_VALUE"""),"https://drive.google.com/open?id=19z-PTKSAx0YcVBgoSvPoq2LZrisZH3WI")</f>
        <v>https://drive.google.com/open?id=19z-PTKSAx0YcVBgoSvPoq2LZrisZH3WI</v>
      </c>
      <c r="O835" s="5" t="str">
        <f ca="1">IFERROR(__xludf.DUMMYFUNCTION("""COMPUTED_VALUE"""),"N/A")</f>
        <v>N/A</v>
      </c>
      <c r="P835" s="5"/>
      <c r="Q835" s="5"/>
      <c r="R835" s="5" t="str">
        <f ca="1">IFERROR(__xludf.DUMMYFUNCTION("""COMPUTED_VALUE"""),"(909) 732-1212")</f>
        <v>(909) 732-1212</v>
      </c>
      <c r="S835" s="5"/>
      <c r="T835" s="5"/>
    </row>
    <row r="836" spans="1:20" ht="12.75">
      <c r="A836" s="24">
        <f ca="1">IFERROR(__xludf.DUMMYFUNCTION("""COMPUTED_VALUE"""),45671.6415709143)</f>
        <v>45671.641570914297</v>
      </c>
      <c r="B836" s="5" t="str">
        <f ca="1">IFERROR(__xludf.DUMMYFUNCTION("""COMPUTED_VALUE"""),"(Undisclosed Address)")</f>
        <v>(Undisclosed Address)</v>
      </c>
      <c r="C836" s="5" t="str">
        <f ca="1">IFERROR(__xludf.DUMMYFUNCTION("""COMPUTED_VALUE"""),"Van Nuys")</f>
        <v>Van Nuys</v>
      </c>
      <c r="D836" s="5" t="str">
        <f ca="1">IFERROR(__xludf.DUMMYFUNCTION("""COMPUTED_VALUE"""),"CA")</f>
        <v>CA</v>
      </c>
      <c r="E836" s="5">
        <f ca="1">IFERROR(__xludf.DUMMYFUNCTION("""COMPUTED_VALUE"""),91406)</f>
        <v>91406</v>
      </c>
      <c r="F836" s="19">
        <f ca="1">IFERROR(__xludf.DUMMYFUNCTION("""COMPUTED_VALUE"""),10950)</f>
        <v>10950</v>
      </c>
      <c r="G836" s="19">
        <f ca="1">IFERROR(__xludf.DUMMYFUNCTION("""COMPUTED_VALUE"""),12950)</f>
        <v>12950</v>
      </c>
      <c r="H836" s="18">
        <f ca="1">IFERROR(__xludf.DUMMYFUNCTION("""COMPUTED_VALUE"""),45665)</f>
        <v>45665</v>
      </c>
      <c r="I836" s="5" t="str">
        <f ca="1">IFERROR(__xludf.DUMMYFUNCTION("""COMPUTED_VALUE"""),"Zillow")</f>
        <v>Zillow</v>
      </c>
      <c r="J836" s="25" t="str">
        <f ca="1">IFERROR(__xludf.DUMMYFUNCTION("""COMPUTED_VALUE"""),"https://www.zillow.com/homedetails/Van-Nuys-CA-91406/19953018_zpid/")</f>
        <v>https://www.zillow.com/homedetails/Van-Nuys-CA-91406/19953018_zpid/</v>
      </c>
      <c r="K836" s="5" t="str">
        <f ca="1">IFERROR(__xludf.DUMMYFUNCTION("""COMPUTED_VALUE"""),"Katy, Temporary Housing Inc")</f>
        <v>Katy, Temporary Housing Inc</v>
      </c>
      <c r="L836" s="5"/>
      <c r="M836" s="5"/>
      <c r="N836" s="5" t="str">
        <f ca="1">IFERROR(__xludf.DUMMYFUNCTION("""COMPUTED_VALUE"""),"https://drive.google.com/open?id=16woNTWfmRinovHoBoPJ1P8MEYs9zltrV, https://drive.google.com/open?id=1UPqfhwtCCejAuH8WTq0A4_PzZm75rqQt")</f>
        <v>https://drive.google.com/open?id=16woNTWfmRinovHoBoPJ1P8MEYs9zltrV, https://drive.google.com/open?id=1UPqfhwtCCejAuH8WTq0A4_PzZm75rqQt</v>
      </c>
      <c r="O836" s="5" t="str">
        <f ca="1">IFERROR(__xludf.DUMMYFUNCTION("""COMPUTED_VALUE"""),"NA")</f>
        <v>NA</v>
      </c>
      <c r="P836" s="5" t="str">
        <f ca="1">IFERROR(__xludf.DUMMYFUNCTION("""COMPUTED_VALUE"""),"(310) 938-8723")</f>
        <v>(310) 938-8723</v>
      </c>
      <c r="Q836" s="5"/>
      <c r="R836" s="5"/>
      <c r="S836" s="5"/>
      <c r="T836" s="5"/>
    </row>
    <row r="837" spans="1:20" ht="12.75">
      <c r="A837" s="24">
        <f ca="1">IFERROR(__xludf.DUMMYFUNCTION("""COMPUTED_VALUE"""),45671.6426826851)</f>
        <v>45671.642682685102</v>
      </c>
      <c r="B837" s="5" t="str">
        <f ca="1">IFERROR(__xludf.DUMMYFUNCTION("""COMPUTED_VALUE"""),"1123 4th Ave")</f>
        <v>1123 4th Ave</v>
      </c>
      <c r="C837" s="5" t="str">
        <f ca="1">IFERROR(__xludf.DUMMYFUNCTION("""COMPUTED_VALUE"""),"Los Angeles")</f>
        <v>Los Angeles</v>
      </c>
      <c r="D837" s="5" t="str">
        <f ca="1">IFERROR(__xludf.DUMMYFUNCTION("""COMPUTED_VALUE"""),"CA")</f>
        <v>CA</v>
      </c>
      <c r="E837" s="5">
        <f ca="1">IFERROR(__xludf.DUMMYFUNCTION("""COMPUTED_VALUE"""),90019)</f>
        <v>90019</v>
      </c>
      <c r="F837" s="19">
        <f ca="1">IFERROR(__xludf.DUMMYFUNCTION("""COMPUTED_VALUE"""),4200)</f>
        <v>4200</v>
      </c>
      <c r="G837" s="19">
        <f ca="1">IFERROR(__xludf.DUMMYFUNCTION("""COMPUTED_VALUE"""),5000)</f>
        <v>5000</v>
      </c>
      <c r="H837" s="18">
        <f ca="1">IFERROR(__xludf.DUMMYFUNCTION("""COMPUTED_VALUE"""),45671)</f>
        <v>45671</v>
      </c>
      <c r="I837" s="5" t="str">
        <f ca="1">IFERROR(__xludf.DUMMYFUNCTION("""COMPUTED_VALUE"""),"Zillow")</f>
        <v>Zillow</v>
      </c>
      <c r="J837" s="25" t="str">
        <f ca="1">IFERROR(__xludf.DUMMYFUNCTION("""COMPUTED_VALUE"""),"https://www.zillow.com/homedetails/1123-4th-Ave-Los-Angeles-CA-90019/2087193810_zpid/")</f>
        <v>https://www.zillow.com/homedetails/1123-4th-Ave-Los-Angeles-CA-90019/2087193810_zpid/</v>
      </c>
      <c r="K837" s="5"/>
      <c r="L837" s="5" t="str">
        <f ca="1">IFERROR(__xludf.DUMMYFUNCTION("""COMPUTED_VALUE"""),"David Kim")</f>
        <v>David Kim</v>
      </c>
      <c r="M837" s="5" t="str">
        <f ca="1">IFERROR(__xludf.DUMMYFUNCTION("""COMPUTED_VALUE"""),"EDGE CASE - property off market for 7 years")</f>
        <v>EDGE CASE - property off market for 7 years</v>
      </c>
      <c r="N837" s="5" t="str">
        <f ca="1">IFERROR(__xludf.DUMMYFUNCTION("""COMPUTED_VALUE"""),"https://drive.google.com/open?id=1W5xQW4rPM1Mz1sy4CGtfSjKZNZs-9Kt9, https://drive.google.com/open?id=1tFPVHuAwbmXTdrZmWFBJPv25OHcqtL8u")</f>
        <v>https://drive.google.com/open?id=1W5xQW4rPM1Mz1sy4CGtfSjKZNZs-9Kt9, https://drive.google.com/open?id=1tFPVHuAwbmXTdrZmWFBJPv25OHcqtL8u</v>
      </c>
      <c r="O837" s="5" t="str">
        <f ca="1">IFERROR(__xludf.DUMMYFUNCTION("""COMPUTED_VALUE"""),"NA")</f>
        <v>NA</v>
      </c>
      <c r="P837" s="5"/>
      <c r="Q837" s="5"/>
      <c r="R837" s="5" t="str">
        <f ca="1">IFERROR(__xludf.DUMMYFUNCTION("""COMPUTED_VALUE"""),"(213) 505-3028")</f>
        <v>(213) 505-3028</v>
      </c>
      <c r="S837" s="5"/>
      <c r="T837" s="5"/>
    </row>
    <row r="838" spans="1:20" ht="12.75">
      <c r="A838" s="24">
        <f ca="1">IFERROR(__xludf.DUMMYFUNCTION("""COMPUTED_VALUE"""),45671.6430806365)</f>
        <v>45671.643080636502</v>
      </c>
      <c r="B838" s="5" t="str">
        <f ca="1">IFERROR(__xludf.DUMMYFUNCTION("""COMPUTED_VALUE"""),"2928 Las Alturas St")</f>
        <v>2928 Las Alturas St</v>
      </c>
      <c r="C838" s="5" t="str">
        <f ca="1">IFERROR(__xludf.DUMMYFUNCTION("""COMPUTED_VALUE"""),"Los Angeles")</f>
        <v>Los Angeles</v>
      </c>
      <c r="D838" s="5" t="str">
        <f ca="1">IFERROR(__xludf.DUMMYFUNCTION("""COMPUTED_VALUE"""),"CA")</f>
        <v>CA</v>
      </c>
      <c r="E838" s="5">
        <f ca="1">IFERROR(__xludf.DUMMYFUNCTION("""COMPUTED_VALUE"""),90068)</f>
        <v>90068</v>
      </c>
      <c r="F838" s="19">
        <f ca="1">IFERROR(__xludf.DUMMYFUNCTION("""COMPUTED_VALUE"""),12000)</f>
        <v>12000</v>
      </c>
      <c r="G838" s="19">
        <f ca="1">IFERROR(__xludf.DUMMYFUNCTION("""COMPUTED_VALUE"""),24500)</f>
        <v>24500</v>
      </c>
      <c r="H838" s="18">
        <f ca="1">IFERROR(__xludf.DUMMYFUNCTION("""COMPUTED_VALUE"""),45671)</f>
        <v>45671</v>
      </c>
      <c r="I838" s="5" t="str">
        <f ca="1">IFERROR(__xludf.DUMMYFUNCTION("""COMPUTED_VALUE"""),"Trulia")</f>
        <v>Trulia</v>
      </c>
      <c r="J838" s="25" t="str">
        <f ca="1">IFERROR(__xludf.DUMMYFUNCTION("""COMPUTED_VALUE"""),"https://www.trulia.com/home/2928-las-alturas-st-los-angeles-ca-90068-20045443")</f>
        <v>https://www.trulia.com/home/2928-las-alturas-st-los-angeles-ca-90068-20045443</v>
      </c>
      <c r="K838" s="5" t="str">
        <f ca="1">IFERROR(__xludf.DUMMYFUNCTION("""COMPUTED_VALUE"""),"Lee D")</f>
        <v>Lee D</v>
      </c>
      <c r="L838" s="5"/>
      <c r="M838" s="5"/>
      <c r="N838" s="26" t="str">
        <f ca="1">IFERROR(__xludf.DUMMYFUNCTION("""COMPUTED_VALUE"""),"https://drive.google.com/open?id=1trPzVy7V-6n7Kct6UV12cpjGVjgcaj18")</f>
        <v>https://drive.google.com/open?id=1trPzVy7V-6n7Kct6UV12cpjGVjgcaj18</v>
      </c>
      <c r="O838" s="5" t="str">
        <f ca="1">IFERROR(__xludf.DUMMYFUNCTION("""COMPUTED_VALUE"""),"NA")</f>
        <v>NA</v>
      </c>
      <c r="P838" s="5" t="str">
        <f ca="1">IFERROR(__xludf.DUMMYFUNCTION("""COMPUTED_VALUE"""),"917-727-3623")</f>
        <v>917-727-3623</v>
      </c>
      <c r="Q838" s="5"/>
      <c r="R838" s="5"/>
      <c r="S838" s="5"/>
      <c r="T838" s="5"/>
    </row>
    <row r="839" spans="1:20" ht="12.75">
      <c r="A839" s="24">
        <f ca="1">IFERROR(__xludf.DUMMYFUNCTION("""COMPUTED_VALUE"""),45671.6449017361)</f>
        <v>45671.644901736101</v>
      </c>
      <c r="B839" s="5" t="str">
        <f ca="1">IFERROR(__xludf.DUMMYFUNCTION("""COMPUTED_VALUE"""),"2955 Passmore Dr")</f>
        <v>2955 Passmore Dr</v>
      </c>
      <c r="C839" s="5" t="str">
        <f ca="1">IFERROR(__xludf.DUMMYFUNCTION("""COMPUTED_VALUE"""),"Los Angeles")</f>
        <v>Los Angeles</v>
      </c>
      <c r="D839" s="5" t="str">
        <f ca="1">IFERROR(__xludf.DUMMYFUNCTION("""COMPUTED_VALUE"""),"CA")</f>
        <v>CA</v>
      </c>
      <c r="E839" s="5">
        <f ca="1">IFERROR(__xludf.DUMMYFUNCTION("""COMPUTED_VALUE"""),90068)</f>
        <v>90068</v>
      </c>
      <c r="F839" s="19">
        <f ca="1">IFERROR(__xludf.DUMMYFUNCTION("""COMPUTED_VALUE"""),40000)</f>
        <v>40000</v>
      </c>
      <c r="G839" s="19">
        <f ca="1">IFERROR(__xludf.DUMMYFUNCTION("""COMPUTED_VALUE"""),50000)</f>
        <v>50000</v>
      </c>
      <c r="H839" s="18">
        <f ca="1">IFERROR(__xludf.DUMMYFUNCTION("""COMPUTED_VALUE"""),45671)</f>
        <v>45671</v>
      </c>
      <c r="I839" s="5" t="str">
        <f ca="1">IFERROR(__xludf.DUMMYFUNCTION("""COMPUTED_VALUE"""),"Trulia")</f>
        <v>Trulia</v>
      </c>
      <c r="J839" s="25" t="str">
        <f ca="1">IFERROR(__xludf.DUMMYFUNCTION("""COMPUTED_VALUE"""),"https://www.trulia.com/home/2955-passmore-dr-los-angeles-ca-90068-20045194")</f>
        <v>https://www.trulia.com/home/2955-passmore-dr-los-angeles-ca-90068-20045194</v>
      </c>
      <c r="K839" s="5" t="str">
        <f ca="1">IFERROR(__xludf.DUMMYFUNCTION("""COMPUTED_VALUE"""),"May Arroyo - Premier Properties Realty Prof")</f>
        <v>May Arroyo - Premier Properties Realty Prof</v>
      </c>
      <c r="L839" s="5"/>
      <c r="M839" s="5"/>
      <c r="N839" s="26" t="str">
        <f ca="1">IFERROR(__xludf.DUMMYFUNCTION("""COMPUTED_VALUE"""),"https://drive.google.com/open?id=15JB6BYIA_Bhw2HKtBSJpvFnWZxrGR4xr")</f>
        <v>https://drive.google.com/open?id=15JB6BYIA_Bhw2HKtBSJpvFnWZxrGR4xr</v>
      </c>
      <c r="O839" s="5">
        <f ca="1">IFERROR(__xludf.DUMMYFUNCTION("""COMPUTED_VALUE"""),2427009018)</f>
        <v>2427009018</v>
      </c>
      <c r="P839" s="5" t="str">
        <f ca="1">IFERROR(__xludf.DUMMYFUNCTION("""COMPUTED_VALUE"""),"626-688-6888")</f>
        <v>626-688-6888</v>
      </c>
      <c r="Q839" s="5" t="str">
        <f ca="1">IFERROR(__xludf.DUMMYFUNCTION("""COMPUTED_VALUE"""),"may@premierproprealty.com")</f>
        <v>may@premierproprealty.com</v>
      </c>
      <c r="R839" s="5"/>
      <c r="S839" s="5"/>
      <c r="T839" s="5"/>
    </row>
    <row r="840" spans="1:20" ht="12.75">
      <c r="A840" s="24">
        <f ca="1">IFERROR(__xludf.DUMMYFUNCTION("""COMPUTED_VALUE"""),45671.6449852893)</f>
        <v>45671.644985289298</v>
      </c>
      <c r="B840" s="5" t="str">
        <f ca="1">IFERROR(__xludf.DUMMYFUNCTION("""COMPUTED_VALUE"""),"406 W Sierra Dr")</f>
        <v>406 W Sierra Dr</v>
      </c>
      <c r="C840" s="5" t="str">
        <f ca="1">IFERROR(__xludf.DUMMYFUNCTION("""COMPUTED_VALUE"""),"Santa Ana")</f>
        <v>Santa Ana</v>
      </c>
      <c r="D840" s="5" t="str">
        <f ca="1">IFERROR(__xludf.DUMMYFUNCTION("""COMPUTED_VALUE"""),"CA")</f>
        <v>CA</v>
      </c>
      <c r="E840" s="5">
        <f ca="1">IFERROR(__xludf.DUMMYFUNCTION("""COMPUTED_VALUE"""),92707)</f>
        <v>92707</v>
      </c>
      <c r="F840" s="19">
        <f ca="1">IFERROR(__xludf.DUMMYFUNCTION("""COMPUTED_VALUE"""),6800)</f>
        <v>6800</v>
      </c>
      <c r="G840" s="19">
        <f ca="1">IFERROR(__xludf.DUMMYFUNCTION("""COMPUTED_VALUE"""),12000)</f>
        <v>12000</v>
      </c>
      <c r="H840" s="18">
        <f ca="1">IFERROR(__xludf.DUMMYFUNCTION("""COMPUTED_VALUE"""),45671)</f>
        <v>45671</v>
      </c>
      <c r="I840" s="5" t="str">
        <f ca="1">IFERROR(__xludf.DUMMYFUNCTION("""COMPUTED_VALUE"""),"Zillow")</f>
        <v>Zillow</v>
      </c>
      <c r="J840" s="25" t="str">
        <f ca="1">IFERROR(__xludf.DUMMYFUNCTION("""COMPUTED_VALUE"""),"https://www.zillow.com/homedetails/406-W-Sierra-Dr-Santa-Ana-CA-92707/25456759_zpid/")</f>
        <v>https://www.zillow.com/homedetails/406-W-Sierra-Dr-Santa-Ana-CA-92707/25456759_zpid/</v>
      </c>
      <c r="K840" s="5" t="str">
        <f ca="1">IFERROR(__xludf.DUMMYFUNCTION("""COMPUTED_VALUE"""),"Brandon Hobbs, Arbor Real Estate")</f>
        <v>Brandon Hobbs, Arbor Real Estate</v>
      </c>
      <c r="L840" s="5"/>
      <c r="M840" s="5"/>
      <c r="N840" s="5" t="str">
        <f ca="1">IFERROR(__xludf.DUMMYFUNCTION("""COMPUTED_VALUE"""),"https://drive.google.com/open?id=14SlcFylFt-eweZNLhfOXA_jbAyLQ4bYh, https://drive.google.com/open?id=1Ds4se8UM02HmnKKxVLnkOGAljLug5XND, https://drive.google.com/open?id=1oFcqCYUIl8vtB55Ae6fKvflgH8MyXhMx")</f>
        <v>https://drive.google.com/open?id=14SlcFylFt-eweZNLhfOXA_jbAyLQ4bYh, https://drive.google.com/open?id=1Ds4se8UM02HmnKKxVLnkOGAljLug5XND, https://drive.google.com/open?id=1oFcqCYUIl8vtB55Ae6fKvflgH8MyXhMx</v>
      </c>
      <c r="O840" s="5">
        <f ca="1">IFERROR(__xludf.DUMMYFUNCTION("""COMPUTED_VALUE"""),41027133)</f>
        <v>41027133</v>
      </c>
      <c r="P840" s="5" t="str">
        <f ca="1">IFERROR(__xludf.DUMMYFUNCTION("""COMPUTED_VALUE"""),"(714) 765-9880")</f>
        <v>(714) 765-9880</v>
      </c>
      <c r="Q840" s="5"/>
      <c r="R840" s="5"/>
      <c r="S840" s="5"/>
      <c r="T840" s="5"/>
    </row>
    <row r="841" spans="1:20" ht="12.75">
      <c r="A841" s="24">
        <f ca="1">IFERROR(__xludf.DUMMYFUNCTION("""COMPUTED_VALUE"""),45671.647425625)</f>
        <v>45671.647425625</v>
      </c>
      <c r="B841" s="5" t="str">
        <f ca="1">IFERROR(__xludf.DUMMYFUNCTION("""COMPUTED_VALUE"""),"23621 Dunsmore Ln")</f>
        <v>23621 Dunsmore Ln</v>
      </c>
      <c r="C841" s="5" t="str">
        <f ca="1">IFERROR(__xludf.DUMMYFUNCTION("""COMPUTED_VALUE"""),"Santa Clarita")</f>
        <v>Santa Clarita</v>
      </c>
      <c r="D841" s="5" t="str">
        <f ca="1">IFERROR(__xludf.DUMMYFUNCTION("""COMPUTED_VALUE"""),"CA")</f>
        <v>CA</v>
      </c>
      <c r="E841" s="5">
        <f ca="1">IFERROR(__xludf.DUMMYFUNCTION("""COMPUTED_VALUE"""),91354)</f>
        <v>91354</v>
      </c>
      <c r="F841" s="19">
        <f ca="1">IFERROR(__xludf.DUMMYFUNCTION("""COMPUTED_VALUE"""),9900)</f>
        <v>9900</v>
      </c>
      <c r="G841" s="19">
        <f ca="1">IFERROR(__xludf.DUMMYFUNCTION("""COMPUTED_VALUE"""),12000)</f>
        <v>12000</v>
      </c>
      <c r="H841" s="18">
        <f ca="1">IFERROR(__xludf.DUMMYFUNCTION("""COMPUTED_VALUE"""),45671)</f>
        <v>45671</v>
      </c>
      <c r="I841" s="5" t="str">
        <f ca="1">IFERROR(__xludf.DUMMYFUNCTION("""COMPUTED_VALUE"""),"Zillow")</f>
        <v>Zillow</v>
      </c>
      <c r="J841" s="25" t="str">
        <f ca="1">IFERROR(__xludf.DUMMYFUNCTION("""COMPUTED_VALUE"""),"https://www.zillow.com/homedetails/23621-Dunsmore-Ln-Santa-Clarita-CA-91354/20195841_zpid/?utm_campaign=iosappmessage&amp;utm_medium=referral&amp;utm_source=txtshare")</f>
        <v>https://www.zillow.com/homedetails/23621-Dunsmore-Ln-Santa-Clarita-CA-91354/20195841_zpid/?utm_campaign=iosappmessage&amp;utm_medium=referral&amp;utm_source=txtshare</v>
      </c>
      <c r="K841" s="5" t="str">
        <f ca="1">IFERROR(__xludf.DUMMYFUNCTION("""COMPUTED_VALUE"""),"Daniel Faina - Williams Homes, Inc")</f>
        <v>Daniel Faina - Williams Homes, Inc</v>
      </c>
      <c r="L841" s="5" t="str">
        <f ca="1">IFERROR(__xludf.DUMMYFUNCTION("""COMPUTED_VALUE"""),"Daniel Faina - Williams Homes, Inc")</f>
        <v>Daniel Faina - Williams Homes, Inc</v>
      </c>
      <c r="M841" s="5"/>
      <c r="N841" s="5" t="str">
        <f ca="1">IFERROR(__xludf.DUMMYFUNCTION("""COMPUTED_VALUE"""),"https://drive.google.com/open?id=1mRak8tFhkGZ0Sips4eDPKYHO8-C3vbPp, https://drive.google.com/open?id=1qBSKub83H9CHpqWVoMNRYl2AGPB_a8rT, https://drive.google.com/open?id=1XtppcignBOfHmajYL2z2-lDBVM3Q_HWB, https://drive.google.com/open?id=1q3oGJGtDpdNj8-VWI"&amp;"2X5xY2o5kfvLiff")</f>
        <v>https://drive.google.com/open?id=1mRak8tFhkGZ0Sips4eDPKYHO8-C3vbPp, https://drive.google.com/open?id=1qBSKub83H9CHpqWVoMNRYl2AGPB_a8rT, https://drive.google.com/open?id=1XtppcignBOfHmajYL2z2-lDBVM3Q_HWB, https://drive.google.com/open?id=1q3oGJGtDpdNj8-VWI2X5xY2o5kfvLiff</v>
      </c>
      <c r="O841" s="5">
        <f ca="1">IFERROR(__xludf.DUMMYFUNCTION("""COMPUTED_VALUE"""),2811036001)</f>
        <v>2811036001</v>
      </c>
      <c r="P841" s="5" t="str">
        <f ca="1">IFERROR(__xludf.DUMMYFUNCTION("""COMPUTED_VALUE"""),"661-535-1707")</f>
        <v>661-535-1707</v>
      </c>
      <c r="Q841" s="5"/>
      <c r="R841" s="5" t="str">
        <f ca="1">IFERROR(__xludf.DUMMYFUNCTION("""COMPUTED_VALUE"""),"661-535-1707")</f>
        <v>661-535-1707</v>
      </c>
      <c r="S841" s="5"/>
      <c r="T841" s="5"/>
    </row>
    <row r="842" spans="1:20" ht="12.75">
      <c r="A842" s="24">
        <f ca="1">IFERROR(__xludf.DUMMYFUNCTION("""COMPUTED_VALUE"""),45671.6474292592)</f>
        <v>45671.647429259203</v>
      </c>
      <c r="B842" s="5" t="str">
        <f ca="1">IFERROR(__xludf.DUMMYFUNCTION("""COMPUTED_VALUE"""),"141 S La Peer Dr")</f>
        <v>141 S La Peer Dr</v>
      </c>
      <c r="C842" s="5" t="str">
        <f ca="1">IFERROR(__xludf.DUMMYFUNCTION("""COMPUTED_VALUE"""),"Beverly Hills")</f>
        <v>Beverly Hills</v>
      </c>
      <c r="D842" s="5" t="str">
        <f ca="1">IFERROR(__xludf.DUMMYFUNCTION("""COMPUTED_VALUE"""),"CA")</f>
        <v>CA</v>
      </c>
      <c r="E842" s="5">
        <f ca="1">IFERROR(__xludf.DUMMYFUNCTION("""COMPUTED_VALUE"""),90211)</f>
        <v>90211</v>
      </c>
      <c r="F842" s="19">
        <f ca="1">IFERROR(__xludf.DUMMYFUNCTION("""COMPUTED_VALUE"""),9000)</f>
        <v>9000</v>
      </c>
      <c r="G842" s="19">
        <f ca="1">IFERROR(__xludf.DUMMYFUNCTION("""COMPUTED_VALUE"""),10000)</f>
        <v>10000</v>
      </c>
      <c r="H842" s="18">
        <f ca="1">IFERROR(__xludf.DUMMYFUNCTION("""COMPUTED_VALUE"""),45671)</f>
        <v>45671</v>
      </c>
      <c r="I842" s="5" t="str">
        <f ca="1">IFERROR(__xludf.DUMMYFUNCTION("""COMPUTED_VALUE"""),"Zillow")</f>
        <v>Zillow</v>
      </c>
      <c r="J842" s="25" t="str">
        <f ca="1">IFERROR(__xludf.DUMMYFUNCTION("""COMPUTED_VALUE"""),"https://www.zillow.com/homedetails/141-S-La-Peer-Dr-Beverly-Hills-CA-90211/20513483_zpid/")</f>
        <v>https://www.zillow.com/homedetails/141-S-La-Peer-Dr-Beverly-Hills-CA-90211/20513483_zpid/</v>
      </c>
      <c r="K842" s="5" t="str">
        <f ca="1">IFERROR(__xludf.DUMMYFUNCTION("""COMPUTED_VALUE"""),"Vangelis Korasidis, Coldwell Banker Global Luxury")</f>
        <v>Vangelis Korasidis, Coldwell Banker Global Luxury</v>
      </c>
      <c r="L842" s="5"/>
      <c r="M842" s="5"/>
      <c r="N842" s="5" t="str">
        <f ca="1">IFERROR(__xludf.DUMMYFUNCTION("""COMPUTED_VALUE"""),"https://drive.google.com/open?id=1a1bjSItU3yrMZORiJsj2FWa3mJkpvMSI, https://drive.google.com/open?id=12sbImoAhcRQBAcSTx4U_r6HaMXYn7nMI, https://drive.google.com/open?id=1K5X16yzQHBxoGRo3eJMr0EvsFlvJnBQB")</f>
        <v>https://drive.google.com/open?id=1a1bjSItU3yrMZORiJsj2FWa3mJkpvMSI, https://drive.google.com/open?id=12sbImoAhcRQBAcSTx4U_r6HaMXYn7nMI, https://drive.google.com/open?id=1K5X16yzQHBxoGRo3eJMr0EvsFlvJnBQB</v>
      </c>
      <c r="O842" s="5">
        <f ca="1">IFERROR(__xludf.DUMMYFUNCTION("""COMPUTED_VALUE"""),4333001033)</f>
        <v>4333001033</v>
      </c>
      <c r="P842" s="5" t="str">
        <f ca="1">IFERROR(__xludf.DUMMYFUNCTION("""COMPUTED_VALUE"""),"(310) 247-1500")</f>
        <v>(310) 247-1500</v>
      </c>
      <c r="Q842" s="5"/>
      <c r="R842" s="5"/>
      <c r="S842" s="5"/>
      <c r="T842" s="5"/>
    </row>
    <row r="843" spans="1:20" ht="12.75">
      <c r="A843" s="24">
        <f ca="1">IFERROR(__xludf.DUMMYFUNCTION("""COMPUTED_VALUE"""),45671.648178993)</f>
        <v>45671.648178992997</v>
      </c>
      <c r="B843" s="5" t="str">
        <f ca="1">IFERROR(__xludf.DUMMYFUNCTION("""COMPUTED_VALUE"""),"1255 Federal Ave #407 ")</f>
        <v xml:space="preserve">1255 Federal Ave #407 </v>
      </c>
      <c r="C843" s="5" t="str">
        <f ca="1">IFERROR(__xludf.DUMMYFUNCTION("""COMPUTED_VALUE"""),"LA")</f>
        <v>LA</v>
      </c>
      <c r="D843" s="5" t="str">
        <f ca="1">IFERROR(__xludf.DUMMYFUNCTION("""COMPUTED_VALUE"""),"CA")</f>
        <v>CA</v>
      </c>
      <c r="E843" s="5">
        <f ca="1">IFERROR(__xludf.DUMMYFUNCTION("""COMPUTED_VALUE"""),90025)</f>
        <v>90025</v>
      </c>
      <c r="F843" s="19">
        <f ca="1">IFERROR(__xludf.DUMMYFUNCTION("""COMPUTED_VALUE"""),999999)</f>
        <v>999999</v>
      </c>
      <c r="G843" s="19">
        <f ca="1">IFERROR(__xludf.DUMMYFUNCTION("""COMPUTED_VALUE"""),1150000)</f>
        <v>1150000</v>
      </c>
      <c r="H843" s="18">
        <f ca="1">IFERROR(__xludf.DUMMYFUNCTION("""COMPUTED_VALUE"""),45671)</f>
        <v>45671</v>
      </c>
      <c r="I843" s="5" t="str">
        <f ca="1">IFERROR(__xludf.DUMMYFUNCTION("""COMPUTED_VALUE"""),"Zillow")</f>
        <v>Zillow</v>
      </c>
      <c r="J843" s="25" t="str">
        <f ca="1">IFERROR(__xludf.DUMMYFUNCTION("""COMPUTED_VALUE"""),"https://www.zillow.com/homedetails/1255-Federal-Ave-APT-407-Los-Angeles-CA-90025/20466832_zpid/")</f>
        <v>https://www.zillow.com/homedetails/1255-Federal-Ave-APT-407-Los-Angeles-CA-90025/20466832_zpid/</v>
      </c>
      <c r="K843" s="5" t="str">
        <f ca="1">IFERROR(__xludf.DUMMYFUNCTION("""COMPUTED_VALUE"""),"Amir Lashgari")</f>
        <v>Amir Lashgari</v>
      </c>
      <c r="L843" s="5"/>
      <c r="M843" s="5"/>
      <c r="N843" s="5" t="str">
        <f ca="1">IFERROR(__xludf.DUMMYFUNCTION("""COMPUTED_VALUE"""),"https://drive.google.com/open?id=1w-VWEOgvqQq72aE6PwaBx_fHZN8O5NSn, https://drive.google.com/open?id=1lA71KcZztcaThh3Hg4rfYEeJYWZqnmnH, https://drive.google.com/open?id=1OqRJw_-Xqo0qNJVAHmegEoYfGM2OyP4N")</f>
        <v>https://drive.google.com/open?id=1w-VWEOgvqQq72aE6PwaBx_fHZN8O5NSn, https://drive.google.com/open?id=1lA71KcZztcaThh3Hg4rfYEeJYWZqnmnH, https://drive.google.com/open?id=1OqRJw_-Xqo0qNJVAHmegEoYfGM2OyP4N</v>
      </c>
      <c r="O843" s="5">
        <f ca="1">IFERROR(__xludf.DUMMYFUNCTION("""COMPUTED_VALUE"""),4263013094)</f>
        <v>4263013094</v>
      </c>
      <c r="P843" s="5" t="str">
        <f ca="1">IFERROR(__xludf.DUMMYFUNCTION("""COMPUTED_VALUE"""),"310-482-2200")</f>
        <v>310-482-2200</v>
      </c>
      <c r="Q843" s="5" t="str">
        <f ca="1">IFERROR(__xludf.DUMMYFUNCTION("""COMPUTED_VALUE"""),"amirlash@kw.com")</f>
        <v>amirlash@kw.com</v>
      </c>
      <c r="R843" s="5"/>
      <c r="S843" s="5"/>
      <c r="T843" s="5"/>
    </row>
    <row r="844" spans="1:20" ht="12.75">
      <c r="A844" s="24">
        <f ca="1">IFERROR(__xludf.DUMMYFUNCTION("""COMPUTED_VALUE"""),45671.6497131481)</f>
        <v>45671.649713148101</v>
      </c>
      <c r="B844" s="5" t="str">
        <f ca="1">IFERROR(__xludf.DUMMYFUNCTION("""COMPUTED_VALUE"""),"3763 Lankershim Blvd")</f>
        <v>3763 Lankershim Blvd</v>
      </c>
      <c r="C844" s="5" t="str">
        <f ca="1">IFERROR(__xludf.DUMMYFUNCTION("""COMPUTED_VALUE"""),"Los Angeles")</f>
        <v>Los Angeles</v>
      </c>
      <c r="D844" s="5" t="str">
        <f ca="1">IFERROR(__xludf.DUMMYFUNCTION("""COMPUTED_VALUE"""),"CA")</f>
        <v>CA</v>
      </c>
      <c r="E844" s="5">
        <f ca="1">IFERROR(__xludf.DUMMYFUNCTION("""COMPUTED_VALUE"""),90068)</f>
        <v>90068</v>
      </c>
      <c r="F844" s="19">
        <f ca="1">IFERROR(__xludf.DUMMYFUNCTION("""COMPUTED_VALUE"""),14000)</f>
        <v>14000</v>
      </c>
      <c r="G844" s="19">
        <f ca="1">IFERROR(__xludf.DUMMYFUNCTION("""COMPUTED_VALUE"""),17900)</f>
        <v>17900</v>
      </c>
      <c r="H844" s="18">
        <f ca="1">IFERROR(__xludf.DUMMYFUNCTION("""COMPUTED_VALUE"""),45670)</f>
        <v>45670</v>
      </c>
      <c r="I844" s="5" t="str">
        <f ca="1">IFERROR(__xludf.DUMMYFUNCTION("""COMPUTED_VALUE"""),"Trulia")</f>
        <v>Trulia</v>
      </c>
      <c r="J844" s="25" t="str">
        <f ca="1">IFERROR(__xludf.DUMMYFUNCTION("""COMPUTED_VALUE"""),"https://www.trulia.com/home/3763-lankershim-blvd-los-angeles-ca-90068-20030296")</f>
        <v>https://www.trulia.com/home/3763-lankershim-blvd-los-angeles-ca-90068-20030296</v>
      </c>
      <c r="K844" s="5" t="str">
        <f ca="1">IFERROR(__xludf.DUMMYFUNCTION("""COMPUTED_VALUE"""),"DLS Estates")</f>
        <v>DLS Estates</v>
      </c>
      <c r="L844" s="5"/>
      <c r="M844" s="5"/>
      <c r="N844" s="26" t="str">
        <f ca="1">IFERROR(__xludf.DUMMYFUNCTION("""COMPUTED_VALUE"""),"https://drive.google.com/open?id=1Yz_il5FvBrEiHSYezXfksBveYeItWXZT")</f>
        <v>https://drive.google.com/open?id=1Yz_il5FvBrEiHSYezXfksBveYeItWXZT</v>
      </c>
      <c r="O844" s="5">
        <f ca="1">IFERROR(__xludf.DUMMYFUNCTION("""COMPUTED_VALUE"""),2378001015)</f>
        <v>2378001015</v>
      </c>
      <c r="P844" s="5" t="str">
        <f ca="1">IFERROR(__xludf.DUMMYFUNCTION("""COMPUTED_VALUE"""),"(310) 488-6081")</f>
        <v>(310) 488-6081</v>
      </c>
      <c r="Q844" s="5"/>
      <c r="R844" s="5"/>
      <c r="S844" s="5"/>
      <c r="T844" s="5"/>
    </row>
    <row r="845" spans="1:20" ht="12.75">
      <c r="A845" s="24">
        <f ca="1">IFERROR(__xludf.DUMMYFUNCTION("""COMPUTED_VALUE"""),45671.6513865046)</f>
        <v>45671.6513865046</v>
      </c>
      <c r="B845" s="5" t="str">
        <f ca="1">IFERROR(__xludf.DUMMYFUNCTION("""COMPUTED_VALUE"""),"1156 N. Orange Drive")</f>
        <v>1156 N. Orange Drive</v>
      </c>
      <c r="C845" s="5" t="str">
        <f ca="1">IFERROR(__xludf.DUMMYFUNCTION("""COMPUTED_VALUE"""),"Los Angeles")</f>
        <v>Los Angeles</v>
      </c>
      <c r="D845" s="5" t="str">
        <f ca="1">IFERROR(__xludf.DUMMYFUNCTION("""COMPUTED_VALUE"""),"CA")</f>
        <v>CA</v>
      </c>
      <c r="E845" s="5">
        <f ca="1">IFERROR(__xludf.DUMMYFUNCTION("""COMPUTED_VALUE"""),90038)</f>
        <v>90038</v>
      </c>
      <c r="F845" s="19">
        <f ca="1">IFERROR(__xludf.DUMMYFUNCTION("""COMPUTED_VALUE"""),6400)</f>
        <v>6400</v>
      </c>
      <c r="G845" s="19">
        <f ca="1">IFERROR(__xludf.DUMMYFUNCTION("""COMPUTED_VALUE"""),7000)</f>
        <v>7000</v>
      </c>
      <c r="H845" s="18">
        <f ca="1">IFERROR(__xludf.DUMMYFUNCTION("""COMPUTED_VALUE"""),45671)</f>
        <v>45671</v>
      </c>
      <c r="I845" s="5" t="str">
        <f ca="1">IFERROR(__xludf.DUMMYFUNCTION("""COMPUTED_VALUE"""),"Zillow")</f>
        <v>Zillow</v>
      </c>
      <c r="J845" s="25" t="str">
        <f ca="1">IFERROR(__xludf.DUMMYFUNCTION("""COMPUTED_VALUE"""),"https://www.zillow.com/homedetails/1156-N-Orange-Dr-Los-Angeles-CA-90038/338340809_zpid/")</f>
        <v>https://www.zillow.com/homedetails/1156-N-Orange-Dr-Los-Angeles-CA-90038/338340809_zpid/</v>
      </c>
      <c r="K845" s="5" t="str">
        <f ca="1">IFERROR(__xludf.DUMMYFUNCTION("""COMPUTED_VALUE"""),"Nomad")</f>
        <v>Nomad</v>
      </c>
      <c r="L845" s="5"/>
      <c r="M845" s="5" t="str">
        <f ca="1">IFERROR(__xludf.DUMMYFUNCTION("""COMPUTED_VALUE"""),"listed on 10/24 as  $6400, removed on 12/2 then relisted on 1/14 as $7k")</f>
        <v>listed on 10/24 as  $6400, removed on 12/2 then relisted on 1/14 as $7k</v>
      </c>
      <c r="N845" s="5" t="str">
        <f ca="1">IFERROR(__xludf.DUMMYFUNCTION("""COMPUTED_VALUE"""),"https://drive.google.com/open?id=1OdJOTdrWuBAGCjEm-JlrK1DJryB4f1UY, https://drive.google.com/open?id=1aV01FIboPX915PdIvmlrL-4Y8poXs08n")</f>
        <v>https://drive.google.com/open?id=1OdJOTdrWuBAGCjEm-JlrK1DJryB4f1UY, https://drive.google.com/open?id=1aV01FIboPX915PdIvmlrL-4Y8poXs08n</v>
      </c>
      <c r="O845" s="5">
        <f ca="1">IFERROR(__xludf.DUMMYFUNCTION("""COMPUTED_VALUE"""),5532017023)</f>
        <v>5532017023</v>
      </c>
      <c r="P845" s="5"/>
      <c r="Q845" s="5"/>
      <c r="R845" s="5"/>
      <c r="S845" s="5"/>
      <c r="T845" s="5"/>
    </row>
    <row r="846" spans="1:20" ht="12.75">
      <c r="A846" s="24">
        <f ca="1">IFERROR(__xludf.DUMMYFUNCTION("""COMPUTED_VALUE"""),45671.651453287)</f>
        <v>45671.651453286999</v>
      </c>
      <c r="B846" s="5" t="str">
        <f ca="1">IFERROR(__xludf.DUMMYFUNCTION("""COMPUTED_VALUE"""),"5041 Noeline Ave")</f>
        <v>5041 Noeline Ave</v>
      </c>
      <c r="C846" s="5" t="str">
        <f ca="1">IFERROR(__xludf.DUMMYFUNCTION("""COMPUTED_VALUE"""),"Encino")</f>
        <v>Encino</v>
      </c>
      <c r="D846" s="5" t="str">
        <f ca="1">IFERROR(__xludf.DUMMYFUNCTION("""COMPUTED_VALUE"""),"CA")</f>
        <v>CA</v>
      </c>
      <c r="E846" s="5">
        <f ca="1">IFERROR(__xludf.DUMMYFUNCTION("""COMPUTED_VALUE"""),91436)</f>
        <v>91436</v>
      </c>
      <c r="F846" s="19">
        <f ca="1">IFERROR(__xludf.DUMMYFUNCTION("""COMPUTED_VALUE"""),18000)</f>
        <v>18000</v>
      </c>
      <c r="G846" s="19">
        <f ca="1">IFERROR(__xludf.DUMMYFUNCTION("""COMPUTED_VALUE"""),25000)</f>
        <v>25000</v>
      </c>
      <c r="H846" s="18">
        <f ca="1">IFERROR(__xludf.DUMMYFUNCTION("""COMPUTED_VALUE"""),45666)</f>
        <v>45666</v>
      </c>
      <c r="I846" s="5" t="str">
        <f ca="1">IFERROR(__xludf.DUMMYFUNCTION("""COMPUTED_VALUE"""),"Zillow")</f>
        <v>Zillow</v>
      </c>
      <c r="J846" s="25" t="str">
        <f ca="1">IFERROR(__xludf.DUMMYFUNCTION("""COMPUTED_VALUE"""),"https://www.zillow.com/homedetails/5041-Noeline-Ave-Encino-CA-91436/19980566_zpid/")</f>
        <v>https://www.zillow.com/homedetails/5041-Noeline-Ave-Encino-CA-91436/19980566_zpid/</v>
      </c>
      <c r="K846" s="5" t="str">
        <f ca="1">IFERROR(__xludf.DUMMYFUNCTION("""COMPUTED_VALUE"""),"Ryan Sokolowski, Coastal Luxe Living ||Berkshire Hathaway - Los Angeles")</f>
        <v>Ryan Sokolowski, Coastal Luxe Living ||Berkshire Hathaway - Los Angeles</v>
      </c>
      <c r="L846" s="5"/>
      <c r="M846" s="5"/>
      <c r="N846" s="5" t="str">
        <f ca="1">IFERROR(__xludf.DUMMYFUNCTION("""COMPUTED_VALUE"""),"https://drive.google.com/open?id=1ACWo1kvwK-0oH8bZIk6AUGEZicuqaR9b, https://drive.google.com/open?id=1KIuTZDxbzCwxWuxQP8hqs249kasp2hSZ, https://drive.google.com/open?id=1cDhKclXMjCfAEBDo2E9A33VzqEt8H2nD")</f>
        <v>https://drive.google.com/open?id=1ACWo1kvwK-0oH8bZIk6AUGEZicuqaR9b, https://drive.google.com/open?id=1KIuTZDxbzCwxWuxQP8hqs249kasp2hSZ, https://drive.google.com/open?id=1cDhKclXMjCfAEBDo2E9A33VzqEt8H2nD</v>
      </c>
      <c r="O846" s="5">
        <f ca="1">IFERROR(__xludf.DUMMYFUNCTION("""COMPUTED_VALUE"""),2260005008)</f>
        <v>2260005008</v>
      </c>
      <c r="P846" s="5" t="str">
        <f ca="1">IFERROR(__xludf.DUMMYFUNCTION("""COMPUTED_VALUE"""),"(310) 344-0898")</f>
        <v>(310) 344-0898</v>
      </c>
      <c r="Q846" s="5"/>
      <c r="R846" s="5"/>
      <c r="S846" s="5"/>
      <c r="T846" s="5"/>
    </row>
    <row r="847" spans="1:20" ht="12.75">
      <c r="A847" s="24">
        <f ca="1">IFERROR(__xludf.DUMMYFUNCTION("""COMPUTED_VALUE"""),45671.6527642129)</f>
        <v>45671.6527642129</v>
      </c>
      <c r="B847" s="5" t="str">
        <f ca="1">IFERROR(__xludf.DUMMYFUNCTION("""COMPUTED_VALUE"""),"8262 Woodshill Trl")</f>
        <v>8262 Woodshill Trl</v>
      </c>
      <c r="C847" s="5" t="str">
        <f ca="1">IFERROR(__xludf.DUMMYFUNCTION("""COMPUTED_VALUE"""),"Los Angeles")</f>
        <v>Los Angeles</v>
      </c>
      <c r="D847" s="5" t="str">
        <f ca="1">IFERROR(__xludf.DUMMYFUNCTION("""COMPUTED_VALUE"""),"CA")</f>
        <v>CA</v>
      </c>
      <c r="E847" s="5">
        <f ca="1">IFERROR(__xludf.DUMMYFUNCTION("""COMPUTED_VALUE"""),90069)</f>
        <v>90069</v>
      </c>
      <c r="F847" s="19">
        <f ca="1">IFERROR(__xludf.DUMMYFUNCTION("""COMPUTED_VALUE"""),22995)</f>
        <v>22995</v>
      </c>
      <c r="G847" s="19">
        <f ca="1">IFERROR(__xludf.DUMMYFUNCTION("""COMPUTED_VALUE"""),29150)</f>
        <v>29150</v>
      </c>
      <c r="H847" s="18">
        <f ca="1">IFERROR(__xludf.DUMMYFUNCTION("""COMPUTED_VALUE"""),45671)</f>
        <v>45671</v>
      </c>
      <c r="I847" s="5" t="str">
        <f ca="1">IFERROR(__xludf.DUMMYFUNCTION("""COMPUTED_VALUE"""),"Zillow")</f>
        <v>Zillow</v>
      </c>
      <c r="J847" s="25" t="str">
        <f ca="1">IFERROR(__xludf.DUMMYFUNCTION("""COMPUTED_VALUE"""),"https://www.zillow.com/homedetails/8262-Woodshill-Trl-Los-Angeles-CA-90069/20797509_zpid/")</f>
        <v>https://www.zillow.com/homedetails/8262-Woodshill-Trl-Los-Angeles-CA-90069/20797509_zpid/</v>
      </c>
      <c r="K847" s="5" t="str">
        <f ca="1">IFERROR(__xludf.DUMMYFUNCTION("""COMPUTED_VALUE"""),"LA Luxuries Real Estate Agency")</f>
        <v>LA Luxuries Real Estate Agency</v>
      </c>
      <c r="L847" s="5"/>
      <c r="M847" s="5" t="str">
        <f ca="1">IFERROR(__xludf.DUMMYFUNCTION("""COMPUTED_VALUE"""),"rent on 6/23/24 was $26995, lowered on 1/2/25 to $22995, then raised to $29150.00")</f>
        <v>rent on 6/23/24 was $26995, lowered on 1/2/25 to $22995, then raised to $29150.00</v>
      </c>
      <c r="N847" s="5" t="str">
        <f ca="1">IFERROR(__xludf.DUMMYFUNCTION("""COMPUTED_VALUE"""),"https://drive.google.com/open?id=1PPup45lZtc_L2SRcVtbRM0zX_4ifFryS, https://drive.google.com/open?id=1UUMuFugFFaLMByYsY9-DA4Nx6YbOzGDm")</f>
        <v>https://drive.google.com/open?id=1PPup45lZtc_L2SRcVtbRM0zX_4ifFryS, https://drive.google.com/open?id=1UUMuFugFFaLMByYsY9-DA4Nx6YbOzGDm</v>
      </c>
      <c r="O847" s="5">
        <f ca="1">IFERROR(__xludf.DUMMYFUNCTION("""COMPUTED_VALUE"""),5555028013)</f>
        <v>5555028013</v>
      </c>
      <c r="P847" s="5">
        <f ca="1">IFERROR(__xludf.DUMMYFUNCTION("""COMPUTED_VALUE"""),2133205981)</f>
        <v>2133205981</v>
      </c>
      <c r="Q847" s="5"/>
      <c r="R847" s="5"/>
      <c r="S847" s="5"/>
      <c r="T847" s="5"/>
    </row>
    <row r="848" spans="1:20" ht="12.75">
      <c r="A848" s="24">
        <f ca="1">IFERROR(__xludf.DUMMYFUNCTION("""COMPUTED_VALUE"""),45671.6541468634)</f>
        <v>45671.654146863402</v>
      </c>
      <c r="B848" s="5" t="str">
        <f ca="1">IFERROR(__xludf.DUMMYFUNCTION("""COMPUTED_VALUE"""),"10364 Eastborne Ave")</f>
        <v>10364 Eastborne Ave</v>
      </c>
      <c r="C848" s="5" t="str">
        <f ca="1">IFERROR(__xludf.DUMMYFUNCTION("""COMPUTED_VALUE"""),"Los Angeles")</f>
        <v>Los Angeles</v>
      </c>
      <c r="D848" s="5" t="str">
        <f ca="1">IFERROR(__xludf.DUMMYFUNCTION("""COMPUTED_VALUE"""),"CA")</f>
        <v>CA</v>
      </c>
      <c r="E848" s="5">
        <f ca="1">IFERROR(__xludf.DUMMYFUNCTION("""COMPUTED_VALUE"""),90024)</f>
        <v>90024</v>
      </c>
      <c r="F848" s="19">
        <f ca="1">IFERROR(__xludf.DUMMYFUNCTION("""COMPUTED_VALUE"""),9950)</f>
        <v>9950</v>
      </c>
      <c r="G848" s="19">
        <f ca="1">IFERROR(__xludf.DUMMYFUNCTION("""COMPUTED_VALUE"""),18000)</f>
        <v>18000</v>
      </c>
      <c r="H848" s="18">
        <f ca="1">IFERROR(__xludf.DUMMYFUNCTION("""COMPUTED_VALUE"""),45671)</f>
        <v>45671</v>
      </c>
      <c r="I848" s="5" t="str">
        <f ca="1">IFERROR(__xludf.DUMMYFUNCTION("""COMPUTED_VALUE"""),"Zillow")</f>
        <v>Zillow</v>
      </c>
      <c r="J848" s="25" t="str">
        <f ca="1">IFERROR(__xludf.DUMMYFUNCTION("""COMPUTED_VALUE"""),"https://www.zillow.com/homedetails/10364-Eastborne-Ave-Los-Angeles-CA-90024/20507858_zpid/")</f>
        <v>https://www.zillow.com/homedetails/10364-Eastborne-Ave-Los-Angeles-CA-90024/20507858_zpid/</v>
      </c>
      <c r="K848" s="5" t="str">
        <f ca="1">IFERROR(__xludf.DUMMYFUNCTION("""COMPUTED_VALUE"""),"Ari Hoffman")</f>
        <v>Ari Hoffman</v>
      </c>
      <c r="L848" s="5"/>
      <c r="M848" s="5"/>
      <c r="N848" s="5" t="str">
        <f ca="1">IFERROR(__xludf.DUMMYFUNCTION("""COMPUTED_VALUE"""),"https://drive.google.com/open?id=1PQlWQOjhqHNC6bwndhyCKwuS1ESQGtcb, https://drive.google.com/open?id=1GaOVD-GH7BL14zpNwASyD48v3rhVgeiE, https://drive.google.com/open?id=1JHrwaptY9HwanWD8DYp9_5SNXFT_g-pA")</f>
        <v>https://drive.google.com/open?id=1PQlWQOjhqHNC6bwndhyCKwuS1ESQGtcb, https://drive.google.com/open?id=1GaOVD-GH7BL14zpNwASyD48v3rhVgeiE, https://drive.google.com/open?id=1JHrwaptY9HwanWD8DYp9_5SNXFT_g-pA</v>
      </c>
      <c r="O848" s="5">
        <f ca="1">IFERROR(__xludf.DUMMYFUNCTION("""COMPUTED_VALUE"""),4327007003)</f>
        <v>4327007003</v>
      </c>
      <c r="P848" s="5" t="str">
        <f ca="1">IFERROR(__xludf.DUMMYFUNCTION("""COMPUTED_VALUE"""),"(213) 642-2972")</f>
        <v>(213) 642-2972</v>
      </c>
      <c r="Q848" s="5"/>
      <c r="R848" s="5"/>
      <c r="S848" s="5"/>
      <c r="T848" s="5"/>
    </row>
    <row r="849" spans="1:20" ht="12.75">
      <c r="A849" s="24">
        <f ca="1">IFERROR(__xludf.DUMMYFUNCTION("""COMPUTED_VALUE"""),45671.6563990625)</f>
        <v>45671.6563990625</v>
      </c>
      <c r="B849" s="5" t="str">
        <f ca="1">IFERROR(__xludf.DUMMYFUNCTION("""COMPUTED_VALUE"""),"173 S Alta Vista Blvd")</f>
        <v>173 S Alta Vista Blvd</v>
      </c>
      <c r="C849" s="5" t="str">
        <f ca="1">IFERROR(__xludf.DUMMYFUNCTION("""COMPUTED_VALUE"""),"Los Angeles")</f>
        <v>Los Angeles</v>
      </c>
      <c r="D849" s="5" t="str">
        <f ca="1">IFERROR(__xludf.DUMMYFUNCTION("""COMPUTED_VALUE"""),"CA")</f>
        <v>CA</v>
      </c>
      <c r="E849" s="5">
        <f ca="1">IFERROR(__xludf.DUMMYFUNCTION("""COMPUTED_VALUE"""),90036)</f>
        <v>90036</v>
      </c>
      <c r="F849" s="19">
        <f ca="1">IFERROR(__xludf.DUMMYFUNCTION("""COMPUTED_VALUE"""),15000)</f>
        <v>15000</v>
      </c>
      <c r="G849" s="19">
        <f ca="1">IFERROR(__xludf.DUMMYFUNCTION("""COMPUTED_VALUE"""),16995)</f>
        <v>16995</v>
      </c>
      <c r="H849" s="18">
        <f ca="1">IFERROR(__xludf.DUMMYFUNCTION("""COMPUTED_VALUE"""),45671)</f>
        <v>45671</v>
      </c>
      <c r="I849" s="5" t="str">
        <f ca="1">IFERROR(__xludf.DUMMYFUNCTION("""COMPUTED_VALUE"""),"Zillow")</f>
        <v>Zillow</v>
      </c>
      <c r="J849" s="25" t="str">
        <f ca="1">IFERROR(__xludf.DUMMYFUNCTION("""COMPUTED_VALUE"""),"https://www.zillow.com/homedetails/173-S-Alta-Vista-Blvd-Los-Angeles-CA-90036/20777839_zpid/")</f>
        <v>https://www.zillow.com/homedetails/173-S-Alta-Vista-Blvd-Los-Angeles-CA-90036/20777839_zpid/</v>
      </c>
      <c r="K849" s="5" t="str">
        <f ca="1">IFERROR(__xludf.DUMMYFUNCTION("""COMPUTED_VALUE"""),"Ari Hoffman")</f>
        <v>Ari Hoffman</v>
      </c>
      <c r="L849" s="5"/>
      <c r="M849" s="5"/>
      <c r="N849" s="5" t="str">
        <f ca="1">IFERROR(__xludf.DUMMYFUNCTION("""COMPUTED_VALUE"""),"https://drive.google.com/open?id=1l_S0Ess25yzmXkRHfWRmIMmaiVAZgQUj, https://drive.google.com/open?id=1HWw-umHrUQYOJKPSVzCLgu_ADeRm9JuD, https://drive.google.com/open?id=17mbXbcxV0pFCtpxJD700GN-G2bmQtQXR")</f>
        <v>https://drive.google.com/open?id=1l_S0Ess25yzmXkRHfWRmIMmaiVAZgQUj, https://drive.google.com/open?id=1HWw-umHrUQYOJKPSVzCLgu_ADeRm9JuD, https://drive.google.com/open?id=17mbXbcxV0pFCtpxJD700GN-G2bmQtQXR</v>
      </c>
      <c r="O849" s="5">
        <f ca="1">IFERROR(__xludf.DUMMYFUNCTION("""COMPUTED_VALUE"""),5512021002)</f>
        <v>5512021002</v>
      </c>
      <c r="P849" s="5" t="str">
        <f ca="1">IFERROR(__xludf.DUMMYFUNCTION("""COMPUTED_VALUE"""),"(213) 786-8731")</f>
        <v>(213) 786-8731</v>
      </c>
      <c r="Q849" s="5"/>
      <c r="R849" s="5"/>
      <c r="S849" s="5"/>
      <c r="T849" s="5"/>
    </row>
    <row r="850" spans="1:20" ht="12.75">
      <c r="A850" s="24">
        <f ca="1">IFERROR(__xludf.DUMMYFUNCTION("""COMPUTED_VALUE"""),45671.6573877893)</f>
        <v>45671.657387789302</v>
      </c>
      <c r="B850" s="5" t="str">
        <f ca="1">IFERROR(__xludf.DUMMYFUNCTION("""COMPUTED_VALUE"""),"5107 11th Ave")</f>
        <v>5107 11th Ave</v>
      </c>
      <c r="C850" s="5" t="str">
        <f ca="1">IFERROR(__xludf.DUMMYFUNCTION("""COMPUTED_VALUE"""),"Los Angeles")</f>
        <v>Los Angeles</v>
      </c>
      <c r="D850" s="5" t="str">
        <f ca="1">IFERROR(__xludf.DUMMYFUNCTION("""COMPUTED_VALUE"""),"CA")</f>
        <v>CA</v>
      </c>
      <c r="E850" s="5">
        <f ca="1">IFERROR(__xludf.DUMMYFUNCTION("""COMPUTED_VALUE"""),90043)</f>
        <v>90043</v>
      </c>
      <c r="F850" s="19">
        <f ca="1">IFERROR(__xludf.DUMMYFUNCTION("""COMPUTED_VALUE"""),6800)</f>
        <v>6800</v>
      </c>
      <c r="G850" s="19">
        <f ca="1">IFERROR(__xludf.DUMMYFUNCTION("""COMPUTED_VALUE"""),8000)</f>
        <v>8000</v>
      </c>
      <c r="H850" s="18">
        <f ca="1">IFERROR(__xludf.DUMMYFUNCTION("""COMPUTED_VALUE"""),45671)</f>
        <v>45671</v>
      </c>
      <c r="I850" s="5" t="str">
        <f ca="1">IFERROR(__xludf.DUMMYFUNCTION("""COMPUTED_VALUE"""),"Zillow")</f>
        <v>Zillow</v>
      </c>
      <c r="J850" s="25" t="str">
        <f ca="1">IFERROR(__xludf.DUMMYFUNCTION("""COMPUTED_VALUE"""),"https://www.zillow.com/homedetails/5107-11th-Ave-Los-Angeles-CA-90043/20567993_zpid/")</f>
        <v>https://www.zillow.com/homedetails/5107-11th-Ave-Los-Angeles-CA-90043/20567993_zpid/</v>
      </c>
      <c r="K850" s="5" t="str">
        <f ca="1">IFERROR(__xludf.DUMMYFUNCTION("""COMPUTED_VALUE"""),"KEVIN TRUONG")</f>
        <v>KEVIN TRUONG</v>
      </c>
      <c r="L850" s="5"/>
      <c r="M850" s="5"/>
      <c r="N850" s="5" t="str">
        <f ca="1">IFERROR(__xludf.DUMMYFUNCTION("""COMPUTED_VALUE"""),"https://drive.google.com/open?id=1XBVugHbP1vvAIjFasVCjHufDVcIqgsQH, https://drive.google.com/open?id=1SzvLEve9nw0S-Z9L1WVofcxj41M5q8za")</f>
        <v>https://drive.google.com/open?id=1XBVugHbP1vvAIjFasVCjHufDVcIqgsQH, https://drive.google.com/open?id=1SzvLEve9nw0S-Z9L1WVofcxj41M5q8za</v>
      </c>
      <c r="O850" s="5">
        <f ca="1">IFERROR(__xludf.DUMMYFUNCTION("""COMPUTED_VALUE"""),5013019025)</f>
        <v>5013019025</v>
      </c>
      <c r="P850" s="5" t="str">
        <f ca="1">IFERROR(__xludf.DUMMYFUNCTION("""COMPUTED_VALUE"""),"(626) 282-9228")</f>
        <v>(626) 282-9228</v>
      </c>
      <c r="Q850" s="5"/>
      <c r="R850" s="5"/>
      <c r="S850" s="5"/>
      <c r="T850" s="5"/>
    </row>
    <row r="851" spans="1:20" ht="12.75">
      <c r="A851" s="24">
        <f ca="1">IFERROR(__xludf.DUMMYFUNCTION("""COMPUTED_VALUE"""),45671.6594202546)</f>
        <v>45671.659420254597</v>
      </c>
      <c r="B851" s="5" t="str">
        <f ca="1">IFERROR(__xludf.DUMMYFUNCTION("""COMPUTED_VALUE"""),"6740 Colgate Ave")</f>
        <v>6740 Colgate Ave</v>
      </c>
      <c r="C851" s="5" t="str">
        <f ca="1">IFERROR(__xludf.DUMMYFUNCTION("""COMPUTED_VALUE"""),"Los Angeles")</f>
        <v>Los Angeles</v>
      </c>
      <c r="D851" s="5" t="str">
        <f ca="1">IFERROR(__xludf.DUMMYFUNCTION("""COMPUTED_VALUE"""),"CA")</f>
        <v>CA</v>
      </c>
      <c r="E851" s="5">
        <f ca="1">IFERROR(__xludf.DUMMYFUNCTION("""COMPUTED_VALUE"""),90048)</f>
        <v>90048</v>
      </c>
      <c r="F851" s="19">
        <f ca="1">IFERROR(__xludf.DUMMYFUNCTION("""COMPUTED_VALUE"""),6500)</f>
        <v>6500</v>
      </c>
      <c r="G851" s="19">
        <f ca="1">IFERROR(__xludf.DUMMYFUNCTION("""COMPUTED_VALUE"""),10000)</f>
        <v>10000</v>
      </c>
      <c r="H851" s="18">
        <f ca="1">IFERROR(__xludf.DUMMYFUNCTION("""COMPUTED_VALUE"""),45667)</f>
        <v>45667</v>
      </c>
      <c r="I851" s="5" t="str">
        <f ca="1">IFERROR(__xludf.DUMMYFUNCTION("""COMPUTED_VALUE"""),"Zillow")</f>
        <v>Zillow</v>
      </c>
      <c r="J851" s="25" t="str">
        <f ca="1">IFERROR(__xludf.DUMMYFUNCTION("""COMPUTED_VALUE"""),"https://www.zillow.com/homedetails/6740-Colgate-Ave-Los-Angeles-CA-90048/20776032_zpid/")</f>
        <v>https://www.zillow.com/homedetails/6740-Colgate-Ave-Los-Angeles-CA-90048/20776032_zpid/</v>
      </c>
      <c r="K851" s="5" t="str">
        <f ca="1">IFERROR(__xludf.DUMMYFUNCTION("""COMPUTED_VALUE"""),"Michael Yadegari at Royal Realty Inc")</f>
        <v>Michael Yadegari at Royal Realty Inc</v>
      </c>
      <c r="L851" s="5"/>
      <c r="M851" s="5"/>
      <c r="N851" s="5" t="str">
        <f ca="1">IFERROR(__xludf.DUMMYFUNCTION("""COMPUTED_VALUE"""),"https://drive.google.com/open?id=1gcn16CQQYGGGlZ0JYYENcL-bxQqvCbQ6, https://drive.google.com/open?id=17R49LcAboB_aF1pcuWl6jSLTAQ8uLNwC")</f>
        <v>https://drive.google.com/open?id=1gcn16CQQYGGGlZ0JYYENcL-bxQqvCbQ6, https://drive.google.com/open?id=17R49LcAboB_aF1pcuWl6jSLTAQ8uLNwC</v>
      </c>
      <c r="O851" s="5">
        <f ca="1">IFERROR(__xludf.DUMMYFUNCTION("""COMPUTED_VALUE"""),5510005014)</f>
        <v>5510005014</v>
      </c>
      <c r="P851" s="5" t="str">
        <f ca="1">IFERROR(__xludf.DUMMYFUNCTION("""COMPUTED_VALUE"""),"(310) 779-9327")</f>
        <v>(310) 779-9327</v>
      </c>
      <c r="Q851" s="5"/>
      <c r="R851" s="5"/>
      <c r="S851" s="5"/>
      <c r="T851" s="5"/>
    </row>
    <row r="852" spans="1:20" ht="12.75">
      <c r="A852" s="24">
        <f ca="1">IFERROR(__xludf.DUMMYFUNCTION("""COMPUTED_VALUE"""),45671.6611492592)</f>
        <v>45671.661149259198</v>
      </c>
      <c r="B852" s="5" t="str">
        <f ca="1">IFERROR(__xludf.DUMMYFUNCTION("""COMPUTED_VALUE"""),"4256 Rosario Rd")</f>
        <v>4256 Rosario Rd</v>
      </c>
      <c r="C852" s="5" t="str">
        <f ca="1">IFERROR(__xludf.DUMMYFUNCTION("""COMPUTED_VALUE"""),"Woodland Hills")</f>
        <v>Woodland Hills</v>
      </c>
      <c r="D852" s="5" t="str">
        <f ca="1">IFERROR(__xludf.DUMMYFUNCTION("""COMPUTED_VALUE"""),"CA")</f>
        <v>CA</v>
      </c>
      <c r="E852" s="5">
        <f ca="1">IFERROR(__xludf.DUMMYFUNCTION("""COMPUTED_VALUE"""),91364)</f>
        <v>91364</v>
      </c>
      <c r="F852" s="19">
        <f ca="1">IFERROR(__xludf.DUMMYFUNCTION("""COMPUTED_VALUE"""),7999)</f>
        <v>7999</v>
      </c>
      <c r="G852" s="19">
        <f ca="1">IFERROR(__xludf.DUMMYFUNCTION("""COMPUTED_VALUE"""),6999)</f>
        <v>6999</v>
      </c>
      <c r="H852" s="18">
        <f ca="1">IFERROR(__xludf.DUMMYFUNCTION("""COMPUTED_VALUE"""),45666)</f>
        <v>45666</v>
      </c>
      <c r="I852" s="5" t="str">
        <f ca="1">IFERROR(__xludf.DUMMYFUNCTION("""COMPUTED_VALUE"""),"Zillow")</f>
        <v>Zillow</v>
      </c>
      <c r="J852" s="25" t="str">
        <f ca="1">IFERROR(__xludf.DUMMYFUNCTION("""COMPUTED_VALUE"""),"https://www.zillow.com/homedetails/4256-Rosario-Rd-Woodland-Hills-CA-91364/19945259_zpid/")</f>
        <v>https://www.zillow.com/homedetails/4256-Rosario-Rd-Woodland-Hills-CA-91364/19945259_zpid/</v>
      </c>
      <c r="K852" s="5" t="str">
        <f ca="1">IFERROR(__xludf.DUMMYFUNCTION("""COMPUTED_VALUE"""),"Yuriy at Century 21 Everest")</f>
        <v>Yuriy at Century 21 Everest</v>
      </c>
      <c r="L852" s="5"/>
      <c r="M852" s="5"/>
      <c r="N852" s="5" t="str">
        <f ca="1">IFERROR(__xludf.DUMMYFUNCTION("""COMPUTED_VALUE"""),"https://drive.google.com/open?id=150En5WQs5zI_3xnD01X-2xYjWVz86q5X, https://drive.google.com/open?id=1C3c5xwAZhvn1Zd7KyvVnoIVo9eg6MJ9H")</f>
        <v>https://drive.google.com/open?id=150En5WQs5zI_3xnD01X-2xYjWVz86q5X, https://drive.google.com/open?id=1C3c5xwAZhvn1Zd7KyvVnoIVo9eg6MJ9H</v>
      </c>
      <c r="O852" s="5">
        <f ca="1">IFERROR(__xludf.DUMMYFUNCTION("""COMPUTED_VALUE"""),2172031007)</f>
        <v>2172031007</v>
      </c>
      <c r="P852" s="5" t="str">
        <f ca="1">IFERROR(__xludf.DUMMYFUNCTION("""COMPUTED_VALUE"""),"(818) 486-8558")</f>
        <v>(818) 486-8558</v>
      </c>
      <c r="Q852" s="5"/>
      <c r="R852" s="5"/>
      <c r="S852" s="5"/>
      <c r="T852" s="5"/>
    </row>
    <row r="853" spans="1:20" ht="12.75">
      <c r="A853" s="24">
        <f ca="1">IFERROR(__xludf.DUMMYFUNCTION("""COMPUTED_VALUE"""),45671.6625477083)</f>
        <v>45671.6625477083</v>
      </c>
      <c r="B853" s="5" t="str">
        <f ca="1">IFERROR(__xludf.DUMMYFUNCTION("""COMPUTED_VALUE"""),"6132 Maryland Dr")</f>
        <v>6132 Maryland Dr</v>
      </c>
      <c r="C853" s="5" t="str">
        <f ca="1">IFERROR(__xludf.DUMMYFUNCTION("""COMPUTED_VALUE"""),"Los Angeles")</f>
        <v>Los Angeles</v>
      </c>
      <c r="D853" s="5" t="str">
        <f ca="1">IFERROR(__xludf.DUMMYFUNCTION("""COMPUTED_VALUE"""),"CA")</f>
        <v>CA</v>
      </c>
      <c r="E853" s="5">
        <f ca="1">IFERROR(__xludf.DUMMYFUNCTION("""COMPUTED_VALUE"""),90048)</f>
        <v>90048</v>
      </c>
      <c r="F853" s="19">
        <f ca="1">IFERROR(__xludf.DUMMYFUNCTION("""COMPUTED_VALUE"""),26000)</f>
        <v>26000</v>
      </c>
      <c r="G853" s="19">
        <f ca="1">IFERROR(__xludf.DUMMYFUNCTION("""COMPUTED_VALUE"""),29995)</f>
        <v>29995</v>
      </c>
      <c r="H853" s="18">
        <f ca="1">IFERROR(__xludf.DUMMYFUNCTION("""COMPUTED_VALUE"""),45671)</f>
        <v>45671</v>
      </c>
      <c r="I853" s="5" t="str">
        <f ca="1">IFERROR(__xludf.DUMMYFUNCTION("""COMPUTED_VALUE"""),"Zillow")</f>
        <v>Zillow</v>
      </c>
      <c r="J853" s="25" t="str">
        <f ca="1">IFERROR(__xludf.DUMMYFUNCTION("""COMPUTED_VALUE"""),"https://www.zillow.com/homedetails/6132-Maryland-Dr-Los-Angeles-CA-90048/20776444_zpid/")</f>
        <v>https://www.zillow.com/homedetails/6132-Maryland-Dr-Los-Angeles-CA-90048/20776444_zpid/</v>
      </c>
      <c r="K853" s="5" t="str">
        <f ca="1">IFERROR(__xludf.DUMMYFUNCTION("""COMPUTED_VALUE"""),"Ari Hoffman")</f>
        <v>Ari Hoffman</v>
      </c>
      <c r="L853" s="5"/>
      <c r="M853" s="5"/>
      <c r="N853" s="5" t="str">
        <f ca="1">IFERROR(__xludf.DUMMYFUNCTION("""COMPUTED_VALUE"""),"https://drive.google.com/open?id=1GXXzBRMu6evf8mgSmiyHACGCOR9227nz, https://drive.google.com/open?id=1eGFceBaC2SBMe9IeKGd4z3h5h0TxaOSC, https://drive.google.com/open?id=1k-dFVlTyHFAjOLVpLSI4eY6pclCxk1Im")</f>
        <v>https://drive.google.com/open?id=1GXXzBRMu6evf8mgSmiyHACGCOR9227nz, https://drive.google.com/open?id=1eGFceBaC2SBMe9IeKGd4z3h5h0TxaOSC, https://drive.google.com/open?id=1k-dFVlTyHFAjOLVpLSI4eY6pclCxk1Im</v>
      </c>
      <c r="O853" s="5">
        <f ca="1">IFERROR(__xludf.DUMMYFUNCTION("""COMPUTED_VALUE"""),5510018029)</f>
        <v>5510018029</v>
      </c>
      <c r="P853" s="5" t="str">
        <f ca="1">IFERROR(__xludf.DUMMYFUNCTION("""COMPUTED_VALUE"""),"(213) 714-3934")</f>
        <v>(213) 714-3934</v>
      </c>
      <c r="Q853" s="5"/>
      <c r="R853" s="5"/>
      <c r="S853" s="5"/>
      <c r="T853" s="5"/>
    </row>
    <row r="854" spans="1:20" ht="12.75">
      <c r="A854" s="24">
        <f ca="1">IFERROR(__xludf.DUMMYFUNCTION("""COMPUTED_VALUE"""),45671.6638595833)</f>
        <v>45671.663859583299</v>
      </c>
      <c r="B854" s="5" t="str">
        <f ca="1">IFERROR(__xludf.DUMMYFUNCTION("""COMPUTED_VALUE"""),"5247 Calatrana Dr")</f>
        <v>5247 Calatrana Dr</v>
      </c>
      <c r="C854" s="5" t="str">
        <f ca="1">IFERROR(__xludf.DUMMYFUNCTION("""COMPUTED_VALUE"""),"Woodland Hills")</f>
        <v>Woodland Hills</v>
      </c>
      <c r="D854" s="5" t="str">
        <f ca="1">IFERROR(__xludf.DUMMYFUNCTION("""COMPUTED_VALUE"""),"CA")</f>
        <v>CA</v>
      </c>
      <c r="E854" s="5">
        <f ca="1">IFERROR(__xludf.DUMMYFUNCTION("""COMPUTED_VALUE"""),91364)</f>
        <v>91364</v>
      </c>
      <c r="F854" s="19">
        <f ca="1">IFERROR(__xludf.DUMMYFUNCTION("""COMPUTED_VALUE"""),7450)</f>
        <v>7450</v>
      </c>
      <c r="G854" s="19">
        <f ca="1">IFERROR(__xludf.DUMMYFUNCTION("""COMPUTED_VALUE"""),8500)</f>
        <v>8500</v>
      </c>
      <c r="H854" s="18">
        <f ca="1">IFERROR(__xludf.DUMMYFUNCTION("""COMPUTED_VALUE"""),45671)</f>
        <v>45671</v>
      </c>
      <c r="I854" s="5" t="str">
        <f ca="1">IFERROR(__xludf.DUMMYFUNCTION("""COMPUTED_VALUE"""),"Zillow")</f>
        <v>Zillow</v>
      </c>
      <c r="J854" s="25" t="str">
        <f ca="1">IFERROR(__xludf.DUMMYFUNCTION("""COMPUTED_VALUE"""),"https://www.zillow.com/homedetails/5247-Calatrana-Dr-Woodland-Hills-CA-91364/19942811_zpid/")</f>
        <v>https://www.zillow.com/homedetails/5247-Calatrana-Dr-Woodland-Hills-CA-91364/19942811_zpid/</v>
      </c>
      <c r="K854" s="5" t="str">
        <f ca="1">IFERROR(__xludf.DUMMYFUNCTION("""COMPUTED_VALUE"""),"CBPM")</f>
        <v>CBPM</v>
      </c>
      <c r="L854" s="5"/>
      <c r="M854" s="5"/>
      <c r="N854" s="5" t="str">
        <f ca="1">IFERROR(__xludf.DUMMYFUNCTION("""COMPUTED_VALUE"""),"https://drive.google.com/open?id=1qHWTQWoYb-XuiNqnmhlvp58zrd_irQHH, https://drive.google.com/open?id=12HZChAn02nxlGNGK6BCnSqwQUXRPhVLR")</f>
        <v>https://drive.google.com/open?id=1qHWTQWoYb-XuiNqnmhlvp58zrd_irQHH, https://drive.google.com/open?id=12HZChAn02nxlGNGK6BCnSqwQUXRPhVLR</v>
      </c>
      <c r="O854" s="5">
        <f ca="1">IFERROR(__xludf.DUMMYFUNCTION("""COMPUTED_VALUE"""),2168016069)</f>
        <v>2168016069</v>
      </c>
      <c r="P854" s="5" t="str">
        <f ca="1">IFERROR(__xludf.DUMMYFUNCTION("""COMPUTED_VALUE"""),"(818) 404-7573")</f>
        <v>(818) 404-7573</v>
      </c>
      <c r="Q854" s="5"/>
      <c r="R854" s="5"/>
      <c r="S854" s="5"/>
      <c r="T854" s="5"/>
    </row>
    <row r="855" spans="1:20" ht="12.75">
      <c r="A855" s="24">
        <f ca="1">IFERROR(__xludf.DUMMYFUNCTION("""COMPUTED_VALUE"""),45671.6644896064)</f>
        <v>45671.664489606403</v>
      </c>
      <c r="B855" s="5" t="str">
        <f ca="1">IFERROR(__xludf.DUMMYFUNCTION("""COMPUTED_VALUE"""),"2606 James M Wood Blvd")</f>
        <v>2606 James M Wood Blvd</v>
      </c>
      <c r="C855" s="5" t="str">
        <f ca="1">IFERROR(__xludf.DUMMYFUNCTION("""COMPUTED_VALUE"""),"Los Angeles")</f>
        <v>Los Angeles</v>
      </c>
      <c r="D855" s="5" t="str">
        <f ca="1">IFERROR(__xludf.DUMMYFUNCTION("""COMPUTED_VALUE"""),"CA")</f>
        <v>CA</v>
      </c>
      <c r="E855" s="5">
        <f ca="1">IFERROR(__xludf.DUMMYFUNCTION("""COMPUTED_VALUE"""),90006)</f>
        <v>90006</v>
      </c>
      <c r="F855" s="19">
        <f ca="1">IFERROR(__xludf.DUMMYFUNCTION("""COMPUTED_VALUE"""),4750)</f>
        <v>4750</v>
      </c>
      <c r="G855" s="19">
        <f ca="1">IFERROR(__xludf.DUMMYFUNCTION("""COMPUTED_VALUE"""),5500)</f>
        <v>5500</v>
      </c>
      <c r="H855" s="18">
        <f ca="1">IFERROR(__xludf.DUMMYFUNCTION("""COMPUTED_VALUE"""),45668)</f>
        <v>45668</v>
      </c>
      <c r="I855" s="5" t="str">
        <f ca="1">IFERROR(__xludf.DUMMYFUNCTION("""COMPUTED_VALUE"""),"Zillow")</f>
        <v>Zillow</v>
      </c>
      <c r="J855" s="25" t="str">
        <f ca="1">IFERROR(__xludf.DUMMYFUNCTION("""COMPUTED_VALUE"""),"https://www.zillow.com/homedetails/2606-James-M-Wood-Blvd-Los-Angeles-CA-90006/302797427_zpid/")</f>
        <v>https://www.zillow.com/homedetails/2606-James-M-Wood-Blvd-Los-Angeles-CA-90006/302797427_zpid/</v>
      </c>
      <c r="K855" s="5" t="str">
        <f ca="1">IFERROR(__xludf.DUMMYFUNCTION("""COMPUTED_VALUE"""),"Alexis Kim")</f>
        <v>Alexis Kim</v>
      </c>
      <c r="L855" s="5"/>
      <c r="M855" s="5" t="str">
        <f ca="1">IFERROR(__xludf.DUMMYFUNCTION("""COMPUTED_VALUE"""),"The price gouging increase isn't listed/amended on the Zillow listing, HOWEVER, on the Google doc of rental properties available going around, it's listed for $5,500. https://docs.google.com/spreadsheets/d/1TNNyf-B4iWVPixM2Kghw6V919O3maoqr-IM6Gjh8ves/html"&amp;"view# Tab: West Hollywood / Hancock Park / Mid-City/Hollywood Line 30 (Koreatown or search by address: 2606 James M. Wood)")</f>
        <v>The price gouging increase isn't listed/amended on the Zillow listing, HOWEVER, on the Google doc of rental properties available going around, it's listed for $5,500. https://docs.google.com/spreadsheets/d/1TNNyf-B4iWVPixM2Kghw6V919O3maoqr-IM6Gjh8ves/htmlview# Tab: West Hollywood / Hancock Park / Mid-City/Hollywood Line 30 (Koreatown or search by address: 2606 James M. Wood)</v>
      </c>
      <c r="N855" s="5" t="str">
        <f ca="1">IFERROR(__xludf.DUMMYFUNCTION("""COMPUTED_VALUE"""),"https://drive.google.com/open?id=1pKgJ8-HqTrTTEn3kMkxGJzrmd81CPuQf, https://drive.google.com/open?id=1lzOZXQPvxaM8DrExphWcuAfxYzqvH29Z")</f>
        <v>https://drive.google.com/open?id=1pKgJ8-HqTrTTEn3kMkxGJzrmd81CPuQf, https://drive.google.com/open?id=1lzOZXQPvxaM8DrExphWcuAfxYzqvH29Z</v>
      </c>
      <c r="O855" s="5">
        <f ca="1">IFERROR(__xludf.DUMMYFUNCTION("""COMPUTED_VALUE"""),5077027026)</f>
        <v>5077027026</v>
      </c>
      <c r="P855" s="5" t="str">
        <f ca="1">IFERROR(__xludf.DUMMYFUNCTION("""COMPUTED_VALUE"""),"(213) 200-5882")</f>
        <v>(213) 200-5882</v>
      </c>
      <c r="Q855" s="5"/>
      <c r="R855" s="5"/>
      <c r="S855" s="5"/>
      <c r="T855" s="5"/>
    </row>
    <row r="856" spans="1:20" ht="12.75">
      <c r="A856" s="24">
        <f ca="1">IFERROR(__xludf.DUMMYFUNCTION("""COMPUTED_VALUE"""),45671.6648983449)</f>
        <v>45671.664898344898</v>
      </c>
      <c r="B856" s="5" t="str">
        <f ca="1">IFERROR(__xludf.DUMMYFUNCTION("""COMPUTED_VALUE"""),"7901 Berger Ave")</f>
        <v>7901 Berger Ave</v>
      </c>
      <c r="C856" s="5" t="str">
        <f ca="1">IFERROR(__xludf.DUMMYFUNCTION("""COMPUTED_VALUE"""),"Playa Del Rey")</f>
        <v>Playa Del Rey</v>
      </c>
      <c r="D856" s="5" t="str">
        <f ca="1">IFERROR(__xludf.DUMMYFUNCTION("""COMPUTED_VALUE"""),"CA")</f>
        <v>CA</v>
      </c>
      <c r="E856" s="5">
        <f ca="1">IFERROR(__xludf.DUMMYFUNCTION("""COMPUTED_VALUE"""),90293)</f>
        <v>90293</v>
      </c>
      <c r="F856" s="19">
        <f ca="1">IFERROR(__xludf.DUMMYFUNCTION("""COMPUTED_VALUE"""),15000)</f>
        <v>15000</v>
      </c>
      <c r="G856" s="19">
        <f ca="1">IFERROR(__xludf.DUMMYFUNCTION("""COMPUTED_VALUE"""),17000)</f>
        <v>17000</v>
      </c>
      <c r="H856" s="18">
        <f ca="1">IFERROR(__xludf.DUMMYFUNCTION("""COMPUTED_VALUE"""),45671)</f>
        <v>45671</v>
      </c>
      <c r="I856" s="5" t="str">
        <f ca="1">IFERROR(__xludf.DUMMYFUNCTION("""COMPUTED_VALUE"""),"Zillow")</f>
        <v>Zillow</v>
      </c>
      <c r="J856" s="25" t="str">
        <f ca="1">IFERROR(__xludf.DUMMYFUNCTION("""COMPUTED_VALUE"""),"https://www.zillow.com/homedetails/7901-Berger-Ave-Playa-Del-Rey-CA-90293/20384884_zpid/")</f>
        <v>https://www.zillow.com/homedetails/7901-Berger-Ave-Playa-Del-Rey-CA-90293/20384884_zpid/</v>
      </c>
      <c r="K856" s="5" t="str">
        <f ca="1">IFERROR(__xludf.DUMMYFUNCTION("""COMPUTED_VALUE"""),"Vida Mahrouyan, Coldwell Banker Realty")</f>
        <v>Vida Mahrouyan, Coldwell Banker Realty</v>
      </c>
      <c r="L856" s="5" t="str">
        <f ca="1">IFERROR(__xludf.DUMMYFUNCTION("""COMPUTED_VALUE"""),"Vida Mahrouyan")</f>
        <v>Vida Mahrouyan</v>
      </c>
      <c r="M856" s="5"/>
      <c r="N856" s="5" t="str">
        <f ca="1">IFERROR(__xludf.DUMMYFUNCTION("""COMPUTED_VALUE"""),"https://drive.google.com/open?id=1EESu41AgNQ3CQt3OAUz1CR7zLJ1aSyOD, https://drive.google.com/open?id=1AOVmC4S4lmU9BNc3TLlfnOewEw9yuT2O, https://drive.google.com/open?id=13nm1sRt96FhAYzfYgPv4FfNaW9GZbSO3")</f>
        <v>https://drive.google.com/open?id=1EESu41AgNQ3CQt3OAUz1CR7zLJ1aSyOD, https://drive.google.com/open?id=1AOVmC4S4lmU9BNc3TLlfnOewEw9yuT2O, https://drive.google.com/open?id=13nm1sRt96FhAYzfYgPv4FfNaW9GZbSO3</v>
      </c>
      <c r="O856" s="5">
        <f ca="1">IFERROR(__xludf.DUMMYFUNCTION("""COMPUTED_VALUE"""),4114008015)</f>
        <v>4114008015</v>
      </c>
      <c r="P856" s="5" t="str">
        <f ca="1">IFERROR(__xludf.DUMMYFUNCTION("""COMPUTED_VALUE"""),"(310) 869-8787")</f>
        <v>(310) 869-8787</v>
      </c>
      <c r="Q856" s="5"/>
      <c r="R856" s="5" t="str">
        <f ca="1">IFERROR(__xludf.DUMMYFUNCTION("""COMPUTED_VALUE"""),"(310) 869-8787")</f>
        <v>(310) 869-8787</v>
      </c>
      <c r="S856" s="5"/>
      <c r="T856" s="5"/>
    </row>
    <row r="857" spans="1:20" ht="12.75">
      <c r="A857" s="24">
        <f ca="1">IFERROR(__xludf.DUMMYFUNCTION("""COMPUTED_VALUE"""),45671.6659245254)</f>
        <v>45671.665924525398</v>
      </c>
      <c r="B857" s="5" t="str">
        <f ca="1">IFERROR(__xludf.DUMMYFUNCTION("""COMPUTED_VALUE"""),"1831 Federal Ave, Unit 11")</f>
        <v>1831 Federal Ave, Unit 11</v>
      </c>
      <c r="C857" s="5" t="str">
        <f ca="1">IFERROR(__xludf.DUMMYFUNCTION("""COMPUTED_VALUE"""),"Los Angeles")</f>
        <v>Los Angeles</v>
      </c>
      <c r="D857" s="5" t="str">
        <f ca="1">IFERROR(__xludf.DUMMYFUNCTION("""COMPUTED_VALUE"""),"CA")</f>
        <v>CA</v>
      </c>
      <c r="E857" s="5">
        <f ca="1">IFERROR(__xludf.DUMMYFUNCTION("""COMPUTED_VALUE"""),90025)</f>
        <v>90025</v>
      </c>
      <c r="F857" s="19">
        <f ca="1">IFERROR(__xludf.DUMMYFUNCTION("""COMPUTED_VALUE"""),1295)</f>
        <v>1295</v>
      </c>
      <c r="G857" s="19">
        <f ca="1">IFERROR(__xludf.DUMMYFUNCTION("""COMPUTED_VALUE"""),1500)</f>
        <v>1500</v>
      </c>
      <c r="H857" s="18">
        <f ca="1">IFERROR(__xludf.DUMMYFUNCTION("""COMPUTED_VALUE"""),45671)</f>
        <v>45671</v>
      </c>
      <c r="I857" s="5" t="str">
        <f ca="1">IFERROR(__xludf.DUMMYFUNCTION("""COMPUTED_VALUE"""),"Zillow")</f>
        <v>Zillow</v>
      </c>
      <c r="J857" s="25" t="str">
        <f ca="1">IFERROR(__xludf.DUMMYFUNCTION("""COMPUTED_VALUE"""),"https://www.zillow.com/homedetails/1831-Federal-Ave-11-Los-Angeles-CA-90025/2077855757_zpid/")</f>
        <v>https://www.zillow.com/homedetails/1831-Federal-Ave-11-Los-Angeles-CA-90025/2077855757_zpid/</v>
      </c>
      <c r="K857" s="5" t="str">
        <f ca="1">IFERROR(__xludf.DUMMYFUNCTION("""COMPUTED_VALUE"""),"Dylan Mantay")</f>
        <v>Dylan Mantay</v>
      </c>
      <c r="L857" s="5" t="str">
        <f ca="1">IFERROR(__xludf.DUMMYFUNCTION("""COMPUTED_VALUE"""),"HighPoint Real Estate")</f>
        <v>HighPoint Real Estate</v>
      </c>
      <c r="M857" s="5" t="str">
        <f ca="1">IFERROR(__xludf.DUMMYFUNCTION("""COMPUTED_VALUE"""),"Link to listing on HP's site: https://www.highpointcre.com/listings/detail/cb489460-b2cf-4501-a3f8-941f893ad8d3")</f>
        <v>Link to listing on HP's site: https://www.highpointcre.com/listings/detail/cb489460-b2cf-4501-a3f8-941f893ad8d3</v>
      </c>
      <c r="N857" s="5" t="str">
        <f ca="1">IFERROR(__xludf.DUMMYFUNCTION("""COMPUTED_VALUE"""),"https://drive.google.com/open?id=1n-MRn8OMi8GxvpISo9Gr5rhRWVF6EtMP, https://drive.google.com/open?id=10lbVkzxxQcKsorJFcKWC_8x97gsz_vro, https://drive.google.com/open?id=1qL1-660wVNw5a1C2m5f7CDq_-yFkssRY, https://drive.google.com/open?id=1_ipuOKon71q0HgDO6"&amp;"g7SaJ1mRXYJqpl4")</f>
        <v>https://drive.google.com/open?id=1n-MRn8OMi8GxvpISo9Gr5rhRWVF6EtMP, https://drive.google.com/open?id=10lbVkzxxQcKsorJFcKWC_8x97gsz_vro, https://drive.google.com/open?id=1qL1-660wVNw5a1C2m5f7CDq_-yFkssRY, https://drive.google.com/open?id=1_ipuOKon71q0HgDO6g7SaJ1mRXYJqpl4</v>
      </c>
      <c r="O857" s="5" t="str">
        <f ca="1">IFERROR(__xludf.DUMMYFUNCTION("""COMPUTED_VALUE"""),"NA")</f>
        <v>NA</v>
      </c>
      <c r="P857" s="5" t="str">
        <f ca="1">IFERROR(__xludf.DUMMYFUNCTION("""COMPUTED_VALUE"""),"(310) 881-8670")</f>
        <v>(310) 881-8670</v>
      </c>
      <c r="Q857" s="5" t="str">
        <f ca="1">IFERROR(__xludf.DUMMYFUNCTION("""COMPUTED_VALUE"""),"Hello@HighPointCRE.com")</f>
        <v>Hello@HighPointCRE.com</v>
      </c>
      <c r="R857" s="5" t="str">
        <f ca="1">IFERROR(__xludf.DUMMYFUNCTION("""COMPUTED_VALUE"""),"(310) 691-2090")</f>
        <v>(310) 691-2090</v>
      </c>
      <c r="S857" s="5" t="str">
        <f ca="1">IFERROR(__xludf.DUMMYFUNCTION("""COMPUTED_VALUE"""),"management@HighPointCRE.com")</f>
        <v>management@HighPointCRE.com</v>
      </c>
      <c r="T857" s="5"/>
    </row>
    <row r="858" spans="1:20" ht="12.75">
      <c r="A858" s="24">
        <f ca="1">IFERROR(__xludf.DUMMYFUNCTION("""COMPUTED_VALUE"""),45671.6681519907)</f>
        <v>45671.6681519907</v>
      </c>
      <c r="B858" s="5" t="str">
        <f ca="1">IFERROR(__xludf.DUMMYFUNCTION("""COMPUTED_VALUE"""),"10214 Candleberry Ln")</f>
        <v>10214 Candleberry Ln</v>
      </c>
      <c r="C858" s="5" t="str">
        <f ca="1">IFERROR(__xludf.DUMMYFUNCTION("""COMPUTED_VALUE"""),"Northridge")</f>
        <v>Northridge</v>
      </c>
      <c r="D858" s="5" t="str">
        <f ca="1">IFERROR(__xludf.DUMMYFUNCTION("""COMPUTED_VALUE"""),"CA")</f>
        <v>CA</v>
      </c>
      <c r="E858" s="5">
        <f ca="1">IFERROR(__xludf.DUMMYFUNCTION("""COMPUTED_VALUE"""),91324)</f>
        <v>91324</v>
      </c>
      <c r="F858" s="19">
        <f ca="1">IFERROR(__xludf.DUMMYFUNCTION("""COMPUTED_VALUE"""),15900)</f>
        <v>15900</v>
      </c>
      <c r="G858" s="19">
        <f ca="1">IFERROR(__xludf.DUMMYFUNCTION("""COMPUTED_VALUE"""),19900)</f>
        <v>19900</v>
      </c>
      <c r="H858" s="18">
        <f ca="1">IFERROR(__xludf.DUMMYFUNCTION("""COMPUTED_VALUE"""),45671)</f>
        <v>45671</v>
      </c>
      <c r="I858" s="5" t="str">
        <f ca="1">IFERROR(__xludf.DUMMYFUNCTION("""COMPUTED_VALUE"""),"Zillow")</f>
        <v>Zillow</v>
      </c>
      <c r="J858" s="25" t="str">
        <f ca="1">IFERROR(__xludf.DUMMYFUNCTION("""COMPUTED_VALUE"""),"https://www.zillow.com/homedetails/10214-Candleberry-Ln-Northridge-CA-91324/20167392_zpid/")</f>
        <v>https://www.zillow.com/homedetails/10214-Candleberry-Ln-Northridge-CA-91324/20167392_zpid/</v>
      </c>
      <c r="K858" s="5" t="str">
        <f ca="1">IFERROR(__xludf.DUMMYFUNCTION("""COMPUTED_VALUE"""),"Anna Elikuchukyan, Pinnacle Estate Properties, Inc")</f>
        <v>Anna Elikuchukyan, Pinnacle Estate Properties, Inc</v>
      </c>
      <c r="L858" s="5"/>
      <c r="M858" s="5"/>
      <c r="N858" s="5" t="str">
        <f ca="1">IFERROR(__xludf.DUMMYFUNCTION("""COMPUTED_VALUE"""),"https://drive.google.com/open?id=1FrFjtTz50jURiWm7zFGH5xK0ew3UY9yf, https://drive.google.com/open?id=1d18hIKpxZORxhSQIALxyISjoaUmLL4ov, https://drive.google.com/open?id=1wG5xONJYRd0LUQYti_S0EUluMAvVIHlc")</f>
        <v>https://drive.google.com/open?id=1FrFjtTz50jURiWm7zFGH5xK0ew3UY9yf, https://drive.google.com/open?id=1d18hIKpxZORxhSQIALxyISjoaUmLL4ov, https://drive.google.com/open?id=1wG5xONJYRd0LUQYti_S0EUluMAvVIHlc</v>
      </c>
      <c r="O858" s="5">
        <f ca="1">IFERROR(__xludf.DUMMYFUNCTION("""COMPUTED_VALUE"""),2729027040)</f>
        <v>2729027040</v>
      </c>
      <c r="P858" s="5" t="str">
        <f ca="1">IFERROR(__xludf.DUMMYFUNCTION("""COMPUTED_VALUE"""),"(818) 281-8643")</f>
        <v>(818) 281-8643</v>
      </c>
      <c r="Q858" s="5"/>
      <c r="R858" s="5"/>
      <c r="S858" s="5"/>
      <c r="T858" s="5"/>
    </row>
    <row r="859" spans="1:20" ht="12.75">
      <c r="A859" s="24">
        <f ca="1">IFERROR(__xludf.DUMMYFUNCTION("""COMPUTED_VALUE"""),45671.6705781597)</f>
        <v>45671.670578159697</v>
      </c>
      <c r="B859" s="5" t="str">
        <f ca="1">IFERROR(__xludf.DUMMYFUNCTION("""COMPUTED_VALUE"""),"817 N Whittier Dr")</f>
        <v>817 N Whittier Dr</v>
      </c>
      <c r="C859" s="5" t="str">
        <f ca="1">IFERROR(__xludf.DUMMYFUNCTION("""COMPUTED_VALUE"""),"Beverly Hills")</f>
        <v>Beverly Hills</v>
      </c>
      <c r="D859" s="5" t="str">
        <f ca="1">IFERROR(__xludf.DUMMYFUNCTION("""COMPUTED_VALUE"""),"CA")</f>
        <v>CA</v>
      </c>
      <c r="E859" s="5">
        <f ca="1">IFERROR(__xludf.DUMMYFUNCTION("""COMPUTED_VALUE"""),90210)</f>
        <v>90210</v>
      </c>
      <c r="F859" s="19">
        <f ca="1">IFERROR(__xludf.DUMMYFUNCTION("""COMPUTED_VALUE"""),150000)</f>
        <v>150000</v>
      </c>
      <c r="G859" s="19">
        <f ca="1">IFERROR(__xludf.DUMMYFUNCTION("""COMPUTED_VALUE"""),195000)</f>
        <v>195000</v>
      </c>
      <c r="H859" s="18">
        <f ca="1">IFERROR(__xludf.DUMMYFUNCTION("""COMPUTED_VALUE"""),45671)</f>
        <v>45671</v>
      </c>
      <c r="I859" s="5" t="str">
        <f ca="1">IFERROR(__xludf.DUMMYFUNCTION("""COMPUTED_VALUE"""),"Zillow")</f>
        <v>Zillow</v>
      </c>
      <c r="J859" s="25" t="str">
        <f ca="1">IFERROR(__xludf.DUMMYFUNCTION("""COMPUTED_VALUE"""),"https://www.zillow.com/homedetails/817-N-Whittier-Dr-Beverly-Hills-CA-90210/20521923_zpid/")</f>
        <v>https://www.zillow.com/homedetails/817-N-Whittier-Dr-Beverly-Hills-CA-90210/20521923_zpid/</v>
      </c>
      <c r="K859" s="5" t="str">
        <f ca="1">IFERROR(__xludf.DUMMYFUNCTION("""COMPUTED_VALUE"""),"Carlo Tabibi, Moon Realty")</f>
        <v>Carlo Tabibi, Moon Realty</v>
      </c>
      <c r="L859" s="5"/>
      <c r="M859" s="5"/>
      <c r="N859" s="5" t="str">
        <f ca="1">IFERROR(__xludf.DUMMYFUNCTION("""COMPUTED_VALUE"""),"https://drive.google.com/open?id=1R5RWwDhM_0xXzfjTqh53pZq0pM9jF0rW, https://drive.google.com/open?id=1VwHvsmiFQLM0GlLgehkNNSVo-d-ls_Kb, https://drive.google.com/open?id=11fHgIwbQaJ7tw17xFvH0v85qs9fAYLk-")</f>
        <v>https://drive.google.com/open?id=1R5RWwDhM_0xXzfjTqh53pZq0pM9jF0rW, https://drive.google.com/open?id=1VwHvsmiFQLM0GlLgehkNNSVo-d-ls_Kb, https://drive.google.com/open?id=11fHgIwbQaJ7tw17xFvH0v85qs9fAYLk-</v>
      </c>
      <c r="O859" s="5">
        <f ca="1">IFERROR(__xludf.DUMMYFUNCTION("""COMPUTED_VALUE"""),4345034006)</f>
        <v>4345034006</v>
      </c>
      <c r="P859" s="5" t="str">
        <f ca="1">IFERROR(__xludf.DUMMYFUNCTION("""COMPUTED_VALUE"""),"(310) 666-8884")</f>
        <v>(310) 666-8884</v>
      </c>
      <c r="Q859" s="5"/>
      <c r="R859" s="5"/>
      <c r="S859" s="5"/>
      <c r="T859" s="5"/>
    </row>
    <row r="860" spans="1:20" ht="12.75">
      <c r="A860" s="24">
        <f ca="1">IFERROR(__xludf.DUMMYFUNCTION("""COMPUTED_VALUE"""),45671.6751252083)</f>
        <v>45671.675125208298</v>
      </c>
      <c r="B860" s="5" t="str">
        <f ca="1">IFERROR(__xludf.DUMMYFUNCTION("""COMPUTED_VALUE"""),"1808 Paseo Del Mar")</f>
        <v>1808 Paseo Del Mar</v>
      </c>
      <c r="C860" s="5" t="str">
        <f ca="1">IFERROR(__xludf.DUMMYFUNCTION("""COMPUTED_VALUE"""),"Palos Verdes Estates")</f>
        <v>Palos Verdes Estates</v>
      </c>
      <c r="D860" s="5" t="str">
        <f ca="1">IFERROR(__xludf.DUMMYFUNCTION("""COMPUTED_VALUE"""),"CA")</f>
        <v>CA</v>
      </c>
      <c r="E860" s="5">
        <f ca="1">IFERROR(__xludf.DUMMYFUNCTION("""COMPUTED_VALUE"""),90274)</f>
        <v>90274</v>
      </c>
      <c r="F860" s="19">
        <f ca="1">IFERROR(__xludf.DUMMYFUNCTION("""COMPUTED_VALUE"""),15000)</f>
        <v>15000</v>
      </c>
      <c r="G860" s="19">
        <f ca="1">IFERROR(__xludf.DUMMYFUNCTION("""COMPUTED_VALUE"""),17500)</f>
        <v>17500</v>
      </c>
      <c r="H860" s="18">
        <f ca="1">IFERROR(__xludf.DUMMYFUNCTION("""COMPUTED_VALUE"""),45671)</f>
        <v>45671</v>
      </c>
      <c r="I860" s="5" t="str">
        <f ca="1">IFERROR(__xludf.DUMMYFUNCTION("""COMPUTED_VALUE"""),"Zillow")</f>
        <v>Zillow</v>
      </c>
      <c r="J860" s="25" t="str">
        <f ca="1">IFERROR(__xludf.DUMMYFUNCTION("""COMPUTED_VALUE"""),"https://www.zillow.com/homedetails/1808-Paseo-Del-Mar-Palos-Verdes-Estates-CA-90274/21341208_zpid/")</f>
        <v>https://www.zillow.com/homedetails/1808-Paseo-Del-Mar-Palos-Verdes-Estates-CA-90274/21341208_zpid/</v>
      </c>
      <c r="K860" s="5" t="str">
        <f ca="1">IFERROR(__xludf.DUMMYFUNCTION("""COMPUTED_VALUE"""),"Lily Liang, Strand Hill Christie's International")</f>
        <v>Lily Liang, Strand Hill Christie's International</v>
      </c>
      <c r="L860" s="5"/>
      <c r="M860" s="5"/>
      <c r="N860" s="5" t="str">
        <f ca="1">IFERROR(__xludf.DUMMYFUNCTION("""COMPUTED_VALUE"""),"https://drive.google.com/open?id=1cty56SZlyAbTalHfcVYmBZnI9HrHn-Wn, https://drive.google.com/open?id=1l3Jp4iJwN8z9AG66CkX0Rntb9vicMnsB, https://drive.google.com/open?id=1DrBLnBohHm_9Q36OT9hNkWdGAIJrXo-0")</f>
        <v>https://drive.google.com/open?id=1cty56SZlyAbTalHfcVYmBZnI9HrHn-Wn, https://drive.google.com/open?id=1l3Jp4iJwN8z9AG66CkX0Rntb9vicMnsB, https://drive.google.com/open?id=1DrBLnBohHm_9Q36OT9hNkWdGAIJrXo-0</v>
      </c>
      <c r="O860" s="5">
        <f ca="1">IFERROR(__xludf.DUMMYFUNCTION("""COMPUTED_VALUE"""),7542007022)</f>
        <v>7542007022</v>
      </c>
      <c r="P860" s="5" t="str">
        <f ca="1">IFERROR(__xludf.DUMMYFUNCTION("""COMPUTED_VALUE"""),"(310) 373-3333")</f>
        <v>(310) 373-3333</v>
      </c>
      <c r="Q860" s="5"/>
      <c r="R860" s="5"/>
      <c r="S860" s="5"/>
      <c r="T860" s="5"/>
    </row>
    <row r="861" spans="1:20" ht="12.75">
      <c r="A861" s="24">
        <f ca="1">IFERROR(__xludf.DUMMYFUNCTION("""COMPUTED_VALUE"""),45671.6755024768)</f>
        <v>45671.675502476799</v>
      </c>
      <c r="B861" s="5" t="str">
        <f ca="1">IFERROR(__xludf.DUMMYFUNCTION("""COMPUTED_VALUE"""),"20955 Marmora St")</f>
        <v>20955 Marmora St</v>
      </c>
      <c r="C861" s="5" t="str">
        <f ca="1">IFERROR(__xludf.DUMMYFUNCTION("""COMPUTED_VALUE"""),"Woodland Hills")</f>
        <v>Woodland Hills</v>
      </c>
      <c r="D861" s="5" t="str">
        <f ca="1">IFERROR(__xludf.DUMMYFUNCTION("""COMPUTED_VALUE"""),"CA")</f>
        <v>CA</v>
      </c>
      <c r="E861" s="5">
        <f ca="1">IFERROR(__xludf.DUMMYFUNCTION("""COMPUTED_VALUE"""),91364)</f>
        <v>91364</v>
      </c>
      <c r="F861" s="19">
        <f ca="1">IFERROR(__xludf.DUMMYFUNCTION("""COMPUTED_VALUE"""),5500)</f>
        <v>5500</v>
      </c>
      <c r="G861" s="19">
        <f ca="1">IFERROR(__xludf.DUMMYFUNCTION("""COMPUTED_VALUE"""),8500)</f>
        <v>8500</v>
      </c>
      <c r="H861" s="18">
        <f ca="1">IFERROR(__xludf.DUMMYFUNCTION("""COMPUTED_VALUE"""),45666)</f>
        <v>45666</v>
      </c>
      <c r="I861" s="5" t="str">
        <f ca="1">IFERROR(__xludf.DUMMYFUNCTION("""COMPUTED_VALUE"""),"Zillow")</f>
        <v>Zillow</v>
      </c>
      <c r="J861" s="25" t="str">
        <f ca="1">IFERROR(__xludf.DUMMYFUNCTION("""COMPUTED_VALUE"""),"https://www.zillow.com/homedetails/20955-Marmora-St-Woodland-Hills-CA-91364/19945090_zpid/")</f>
        <v>https://www.zillow.com/homedetails/20955-Marmora-St-Woodland-Hills-CA-91364/19945090_zpid/</v>
      </c>
      <c r="K861" s="5"/>
      <c r="L861" s="5" t="str">
        <f ca="1">IFERROR(__xludf.DUMMYFUNCTION("""COMPUTED_VALUE"""),"Ilanit coifman")</f>
        <v>Ilanit coifman</v>
      </c>
      <c r="M861" s="5"/>
      <c r="N861" s="5" t="str">
        <f ca="1">IFERROR(__xludf.DUMMYFUNCTION("""COMPUTED_VALUE"""),"https://drive.google.com/open?id=13qzdmvsX6i7PW1Q6H-g4a8wjX0AtcA_C, https://drive.google.com/open?id=1bbIbqjSdUYSjey4KSYLdE0Rqx7dz5SSe")</f>
        <v>https://drive.google.com/open?id=13qzdmvsX6i7PW1Q6H-g4a8wjX0AtcA_C, https://drive.google.com/open?id=1bbIbqjSdUYSjey4KSYLdE0Rqx7dz5SSe</v>
      </c>
      <c r="O861" s="5">
        <f ca="1">IFERROR(__xludf.DUMMYFUNCTION("""COMPUTED_VALUE"""),2172021064)</f>
        <v>2172021064</v>
      </c>
      <c r="P861" s="5"/>
      <c r="Q861" s="5"/>
      <c r="R861" s="5" t="str">
        <f ca="1">IFERROR(__xludf.DUMMYFUNCTION("""COMPUTED_VALUE"""),"(424) 335-7429")</f>
        <v>(424) 335-7429</v>
      </c>
      <c r="S861" s="5"/>
      <c r="T861" s="5"/>
    </row>
    <row r="862" spans="1:20" ht="12.75">
      <c r="A862" s="24">
        <f ca="1">IFERROR(__xludf.DUMMYFUNCTION("""COMPUTED_VALUE"""),45671.6774617708)</f>
        <v>45671.6774617708</v>
      </c>
      <c r="B862" s="5" t="str">
        <f ca="1">IFERROR(__xludf.DUMMYFUNCTION("""COMPUTED_VALUE"""),"9562 Center Dr")</f>
        <v>9562 Center Dr</v>
      </c>
      <c r="C862" s="5" t="str">
        <f ca="1">IFERROR(__xludf.DUMMYFUNCTION("""COMPUTED_VALUE"""),"Villa Park")</f>
        <v>Villa Park</v>
      </c>
      <c r="D862" s="5" t="str">
        <f ca="1">IFERROR(__xludf.DUMMYFUNCTION("""COMPUTED_VALUE"""),"CA")</f>
        <v>CA</v>
      </c>
      <c r="E862" s="5">
        <f ca="1">IFERROR(__xludf.DUMMYFUNCTION("""COMPUTED_VALUE"""),92861)</f>
        <v>92861</v>
      </c>
      <c r="F862" s="19">
        <f ca="1">IFERROR(__xludf.DUMMYFUNCTION("""COMPUTED_VALUE"""),13700)</f>
        <v>13700</v>
      </c>
      <c r="G862" s="19">
        <f ca="1">IFERROR(__xludf.DUMMYFUNCTION("""COMPUTED_VALUE"""),19800)</f>
        <v>19800</v>
      </c>
      <c r="H862" s="18">
        <f ca="1">IFERROR(__xludf.DUMMYFUNCTION("""COMPUTED_VALUE"""),45671)</f>
        <v>45671</v>
      </c>
      <c r="I862" s="5" t="str">
        <f ca="1">IFERROR(__xludf.DUMMYFUNCTION("""COMPUTED_VALUE"""),"Zillow")</f>
        <v>Zillow</v>
      </c>
      <c r="J862" s="25" t="str">
        <f ca="1">IFERROR(__xludf.DUMMYFUNCTION("""COMPUTED_VALUE"""),"https://www.zillow.com/homedetails/9562-Center-Dr-Villa-Park-CA-92861/25420466_zpid/")</f>
        <v>https://www.zillow.com/homedetails/9562-Center-Dr-Villa-Park-CA-92861/25420466_zpid/</v>
      </c>
      <c r="K862" s="5" t="str">
        <f ca="1">IFERROR(__xludf.DUMMYFUNCTION("""COMPUTED_VALUE"""),"Frances Carr, Coldwell Banker Realty")</f>
        <v>Frances Carr, Coldwell Banker Realty</v>
      </c>
      <c r="L862" s="5"/>
      <c r="M862" s="5"/>
      <c r="N862" s="5" t="str">
        <f ca="1">IFERROR(__xludf.DUMMYFUNCTION("""COMPUTED_VALUE"""),"https://drive.google.com/open?id=1yuZnRlLDV5RqAb4hIlkOUl3ISDnaFJBZ, https://drive.google.com/open?id=1alM5-fmXnZQoMSW2sMDLHgdlwhWAj6ni, https://drive.google.com/open?id=1JYhLweGCnvtusvgXIkpMBjIZfK4DbV5H")</f>
        <v>https://drive.google.com/open?id=1yuZnRlLDV5RqAb4hIlkOUl3ISDnaFJBZ, https://drive.google.com/open?id=1alM5-fmXnZQoMSW2sMDLHgdlwhWAj6ni, https://drive.google.com/open?id=1JYhLweGCnvtusvgXIkpMBjIZfK4DbV5H</v>
      </c>
      <c r="O862" s="5">
        <f ca="1">IFERROR(__xludf.DUMMYFUNCTION("""COMPUTED_VALUE"""),37228102)</f>
        <v>37228102</v>
      </c>
      <c r="P862" s="5" t="str">
        <f ca="1">IFERROR(__xludf.DUMMYFUNCTION("""COMPUTED_VALUE"""),"(949) 992-1740")</f>
        <v>(949) 992-1740</v>
      </c>
      <c r="Q862" s="5"/>
      <c r="R862" s="5"/>
      <c r="S862" s="5"/>
      <c r="T862" s="5"/>
    </row>
    <row r="863" spans="1:20" ht="12.75">
      <c r="A863" s="24">
        <f ca="1">IFERROR(__xludf.DUMMYFUNCTION("""COMPUTED_VALUE"""),45671.6798198032)</f>
        <v>45671.679819803197</v>
      </c>
      <c r="B863" s="5" t="str">
        <f ca="1">IFERROR(__xludf.DUMMYFUNCTION("""COMPUTED_VALUE"""),"13616 Vose St")</f>
        <v>13616 Vose St</v>
      </c>
      <c r="C863" s="5" t="str">
        <f ca="1">IFERROR(__xludf.DUMMYFUNCTION("""COMPUTED_VALUE"""),"Van Nuys")</f>
        <v>Van Nuys</v>
      </c>
      <c r="D863" s="5" t="str">
        <f ca="1">IFERROR(__xludf.DUMMYFUNCTION("""COMPUTED_VALUE"""),"CA")</f>
        <v>CA</v>
      </c>
      <c r="E863" s="5">
        <f ca="1">IFERROR(__xludf.DUMMYFUNCTION("""COMPUTED_VALUE"""),91405)</f>
        <v>91405</v>
      </c>
      <c r="F863" s="19">
        <f ca="1">IFERROR(__xludf.DUMMYFUNCTION("""COMPUTED_VALUE"""),8000)</f>
        <v>8000</v>
      </c>
      <c r="G863" s="19">
        <f ca="1">IFERROR(__xludf.DUMMYFUNCTION("""COMPUTED_VALUE"""),10000)</f>
        <v>10000</v>
      </c>
      <c r="H863" s="18">
        <f ca="1">IFERROR(__xludf.DUMMYFUNCTION("""COMPUTED_VALUE"""),45671)</f>
        <v>45671</v>
      </c>
      <c r="I863" s="5" t="str">
        <f ca="1">IFERROR(__xludf.DUMMYFUNCTION("""COMPUTED_VALUE"""),"Zillow")</f>
        <v>Zillow</v>
      </c>
      <c r="J863" s="25" t="str">
        <f ca="1">IFERROR(__xludf.DUMMYFUNCTION("""COMPUTED_VALUE"""),"https://www.zillow.com/homedetails/13616-Vose-St-Van-Nuys-CA-91405/20006587_zpid/")</f>
        <v>https://www.zillow.com/homedetails/13616-Vose-St-Van-Nuys-CA-91405/20006587_zpid/</v>
      </c>
      <c r="K863" s="5" t="str">
        <f ca="1">IFERROR(__xludf.DUMMYFUNCTION("""COMPUTED_VALUE"""),"Harout Aloyan, Coldwell Banker Hallmark Realty")</f>
        <v>Harout Aloyan, Coldwell Banker Hallmark Realty</v>
      </c>
      <c r="L863" s="5"/>
      <c r="M863" s="5"/>
      <c r="N863" s="5" t="str">
        <f ca="1">IFERROR(__xludf.DUMMYFUNCTION("""COMPUTED_VALUE"""),"https://drive.google.com/open?id=1TbpyTtr7ntB7hjH8C1aTefSAvzGvmEmc, https://drive.google.com/open?id=1xbbpZtDQXOatsgb5HxRK0Vprz0Qno0x_, https://drive.google.com/open?id=1WfoKCvxBeBK6DZJME94XIIut4u43Mx-R")</f>
        <v>https://drive.google.com/open?id=1TbpyTtr7ntB7hjH8C1aTefSAvzGvmEmc, https://drive.google.com/open?id=1xbbpZtDQXOatsgb5HxRK0Vprz0Qno0x_, https://drive.google.com/open?id=1WfoKCvxBeBK6DZJME94XIIut4u43Mx-R</v>
      </c>
      <c r="O863" s="5">
        <f ca="1">IFERROR(__xludf.DUMMYFUNCTION("""COMPUTED_VALUE"""),2328009080)</f>
        <v>2328009080</v>
      </c>
      <c r="P863" s="5" t="str">
        <f ca="1">IFERROR(__xludf.DUMMYFUNCTION("""COMPUTED_VALUE"""),"(818) 522-5280")</f>
        <v>(818) 522-5280</v>
      </c>
      <c r="Q863" s="5"/>
      <c r="R863" s="5"/>
      <c r="S863" s="5"/>
      <c r="T863" s="5"/>
    </row>
    <row r="864" spans="1:20" ht="12.75">
      <c r="A864" s="24">
        <f ca="1">IFERROR(__xludf.DUMMYFUNCTION("""COMPUTED_VALUE"""),45671.6823660995)</f>
        <v>45671.6823660995</v>
      </c>
      <c r="B864" s="5" t="str">
        <f ca="1">IFERROR(__xludf.DUMMYFUNCTION("""COMPUTED_VALUE"""),"801 S Grand Ave APT 2010")</f>
        <v>801 S Grand Ave APT 2010</v>
      </c>
      <c r="C864" s="5" t="str">
        <f ca="1">IFERROR(__xludf.DUMMYFUNCTION("""COMPUTED_VALUE"""),"Los Angeles")</f>
        <v>Los Angeles</v>
      </c>
      <c r="D864" s="5" t="str">
        <f ca="1">IFERROR(__xludf.DUMMYFUNCTION("""COMPUTED_VALUE"""),"CA")</f>
        <v>CA</v>
      </c>
      <c r="E864" s="5">
        <f ca="1">IFERROR(__xludf.DUMMYFUNCTION("""COMPUTED_VALUE"""),90017)</f>
        <v>90017</v>
      </c>
      <c r="F864" s="19">
        <f ca="1">IFERROR(__xludf.DUMMYFUNCTION("""COMPUTED_VALUE"""),8500)</f>
        <v>8500</v>
      </c>
      <c r="G864" s="19">
        <f ca="1">IFERROR(__xludf.DUMMYFUNCTION("""COMPUTED_VALUE"""),5500)</f>
        <v>5500</v>
      </c>
      <c r="H864" s="18">
        <f ca="1">IFERROR(__xludf.DUMMYFUNCTION("""COMPUTED_VALUE"""),45671)</f>
        <v>45671</v>
      </c>
      <c r="I864" s="5" t="str">
        <f ca="1">IFERROR(__xludf.DUMMYFUNCTION("""COMPUTED_VALUE"""),"Zillow")</f>
        <v>Zillow</v>
      </c>
      <c r="J864" s="25" t="str">
        <f ca="1">IFERROR(__xludf.DUMMYFUNCTION("""COMPUTED_VALUE"""),"https://www.zillow.com/homedetails/801-S-Grand-Ave-APT-2010-Los-Angeles-CA-90017/67420686_zpid/")</f>
        <v>https://www.zillow.com/homedetails/801-S-Grand-Ave-APT-2010-Los-Angeles-CA-90017/67420686_zpid/</v>
      </c>
      <c r="K864" s="5" t="str">
        <f ca="1">IFERROR(__xludf.DUMMYFUNCTION("""COMPUTED_VALUE""")," Javier Hernandez at Premier Real Estate")</f>
        <v xml:space="preserve"> Javier Hernandez at Premier Real Estate</v>
      </c>
      <c r="L864" s="5"/>
      <c r="M864" s="5"/>
      <c r="N864" s="5" t="str">
        <f ca="1">IFERROR(__xludf.DUMMYFUNCTION("""COMPUTED_VALUE"""),"https://drive.google.com/open?id=1JFPYlyCSht3S6Xwp4ImI1IYoqI1nyGkj, https://drive.google.com/open?id=1RuYEnC6cCuT1_09E-KV5GLS-Z1DJtHL9")</f>
        <v>https://drive.google.com/open?id=1JFPYlyCSht3S6Xwp4ImI1IYoqI1nyGkj, https://drive.google.com/open?id=1RuYEnC6cCuT1_09E-KV5GLS-Z1DJtHL9</v>
      </c>
      <c r="O864" s="5">
        <f ca="1">IFERROR(__xludf.DUMMYFUNCTION("""COMPUTED_VALUE"""),5144020145)</f>
        <v>5144020145</v>
      </c>
      <c r="P864" s="5" t="str">
        <f ca="1">IFERROR(__xludf.DUMMYFUNCTION("""COMPUTED_VALUE"""),"(323) 812-7270")</f>
        <v>(323) 812-7270</v>
      </c>
      <c r="Q864" s="5"/>
      <c r="R864" s="5"/>
      <c r="S864" s="5"/>
      <c r="T864" s="5"/>
    </row>
    <row r="865" spans="1:20" ht="12.75">
      <c r="A865" s="24">
        <f ca="1">IFERROR(__xludf.DUMMYFUNCTION("""COMPUTED_VALUE"""),45671.6889533912)</f>
        <v>45671.688953391204</v>
      </c>
      <c r="B865" s="5" t="str">
        <f ca="1">IFERROR(__xludf.DUMMYFUNCTION("""COMPUTED_VALUE"""),"934 n orlando")</f>
        <v>934 n orlando</v>
      </c>
      <c r="C865" s="5" t="str">
        <f ca="1">IFERROR(__xludf.DUMMYFUNCTION("""COMPUTED_VALUE"""),"los angeles")</f>
        <v>los angeles</v>
      </c>
      <c r="D865" s="5" t="str">
        <f ca="1">IFERROR(__xludf.DUMMYFUNCTION("""COMPUTED_VALUE"""),"CA")</f>
        <v>CA</v>
      </c>
      <c r="E865" s="5">
        <f ca="1">IFERROR(__xludf.DUMMYFUNCTION("""COMPUTED_VALUE"""),90069)</f>
        <v>90069</v>
      </c>
      <c r="F865" s="19">
        <f ca="1">IFERROR(__xludf.DUMMYFUNCTION("""COMPUTED_VALUE"""),15000)</f>
        <v>15000</v>
      </c>
      <c r="G865" s="19">
        <f ca="1">IFERROR(__xludf.DUMMYFUNCTION("""COMPUTED_VALUE"""),20000)</f>
        <v>20000</v>
      </c>
      <c r="H865" s="18">
        <f ca="1">IFERROR(__xludf.DUMMYFUNCTION("""COMPUTED_VALUE"""),45672)</f>
        <v>45672</v>
      </c>
      <c r="I865" s="5" t="str">
        <f ca="1">IFERROR(__xludf.DUMMYFUNCTION("""COMPUTED_VALUE"""),"Zillow")</f>
        <v>Zillow</v>
      </c>
      <c r="J865" s="25" t="str">
        <f ca="1">IFERROR(__xludf.DUMMYFUNCTION("""COMPUTED_VALUE"""),"https://www.zillow.com/homedetails/934-N-Orlando-Ave-Los-Angeles-CA-90069/20787434_zpid/")</f>
        <v>https://www.zillow.com/homedetails/934-N-Orlando-Ave-Los-Angeles-CA-90069/20787434_zpid/</v>
      </c>
      <c r="K865" s="5" t="str">
        <f ca="1">IFERROR(__xludf.DUMMYFUNCTION("""COMPUTED_VALUE"""),"Barrie Renee Avedon Sotheby's International Realty")</f>
        <v>Barrie Renee Avedon Sotheby's International Realty</v>
      </c>
      <c r="L865" s="5"/>
      <c r="M865" s="5" t="str">
        <f ca="1">IFERROR(__xludf.DUMMYFUNCTION("""COMPUTED_VALUE"""),"listed at $15,000 until 12/25. listing removed on 12/25. reposted on 1/15 at $20,000 (33% increase)")</f>
        <v>listed at $15,000 until 12/25. listing removed on 12/25. reposted on 1/15 at $20,000 (33% increase)</v>
      </c>
      <c r="N865" s="26" t="str">
        <f ca="1">IFERROR(__xludf.DUMMYFUNCTION("""COMPUTED_VALUE"""),"https://drive.google.com/open?id=1TCAbNSqcGvlq-_JXyPt6JZb98qAbB4o2")</f>
        <v>https://drive.google.com/open?id=1TCAbNSqcGvlq-_JXyPt6JZb98qAbB4o2</v>
      </c>
      <c r="O865" s="5">
        <f ca="1">IFERROR(__xludf.DUMMYFUNCTION("""COMPUTED_VALUE"""),5529005011)</f>
        <v>5529005011</v>
      </c>
      <c r="P865" s="5" t="str">
        <f ca="1">IFERROR(__xludf.DUMMYFUNCTION("""COMPUTED_VALUE"""),"(310) 801-5400")</f>
        <v>(310) 801-5400</v>
      </c>
      <c r="Q865" s="5"/>
      <c r="R865" s="5"/>
      <c r="S865" s="5"/>
      <c r="T865" s="5"/>
    </row>
    <row r="866" spans="1:20" ht="12.75">
      <c r="A866" s="24">
        <f ca="1">IFERROR(__xludf.DUMMYFUNCTION("""COMPUTED_VALUE"""),45671.6959247222)</f>
        <v>45671.695924722197</v>
      </c>
      <c r="B866" s="5" t="str">
        <f ca="1">IFERROR(__xludf.DUMMYFUNCTION("""COMPUTED_VALUE"""),"9509 Cresta Dr")</f>
        <v>9509 Cresta Dr</v>
      </c>
      <c r="C866" s="5" t="str">
        <f ca="1">IFERROR(__xludf.DUMMYFUNCTION("""COMPUTED_VALUE"""),"Los Angeles")</f>
        <v>Los Angeles</v>
      </c>
      <c r="D866" s="5" t="str">
        <f ca="1">IFERROR(__xludf.DUMMYFUNCTION("""COMPUTED_VALUE"""),"CA")</f>
        <v>CA</v>
      </c>
      <c r="E866" s="5">
        <f ca="1">IFERROR(__xludf.DUMMYFUNCTION("""COMPUTED_VALUE"""),90035)</f>
        <v>90035</v>
      </c>
      <c r="F866" s="19">
        <f ca="1">IFERROR(__xludf.DUMMYFUNCTION("""COMPUTED_VALUE"""),13500)</f>
        <v>13500</v>
      </c>
      <c r="G866" s="19">
        <f ca="1">IFERROR(__xludf.DUMMYFUNCTION("""COMPUTED_VALUE"""),17000)</f>
        <v>17000</v>
      </c>
      <c r="H866" s="18">
        <f ca="1">IFERROR(__xludf.DUMMYFUNCTION("""COMPUTED_VALUE"""),45666)</f>
        <v>45666</v>
      </c>
      <c r="I866" s="5" t="str">
        <f ca="1">IFERROR(__xludf.DUMMYFUNCTION("""COMPUTED_VALUE"""),"Zillow")</f>
        <v>Zillow</v>
      </c>
      <c r="J866" s="25" t="str">
        <f ca="1">IFERROR(__xludf.DUMMYFUNCTION("""COMPUTED_VALUE"""),"https://www.zillow.com/homedetails/9509-Cresta-Dr-Los-Angeles-CA-90035/20493657_zpid/")</f>
        <v>https://www.zillow.com/homedetails/9509-Cresta-Dr-Los-Angeles-CA-90035/20493657_zpid/</v>
      </c>
      <c r="K866" s="5" t="str">
        <f ca="1">IFERROR(__xludf.DUMMYFUNCTION("""COMPUTED_VALUE"""),"Dezireh Haghayeghi")</f>
        <v>Dezireh Haghayeghi</v>
      </c>
      <c r="L866" s="5"/>
      <c r="M866" s="5"/>
      <c r="N866" s="26" t="str">
        <f ca="1">IFERROR(__xludf.DUMMYFUNCTION("""COMPUTED_VALUE"""),"https://drive.google.com/open?id=1QmoVyDiSY5cILJKJYNGmyGFbmKsqP1Rd")</f>
        <v>https://drive.google.com/open?id=1QmoVyDiSY5cILJKJYNGmyGFbmKsqP1Rd</v>
      </c>
      <c r="O866" s="5">
        <f ca="1">IFERROR(__xludf.DUMMYFUNCTION("""COMPUTED_VALUE"""),4306027020)</f>
        <v>4306027020</v>
      </c>
      <c r="P866" s="5" t="str">
        <f ca="1">IFERROR(__xludf.DUMMYFUNCTION("""COMPUTED_VALUE"""),"(310) 626-2096")</f>
        <v>(310) 626-2096</v>
      </c>
      <c r="Q866" s="5"/>
      <c r="R866" s="5"/>
      <c r="S866" s="5"/>
      <c r="T866" s="5"/>
    </row>
    <row r="867" spans="1:20" ht="12.75">
      <c r="A867" s="24">
        <f ca="1">IFERROR(__xludf.DUMMYFUNCTION("""COMPUTED_VALUE"""),45671.6969645717)</f>
        <v>45671.696964571704</v>
      </c>
      <c r="B867" s="5" t="str">
        <f ca="1">IFERROR(__xludf.DUMMYFUNCTION("""COMPUTED_VALUE"""),"22928 Roscoe Blvd")</f>
        <v>22928 Roscoe Blvd</v>
      </c>
      <c r="C867" s="5" t="str">
        <f ca="1">IFERROR(__xludf.DUMMYFUNCTION("""COMPUTED_VALUE"""),"West Hills")</f>
        <v>West Hills</v>
      </c>
      <c r="D867" s="5" t="str">
        <f ca="1">IFERROR(__xludf.DUMMYFUNCTION("""COMPUTED_VALUE"""),"CA")</f>
        <v>CA</v>
      </c>
      <c r="E867" s="5">
        <f ca="1">IFERROR(__xludf.DUMMYFUNCTION("""COMPUTED_VALUE"""),91304)</f>
        <v>91304</v>
      </c>
      <c r="F867" s="19">
        <f ca="1">IFERROR(__xludf.DUMMYFUNCTION("""COMPUTED_VALUE"""),1)</f>
        <v>1</v>
      </c>
      <c r="G867" s="19">
        <f ca="1">IFERROR(__xludf.DUMMYFUNCTION("""COMPUTED_VALUE"""),25000)</f>
        <v>25000</v>
      </c>
      <c r="H867" s="18">
        <f ca="1">IFERROR(__xludf.DUMMYFUNCTION("""COMPUTED_VALUE"""),45670)</f>
        <v>45670</v>
      </c>
      <c r="I867" s="5" t="str">
        <f ca="1">IFERROR(__xludf.DUMMYFUNCTION("""COMPUTED_VALUE"""),"Zillow")</f>
        <v>Zillow</v>
      </c>
      <c r="J867" s="25" t="str">
        <f ca="1">IFERROR(__xludf.DUMMYFUNCTION("""COMPUTED_VALUE"""),"https://www.zillow.com/homedetails/22928-Roscoe-Blvd-Canoga-Park-CA-91304/51578863_zpid/")</f>
        <v>https://www.zillow.com/homedetails/22928-Roscoe-Blvd-Canoga-Park-CA-91304/51578863_zpid/</v>
      </c>
      <c r="K867" s="26" t="str">
        <f ca="1">IFERROR(__xludf.DUMMYFUNCTION("""COMPUTED_VALUE"""),"https://vcmlawgroup.com/")</f>
        <v>https://vcmlawgroup.com/</v>
      </c>
      <c r="L867" s="5"/>
      <c r="M867" s="5" t="str">
        <f ca="1">IFERROR(__xludf.DUMMYFUNCTION("""COMPUTED_VALUE"""),"There was no before price but home prices in this area are far lower than this comparably.")</f>
        <v>There was no before price but home prices in this area are far lower than this comparably.</v>
      </c>
      <c r="N867" s="5" t="str">
        <f ca="1">IFERROR(__xludf.DUMMYFUNCTION("""COMPUTED_VALUE"""),"https://drive.google.com/open?id=1WzPClwoL11qfUpqdSg8SfaR2NmsdSsIN, https://drive.google.com/open?id=1LSK57G7V0kJRl3m-Cs_V0_WjT3HNkxIq, https://drive.google.com/open?id=10otjnn78Q1ZVQ11LsCxozIpuoeeAQmmG")</f>
        <v>https://drive.google.com/open?id=1WzPClwoL11qfUpqdSg8SfaR2NmsdSsIN, https://drive.google.com/open?id=1LSK57G7V0kJRl3m-Cs_V0_WjT3HNkxIq, https://drive.google.com/open?id=10otjnn78Q1ZVQ11LsCxozIpuoeeAQmmG</v>
      </c>
      <c r="O867" s="5">
        <f ca="1">IFERROR(__xludf.DUMMYFUNCTION("""COMPUTED_VALUE"""),2014003005)</f>
        <v>2014003005</v>
      </c>
      <c r="P867" s="5" t="str">
        <f ca="1">IFERROR(__xludf.DUMMYFUNCTION("""COMPUTED_VALUE"""),"(786) 361-7638")</f>
        <v>(786) 361-7638</v>
      </c>
      <c r="Q867" s="5"/>
      <c r="R867" s="5"/>
      <c r="S867" s="5"/>
      <c r="T867" s="5"/>
    </row>
    <row r="868" spans="1:20" ht="12.75">
      <c r="A868" s="24">
        <f ca="1">IFERROR(__xludf.DUMMYFUNCTION("""COMPUTED_VALUE"""),45671.7001390277)</f>
        <v>45671.7001390277</v>
      </c>
      <c r="B868" s="5" t="str">
        <f ca="1">IFERROR(__xludf.DUMMYFUNCTION("""COMPUTED_VALUE"""),"4045 Jackson Ave")</f>
        <v>4045 Jackson Ave</v>
      </c>
      <c r="C868" s="5" t="str">
        <f ca="1">IFERROR(__xludf.DUMMYFUNCTION("""COMPUTED_VALUE"""),"Culver City ")</f>
        <v xml:space="preserve">Culver City </v>
      </c>
      <c r="D868" s="5" t="str">
        <f ca="1">IFERROR(__xludf.DUMMYFUNCTION("""COMPUTED_VALUE"""),"CA")</f>
        <v>CA</v>
      </c>
      <c r="E868" s="5">
        <f ca="1">IFERROR(__xludf.DUMMYFUNCTION("""COMPUTED_VALUE"""),90232)</f>
        <v>90232</v>
      </c>
      <c r="F868" s="19">
        <f ca="1">IFERROR(__xludf.DUMMYFUNCTION("""COMPUTED_VALUE"""),7450)</f>
        <v>7450</v>
      </c>
      <c r="G868" s="19">
        <f ca="1">IFERROR(__xludf.DUMMYFUNCTION("""COMPUTED_VALUE"""),14500)</f>
        <v>14500</v>
      </c>
      <c r="H868" s="18">
        <f ca="1">IFERROR(__xludf.DUMMYFUNCTION("""COMPUTED_VALUE"""),45669)</f>
        <v>45669</v>
      </c>
      <c r="I868" s="5" t="str">
        <f ca="1">IFERROR(__xludf.DUMMYFUNCTION("""COMPUTED_VALUE"""),"Zillow")</f>
        <v>Zillow</v>
      </c>
      <c r="J868" s="25" t="str">
        <f ca="1">IFERROR(__xludf.DUMMYFUNCTION("""COMPUTED_VALUE"""),"https://www.zillow.com/homedetails/4045-Jackson-Ave-Culver-City-CA-90232/20433150_zpid/?utm_campaign=iosappmessage&amp;utm_medium=referral&amp;utm_source=txtshare")</f>
        <v>https://www.zillow.com/homedetails/4045-Jackson-Ave-Culver-City-CA-90232/20433150_zpid/?utm_campaign=iosappmessage&amp;utm_medium=referral&amp;utm_source=txtshare</v>
      </c>
      <c r="K868" s="5" t="str">
        <f ca="1">IFERROR(__xludf.DUMMYFUNCTION("""COMPUTED_VALUE"""),"Hamid Reza Dehghan")</f>
        <v>Hamid Reza Dehghan</v>
      </c>
      <c r="L868" s="5"/>
      <c r="M868" s="5"/>
      <c r="N868" s="5" t="str">
        <f ca="1">IFERROR(__xludf.DUMMYFUNCTION("""COMPUTED_VALUE"""),"https://drive.google.com/open?id=1Ow-vzKaxtNJUADE1s-RQKQ5sTa7Yriw-, https://drive.google.com/open?id=1nkGpidNkP8koaUENKbZlU0Lp5OanBSTY")</f>
        <v>https://drive.google.com/open?id=1Ow-vzKaxtNJUADE1s-RQKQ5sTa7Yriw-, https://drive.google.com/open?id=1nkGpidNkP8koaUENKbZlU0Lp5OanBSTY</v>
      </c>
      <c r="O868" s="5">
        <f ca="1">IFERROR(__xludf.DUMMYFUNCTION("""COMPUTED_VALUE"""),4209001009)</f>
        <v>4209001009</v>
      </c>
      <c r="P868" s="5" t="str">
        <f ca="1">IFERROR(__xludf.DUMMYFUNCTION("""COMPUTED_VALUE"""),"424-333-0389")</f>
        <v>424-333-0389</v>
      </c>
      <c r="Q868" s="5"/>
      <c r="R868" s="5"/>
      <c r="S868" s="5"/>
      <c r="T868" s="5"/>
    </row>
    <row r="869" spans="1:20" ht="12.75">
      <c r="A869" s="24">
        <f ca="1">IFERROR(__xludf.DUMMYFUNCTION("""COMPUTED_VALUE"""),45671.705348287)</f>
        <v>45671.705348287003</v>
      </c>
      <c r="B869" s="5" t="str">
        <f ca="1">IFERROR(__xludf.DUMMYFUNCTION("""COMPUTED_VALUE"""),"934 N Orlando Ave")</f>
        <v>934 N Orlando Ave</v>
      </c>
      <c r="C869" s="5" t="str">
        <f ca="1">IFERROR(__xludf.DUMMYFUNCTION("""COMPUTED_VALUE"""),"Los Angeles")</f>
        <v>Los Angeles</v>
      </c>
      <c r="D869" s="5" t="str">
        <f ca="1">IFERROR(__xludf.DUMMYFUNCTION("""COMPUTED_VALUE"""),"CA")</f>
        <v>CA</v>
      </c>
      <c r="E869" s="5">
        <f ca="1">IFERROR(__xludf.DUMMYFUNCTION("""COMPUTED_VALUE"""),90069)</f>
        <v>90069</v>
      </c>
      <c r="F869" s="19">
        <f ca="1">IFERROR(__xludf.DUMMYFUNCTION("""COMPUTED_VALUE"""),15000)</f>
        <v>15000</v>
      </c>
      <c r="G869" s="19">
        <f ca="1">IFERROR(__xludf.DUMMYFUNCTION("""COMPUTED_VALUE"""),20000)</f>
        <v>20000</v>
      </c>
      <c r="H869" s="18">
        <f ca="1">IFERROR(__xludf.DUMMYFUNCTION("""COMPUTED_VALUE"""),45672)</f>
        <v>45672</v>
      </c>
      <c r="I869" s="5" t="str">
        <f ca="1">IFERROR(__xludf.DUMMYFUNCTION("""COMPUTED_VALUE"""),"Zillow")</f>
        <v>Zillow</v>
      </c>
      <c r="J869" s="25" t="str">
        <f ca="1">IFERROR(__xludf.DUMMYFUNCTION("""COMPUTED_VALUE"""),"https://www.zillow.com/homedetails/934-N-Orlando-Ave-Los-Angeles-CA-90069/20787434_zpid/")</f>
        <v>https://www.zillow.com/homedetails/934-N-Orlando-Ave-Los-Angeles-CA-90069/20787434_zpid/</v>
      </c>
      <c r="K869" s="5" t="str">
        <f ca="1">IFERROR(__xludf.DUMMYFUNCTION("""COMPUTED_VALUE"""),"Barrie Renee Avedon")</f>
        <v>Barrie Renee Avedon</v>
      </c>
      <c r="L869" s="5"/>
      <c r="M869" s="5"/>
      <c r="N869" s="5" t="str">
        <f ca="1">IFERROR(__xludf.DUMMYFUNCTION("""COMPUTED_VALUE"""),"https://drive.google.com/open?id=1ZBaDdhNOH7PVDPXHIv14kYINtY0sH98G, https://drive.google.com/open?id=1HT2Ac8W47rPwVgY3JoZudpfnmGGgvOer")</f>
        <v>https://drive.google.com/open?id=1ZBaDdhNOH7PVDPXHIv14kYINtY0sH98G, https://drive.google.com/open?id=1HT2Ac8W47rPwVgY3JoZudpfnmGGgvOer</v>
      </c>
      <c r="O869" s="5">
        <f ca="1">IFERROR(__xludf.DUMMYFUNCTION("""COMPUTED_VALUE"""),5529005011)</f>
        <v>5529005011</v>
      </c>
      <c r="P869" s="5">
        <f ca="1">IFERROR(__xludf.DUMMYFUNCTION("""COMPUTED_VALUE"""),3108015400)</f>
        <v>3108015400</v>
      </c>
      <c r="Q869" s="5"/>
      <c r="R869" s="5"/>
      <c r="S869" s="5"/>
      <c r="T869" s="5"/>
    </row>
    <row r="870" spans="1:20" ht="12.75">
      <c r="A870" s="24">
        <f ca="1">IFERROR(__xludf.DUMMYFUNCTION("""COMPUTED_VALUE"""),45671.7064444791)</f>
        <v>45671.706444479103</v>
      </c>
      <c r="B870" s="5" t="str">
        <f ca="1">IFERROR(__xludf.DUMMYFUNCTION("""COMPUTED_VALUE"""),"22740 Liberty Bell Rd")</f>
        <v>22740 Liberty Bell Rd</v>
      </c>
      <c r="C870" s="5" t="str">
        <f ca="1">IFERROR(__xludf.DUMMYFUNCTION("""COMPUTED_VALUE"""),"Calabasas")</f>
        <v>Calabasas</v>
      </c>
      <c r="D870" s="5" t="str">
        <f ca="1">IFERROR(__xludf.DUMMYFUNCTION("""COMPUTED_VALUE"""),"CA")</f>
        <v>CA</v>
      </c>
      <c r="E870" s="5">
        <f ca="1">IFERROR(__xludf.DUMMYFUNCTION("""COMPUTED_VALUE"""),91302)</f>
        <v>91302</v>
      </c>
      <c r="F870" s="19">
        <f ca="1">IFERROR(__xludf.DUMMYFUNCTION("""COMPUTED_VALUE"""),7950)</f>
        <v>7950</v>
      </c>
      <c r="G870" s="19">
        <f ca="1">IFERROR(__xludf.DUMMYFUNCTION("""COMPUTED_VALUE"""),9750)</f>
        <v>9750</v>
      </c>
      <c r="H870" s="18">
        <f ca="1">IFERROR(__xludf.DUMMYFUNCTION("""COMPUTED_VALUE"""),45667)</f>
        <v>45667</v>
      </c>
      <c r="I870" s="5" t="str">
        <f ca="1">IFERROR(__xludf.DUMMYFUNCTION("""COMPUTED_VALUE"""),"Redfin")</f>
        <v>Redfin</v>
      </c>
      <c r="J870" s="25" t="str">
        <f ca="1">IFERROR(__xludf.DUMMYFUNCTION("""COMPUTED_VALUE"""),"https://www.redfin.com/CA/Calabasas/22740-Liberty-Bell-Rd-91302/home/3596428")</f>
        <v>https://www.redfin.com/CA/Calabasas/22740-Liberty-Bell-Rd-91302/home/3596428</v>
      </c>
      <c r="K870" s="5" t="str">
        <f ca="1">IFERROR(__xludf.DUMMYFUNCTION("""COMPUTED_VALUE"""),"Berta Baghjajian")</f>
        <v>Berta Baghjajian</v>
      </c>
      <c r="L870" s="5"/>
      <c r="M870" s="5" t="str">
        <f ca="1">IFERROR(__xludf.DUMMYFUNCTION("""COMPUTED_VALUE"""),"The house was listed on Zillow at $7950 on 12/31/2024 and then on Redfin for $9,750 They are now touting a guest house that is not permitted that can be rented with the property or without but if rented without the landlord will rent out the un-permitted "&amp;"ADU.")</f>
        <v>The house was listed on Zillow at $7950 on 12/31/2024 and then on Redfin for $9,750 They are now touting a guest house that is not permitted that can be rented with the property or without but if rented without the landlord will rent out the un-permitted ADU.</v>
      </c>
      <c r="N870" s="5" t="str">
        <f ca="1">IFERROR(__xludf.DUMMYFUNCTION("""COMPUTED_VALUE"""),"https://drive.google.com/open?id=1xj6zUASU7JHqLE7v2_D5VzWYwXGOesGY, https://drive.google.com/open?id=13KRM2c8LBDCJLgqWyPwE9oM1kWmb7q8-, https://drive.google.com/open?id=1RyIAQRvXKP4lorkLKTyttfBkCJIBaCwv, https://drive.google.com/open?id=1iA2WBDmutA25mqYI7"&amp;"sEdFDu7FHBy4yEy, https://drive.google.com/open?id=1WA98bWsEXDjno2139fKaPVr2L4VoeFTF")</f>
        <v>https://drive.google.com/open?id=1xj6zUASU7JHqLE7v2_D5VzWYwXGOesGY, https://drive.google.com/open?id=13KRM2c8LBDCJLgqWyPwE9oM1kWmb7q8-, https://drive.google.com/open?id=1RyIAQRvXKP4lorkLKTyttfBkCJIBaCwv, https://drive.google.com/open?id=1iA2WBDmutA25mqYI7sEdFDu7FHBy4yEy, https://drive.google.com/open?id=1WA98bWsEXDjno2139fKaPVr2L4VoeFTF</v>
      </c>
      <c r="O870" s="5">
        <f ca="1">IFERROR(__xludf.DUMMYFUNCTION("""COMPUTED_VALUE"""),2079020031)</f>
        <v>2079020031</v>
      </c>
      <c r="P870" s="5" t="str">
        <f ca="1">IFERROR(__xludf.DUMMYFUNCTION("""COMPUTED_VALUE"""),"818-825-2144 ")</f>
        <v xml:space="preserve">818-825-2144 </v>
      </c>
      <c r="Q870" s="5"/>
      <c r="R870" s="5"/>
      <c r="S870" s="5"/>
      <c r="T870" s="5"/>
    </row>
    <row r="871" spans="1:20" ht="12.75">
      <c r="A871" s="24">
        <f ca="1">IFERROR(__xludf.DUMMYFUNCTION("""COMPUTED_VALUE"""),45671.7147032638)</f>
        <v>45671.714703263802</v>
      </c>
      <c r="B871" s="5" t="str">
        <f ca="1">IFERROR(__xludf.DUMMYFUNCTION("""COMPUTED_VALUE"""),"907 Pine Grove")</f>
        <v>907 Pine Grove</v>
      </c>
      <c r="C871" s="5" t="str">
        <f ca="1">IFERROR(__xludf.DUMMYFUNCTION("""COMPUTED_VALUE"""),"LA")</f>
        <v>LA</v>
      </c>
      <c r="D871" s="5" t="str">
        <f ca="1">IFERROR(__xludf.DUMMYFUNCTION("""COMPUTED_VALUE"""),"CA")</f>
        <v>CA</v>
      </c>
      <c r="E871" s="5">
        <f ca="1">IFERROR(__xludf.DUMMYFUNCTION("""COMPUTED_VALUE"""),90042)</f>
        <v>90042</v>
      </c>
      <c r="F871" s="19">
        <f ca="1">IFERROR(__xludf.DUMMYFUNCTION("""COMPUTED_VALUE"""),5250)</f>
        <v>5250</v>
      </c>
      <c r="G871" s="19">
        <f ca="1">IFERROR(__xludf.DUMMYFUNCTION("""COMPUTED_VALUE"""),5800)</f>
        <v>5800</v>
      </c>
      <c r="H871" s="18">
        <f ca="1">IFERROR(__xludf.DUMMYFUNCTION("""COMPUTED_VALUE"""),45674)</f>
        <v>45674</v>
      </c>
      <c r="I871" s="5" t="str">
        <f ca="1">IFERROR(__xludf.DUMMYFUNCTION("""COMPUTED_VALUE"""),"Zillow")</f>
        <v>Zillow</v>
      </c>
      <c r="J871" s="25" t="str">
        <f ca="1">IFERROR(__xludf.DUMMYFUNCTION("""COMPUTED_VALUE"""),"https://www.zillow.com/homedetails/907-Pine-Grove-Ave-Los-Angeles-CA-90042/20769156_zpid/")</f>
        <v>https://www.zillow.com/homedetails/907-Pine-Grove-Ave-Los-Angeles-CA-90042/20769156_zpid/</v>
      </c>
      <c r="K871" s="5"/>
      <c r="L871" s="5" t="str">
        <f ca="1">IFERROR(__xludf.DUMMYFUNCTION("""COMPUTED_VALUE"""),"Jonathan")</f>
        <v>Jonathan</v>
      </c>
      <c r="M871" s="5" t="str">
        <f ca="1">IFERROR(__xludf.DUMMYFUNCTION("""COMPUTED_VALUE"""),"I went to see the listing on Tuesday afternoon around 3PM to go see the place unrelated to the fires and it was listed at 5250. I told him id fill out an application but obviously the fires were happening and it wasn't a priority. then I check on thursday"&amp;" or friday and he actually made it more expensive which is psychotic. he's had the listing up and down since november. ")</f>
        <v xml:space="preserve">I went to see the listing on Tuesday afternoon around 3PM to go see the place unrelated to the fires and it was listed at 5250. I told him id fill out an application but obviously the fires were happening and it wasn't a priority. then I check on thursday or friday and he actually made it more expensive which is psychotic. he's had the listing up and down since november. </v>
      </c>
      <c r="N871" s="26" t="str">
        <f ca="1">IFERROR(__xludf.DUMMYFUNCTION("""COMPUTED_VALUE"""),"https://drive.google.com/open?id=1fJmGAEl4dp744wzqqYATDobMtXx4doZ8")</f>
        <v>https://drive.google.com/open?id=1fJmGAEl4dp744wzqqYATDobMtXx4doZ8</v>
      </c>
      <c r="O871" s="5" t="str">
        <f ca="1">IFERROR(__xludf.DUMMYFUNCTION("""COMPUTED_VALUE"""),"NA")</f>
        <v>NA</v>
      </c>
      <c r="P871" s="5"/>
      <c r="Q871" s="5"/>
      <c r="R871" s="5" t="str">
        <f ca="1">IFERROR(__xludf.DUMMYFUNCTION("""COMPUTED_VALUE"""),"323-333-2367")</f>
        <v>323-333-2367</v>
      </c>
      <c r="S871" s="5"/>
      <c r="T871" s="18">
        <f ca="1">IFERROR(__xludf.DUMMYFUNCTION("""COMPUTED_VALUE"""),45664)</f>
        <v>45664</v>
      </c>
    </row>
    <row r="872" spans="1:20" ht="12.75">
      <c r="A872" s="24">
        <f ca="1">IFERROR(__xludf.DUMMYFUNCTION("""COMPUTED_VALUE"""),45671.7158168865)</f>
        <v>45671.715816886499</v>
      </c>
      <c r="B872" s="5" t="str">
        <f ca="1">IFERROR(__xludf.DUMMYFUNCTION("""COMPUTED_VALUE"""),"111 test street")</f>
        <v>111 test street</v>
      </c>
      <c r="C872" s="5" t="str">
        <f ca="1">IFERROR(__xludf.DUMMYFUNCTION("""COMPUTED_VALUE"""),"test")</f>
        <v>test</v>
      </c>
      <c r="D872" s="5" t="str">
        <f ca="1">IFERROR(__xludf.DUMMYFUNCTION("""COMPUTED_VALUE"""),"CA")</f>
        <v>CA</v>
      </c>
      <c r="E872" s="5">
        <f ca="1">IFERROR(__xludf.DUMMYFUNCTION("""COMPUTED_VALUE"""),11111)</f>
        <v>11111</v>
      </c>
      <c r="F872" s="19">
        <f ca="1">IFERROR(__xludf.DUMMYFUNCTION("""COMPUTED_VALUE"""),1000)</f>
        <v>1000</v>
      </c>
      <c r="G872" s="19">
        <f ca="1">IFERROR(__xludf.DUMMYFUNCTION("""COMPUTED_VALUE"""),1000)</f>
        <v>1000</v>
      </c>
      <c r="H872" s="18">
        <f ca="1">IFERROR(__xludf.DUMMYFUNCTION("""COMPUTED_VALUE"""),45671)</f>
        <v>45671</v>
      </c>
      <c r="I872" s="5" t="str">
        <f ca="1">IFERROR(__xludf.DUMMYFUNCTION("""COMPUTED_VALUE"""),"Zillow")</f>
        <v>Zillow</v>
      </c>
      <c r="J872" s="25" t="str">
        <f ca="1">IFERROR(__xludf.DUMMYFUNCTION("""COMPUTED_VALUE"""),"zillow.com")</f>
        <v>zillow.com</v>
      </c>
      <c r="K872" s="5"/>
      <c r="L872" s="5"/>
      <c r="M872" s="5"/>
      <c r="N872" s="26" t="str">
        <f ca="1">IFERROR(__xludf.DUMMYFUNCTION("""COMPUTED_VALUE"""),"https://drive.google.com/open?id=13Ac9zvjmXO_faQ5iR3q-NH91X-XSIEaP")</f>
        <v>https://drive.google.com/open?id=13Ac9zvjmXO_faQ5iR3q-NH91X-XSIEaP</v>
      </c>
      <c r="O872" s="5">
        <f ca="1">IFERROR(__xludf.DUMMYFUNCTION("""COMPUTED_VALUE"""),11111111)</f>
        <v>11111111</v>
      </c>
      <c r="P872" s="5"/>
      <c r="Q872" s="5"/>
      <c r="R872" s="5"/>
      <c r="S872" s="5"/>
      <c r="T872" s="18">
        <f ca="1">IFERROR(__xludf.DUMMYFUNCTION("""COMPUTED_VALUE"""),45671)</f>
        <v>45671</v>
      </c>
    </row>
    <row r="873" spans="1:20" ht="12.75">
      <c r="A873" s="24">
        <f ca="1">IFERROR(__xludf.DUMMYFUNCTION("""COMPUTED_VALUE"""),45671.7306297222)</f>
        <v>45671.730629722202</v>
      </c>
      <c r="B873" s="5" t="str">
        <f ca="1">IFERROR(__xludf.DUMMYFUNCTION("""COMPUTED_VALUE"""),"1653 Micheltorena St APT 3, Los Angeles, CA 90026")</f>
        <v>1653 Micheltorena St APT 3, Los Angeles, CA 90026</v>
      </c>
      <c r="C873" s="5" t="str">
        <f ca="1">IFERROR(__xludf.DUMMYFUNCTION("""COMPUTED_VALUE"""),"Los Angeles")</f>
        <v>Los Angeles</v>
      </c>
      <c r="D873" s="5" t="str">
        <f ca="1">IFERROR(__xludf.DUMMYFUNCTION("""COMPUTED_VALUE"""),"CA")</f>
        <v>CA</v>
      </c>
      <c r="E873" s="5">
        <f ca="1">IFERROR(__xludf.DUMMYFUNCTION("""COMPUTED_VALUE"""),90026)</f>
        <v>90026</v>
      </c>
      <c r="F873" s="19">
        <f ca="1">IFERROR(__xludf.DUMMYFUNCTION("""COMPUTED_VALUE"""),4000)</f>
        <v>4000</v>
      </c>
      <c r="G873" s="19">
        <f ca="1">IFERROR(__xludf.DUMMYFUNCTION("""COMPUTED_VALUE"""),4500)</f>
        <v>4500</v>
      </c>
      <c r="H873" s="18">
        <f ca="1">IFERROR(__xludf.DUMMYFUNCTION("""COMPUTED_VALUE"""),45669)</f>
        <v>45669</v>
      </c>
      <c r="I873" s="5" t="str">
        <f ca="1">IFERROR(__xludf.DUMMYFUNCTION("""COMPUTED_VALUE"""),"Zillow")</f>
        <v>Zillow</v>
      </c>
      <c r="J873" s="25" t="str">
        <f ca="1">IFERROR(__xludf.DUMMYFUNCTION("""COMPUTED_VALUE"""),"https://www.zillow.com/homedetails/1653-Micheltorena-St-APT-3-Los-Angeles-CA-90026/20746457_zpid/")</f>
        <v>https://www.zillow.com/homedetails/1653-Micheltorena-St-APT-3-Los-Angeles-CA-90026/20746457_zpid/</v>
      </c>
      <c r="K873" s="5" t="str">
        <f ca="1">IFERROR(__xludf.DUMMYFUNCTION("""COMPUTED_VALUE"""),"N/A")</f>
        <v>N/A</v>
      </c>
      <c r="L873" s="5" t="str">
        <f ca="1">IFERROR(__xludf.DUMMYFUNCTION("""COMPUTED_VALUE"""),"Tianna")</f>
        <v>Tianna</v>
      </c>
      <c r="M873" s="5" t="str">
        <f ca="1">IFERROR(__xludf.DUMMYFUNCTION("""COMPUTED_VALUE"""),"I sent a message through zillow warning them. ")</f>
        <v xml:space="preserve">I sent a message through zillow warning them. </v>
      </c>
      <c r="N873" s="26" t="str">
        <f ca="1">IFERROR(__xludf.DUMMYFUNCTION("""COMPUTED_VALUE"""),"https://drive.google.com/open?id=13Y4KlXbGkmmaWR36_IbQrNGh_8ZKUWOz")</f>
        <v>https://drive.google.com/open?id=13Y4KlXbGkmmaWR36_IbQrNGh_8ZKUWOz</v>
      </c>
      <c r="O873" s="5" t="str">
        <f ca="1">IFERROR(__xludf.DUMMYFUNCTION("""COMPUTED_VALUE"""),"NA")</f>
        <v>NA</v>
      </c>
      <c r="P873" s="5" t="str">
        <f ca="1">IFERROR(__xludf.DUMMYFUNCTION("""COMPUTED_VALUE"""),"N/A")</f>
        <v>N/A</v>
      </c>
      <c r="Q873" s="5"/>
      <c r="R873" s="5"/>
      <c r="S873" s="5"/>
      <c r="T873" s="18">
        <f ca="1">IFERROR(__xludf.DUMMYFUNCTION("""COMPUTED_VALUE"""),44888)</f>
        <v>44888</v>
      </c>
    </row>
    <row r="874" spans="1:20" ht="12.75">
      <c r="A874" s="24">
        <f ca="1">IFERROR(__xludf.DUMMYFUNCTION("""COMPUTED_VALUE"""),45671.7327806249)</f>
        <v>45671.732780624901</v>
      </c>
      <c r="B874" s="5" t="str">
        <f ca="1">IFERROR(__xludf.DUMMYFUNCTION("""COMPUTED_VALUE"""),"(Undisclosed Address)")</f>
        <v>(Undisclosed Address)</v>
      </c>
      <c r="C874" s="5" t="str">
        <f ca="1">IFERROR(__xludf.DUMMYFUNCTION("""COMPUTED_VALUE"""),"Los Angeles")</f>
        <v>Los Angeles</v>
      </c>
      <c r="D874" s="5" t="str">
        <f ca="1">IFERROR(__xludf.DUMMYFUNCTION("""COMPUTED_VALUE"""),"CA")</f>
        <v>CA</v>
      </c>
      <c r="E874" s="5">
        <f ca="1">IFERROR(__xludf.DUMMYFUNCTION("""COMPUTED_VALUE"""),90056)</f>
        <v>90056</v>
      </c>
      <c r="F874" s="19">
        <f ca="1">IFERROR(__xludf.DUMMYFUNCTION("""COMPUTED_VALUE"""),10000)</f>
        <v>10000</v>
      </c>
      <c r="G874" s="19">
        <f ca="1">IFERROR(__xludf.DUMMYFUNCTION("""COMPUTED_VALUE"""),12000)</f>
        <v>12000</v>
      </c>
      <c r="H874" s="18">
        <f ca="1">IFERROR(__xludf.DUMMYFUNCTION("""COMPUTED_VALUE"""),45671)</f>
        <v>45671</v>
      </c>
      <c r="I874" s="5" t="str">
        <f ca="1">IFERROR(__xludf.DUMMYFUNCTION("""COMPUTED_VALUE"""),"Zillow")</f>
        <v>Zillow</v>
      </c>
      <c r="J874" s="25" t="str">
        <f ca="1">IFERROR(__xludf.DUMMYFUNCTION("""COMPUTED_VALUE"""),"https://www.zillow.com/homedetails/Los-Angeles-CA-90056/20429298_zpid/")</f>
        <v>https://www.zillow.com/homedetails/Los-Angeles-CA-90056/20429298_zpid/</v>
      </c>
      <c r="K874" s="5"/>
      <c r="L874" s="5" t="str">
        <f ca="1">IFERROR(__xludf.DUMMYFUNCTION("""COMPUTED_VALUE"""),"Honora Whitfield")</f>
        <v>Honora Whitfield</v>
      </c>
      <c r="M874" s="5"/>
      <c r="N874" s="5" t="str">
        <f ca="1">IFERROR(__xludf.DUMMYFUNCTION("""COMPUTED_VALUE"""),"https://drive.google.com/open?id=1N2jGLR5tB-_zAdAgdqOLCz0MKqad4UH0, https://drive.google.com/open?id=1z0wCb9IYE8fd7pJt2PVNU5w0-ai2L2nC, https://drive.google.com/open?id=1HKfZMbwi07k2PCmGKssRDQPpNKzdOXXN")</f>
        <v>https://drive.google.com/open?id=1N2jGLR5tB-_zAdAgdqOLCz0MKqad4UH0, https://drive.google.com/open?id=1z0wCb9IYE8fd7pJt2PVNU5w0-ai2L2nC, https://drive.google.com/open?id=1HKfZMbwi07k2PCmGKssRDQPpNKzdOXXN</v>
      </c>
      <c r="O874" s="5" t="str">
        <f ca="1">IFERROR(__xludf.DUMMYFUNCTION("""COMPUTED_VALUE"""),"NA")</f>
        <v>NA</v>
      </c>
      <c r="P874" s="5"/>
      <c r="Q874" s="5"/>
      <c r="R874" s="5" t="str">
        <f ca="1">IFERROR(__xludf.DUMMYFUNCTION("""COMPUTED_VALUE"""),"(424) 484-3037")</f>
        <v>(424) 484-3037</v>
      </c>
      <c r="S874" s="5"/>
      <c r="T874" s="18">
        <f ca="1">IFERROR(__xludf.DUMMYFUNCTION("""COMPUTED_VALUE"""),45638)</f>
        <v>45638</v>
      </c>
    </row>
    <row r="875" spans="1:20" ht="12.75">
      <c r="A875" s="24">
        <f ca="1">IFERROR(__xludf.DUMMYFUNCTION("""COMPUTED_VALUE"""),45671.7415710879)</f>
        <v>45671.7415710879</v>
      </c>
      <c r="B875" s="5" t="str">
        <f ca="1">IFERROR(__xludf.DUMMYFUNCTION("""COMPUTED_VALUE"""),"748 S Cloverdale Ave")</f>
        <v>748 S Cloverdale Ave</v>
      </c>
      <c r="C875" s="5" t="str">
        <f ca="1">IFERROR(__xludf.DUMMYFUNCTION("""COMPUTED_VALUE"""),"Los Angeles")</f>
        <v>Los Angeles</v>
      </c>
      <c r="D875" s="5" t="str">
        <f ca="1">IFERROR(__xludf.DUMMYFUNCTION("""COMPUTED_VALUE"""),"CA")</f>
        <v>CA</v>
      </c>
      <c r="E875" s="5">
        <f ca="1">IFERROR(__xludf.DUMMYFUNCTION("""COMPUTED_VALUE"""),90036)</f>
        <v>90036</v>
      </c>
      <c r="F875" s="19">
        <f ca="1">IFERROR(__xludf.DUMMYFUNCTION("""COMPUTED_VALUE"""),19500)</f>
        <v>19500</v>
      </c>
      <c r="G875" s="19">
        <f ca="1">IFERROR(__xludf.DUMMYFUNCTION("""COMPUTED_VALUE"""),26000)</f>
        <v>26000</v>
      </c>
      <c r="H875" s="18">
        <f ca="1">IFERROR(__xludf.DUMMYFUNCTION("""COMPUTED_VALUE"""),45669)</f>
        <v>45669</v>
      </c>
      <c r="I875" s="5" t="str">
        <f ca="1">IFERROR(__xludf.DUMMYFUNCTION("""COMPUTED_VALUE"""),"Zillow")</f>
        <v>Zillow</v>
      </c>
      <c r="J875" s="25" t="str">
        <f ca="1">IFERROR(__xludf.DUMMYFUNCTION("""COMPUTED_VALUE"""),"https://www.zillow.com/homedetails/748-S-Cloverdale-Ave-Los-Angeles-CA-90036/20610066_zpid/")</f>
        <v>https://www.zillow.com/homedetails/748-S-Cloverdale-Ave-Los-Angeles-CA-90036/20610066_zpid/</v>
      </c>
      <c r="K875" s="5" t="str">
        <f ca="1">IFERROR(__xludf.DUMMYFUNCTION("""COMPUTED_VALUE"""),"Daniel Dangoor")</f>
        <v>Daniel Dangoor</v>
      </c>
      <c r="L875" s="5"/>
      <c r="M875" s="5"/>
      <c r="N875" s="5" t="str">
        <f ca="1">IFERROR(__xludf.DUMMYFUNCTION("""COMPUTED_VALUE"""),"https://drive.google.com/open?id=1RvOeQZkR6H75pOjlzaYbFL6jysY0DZNv, https://drive.google.com/open?id=1MAIN4iFBy7GjtO5PXQ95t1XA6yjlaVwd")</f>
        <v>https://drive.google.com/open?id=1RvOeQZkR6H75pOjlzaYbFL6jysY0DZNv, https://drive.google.com/open?id=1MAIN4iFBy7GjtO5PXQ95t1XA6yjlaVwd</v>
      </c>
      <c r="O875" s="5">
        <f ca="1">IFERROR(__xludf.DUMMYFUNCTION("""COMPUTED_VALUE"""),5089002014)</f>
        <v>5089002014</v>
      </c>
      <c r="P875" s="5" t="str">
        <f ca="1">IFERROR(__xludf.DUMMYFUNCTION("""COMPUTED_VALUE"""),"(424) 444-0084")</f>
        <v>(424) 444-0084</v>
      </c>
      <c r="Q875" s="5"/>
      <c r="R875" s="5"/>
      <c r="S875" s="5"/>
      <c r="T875" s="18">
        <f ca="1">IFERROR(__xludf.DUMMYFUNCTION("""COMPUTED_VALUE"""),45380)</f>
        <v>45380</v>
      </c>
    </row>
    <row r="876" spans="1:20" ht="12.75">
      <c r="A876" s="24">
        <f ca="1">IFERROR(__xludf.DUMMYFUNCTION("""COMPUTED_VALUE"""),45671.7415985879)</f>
        <v>45671.741598587898</v>
      </c>
      <c r="B876" s="5" t="str">
        <f ca="1">IFERROR(__xludf.DUMMYFUNCTION("""COMPUTED_VALUE"""),"2213 Arizona ave")</f>
        <v>2213 Arizona ave</v>
      </c>
      <c r="C876" s="5" t="str">
        <f ca="1">IFERROR(__xludf.DUMMYFUNCTION("""COMPUTED_VALUE"""),"Santa Monica ")</f>
        <v xml:space="preserve">Santa Monica </v>
      </c>
      <c r="D876" s="5" t="str">
        <f ca="1">IFERROR(__xludf.DUMMYFUNCTION("""COMPUTED_VALUE"""),"CA")</f>
        <v>CA</v>
      </c>
      <c r="E876" s="5">
        <f ca="1">IFERROR(__xludf.DUMMYFUNCTION("""COMPUTED_VALUE"""),90404)</f>
        <v>90404</v>
      </c>
      <c r="F876" s="19">
        <f ca="1">IFERROR(__xludf.DUMMYFUNCTION("""COMPUTED_VALUE"""),5500)</f>
        <v>5500</v>
      </c>
      <c r="G876" s="19">
        <f ca="1">IFERROR(__xludf.DUMMYFUNCTION("""COMPUTED_VALUE"""),7000)</f>
        <v>7000</v>
      </c>
      <c r="H876" s="18">
        <f ca="1">IFERROR(__xludf.DUMMYFUNCTION("""COMPUTED_VALUE"""),45665)</f>
        <v>45665</v>
      </c>
      <c r="I876" s="5" t="str">
        <f ca="1">IFERROR(__xludf.DUMMYFUNCTION("""COMPUTED_VALUE"""),"Zillow")</f>
        <v>Zillow</v>
      </c>
      <c r="J876" s="25" t="str">
        <f ca="1">IFERROR(__xludf.DUMMYFUNCTION("""COMPUTED_VALUE"""),"trulia.com")</f>
        <v>trulia.com</v>
      </c>
      <c r="K876" s="5"/>
      <c r="L876" s="5"/>
      <c r="M876" s="5" t="str">
        <f ca="1">IFERROR(__xludf.DUMMYFUNCTION("""COMPUTED_VALUE"""),"I screenshotted the listing price increase. It’s no longer active since I reached out to owner about their price gouging ")</f>
        <v xml:space="preserve">I screenshotted the listing price increase. It’s no longer active since I reached out to owner about their price gouging </v>
      </c>
      <c r="N876" s="26" t="str">
        <f ca="1">IFERROR(__xludf.DUMMYFUNCTION("""COMPUTED_VALUE"""),"https://drive.google.com/open?id=1acxO7p-Wwf1O2RO4AEJ5g-a4IGEHnebh")</f>
        <v>https://drive.google.com/open?id=1acxO7p-Wwf1O2RO4AEJ5g-a4IGEHnebh</v>
      </c>
      <c r="O876" s="5">
        <f ca="1">IFERROR(__xludf.DUMMYFUNCTION("""COMPUTED_VALUE"""),4276016016)</f>
        <v>4276016016</v>
      </c>
      <c r="P876" s="5"/>
      <c r="Q876" s="5"/>
      <c r="R876" s="5"/>
      <c r="S876" s="5"/>
      <c r="T876" s="18">
        <f ca="1">IFERROR(__xludf.DUMMYFUNCTION("""COMPUTED_VALUE"""),45664)</f>
        <v>45664</v>
      </c>
    </row>
    <row r="877" spans="1:20" ht="12.75">
      <c r="A877" s="24">
        <f ca="1">IFERROR(__xludf.DUMMYFUNCTION("""COMPUTED_VALUE"""),45671.7431148263)</f>
        <v>45671.743114826299</v>
      </c>
      <c r="B877" s="5" t="str">
        <f ca="1">IFERROR(__xludf.DUMMYFUNCTION("""COMPUTED_VALUE"""),"1105 S Barrington Ave. # 8")</f>
        <v>1105 S Barrington Ave. # 8</v>
      </c>
      <c r="C877" s="5" t="str">
        <f ca="1">IFERROR(__xludf.DUMMYFUNCTION("""COMPUTED_VALUE"""),"Los Angeles")</f>
        <v>Los Angeles</v>
      </c>
      <c r="D877" s="5" t="str">
        <f ca="1">IFERROR(__xludf.DUMMYFUNCTION("""COMPUTED_VALUE"""),"CA")</f>
        <v>CA</v>
      </c>
      <c r="E877" s="5">
        <f ca="1">IFERROR(__xludf.DUMMYFUNCTION("""COMPUTED_VALUE"""),90049)</f>
        <v>90049</v>
      </c>
      <c r="F877" s="19">
        <f ca="1">IFERROR(__xludf.DUMMYFUNCTION("""COMPUTED_VALUE"""),4795)</f>
        <v>4795</v>
      </c>
      <c r="G877" s="19">
        <f ca="1">IFERROR(__xludf.DUMMYFUNCTION("""COMPUTED_VALUE"""),5495)</f>
        <v>5495</v>
      </c>
      <c r="H877" s="18">
        <f ca="1">IFERROR(__xludf.DUMMYFUNCTION("""COMPUTED_VALUE"""),45670)</f>
        <v>45670</v>
      </c>
      <c r="I877" s="26" t="str">
        <f ca="1">IFERROR(__xludf.DUMMYFUNCTION("""COMPUTED_VALUE"""),"https://centralinvestmentcorp.appfolio.com/listings/detail/704fb4c3-b73c-440b-8616-1a9195832f12")</f>
        <v>https://centralinvestmentcorp.appfolio.com/listings/detail/704fb4c3-b73c-440b-8616-1a9195832f12</v>
      </c>
      <c r="J877" s="25" t="str">
        <f ca="1">IFERROR(__xludf.DUMMYFUNCTION("""COMPUTED_VALUE"""),"https://www.zillow.com/homedetails/1105-S-Barrington-Ave-8-Los-Angeles-CA-90049/442775342_zpid/")</f>
        <v>https://www.zillow.com/homedetails/1105-S-Barrington-Ave-8-Los-Angeles-CA-90049/442775342_zpid/</v>
      </c>
      <c r="K877" s="5"/>
      <c r="L877" s="5"/>
      <c r="M877" s="5" t="str">
        <f ca="1">IFERROR(__xludf.DUMMYFUNCTION("""COMPUTED_VALUE"""),"Property Management is Southland Inland Properties LLC (323) 675-7876")</f>
        <v>Property Management is Southland Inland Properties LLC (323) 675-7876</v>
      </c>
      <c r="N877" s="5" t="str">
        <f ca="1">IFERROR(__xludf.DUMMYFUNCTION("""COMPUTED_VALUE"""),"https://drive.google.com/open?id=1EARieeFp-m0O0wZd4Uk8dQ9oUSVPSfX-, https://drive.google.com/open?id=1S9Wge0Zk2EZtgx-O4FAWNUPalU5NpxqM")</f>
        <v>https://drive.google.com/open?id=1EARieeFp-m0O0wZd4Uk8dQ9oUSVPSfX-, https://drive.google.com/open?id=1S9Wge0Zk2EZtgx-O4FAWNUPalU5NpxqM</v>
      </c>
      <c r="O877" s="5" t="str">
        <f ca="1">IFERROR(__xludf.DUMMYFUNCTION("""COMPUTED_VALUE"""),"NA")</f>
        <v>NA</v>
      </c>
      <c r="P877" s="5"/>
      <c r="Q877" s="5"/>
      <c r="R877" s="5"/>
      <c r="S877" s="5"/>
      <c r="T877" s="18">
        <f ca="1">IFERROR(__xludf.DUMMYFUNCTION("""COMPUTED_VALUE"""),45650)</f>
        <v>45650</v>
      </c>
    </row>
    <row r="878" spans="1:20" ht="12.75">
      <c r="A878" s="24">
        <f ca="1">IFERROR(__xludf.DUMMYFUNCTION("""COMPUTED_VALUE"""),45671.7534755902)</f>
        <v>45671.753475590202</v>
      </c>
      <c r="B878" s="5" t="str">
        <f ca="1">IFERROR(__xludf.DUMMYFUNCTION("""COMPUTED_VALUE"""),"17837 Blackbrush Dr")</f>
        <v>17837 Blackbrush Dr</v>
      </c>
      <c r="C878" s="5" t="str">
        <f ca="1">IFERROR(__xludf.DUMMYFUNCTION("""COMPUTED_VALUE"""),"Santa Clarita")</f>
        <v>Santa Clarita</v>
      </c>
      <c r="D878" s="5" t="str">
        <f ca="1">IFERROR(__xludf.DUMMYFUNCTION("""COMPUTED_VALUE"""),"CA")</f>
        <v>CA</v>
      </c>
      <c r="E878" s="5">
        <f ca="1">IFERROR(__xludf.DUMMYFUNCTION("""COMPUTED_VALUE"""),91387)</f>
        <v>91387</v>
      </c>
      <c r="F878" s="19">
        <f ca="1">IFERROR(__xludf.DUMMYFUNCTION("""COMPUTED_VALUE"""),9500)</f>
        <v>9500</v>
      </c>
      <c r="G878" s="19">
        <f ca="1">IFERROR(__xludf.DUMMYFUNCTION("""COMPUTED_VALUE"""),10500)</f>
        <v>10500</v>
      </c>
      <c r="H878" s="18">
        <f ca="1">IFERROR(__xludf.DUMMYFUNCTION("""COMPUTED_VALUE"""),45665)</f>
        <v>45665</v>
      </c>
      <c r="I878" s="5" t="str">
        <f ca="1">IFERROR(__xludf.DUMMYFUNCTION("""COMPUTED_VALUE"""),"Zillow")</f>
        <v>Zillow</v>
      </c>
      <c r="J878" s="25" t="str">
        <f ca="1">IFERROR(__xludf.DUMMYFUNCTION("""COMPUTED_VALUE"""),"https://www.zillow.com/homedetails/17837-Blackbrush-Dr-Santa-Clarita-CA-91387/20215783_zpid/")</f>
        <v>https://www.zillow.com/homedetails/17837-Blackbrush-Dr-Santa-Clarita-CA-91387/20215783_zpid/</v>
      </c>
      <c r="K878" s="5"/>
      <c r="L878" s="5" t="str">
        <f ca="1">IFERROR(__xludf.DUMMYFUNCTION("""COMPUTED_VALUE"""),"Ella Mai")</f>
        <v>Ella Mai</v>
      </c>
      <c r="M878" s="5"/>
      <c r="N878" s="5" t="str">
        <f ca="1">IFERROR(__xludf.DUMMYFUNCTION("""COMPUTED_VALUE"""),"https://drive.google.com/open?id=1uOAAsbB8K7xwjQzm9KitRvl-5qdW6SeT, https://drive.google.com/open?id=1QNJvViXsrvDF7kj5VMS_EcUACYUq_lAg, https://drive.google.com/open?id=1QHmJYBQRCGSTo2xmM3ikR4UfG-g-XrNY")</f>
        <v>https://drive.google.com/open?id=1uOAAsbB8K7xwjQzm9KitRvl-5qdW6SeT, https://drive.google.com/open?id=1QNJvViXsrvDF7kj5VMS_EcUACYUq_lAg, https://drive.google.com/open?id=1QHmJYBQRCGSTo2xmM3ikR4UfG-g-XrNY</v>
      </c>
      <c r="O878" s="5">
        <f ca="1">IFERROR(__xludf.DUMMYFUNCTION("""COMPUTED_VALUE"""),2844011006)</f>
        <v>2844011006</v>
      </c>
      <c r="P878" s="5"/>
      <c r="Q878" s="5"/>
      <c r="R878" s="5" t="str">
        <f ca="1">IFERROR(__xludf.DUMMYFUNCTION("""COMPUTED_VALUE"""),"(412) 265-5926")</f>
        <v>(412) 265-5926</v>
      </c>
      <c r="S878" s="5"/>
      <c r="T878" s="18">
        <f ca="1">IFERROR(__xludf.DUMMYFUNCTION("""COMPUTED_VALUE"""),45581)</f>
        <v>45581</v>
      </c>
    </row>
    <row r="879" spans="1:20" ht="12.75">
      <c r="A879" s="24">
        <f ca="1">IFERROR(__xludf.DUMMYFUNCTION("""COMPUTED_VALUE"""),45671.756512662)</f>
        <v>45671.756512662003</v>
      </c>
      <c r="B879" s="5" t="str">
        <f ca="1">IFERROR(__xludf.DUMMYFUNCTION("""COMPUTED_VALUE"""),"7599 Coastal View Dr")</f>
        <v>7599 Coastal View Dr</v>
      </c>
      <c r="C879" s="5" t="str">
        <f ca="1">IFERROR(__xludf.DUMMYFUNCTION("""COMPUTED_VALUE"""),"Los Angeles")</f>
        <v>Los Angeles</v>
      </c>
      <c r="D879" s="5" t="str">
        <f ca="1">IFERROR(__xludf.DUMMYFUNCTION("""COMPUTED_VALUE"""),"CA")</f>
        <v>CA</v>
      </c>
      <c r="E879" s="5">
        <f ca="1">IFERROR(__xludf.DUMMYFUNCTION("""COMPUTED_VALUE"""),90045)</f>
        <v>90045</v>
      </c>
      <c r="F879" s="19">
        <f ca="1">IFERROR(__xludf.DUMMYFUNCTION("""COMPUTED_VALUE"""),25000)</f>
        <v>25000</v>
      </c>
      <c r="G879" s="19">
        <f ca="1">IFERROR(__xludf.DUMMYFUNCTION("""COMPUTED_VALUE"""),33333)</f>
        <v>33333</v>
      </c>
      <c r="H879" s="18">
        <f ca="1">IFERROR(__xludf.DUMMYFUNCTION("""COMPUTED_VALUE"""),45666)</f>
        <v>45666</v>
      </c>
      <c r="I879" s="5" t="str">
        <f ca="1">IFERROR(__xludf.DUMMYFUNCTION("""COMPUTED_VALUE"""),"Redfin")</f>
        <v>Redfin</v>
      </c>
      <c r="J879" s="25" t="str">
        <f ca="1">IFERROR(__xludf.DUMMYFUNCTION("""COMPUTED_VALUE"""),"https://www.redfin.com/CA/Los-Angeles/7599-Coastal-View-Dr-90045/home/17238564")</f>
        <v>https://www.redfin.com/CA/Los-Angeles/7599-Coastal-View-Dr-90045/home/17238564</v>
      </c>
      <c r="K879" s="5" t="str">
        <f ca="1">IFERROR(__xludf.DUMMYFUNCTION("""COMPUTED_VALUE"""),"James Scott Suarez ")</f>
        <v xml:space="preserve">James Scott Suarez </v>
      </c>
      <c r="L879" s="5"/>
      <c r="M879" s="5"/>
      <c r="N879" s="26" t="str">
        <f ca="1">IFERROR(__xludf.DUMMYFUNCTION("""COMPUTED_VALUE"""),"https://drive.google.com/open?id=15igRpIrHqTHy7uClvBJ2g28Es9F-wgBE")</f>
        <v>https://drive.google.com/open?id=15igRpIrHqTHy7uClvBJ2g28Es9F-wgBE</v>
      </c>
      <c r="O879" s="5" t="str">
        <f ca="1">IFERROR(__xludf.DUMMYFUNCTION("""COMPUTED_VALUE"""),"NA")</f>
        <v>NA</v>
      </c>
      <c r="P879" s="5" t="str">
        <f ca="1">IFERROR(__xludf.DUMMYFUNCTION("""COMPUTED_VALUE"""),"310-331-8883 ")</f>
        <v xml:space="preserve">310-331-8883 </v>
      </c>
      <c r="Q879" s="5" t="str">
        <f ca="1">IFERROR(__xludf.DUMMYFUNCTION("""COMPUTED_VALUE"""),"newhomerentalsla@gmail.com")</f>
        <v>newhomerentalsla@gmail.com</v>
      </c>
      <c r="R879" s="5"/>
      <c r="S879" s="5"/>
      <c r="T879" s="18">
        <f ca="1">IFERROR(__xludf.DUMMYFUNCTION("""COMPUTED_VALUE"""),45645)</f>
        <v>45645</v>
      </c>
    </row>
    <row r="880" spans="1:20" ht="12.75">
      <c r="A880" s="24">
        <f ca="1">IFERROR(__xludf.DUMMYFUNCTION("""COMPUTED_VALUE"""),45671.7640119791)</f>
        <v>45671.764011979103</v>
      </c>
      <c r="B880" s="5" t="str">
        <f ca="1">IFERROR(__xludf.DUMMYFUNCTION("""COMPUTED_VALUE"""),"4411 Roma Ct")</f>
        <v>4411 Roma Ct</v>
      </c>
      <c r="C880" s="5" t="str">
        <f ca="1">IFERROR(__xludf.DUMMYFUNCTION("""COMPUTED_VALUE"""),"Marina Del Rey")</f>
        <v>Marina Del Rey</v>
      </c>
      <c r="D880" s="5" t="str">
        <f ca="1">IFERROR(__xludf.DUMMYFUNCTION("""COMPUTED_VALUE"""),"CA")</f>
        <v>CA</v>
      </c>
      <c r="E880" s="5">
        <f ca="1">IFERROR(__xludf.DUMMYFUNCTION("""COMPUTED_VALUE"""),90292)</f>
        <v>90292</v>
      </c>
      <c r="F880" s="19">
        <f ca="1">IFERROR(__xludf.DUMMYFUNCTION("""COMPUTED_VALUE"""),20500)</f>
        <v>20500</v>
      </c>
      <c r="G880" s="19">
        <f ca="1">IFERROR(__xludf.DUMMYFUNCTION("""COMPUTED_VALUE"""),25000)</f>
        <v>25000</v>
      </c>
      <c r="H880" s="18">
        <f ca="1">IFERROR(__xludf.DUMMYFUNCTION("""COMPUTED_VALUE"""),45304)</f>
        <v>45304</v>
      </c>
      <c r="I880" s="5" t="str">
        <f ca="1">IFERROR(__xludf.DUMMYFUNCTION("""COMPUTED_VALUE"""),"Zillow")</f>
        <v>Zillow</v>
      </c>
      <c r="J880" s="25" t="str">
        <f ca="1">IFERROR(__xludf.DUMMYFUNCTION("""COMPUTED_VALUE"""),"https://www.zillow.com/homedetails/4411-Roma-Ct-Marina-Del-Rey-CA-90292/20487766_zpid/")</f>
        <v>https://www.zillow.com/homedetails/4411-Roma-Ct-Marina-Del-Rey-CA-90292/20487766_zpid/</v>
      </c>
      <c r="K880" s="5" t="str">
        <f ca="1">IFERROR(__xludf.DUMMYFUNCTION("""COMPUTED_VALUE"""),"Barbra Stover, AKG | Christie's International Real Estate")</f>
        <v>Barbra Stover, AKG | Christie's International Real Estate</v>
      </c>
      <c r="L880" s="5"/>
      <c r="M880" s="5"/>
      <c r="N880" s="5" t="str">
        <f ca="1">IFERROR(__xludf.DUMMYFUNCTION("""COMPUTED_VALUE"""),"https://drive.google.com/open?id=1u74HqdIRISkDUlv5Jua_FdHVYVqy45xe, https://drive.google.com/open?id=1qmPSVAe3v7TEdFw4qz0E8Jodj0ZSVF7s, https://drive.google.com/open?id=16_u6_t4bNauosjq9SlYRVZsK1GFIy9TX")</f>
        <v>https://drive.google.com/open?id=1u74HqdIRISkDUlv5Jua_FdHVYVqy45xe, https://drive.google.com/open?id=1qmPSVAe3v7TEdFw4qz0E8Jodj0ZSVF7s, https://drive.google.com/open?id=16_u6_t4bNauosjq9SlYRVZsK1GFIy9TX</v>
      </c>
      <c r="O880" s="5">
        <f ca="1">IFERROR(__xludf.DUMMYFUNCTION("""COMPUTED_VALUE"""),4295003055)</f>
        <v>4295003055</v>
      </c>
      <c r="P880" s="5" t="str">
        <f ca="1">IFERROR(__xludf.DUMMYFUNCTION("""COMPUTED_VALUE"""),"(310) 902-7122")</f>
        <v>(310) 902-7122</v>
      </c>
      <c r="Q880" s="5"/>
      <c r="R880" s="5"/>
      <c r="S880" s="5"/>
      <c r="T880" s="18">
        <f ca="1">IFERROR(__xludf.DUMMYFUNCTION("""COMPUTED_VALUE"""),45600)</f>
        <v>45600</v>
      </c>
    </row>
    <row r="881" spans="1:20" ht="12.75">
      <c r="A881" s="24">
        <f ca="1">IFERROR(__xludf.DUMMYFUNCTION("""COMPUTED_VALUE"""),45671.7674981597)</f>
        <v>45671.767498159701</v>
      </c>
      <c r="B881" s="5" t="str">
        <f ca="1">IFERROR(__xludf.DUMMYFUNCTION("""COMPUTED_VALUE"""),"2154 Miner St")</f>
        <v>2154 Miner St</v>
      </c>
      <c r="C881" s="5" t="str">
        <f ca="1">IFERROR(__xludf.DUMMYFUNCTION("""COMPUTED_VALUE"""),"Costa Mesa")</f>
        <v>Costa Mesa</v>
      </c>
      <c r="D881" s="5" t="str">
        <f ca="1">IFERROR(__xludf.DUMMYFUNCTION("""COMPUTED_VALUE"""),"CA")</f>
        <v>CA</v>
      </c>
      <c r="E881" s="5">
        <f ca="1">IFERROR(__xludf.DUMMYFUNCTION("""COMPUTED_VALUE"""),92627)</f>
        <v>92627</v>
      </c>
      <c r="F881" s="19">
        <f ca="1">IFERROR(__xludf.DUMMYFUNCTION("""COMPUTED_VALUE"""),8000)</f>
        <v>8000</v>
      </c>
      <c r="G881" s="19">
        <f ca="1">IFERROR(__xludf.DUMMYFUNCTION("""COMPUTED_VALUE"""),10000)</f>
        <v>10000</v>
      </c>
      <c r="H881" s="18">
        <f ca="1">IFERROR(__xludf.DUMMYFUNCTION("""COMPUTED_VALUE"""),45670)</f>
        <v>45670</v>
      </c>
      <c r="I881" s="5" t="str">
        <f ca="1">IFERROR(__xludf.DUMMYFUNCTION("""COMPUTED_VALUE"""),"Zillow")</f>
        <v>Zillow</v>
      </c>
      <c r="J881" s="25" t="str">
        <f ca="1">IFERROR(__xludf.DUMMYFUNCTION("""COMPUTED_VALUE"""),"https://www.zillow.com/homedetails/2154-Miner-St-Costa-Mesa-CA-92627/25462788_zpid/")</f>
        <v>https://www.zillow.com/homedetails/2154-Miner-St-Costa-Mesa-CA-92627/25462788_zpid/</v>
      </c>
      <c r="K881" s="5" t="str">
        <f ca="1">IFERROR(__xludf.DUMMYFUNCTION("""COMPUTED_VALUE"""),"Muzi Zhou")</f>
        <v>Muzi Zhou</v>
      </c>
      <c r="L881" s="5"/>
      <c r="M881" s="5"/>
      <c r="N881" s="5" t="str">
        <f ca="1">IFERROR(__xludf.DUMMYFUNCTION("""COMPUTED_VALUE"""),"https://drive.google.com/open?id=1Au365Bvngex7ytMaC1KPtps6055NYLse, https://drive.google.com/open?id=1pQ12uDKURQP4ne2BG1O9B3aLi2bW3vXa, https://drive.google.com/open?id=1zeC-eBUWLdCP2-3wackxddGeCfJBaiyP")</f>
        <v>https://drive.google.com/open?id=1Au365Bvngex7ytMaC1KPtps6055NYLse, https://drive.google.com/open?id=1pQ12uDKURQP4ne2BG1O9B3aLi2bW3vXa, https://drive.google.com/open?id=1zeC-eBUWLdCP2-3wackxddGeCfJBaiyP</v>
      </c>
      <c r="O881" s="5">
        <f ca="1">IFERROR(__xludf.DUMMYFUNCTION("""COMPUTED_VALUE"""),42220306)</f>
        <v>42220306</v>
      </c>
      <c r="P881" s="5" t="str">
        <f ca="1">IFERROR(__xludf.DUMMYFUNCTION("""COMPUTED_VALUE"""),"(949) 374-7980")</f>
        <v>(949) 374-7980</v>
      </c>
      <c r="Q881" s="5"/>
      <c r="R881" s="5"/>
      <c r="S881" s="5"/>
      <c r="T881" s="18">
        <f ca="1">IFERROR(__xludf.DUMMYFUNCTION("""COMPUTED_VALUE"""),45602)</f>
        <v>45602</v>
      </c>
    </row>
    <row r="882" spans="1:20" ht="12.75">
      <c r="A882" s="24">
        <f ca="1">IFERROR(__xludf.DUMMYFUNCTION("""COMPUTED_VALUE"""),45671.7692775231)</f>
        <v>45671.769277523097</v>
      </c>
      <c r="B882" s="5" t="str">
        <f ca="1">IFERROR(__xludf.DUMMYFUNCTION("""COMPUTED_VALUE"""),"600 N Soto St APT 101")</f>
        <v>600 N Soto St APT 101</v>
      </c>
      <c r="C882" s="5" t="str">
        <f ca="1">IFERROR(__xludf.DUMMYFUNCTION("""COMPUTED_VALUE"""),"Los Angeles")</f>
        <v>Los Angeles</v>
      </c>
      <c r="D882" s="5" t="str">
        <f ca="1">IFERROR(__xludf.DUMMYFUNCTION("""COMPUTED_VALUE"""),"CA")</f>
        <v>CA</v>
      </c>
      <c r="E882" s="5">
        <f ca="1">IFERROR(__xludf.DUMMYFUNCTION("""COMPUTED_VALUE"""),90033)</f>
        <v>90033</v>
      </c>
      <c r="F882" s="19">
        <f ca="1">IFERROR(__xludf.DUMMYFUNCTION("""COMPUTED_VALUE"""),1828)</f>
        <v>1828</v>
      </c>
      <c r="G882" s="19">
        <f ca="1">IFERROR(__xludf.DUMMYFUNCTION("""COMPUTED_VALUE"""),2700)</f>
        <v>2700</v>
      </c>
      <c r="H882" s="18">
        <f ca="1">IFERROR(__xludf.DUMMYFUNCTION("""COMPUTED_VALUE"""),45671)</f>
        <v>45671</v>
      </c>
      <c r="I882" s="5" t="str">
        <f ca="1">IFERROR(__xludf.DUMMYFUNCTION("""COMPUTED_VALUE"""),"Zillow")</f>
        <v>Zillow</v>
      </c>
      <c r="J882" s="25" t="str">
        <f ca="1">IFERROR(__xludf.DUMMYFUNCTION("""COMPUTED_VALUE"""),"https://www.zillow.com/homedetails/600-N-Soto-St-APT-101-Los-Angeles-CA-90033/2095350496_zpid/?utm_campaign=iosappmessage&amp;utm_medium=referral&amp;utm_source=txtshare")</f>
        <v>https://www.zillow.com/homedetails/600-N-Soto-St-APT-101-Los-Angeles-CA-90033/2095350496_zpid/?utm_campaign=iosappmessage&amp;utm_medium=referral&amp;utm_source=txtshare</v>
      </c>
      <c r="K882" s="5"/>
      <c r="L882" s="5"/>
      <c r="M882" s="5"/>
      <c r="N882" s="5" t="str">
        <f ca="1">IFERROR(__xludf.DUMMYFUNCTION("""COMPUTED_VALUE"""),"https://drive.google.com/open?id=1z54RMc5vlvvOhxP38GMVYI1g8w6WtgNo, https://drive.google.com/open?id=1tKB5Kz9q7puJXUQvnWHYjajXwAYruYMF")</f>
        <v>https://drive.google.com/open?id=1z54RMc5vlvvOhxP38GMVYI1g8w6WtgNo, https://drive.google.com/open?id=1tKB5Kz9q7puJXUQvnWHYjajXwAYruYMF</v>
      </c>
      <c r="O882" s="5" t="str">
        <f ca="1">IFERROR(__xludf.DUMMYFUNCTION("""COMPUTED_VALUE"""),"NA")</f>
        <v>NA</v>
      </c>
      <c r="P882" s="5" t="str">
        <f ca="1">IFERROR(__xludf.DUMMYFUNCTION("""COMPUTED_VALUE"""),"323-7844245")</f>
        <v>323-7844245</v>
      </c>
      <c r="Q882" s="5"/>
      <c r="R882" s="5"/>
      <c r="S882" s="5"/>
      <c r="T882" s="18">
        <f ca="1">IFERROR(__xludf.DUMMYFUNCTION("""COMPUTED_VALUE"""),45661)</f>
        <v>45661</v>
      </c>
    </row>
    <row r="883" spans="1:20" ht="12.75">
      <c r="A883" s="24">
        <f ca="1">IFERROR(__xludf.DUMMYFUNCTION("""COMPUTED_VALUE"""),45671.7833173148)</f>
        <v>45671.783317314803</v>
      </c>
      <c r="B883" s="5" t="str">
        <f ca="1">IFERROR(__xludf.DUMMYFUNCTION("""COMPUTED_VALUE"""),"10364 Eastborne Ave")</f>
        <v>10364 Eastborne Ave</v>
      </c>
      <c r="C883" s="5" t="str">
        <f ca="1">IFERROR(__xludf.DUMMYFUNCTION("""COMPUTED_VALUE"""),"Los Angeles")</f>
        <v>Los Angeles</v>
      </c>
      <c r="D883" s="5" t="str">
        <f ca="1">IFERROR(__xludf.DUMMYFUNCTION("""COMPUTED_VALUE"""),"CA")</f>
        <v>CA</v>
      </c>
      <c r="E883" s="5">
        <f ca="1">IFERROR(__xludf.DUMMYFUNCTION("""COMPUTED_VALUE"""),90024)</f>
        <v>90024</v>
      </c>
      <c r="F883" s="19">
        <f ca="1">IFERROR(__xludf.DUMMYFUNCTION("""COMPUTED_VALUE"""),9950)</f>
        <v>9950</v>
      </c>
      <c r="G883" s="19">
        <f ca="1">IFERROR(__xludf.DUMMYFUNCTION("""COMPUTED_VALUE"""),18000)</f>
        <v>18000</v>
      </c>
      <c r="H883" s="18">
        <f ca="1">IFERROR(__xludf.DUMMYFUNCTION("""COMPUTED_VALUE"""),45671)</f>
        <v>45671</v>
      </c>
      <c r="I883" s="5" t="str">
        <f ca="1">IFERROR(__xludf.DUMMYFUNCTION("""COMPUTED_VALUE"""),"Zillow")</f>
        <v>Zillow</v>
      </c>
      <c r="J883" s="25" t="str">
        <f ca="1">IFERROR(__xludf.DUMMYFUNCTION("""COMPUTED_VALUE"""),"https://www.zillow.com/homedetails/10364-Eastborne-Ave-Los-Angeles-CA-90024/20507858_zpid/")</f>
        <v>https://www.zillow.com/homedetails/10364-Eastborne-Ave-Los-Angeles-CA-90024/20507858_zpid/</v>
      </c>
      <c r="K883" s="5" t="str">
        <f ca="1">IFERROR(__xludf.DUMMYFUNCTION("""COMPUTED_VALUE"""),"Ari Hoffman")</f>
        <v>Ari Hoffman</v>
      </c>
      <c r="L883" s="5"/>
      <c r="M883" s="5"/>
      <c r="N883" s="26" t="str">
        <f ca="1">IFERROR(__xludf.DUMMYFUNCTION("""COMPUTED_VALUE"""),"https://drive.google.com/open?id=16UH9DamUXehHB-VTrQWb9Vh5JHp3n-wE")</f>
        <v>https://drive.google.com/open?id=16UH9DamUXehHB-VTrQWb9Vh5JHp3n-wE</v>
      </c>
      <c r="O883" s="5">
        <f ca="1">IFERROR(__xludf.DUMMYFUNCTION("""COMPUTED_VALUE"""),4327007003)</f>
        <v>4327007003</v>
      </c>
      <c r="P883" s="5" t="str">
        <f ca="1">IFERROR(__xludf.DUMMYFUNCTION("""COMPUTED_VALUE"""),"(213) 642-2972")</f>
        <v>(213) 642-2972</v>
      </c>
      <c r="Q883" s="5"/>
      <c r="R883" s="5"/>
      <c r="S883" s="5"/>
      <c r="T883" s="18">
        <f ca="1">IFERROR(__xludf.DUMMYFUNCTION("""COMPUTED_VALUE"""),45553)</f>
        <v>45553</v>
      </c>
    </row>
    <row r="884" spans="1:20" ht="12.75">
      <c r="A884" s="24">
        <f ca="1">IFERROR(__xludf.DUMMYFUNCTION("""COMPUTED_VALUE"""),45671.7911527083)</f>
        <v>45671.791152708298</v>
      </c>
      <c r="B884" s="5" t="str">
        <f ca="1">IFERROR(__xludf.DUMMYFUNCTION("""COMPUTED_VALUE"""),"15541 Aqua Verde Dr")</f>
        <v>15541 Aqua Verde Dr</v>
      </c>
      <c r="C884" s="5" t="str">
        <f ca="1">IFERROR(__xludf.DUMMYFUNCTION("""COMPUTED_VALUE"""),"Los Angeles")</f>
        <v>Los Angeles</v>
      </c>
      <c r="D884" s="5" t="str">
        <f ca="1">IFERROR(__xludf.DUMMYFUNCTION("""COMPUTED_VALUE"""),"CA")</f>
        <v>CA</v>
      </c>
      <c r="E884" s="5">
        <f ca="1">IFERROR(__xludf.DUMMYFUNCTION("""COMPUTED_VALUE"""),90077)</f>
        <v>90077</v>
      </c>
      <c r="F884" s="19">
        <f ca="1">IFERROR(__xludf.DUMMYFUNCTION("""COMPUTED_VALUE"""),19000)</f>
        <v>19000</v>
      </c>
      <c r="G884" s="19">
        <f ca="1">IFERROR(__xludf.DUMMYFUNCTION("""COMPUTED_VALUE"""),22500)</f>
        <v>22500</v>
      </c>
      <c r="H884" s="18">
        <f ca="1">IFERROR(__xludf.DUMMYFUNCTION("""COMPUTED_VALUE"""),45671)</f>
        <v>45671</v>
      </c>
      <c r="I884" s="5" t="str">
        <f ca="1">IFERROR(__xludf.DUMMYFUNCTION("""COMPUTED_VALUE"""),"Zillow")</f>
        <v>Zillow</v>
      </c>
      <c r="J884" s="25" t="str">
        <f ca="1">IFERROR(__xludf.DUMMYFUNCTION("""COMPUTED_VALUE"""),"https://www.zillow.com/homedetails/15541-Aqua-Verde-Dr-Los-Angeles-CA-90077/20531173_zpid/")</f>
        <v>https://www.zillow.com/homedetails/15541-Aqua-Verde-Dr-Los-Angeles-CA-90077/20531173_zpid/</v>
      </c>
      <c r="K884" s="5" t="str">
        <f ca="1">IFERROR(__xludf.DUMMYFUNCTION("""COMPUTED_VALUE"""),"Simon Mills, Mills Realty of California")</f>
        <v>Simon Mills, Mills Realty of California</v>
      </c>
      <c r="L884" s="5"/>
      <c r="M884" s="5"/>
      <c r="N884" s="5" t="str">
        <f ca="1">IFERROR(__xludf.DUMMYFUNCTION("""COMPUTED_VALUE"""),"https://drive.google.com/open?id=1jwyhunDnW01bUzljOmPEbuhS7PsAaKAg, https://drive.google.com/open?id=1nWwbvCEZ-Bdnx3DOuK9EskQT00q60fkf, https://drive.google.com/open?id=1lw1Ab57TNvBdC4I4Fy2v5jIPLQUbM9Bh")</f>
        <v>https://drive.google.com/open?id=1jwyhunDnW01bUzljOmPEbuhS7PsAaKAg, https://drive.google.com/open?id=1nWwbvCEZ-Bdnx3DOuK9EskQT00q60fkf, https://drive.google.com/open?id=1lw1Ab57TNvBdC4I4Fy2v5jIPLQUbM9Bh</v>
      </c>
      <c r="O884" s="5">
        <f ca="1">IFERROR(__xludf.DUMMYFUNCTION("""COMPUTED_VALUE"""),4378032012)</f>
        <v>4378032012</v>
      </c>
      <c r="P884" s="5" t="str">
        <f ca="1">IFERROR(__xludf.DUMMYFUNCTION("""COMPUTED_VALUE"""),"(818) 763-4462")</f>
        <v>(818) 763-4462</v>
      </c>
      <c r="Q884" s="5"/>
      <c r="R884" s="5"/>
      <c r="S884" s="5"/>
      <c r="T884" s="18">
        <f ca="1">IFERROR(__xludf.DUMMYFUNCTION("""COMPUTED_VALUE"""),45630)</f>
        <v>45630</v>
      </c>
    </row>
    <row r="885" spans="1:20" ht="12.75">
      <c r="A885" s="24">
        <f ca="1">IFERROR(__xludf.DUMMYFUNCTION("""COMPUTED_VALUE"""),45671.7959570833)</f>
        <v>45671.795957083297</v>
      </c>
      <c r="B885" s="5" t="str">
        <f ca="1">IFERROR(__xludf.DUMMYFUNCTION("""COMPUTED_VALUE"""),"6952 Solano Verde Dr")</f>
        <v>6952 Solano Verde Dr</v>
      </c>
      <c r="C885" s="5" t="str">
        <f ca="1">IFERROR(__xludf.DUMMYFUNCTION("""COMPUTED_VALUE"""),"Somis")</f>
        <v>Somis</v>
      </c>
      <c r="D885" s="5" t="str">
        <f ca="1">IFERROR(__xludf.DUMMYFUNCTION("""COMPUTED_VALUE"""),"CA")</f>
        <v>CA</v>
      </c>
      <c r="E885" s="5">
        <f ca="1">IFERROR(__xludf.DUMMYFUNCTION("""COMPUTED_VALUE"""),93066)</f>
        <v>93066</v>
      </c>
      <c r="F885" s="19">
        <f ca="1">IFERROR(__xludf.DUMMYFUNCTION("""COMPUTED_VALUE"""),17000)</f>
        <v>17000</v>
      </c>
      <c r="G885" s="19">
        <f ca="1">IFERROR(__xludf.DUMMYFUNCTION("""COMPUTED_VALUE"""),23000)</f>
        <v>23000</v>
      </c>
      <c r="H885" s="18">
        <f ca="1">IFERROR(__xludf.DUMMYFUNCTION("""COMPUTED_VALUE"""),45671)</f>
        <v>45671</v>
      </c>
      <c r="I885" s="5" t="str">
        <f ca="1">IFERROR(__xludf.DUMMYFUNCTION("""COMPUTED_VALUE"""),"Zillow")</f>
        <v>Zillow</v>
      </c>
      <c r="J885" s="25" t="str">
        <f ca="1">IFERROR(__xludf.DUMMYFUNCTION("""COMPUTED_VALUE"""),"https://www.zillow.com/homedetails/6952-Solano-Verde-Dr-Somis-CA-93066/16346318_zpid/")</f>
        <v>https://www.zillow.com/homedetails/6952-Solano-Verde-Dr-Somis-CA-93066/16346318_zpid/</v>
      </c>
      <c r="K885" s="5"/>
      <c r="L885" s="5" t="str">
        <f ca="1">IFERROR(__xludf.DUMMYFUNCTION("""COMPUTED_VALUE"""),"Preet Boparai")</f>
        <v>Preet Boparai</v>
      </c>
      <c r="M885" s="5"/>
      <c r="N885" s="5" t="str">
        <f ca="1">IFERROR(__xludf.DUMMYFUNCTION("""COMPUTED_VALUE"""),"https://drive.google.com/open?id=15NuFhwSDY831c-rNRd3u_sVFO_ZRdVaW, https://drive.google.com/open?id=1hgx7qdJVDBAE-BnfdVftvvI7s_09yJbZ, https://drive.google.com/open?id=1SiySVF_kem7C_ipLEI5ruL2SCuhMGBa7")</f>
        <v>https://drive.google.com/open?id=15NuFhwSDY831c-rNRd3u_sVFO_ZRdVaW, https://drive.google.com/open?id=1hgx7qdJVDBAE-BnfdVftvvI7s_09yJbZ, https://drive.google.com/open?id=1SiySVF_kem7C_ipLEI5ruL2SCuhMGBa7</v>
      </c>
      <c r="O885" s="5">
        <f ca="1">IFERROR(__xludf.DUMMYFUNCTION("""COMPUTED_VALUE"""),1080140275)</f>
        <v>1080140275</v>
      </c>
      <c r="P885" s="5"/>
      <c r="Q885" s="5"/>
      <c r="R885" s="5" t="str">
        <f ca="1">IFERROR(__xludf.DUMMYFUNCTION("""COMPUTED_VALUE"""),"(213) 855-1771")</f>
        <v>(213) 855-1771</v>
      </c>
      <c r="S885" s="5"/>
      <c r="T885" s="18">
        <f ca="1">IFERROR(__xludf.DUMMYFUNCTION("""COMPUTED_VALUE"""),45669)</f>
        <v>45669</v>
      </c>
    </row>
    <row r="886" spans="1:20" ht="12.75">
      <c r="A886" s="24">
        <f ca="1">IFERROR(__xludf.DUMMYFUNCTION("""COMPUTED_VALUE"""),45671.8012161689)</f>
        <v>45671.801216168897</v>
      </c>
      <c r="B886" s="5" t="str">
        <f ca="1">IFERROR(__xludf.DUMMYFUNCTION("""COMPUTED_VALUE"""),"1378 N Raymond Ave")</f>
        <v>1378 N Raymond Ave</v>
      </c>
      <c r="C886" s="5" t="str">
        <f ca="1">IFERROR(__xludf.DUMMYFUNCTION("""COMPUTED_VALUE"""),"Pasadena")</f>
        <v>Pasadena</v>
      </c>
      <c r="D886" s="5" t="str">
        <f ca="1">IFERROR(__xludf.DUMMYFUNCTION("""COMPUTED_VALUE"""),"CA")</f>
        <v>CA</v>
      </c>
      <c r="E886" s="5">
        <f ca="1">IFERROR(__xludf.DUMMYFUNCTION("""COMPUTED_VALUE"""),91103)</f>
        <v>91103</v>
      </c>
      <c r="F886" s="19">
        <f ca="1">IFERROR(__xludf.DUMMYFUNCTION("""COMPUTED_VALUE"""),1600)</f>
        <v>1600</v>
      </c>
      <c r="G886" s="19">
        <f ca="1">IFERROR(__xludf.DUMMYFUNCTION("""COMPUTED_VALUE"""),2500)</f>
        <v>2500</v>
      </c>
      <c r="H886" s="18">
        <f ca="1">IFERROR(__xludf.DUMMYFUNCTION("""COMPUTED_VALUE"""),45670)</f>
        <v>45670</v>
      </c>
      <c r="I886" s="5" t="str">
        <f ca="1">IFERROR(__xludf.DUMMYFUNCTION("""COMPUTED_VALUE"""),"Zillow")</f>
        <v>Zillow</v>
      </c>
      <c r="J886" s="25" t="str">
        <f ca="1">IFERROR(__xludf.DUMMYFUNCTION("""COMPUTED_VALUE"""),"https://www.zillow.com/homedetails/1378-N-Raymond-Ave-Pasadena-CA-91103/20865141_zpid/")</f>
        <v>https://www.zillow.com/homedetails/1378-N-Raymond-Ave-Pasadena-CA-91103/20865141_zpid/</v>
      </c>
      <c r="K886" s="5"/>
      <c r="L886" s="5" t="str">
        <f ca="1">IFERROR(__xludf.DUMMYFUNCTION("""COMPUTED_VALUE"""),"Jon")</f>
        <v>Jon</v>
      </c>
      <c r="M886" s="5" t="str">
        <f ca="1">IFERROR(__xludf.DUMMYFUNCTION("""COMPUTED_VALUE"""),"25 days on Zillow")</f>
        <v>25 days on Zillow</v>
      </c>
      <c r="N886" s="5" t="str">
        <f ca="1">IFERROR(__xludf.DUMMYFUNCTION("""COMPUTED_VALUE"""),"https://drive.google.com/open?id=1k3poytanxhegxnUyWRGIlkCXwCJqO8h0, https://drive.google.com/open?id=1DucnTeOc-ABYaORsz_H-eLAWzEJpFdvs")</f>
        <v>https://drive.google.com/open?id=1k3poytanxhegxnUyWRGIlkCXwCJqO8h0, https://drive.google.com/open?id=1DucnTeOc-ABYaORsz_H-eLAWzEJpFdvs</v>
      </c>
      <c r="O886" s="5">
        <f ca="1">IFERROR(__xludf.DUMMYFUNCTION("""COMPUTED_VALUE"""),5729004010)</f>
        <v>5729004010</v>
      </c>
      <c r="P886" s="5"/>
      <c r="Q886" s="5"/>
      <c r="R886" s="5" t="str">
        <f ca="1">IFERROR(__xludf.DUMMYFUNCTION("""COMPUTED_VALUE"""),"(626) 869-9032")</f>
        <v>(626) 869-9032</v>
      </c>
      <c r="S886" s="5"/>
      <c r="T886" s="18">
        <f ca="1">IFERROR(__xludf.DUMMYFUNCTION("""COMPUTED_VALUE"""),45567)</f>
        <v>45567</v>
      </c>
    </row>
    <row r="887" spans="1:20" ht="12.75">
      <c r="A887" s="24">
        <f ca="1">IFERROR(__xludf.DUMMYFUNCTION("""COMPUTED_VALUE"""),45671.802812118)</f>
        <v>45671.802812118003</v>
      </c>
      <c r="B887" s="5" t="str">
        <f ca="1">IFERROR(__xludf.DUMMYFUNCTION("""COMPUTED_VALUE"""),"5737 Cartwright Ave")</f>
        <v>5737 Cartwright Ave</v>
      </c>
      <c r="C887" s="5" t="str">
        <f ca="1">IFERROR(__xludf.DUMMYFUNCTION("""COMPUTED_VALUE"""),"North Hollywood")</f>
        <v>North Hollywood</v>
      </c>
      <c r="D887" s="5" t="str">
        <f ca="1">IFERROR(__xludf.DUMMYFUNCTION("""COMPUTED_VALUE"""),"CA")</f>
        <v>CA</v>
      </c>
      <c r="E887" s="5">
        <f ca="1">IFERROR(__xludf.DUMMYFUNCTION("""COMPUTED_VALUE"""),91601)</f>
        <v>91601</v>
      </c>
      <c r="F887" s="19">
        <f ca="1">IFERROR(__xludf.DUMMYFUNCTION("""COMPUTED_VALUE"""),5250)</f>
        <v>5250</v>
      </c>
      <c r="G887" s="19">
        <f ca="1">IFERROR(__xludf.DUMMYFUNCTION("""COMPUTED_VALUE"""),6000)</f>
        <v>6000</v>
      </c>
      <c r="H887" s="18">
        <f ca="1">IFERROR(__xludf.DUMMYFUNCTION("""COMPUTED_VALUE"""),45671)</f>
        <v>45671</v>
      </c>
      <c r="I887" s="5" t="str">
        <f ca="1">IFERROR(__xludf.DUMMYFUNCTION("""COMPUTED_VALUE"""),"Zillow")</f>
        <v>Zillow</v>
      </c>
      <c r="J887" s="25" t="str">
        <f ca="1">IFERROR(__xludf.DUMMYFUNCTION("""COMPUTED_VALUE"""),"https://www.zillow.com/homedetails/5737-Cartwright-Ave-North-Hollywood-CA-91601/20040629_zpid/")</f>
        <v>https://www.zillow.com/homedetails/5737-Cartwright-Ave-North-Hollywood-CA-91601/20040629_zpid/</v>
      </c>
      <c r="K887" s="5"/>
      <c r="L887" s="5" t="str">
        <f ca="1">IFERROR(__xludf.DUMMYFUNCTION("""COMPUTED_VALUE"""),"M Wells")</f>
        <v>M Wells</v>
      </c>
      <c r="M887" s="5"/>
      <c r="N887" s="26" t="str">
        <f ca="1">IFERROR(__xludf.DUMMYFUNCTION("""COMPUTED_VALUE"""),"https://drive.google.com/open?id=1qbzyHM6tkikEDoRZBX1gNlKjD-hN6PSo")</f>
        <v>https://drive.google.com/open?id=1qbzyHM6tkikEDoRZBX1gNlKjD-hN6PSo</v>
      </c>
      <c r="O887" s="5">
        <f ca="1">IFERROR(__xludf.DUMMYFUNCTION("""COMPUTED_VALUE"""),2415020007)</f>
        <v>2415020007</v>
      </c>
      <c r="P887" s="5"/>
      <c r="Q887" s="5"/>
      <c r="R887" s="5" t="str">
        <f ca="1">IFERROR(__xludf.DUMMYFUNCTION("""COMPUTED_VALUE"""),"(347) 827-1692")</f>
        <v>(347) 827-1692</v>
      </c>
      <c r="S887" s="5"/>
      <c r="T887" s="18">
        <f ca="1">IFERROR(__xludf.DUMMYFUNCTION("""COMPUTED_VALUE"""),45401)</f>
        <v>45401</v>
      </c>
    </row>
    <row r="888" spans="1:20" ht="12.75">
      <c r="A888" s="24">
        <f ca="1">IFERROR(__xludf.DUMMYFUNCTION("""COMPUTED_VALUE"""),45671.8042041088)</f>
        <v>45671.804204108797</v>
      </c>
      <c r="B888" s="5" t="str">
        <f ca="1">IFERROR(__xludf.DUMMYFUNCTION("""COMPUTED_VALUE"""),"3856 Vista Linda Dr")</f>
        <v>3856 Vista Linda Dr</v>
      </c>
      <c r="C888" s="5" t="str">
        <f ca="1">IFERROR(__xludf.DUMMYFUNCTION("""COMPUTED_VALUE"""),"Encino")</f>
        <v>Encino</v>
      </c>
      <c r="D888" s="5" t="str">
        <f ca="1">IFERROR(__xludf.DUMMYFUNCTION("""COMPUTED_VALUE"""),"CA")</f>
        <v>CA</v>
      </c>
      <c r="E888" s="5">
        <f ca="1">IFERROR(__xludf.DUMMYFUNCTION("""COMPUTED_VALUE"""),91316)</f>
        <v>91316</v>
      </c>
      <c r="F888" s="19">
        <f ca="1">IFERROR(__xludf.DUMMYFUNCTION("""COMPUTED_VALUE"""),13900)</f>
        <v>13900</v>
      </c>
      <c r="G888" s="19">
        <f ca="1">IFERROR(__xludf.DUMMYFUNCTION("""COMPUTED_VALUE"""),16000)</f>
        <v>16000</v>
      </c>
      <c r="H888" s="18">
        <f ca="1">IFERROR(__xludf.DUMMYFUNCTION("""COMPUTED_VALUE"""),45671)</f>
        <v>45671</v>
      </c>
      <c r="I888" s="5" t="str">
        <f ca="1">IFERROR(__xludf.DUMMYFUNCTION("""COMPUTED_VALUE"""),"Zillow")</f>
        <v>Zillow</v>
      </c>
      <c r="J888" s="25" t="str">
        <f ca="1">IFERROR(__xludf.DUMMYFUNCTION("""COMPUTED_VALUE"""),"https://www.zillow.com/homedetails/3856-Vista-Linda-Dr-Encino-CA-91316/19951052_zpid/")</f>
        <v>https://www.zillow.com/homedetails/3856-Vista-Linda-Dr-Encino-CA-91316/19951052_zpid/</v>
      </c>
      <c r="K888" s="5"/>
      <c r="L888" s="5" t="str">
        <f ca="1">IFERROR(__xludf.DUMMYFUNCTION("""COMPUTED_VALUE"""),"Kevin Now")</f>
        <v>Kevin Now</v>
      </c>
      <c r="M888" s="5"/>
      <c r="N888" s="5" t="str">
        <f ca="1">IFERROR(__xludf.DUMMYFUNCTION("""COMPUTED_VALUE"""),"https://drive.google.com/open?id=1LNTr7pMuQ-Zvm50xpeRIHC7yr3CTB1Ec, https://drive.google.com/open?id=1PgBJVLNxbgF5LiuWIjXQVQYxW1qw2yPI, https://drive.google.com/open?id=1IF-EEpij-gCQZyZxAYmqMxQRBEO29Zkp")</f>
        <v>https://drive.google.com/open?id=1LNTr7pMuQ-Zvm50xpeRIHC7yr3CTB1Ec, https://drive.google.com/open?id=1PgBJVLNxbgF5LiuWIjXQVQYxW1qw2yPI, https://drive.google.com/open?id=1IF-EEpij-gCQZyZxAYmqMxQRBEO29Zkp</v>
      </c>
      <c r="O888" s="5">
        <f ca="1">IFERROR(__xludf.DUMMYFUNCTION("""COMPUTED_VALUE"""),2184045005)</f>
        <v>2184045005</v>
      </c>
      <c r="P888" s="5"/>
      <c r="Q888" s="5"/>
      <c r="R888" s="5" t="str">
        <f ca="1">IFERROR(__xludf.DUMMYFUNCTION("""COMPUTED_VALUE"""),"Kevin Now")</f>
        <v>Kevin Now</v>
      </c>
      <c r="S888" s="5"/>
      <c r="T888" s="18">
        <f ca="1">IFERROR(__xludf.DUMMYFUNCTION("""COMPUTED_VALUE"""),45664)</f>
        <v>45664</v>
      </c>
    </row>
    <row r="889" spans="1:20" ht="12.75">
      <c r="A889" s="24">
        <f ca="1">IFERROR(__xludf.DUMMYFUNCTION("""COMPUTED_VALUE"""),45671.8069669675)</f>
        <v>45671.806966967502</v>
      </c>
      <c r="B889" s="5" t="str">
        <f ca="1">IFERROR(__xludf.DUMMYFUNCTION("""COMPUTED_VALUE"""),"12501 Sapphire Pl")</f>
        <v>12501 Sapphire Pl</v>
      </c>
      <c r="C889" s="5" t="str">
        <f ca="1">IFERROR(__xludf.DUMMYFUNCTION("""COMPUTED_VALUE"""),"Valley Village")</f>
        <v>Valley Village</v>
      </c>
      <c r="D889" s="5" t="str">
        <f ca="1">IFERROR(__xludf.DUMMYFUNCTION("""COMPUTED_VALUE"""),"CA")</f>
        <v>CA</v>
      </c>
      <c r="E889" s="5">
        <f ca="1">IFERROR(__xludf.DUMMYFUNCTION("""COMPUTED_VALUE"""),91607)</f>
        <v>91607</v>
      </c>
      <c r="F889" s="19">
        <f ca="1">IFERROR(__xludf.DUMMYFUNCTION("""COMPUTED_VALUE"""),4330)</f>
        <v>4330</v>
      </c>
      <c r="G889" s="19">
        <f ca="1">IFERROR(__xludf.DUMMYFUNCTION("""COMPUTED_VALUE"""),4940)</f>
        <v>4940</v>
      </c>
      <c r="H889" s="18">
        <f ca="1">IFERROR(__xludf.DUMMYFUNCTION("""COMPUTED_VALUE"""),45670)</f>
        <v>45670</v>
      </c>
      <c r="I889" s="5" t="str">
        <f ca="1">IFERROR(__xludf.DUMMYFUNCTION("""COMPUTED_VALUE"""),"Zillow")</f>
        <v>Zillow</v>
      </c>
      <c r="J889" s="25" t="str">
        <f ca="1">IFERROR(__xludf.DUMMYFUNCTION("""COMPUTED_VALUE"""),"https://www.zillow.com/homedetails/12501-Sapphire-Pl-Valley-Village-CA-91607/325797939_zpid/")</f>
        <v>https://www.zillow.com/homedetails/12501-Sapphire-Pl-Valley-Village-CA-91607/325797939_zpid/</v>
      </c>
      <c r="K889" s="5" t="str">
        <f ca="1">IFERROR(__xludf.DUMMYFUNCTION("""COMPUTED_VALUE"""),"Blueground US")</f>
        <v>Blueground US</v>
      </c>
      <c r="L889" s="5"/>
      <c r="M889" s="5"/>
      <c r="N889" s="26" t="str">
        <f ca="1">IFERROR(__xludf.DUMMYFUNCTION("""COMPUTED_VALUE"""),"https://drive.google.com/open?id=1JbTRbnG9_nikV8vJV9aJWoQdtmSPlI8Y")</f>
        <v>https://drive.google.com/open?id=1JbTRbnG9_nikV8vJV9aJWoQdtmSPlI8Y</v>
      </c>
      <c r="O889" s="5">
        <f ca="1">IFERROR(__xludf.DUMMYFUNCTION("""COMPUTED_VALUE"""),2357006034)</f>
        <v>2357006034</v>
      </c>
      <c r="P889" s="5" t="str">
        <f ca="1">IFERROR(__xludf.DUMMYFUNCTION("""COMPUTED_VALUE"""),"(213) 698-7284")</f>
        <v>(213) 698-7284</v>
      </c>
      <c r="Q889" s="5"/>
      <c r="R889" s="5"/>
      <c r="S889" s="5"/>
      <c r="T889" s="18">
        <f ca="1">IFERROR(__xludf.DUMMYFUNCTION("""COMPUTED_VALUE"""),45667)</f>
        <v>45667</v>
      </c>
    </row>
    <row r="890" spans="1:20" ht="12.75">
      <c r="A890" s="24">
        <f ca="1">IFERROR(__xludf.DUMMYFUNCTION("""COMPUTED_VALUE"""),45671.80780353)</f>
        <v>45671.807803529999</v>
      </c>
      <c r="B890" s="5" t="str">
        <f ca="1">IFERROR(__xludf.DUMMYFUNCTION("""COMPUTED_VALUE"""),"2444 E Del Mar Blvd UNIT 115")</f>
        <v>2444 E Del Mar Blvd UNIT 115</v>
      </c>
      <c r="C890" s="5" t="str">
        <f ca="1">IFERROR(__xludf.DUMMYFUNCTION("""COMPUTED_VALUE"""),"Pasadena")</f>
        <v>Pasadena</v>
      </c>
      <c r="D890" s="5" t="str">
        <f ca="1">IFERROR(__xludf.DUMMYFUNCTION("""COMPUTED_VALUE"""),"CA")</f>
        <v>CA</v>
      </c>
      <c r="E890" s="5">
        <f ca="1">IFERROR(__xludf.DUMMYFUNCTION("""COMPUTED_VALUE"""),91107)</f>
        <v>91107</v>
      </c>
      <c r="F890" s="19">
        <f ca="1">IFERROR(__xludf.DUMMYFUNCTION("""COMPUTED_VALUE"""),2400)</f>
        <v>2400</v>
      </c>
      <c r="G890" s="19">
        <f ca="1">IFERROR(__xludf.DUMMYFUNCTION("""COMPUTED_VALUE"""),2650)</f>
        <v>2650</v>
      </c>
      <c r="H890" s="18">
        <f ca="1">IFERROR(__xludf.DUMMYFUNCTION("""COMPUTED_VALUE"""),45669)</f>
        <v>45669</v>
      </c>
      <c r="I890" s="5" t="str">
        <f ca="1">IFERROR(__xludf.DUMMYFUNCTION("""COMPUTED_VALUE"""),"Zillow")</f>
        <v>Zillow</v>
      </c>
      <c r="J890" s="25" t="str">
        <f ca="1">IFERROR(__xludf.DUMMYFUNCTION("""COMPUTED_VALUE"""),"https://www.zillow.com/homedetails/2444-E-Del-Mar-Blvd-UNIT-115-Pasadena-CA-91107/20702157_zpid/")</f>
        <v>https://www.zillow.com/homedetails/2444-E-Del-Mar-Blvd-UNIT-115-Pasadena-CA-91107/20702157_zpid/</v>
      </c>
      <c r="K890" s="5" t="str">
        <f ca="1">IFERROR(__xludf.DUMMYFUNCTION("""COMPUTED_VALUE"""),"Arbi Derian")</f>
        <v>Arbi Derian</v>
      </c>
      <c r="L890" s="5"/>
      <c r="M890" s="5" t="str">
        <f ca="1">IFERROR(__xludf.DUMMYFUNCTION("""COMPUTED_VALUE"""),"Compass Management Company")</f>
        <v>Compass Management Company</v>
      </c>
      <c r="N890" s="5" t="str">
        <f ca="1">IFERROR(__xludf.DUMMYFUNCTION("""COMPUTED_VALUE"""),"https://drive.google.com/open?id=1tld4iSdgmqE8AjNhI6PMQhjxXAPNbf75, https://drive.google.com/open?id=1rMFp1mVNzOnJbxtPzE-XhZ5H4puhSvhO")</f>
        <v>https://drive.google.com/open?id=1tld4iSdgmqE8AjNhI6PMQhjxXAPNbf75, https://drive.google.com/open?id=1rMFp1mVNzOnJbxtPzE-XhZ5H4puhSvhO</v>
      </c>
      <c r="O890" s="5">
        <f ca="1">IFERROR(__xludf.DUMMYFUNCTION("""COMPUTED_VALUE"""),5330033048)</f>
        <v>5330033048</v>
      </c>
      <c r="P890" s="5" t="str">
        <f ca="1">IFERROR(__xludf.DUMMYFUNCTION("""COMPUTED_VALUE"""),"(626) 487-4410")</f>
        <v>(626) 487-4410</v>
      </c>
      <c r="Q890" s="5"/>
      <c r="R890" s="5"/>
      <c r="S890" s="5"/>
      <c r="T890" s="18">
        <f ca="1">IFERROR(__xludf.DUMMYFUNCTION("""COMPUTED_VALUE"""),45659)</f>
        <v>45659</v>
      </c>
    </row>
    <row r="891" spans="1:20" ht="12.75">
      <c r="A891" s="24">
        <f ca="1">IFERROR(__xludf.DUMMYFUNCTION("""COMPUTED_VALUE"""),45671.811144537)</f>
        <v>45671.811144537001</v>
      </c>
      <c r="B891" s="5" t="str">
        <f ca="1">IFERROR(__xludf.DUMMYFUNCTION("""COMPUTED_VALUE"""),"4832 Whitsett Ave")</f>
        <v>4832 Whitsett Ave</v>
      </c>
      <c r="C891" s="5" t="str">
        <f ca="1">IFERROR(__xludf.DUMMYFUNCTION("""COMPUTED_VALUE"""),"Valley Village")</f>
        <v>Valley Village</v>
      </c>
      <c r="D891" s="5" t="str">
        <f ca="1">IFERROR(__xludf.DUMMYFUNCTION("""COMPUTED_VALUE"""),"CA")</f>
        <v>CA</v>
      </c>
      <c r="E891" s="5">
        <f ca="1">IFERROR(__xludf.DUMMYFUNCTION("""COMPUTED_VALUE"""),91607)</f>
        <v>91607</v>
      </c>
      <c r="F891" s="19">
        <f ca="1">IFERROR(__xludf.DUMMYFUNCTION("""COMPUTED_VALUE"""),4500)</f>
        <v>4500</v>
      </c>
      <c r="G891" s="19">
        <f ca="1">IFERROR(__xludf.DUMMYFUNCTION("""COMPUTED_VALUE"""),4950)</f>
        <v>4950</v>
      </c>
      <c r="H891" s="18">
        <f ca="1">IFERROR(__xludf.DUMMYFUNCTION("""COMPUTED_VALUE"""),45671)</f>
        <v>45671</v>
      </c>
      <c r="I891" s="5" t="str">
        <f ca="1">IFERROR(__xludf.DUMMYFUNCTION("""COMPUTED_VALUE"""),"Zillow")</f>
        <v>Zillow</v>
      </c>
      <c r="J891" s="25" t="str">
        <f ca="1">IFERROR(__xludf.DUMMYFUNCTION("""COMPUTED_VALUE"""),"https://www.zillow.com/homedetails/4832-Whitsett-Ave-Valley-Village-CA-91607/443924837_zpid/")</f>
        <v>https://www.zillow.com/homedetails/4832-Whitsett-Ave-Valley-Village-CA-91607/443924837_zpid/</v>
      </c>
      <c r="K891" s="5"/>
      <c r="L891" s="5" t="str">
        <f ca="1">IFERROR(__xludf.DUMMYFUNCTION("""COMPUTED_VALUE"""),"Alex")</f>
        <v>Alex</v>
      </c>
      <c r="M891" s="5"/>
      <c r="N891" s="26" t="str">
        <f ca="1">IFERROR(__xludf.DUMMYFUNCTION("""COMPUTED_VALUE"""),"https://drive.google.com/open?id=1xC1GNeBy3YGHPHHKoSDug94qx1Xx5c0p")</f>
        <v>https://drive.google.com/open?id=1xC1GNeBy3YGHPHHKoSDug94qx1Xx5c0p</v>
      </c>
      <c r="O891" s="5" t="str">
        <f ca="1">IFERROR(__xludf.DUMMYFUNCTION("""COMPUTED_VALUE"""),"NA")</f>
        <v>NA</v>
      </c>
      <c r="P891" s="5"/>
      <c r="Q891" s="5"/>
      <c r="R891" s="5" t="str">
        <f ca="1">IFERROR(__xludf.DUMMYFUNCTION("""COMPUTED_VALUE"""),"(818) 207-8398")</f>
        <v>(818) 207-8398</v>
      </c>
      <c r="S891" s="5"/>
      <c r="T891" s="18">
        <f ca="1">IFERROR(__xludf.DUMMYFUNCTION("""COMPUTED_VALUE"""),45668)</f>
        <v>45668</v>
      </c>
    </row>
    <row r="892" spans="1:20" ht="12.75">
      <c r="A892" s="24">
        <f ca="1">IFERROR(__xludf.DUMMYFUNCTION("""COMPUTED_VALUE"""),45671.8227303472)</f>
        <v>45671.822730347201</v>
      </c>
      <c r="B892" s="5" t="str">
        <f ca="1">IFERROR(__xludf.DUMMYFUNCTION("""COMPUTED_VALUE"""),"3019 Linda Ln")</f>
        <v>3019 Linda Ln</v>
      </c>
      <c r="C892" s="5" t="str">
        <f ca="1">IFERROR(__xludf.DUMMYFUNCTION("""COMPUTED_VALUE"""),"Santa Monica")</f>
        <v>Santa Monica</v>
      </c>
      <c r="D892" s="5" t="str">
        <f ca="1">IFERROR(__xludf.DUMMYFUNCTION("""COMPUTED_VALUE"""),"CA")</f>
        <v>CA</v>
      </c>
      <c r="E892" s="5">
        <f ca="1">IFERROR(__xludf.DUMMYFUNCTION("""COMPUTED_VALUE"""),90405)</f>
        <v>90405</v>
      </c>
      <c r="F892" s="19">
        <f ca="1">IFERROR(__xludf.DUMMYFUNCTION("""COMPUTED_VALUE"""),5400)</f>
        <v>5400</v>
      </c>
      <c r="G892" s="19">
        <f ca="1">IFERROR(__xludf.DUMMYFUNCTION("""COMPUTED_VALUE"""),6800)</f>
        <v>6800</v>
      </c>
      <c r="H892" s="18">
        <f ca="1">IFERROR(__xludf.DUMMYFUNCTION("""COMPUTED_VALUE"""),45671)</f>
        <v>45671</v>
      </c>
      <c r="I892" s="5" t="str">
        <f ca="1">IFERROR(__xludf.DUMMYFUNCTION("""COMPUTED_VALUE"""),"Zillow")</f>
        <v>Zillow</v>
      </c>
      <c r="J892" s="25" t="str">
        <f ca="1">IFERROR(__xludf.DUMMYFUNCTION("""COMPUTED_VALUE"""),"https://www.zillow.com/homedetails/3019-Linda-Ln-Santa-Monica-CA-90405/20481699_zpid/")</f>
        <v>https://www.zillow.com/homedetails/3019-Linda-Ln-Santa-Monica-CA-90405/20481699_zpid/</v>
      </c>
      <c r="K892" s="5" t="str">
        <f ca="1">IFERROR(__xludf.DUMMYFUNCTION("""COMPUTED_VALUE"""),"Stephan Sean Illouz")</f>
        <v>Stephan Sean Illouz</v>
      </c>
      <c r="L892" s="5"/>
      <c r="M892" s="5"/>
      <c r="N892" s="5" t="str">
        <f ca="1">IFERROR(__xludf.DUMMYFUNCTION("""COMPUTED_VALUE"""),"https://drive.google.com/open?id=1dyJejMTTxIU0f9KJKa-_P_o4nt7ul1l0, https://drive.google.com/open?id=1-Gjc_vStC99ii97QoGDFQfrYrBCsd6qJ")</f>
        <v>https://drive.google.com/open?id=1dyJejMTTxIU0f9KJKa-_P_o4nt7ul1l0, https://drive.google.com/open?id=1-Gjc_vStC99ii97QoGDFQfrYrBCsd6qJ</v>
      </c>
      <c r="O892" s="5">
        <f ca="1">IFERROR(__xludf.DUMMYFUNCTION("""COMPUTED_VALUE"""),4285033014)</f>
        <v>4285033014</v>
      </c>
      <c r="P892" s="5" t="str">
        <f ca="1">IFERROR(__xludf.DUMMYFUNCTION("""COMPUTED_VALUE"""),"424-279-2477")</f>
        <v>424-279-2477</v>
      </c>
      <c r="Q892" s="5"/>
      <c r="R892" s="5"/>
      <c r="S892" s="5"/>
      <c r="T892" s="18">
        <f ca="1">IFERROR(__xludf.DUMMYFUNCTION("""COMPUTED_VALUE"""),44202)</f>
        <v>44202</v>
      </c>
    </row>
    <row r="893" spans="1:20" ht="12.75">
      <c r="A893" s="24">
        <f ca="1">IFERROR(__xludf.DUMMYFUNCTION("""COMPUTED_VALUE"""),45671.8230048611)</f>
        <v>45671.8230048611</v>
      </c>
      <c r="B893" s="5" t="str">
        <f ca="1">IFERROR(__xludf.DUMMYFUNCTION("""COMPUTED_VALUE"""),"7826 Fallbrook Ave #7826")</f>
        <v>7826 Fallbrook Ave #7826</v>
      </c>
      <c r="C893" s="5" t="str">
        <f ca="1">IFERROR(__xludf.DUMMYFUNCTION("""COMPUTED_VALUE"""),"West Hills")</f>
        <v>West Hills</v>
      </c>
      <c r="D893" s="5" t="str">
        <f ca="1">IFERROR(__xludf.DUMMYFUNCTION("""COMPUTED_VALUE"""),"CA")</f>
        <v>CA</v>
      </c>
      <c r="E893" s="5">
        <f ca="1">IFERROR(__xludf.DUMMYFUNCTION("""COMPUTED_VALUE"""),91304)</f>
        <v>91304</v>
      </c>
      <c r="F893" s="19">
        <f ca="1">IFERROR(__xludf.DUMMYFUNCTION("""COMPUTED_VALUE"""),2000)</f>
        <v>2000</v>
      </c>
      <c r="G893" s="19">
        <f ca="1">IFERROR(__xludf.DUMMYFUNCTION("""COMPUTED_VALUE"""),2500)</f>
        <v>2500</v>
      </c>
      <c r="H893" s="18">
        <f ca="1">IFERROR(__xludf.DUMMYFUNCTION("""COMPUTED_VALUE"""),45667)</f>
        <v>45667</v>
      </c>
      <c r="I893" s="5" t="str">
        <f ca="1">IFERROR(__xludf.DUMMYFUNCTION("""COMPUTED_VALUE"""),"Zillow")</f>
        <v>Zillow</v>
      </c>
      <c r="J893" s="25" t="str">
        <f ca="1">IFERROR(__xludf.DUMMYFUNCTION("""COMPUTED_VALUE"""),"https://www.zillow.com/homedetails/7826-Fallbrook-Ave-7826-Canoga-Park-CA-91304/2057607656_zpid/")</f>
        <v>https://www.zillow.com/homedetails/7826-Fallbrook-Ave-7826-Canoga-Park-CA-91304/2057607656_zpid/</v>
      </c>
      <c r="K893" s="5"/>
      <c r="L893" s="5" t="str">
        <f ca="1">IFERROR(__xludf.DUMMYFUNCTION("""COMPUTED_VALUE"""),"Kayvan Mehrshahi")</f>
        <v>Kayvan Mehrshahi</v>
      </c>
      <c r="M893" s="5"/>
      <c r="N893" s="5" t="str">
        <f ca="1">IFERROR(__xludf.DUMMYFUNCTION("""COMPUTED_VALUE"""),"https://drive.google.com/open?id=1xrNTSvYNjs6apbXC8RxeivPT-vUf-cHK, https://drive.google.com/open?id=1o2pGuLcQhq2VZSdXXiG5bat6A__VcNV7, https://drive.google.com/open?id=1ZCOd8QTpUCGa_0xP1f4DdVm7knboI_Vi")</f>
        <v>https://drive.google.com/open?id=1xrNTSvYNjs6apbXC8RxeivPT-vUf-cHK, https://drive.google.com/open?id=1o2pGuLcQhq2VZSdXXiG5bat6A__VcNV7, https://drive.google.com/open?id=1ZCOd8QTpUCGa_0xP1f4DdVm7knboI_Vi</v>
      </c>
      <c r="O893" s="5" t="str">
        <f ca="1">IFERROR(__xludf.DUMMYFUNCTION("""COMPUTED_VALUE"""),"na")</f>
        <v>na</v>
      </c>
      <c r="P893" s="5"/>
      <c r="Q893" s="5"/>
      <c r="R893" s="5" t="str">
        <f ca="1">IFERROR(__xludf.DUMMYFUNCTION("""COMPUTED_VALUE"""),"(619) 391-3033")</f>
        <v>(619) 391-3033</v>
      </c>
      <c r="S893" s="5"/>
      <c r="T893" s="18">
        <f ca="1">IFERROR(__xludf.DUMMYFUNCTION("""COMPUTED_VALUE"""),45064)</f>
        <v>45064</v>
      </c>
    </row>
    <row r="894" spans="1:20" ht="12.75">
      <c r="A894" s="24">
        <f ca="1">IFERROR(__xludf.DUMMYFUNCTION("""COMPUTED_VALUE"""),45671.8232227083)</f>
        <v>45671.823222708299</v>
      </c>
      <c r="B894" s="5" t="str">
        <f ca="1">IFERROR(__xludf.DUMMYFUNCTION("""COMPUTED_VALUE"""),"427 W Riverside Dr")</f>
        <v>427 W Riverside Dr</v>
      </c>
      <c r="C894" s="5" t="str">
        <f ca="1">IFERROR(__xludf.DUMMYFUNCTION("""COMPUTED_VALUE"""),"Burbank")</f>
        <v>Burbank</v>
      </c>
      <c r="D894" s="5" t="str">
        <f ca="1">IFERROR(__xludf.DUMMYFUNCTION("""COMPUTED_VALUE"""),"CA")</f>
        <v>CA</v>
      </c>
      <c r="E894" s="5">
        <f ca="1">IFERROR(__xludf.DUMMYFUNCTION("""COMPUTED_VALUE"""),91506)</f>
        <v>91506</v>
      </c>
      <c r="F894" s="19">
        <f ca="1">IFERROR(__xludf.DUMMYFUNCTION("""COMPUTED_VALUE"""),3300)</f>
        <v>3300</v>
      </c>
      <c r="G894" s="19">
        <f ca="1">IFERROR(__xludf.DUMMYFUNCTION("""COMPUTED_VALUE"""),4000)</f>
        <v>4000</v>
      </c>
      <c r="H894" s="18">
        <f ca="1">IFERROR(__xludf.DUMMYFUNCTION("""COMPUTED_VALUE"""),45672)</f>
        <v>45672</v>
      </c>
      <c r="I894" s="5" t="str">
        <f ca="1">IFERROR(__xludf.DUMMYFUNCTION("""COMPUTED_VALUE"""),"Zillow")</f>
        <v>Zillow</v>
      </c>
      <c r="J894" s="25" t="str">
        <f ca="1">IFERROR(__xludf.DUMMYFUNCTION("""COMPUTED_VALUE"""),"https://www.zillow.com/homedetails/427-W-Riverside-Dr-Burbank-CA-91506/20825323_zpid/")</f>
        <v>https://www.zillow.com/homedetails/427-W-Riverside-Dr-Burbank-CA-91506/20825323_zpid/</v>
      </c>
      <c r="K894" s="5"/>
      <c r="L894" s="5" t="str">
        <f ca="1">IFERROR(__xludf.DUMMYFUNCTION("""COMPUTED_VALUE"""),"Joseph")</f>
        <v>Joseph</v>
      </c>
      <c r="M894" s="5"/>
      <c r="N894" s="26" t="str">
        <f ca="1">IFERROR(__xludf.DUMMYFUNCTION("""COMPUTED_VALUE"""),"https://drive.google.com/open?id=1eLezQ7AJf9VGn1r9t_F6PY7qzynQS_EC")</f>
        <v>https://drive.google.com/open?id=1eLezQ7AJf9VGn1r9t_F6PY7qzynQS_EC</v>
      </c>
      <c r="O894" s="5">
        <f ca="1">IFERROR(__xludf.DUMMYFUNCTION("""COMPUTED_VALUE"""),5625029004)</f>
        <v>5625029004</v>
      </c>
      <c r="P894" s="5"/>
      <c r="Q894" s="5"/>
      <c r="R894" s="5" t="str">
        <f ca="1">IFERROR(__xludf.DUMMYFUNCTION("""COMPUTED_VALUE"""),"(818) 795-5695")</f>
        <v>(818) 795-5695</v>
      </c>
      <c r="S894" s="5"/>
      <c r="T894" s="18">
        <f ca="1">IFERROR(__xludf.DUMMYFUNCTION("""COMPUTED_VALUE"""),44983)</f>
        <v>44983</v>
      </c>
    </row>
    <row r="895" spans="1:20" ht="12.75">
      <c r="A895" s="24">
        <f ca="1">IFERROR(__xludf.DUMMYFUNCTION("""COMPUTED_VALUE"""),45671.8238008912)</f>
        <v>45671.823800891201</v>
      </c>
      <c r="B895" s="5" t="str">
        <f ca="1">IFERROR(__xludf.DUMMYFUNCTION("""COMPUTED_VALUE"""),"2249 Shoredale Ave")</f>
        <v>2249 Shoredale Ave</v>
      </c>
      <c r="C895" s="5" t="str">
        <f ca="1">IFERROR(__xludf.DUMMYFUNCTION("""COMPUTED_VALUE"""),"Los Angeles")</f>
        <v>Los Angeles</v>
      </c>
      <c r="D895" s="5" t="str">
        <f ca="1">IFERROR(__xludf.DUMMYFUNCTION("""COMPUTED_VALUE"""),"CA")</f>
        <v>CA</v>
      </c>
      <c r="E895" s="5">
        <f ca="1">IFERROR(__xludf.DUMMYFUNCTION("""COMPUTED_VALUE"""),90031)</f>
        <v>90031</v>
      </c>
      <c r="F895" s="19">
        <f ca="1">IFERROR(__xludf.DUMMYFUNCTION("""COMPUTED_VALUE"""),6200)</f>
        <v>6200</v>
      </c>
      <c r="G895" s="19">
        <f ca="1">IFERROR(__xludf.DUMMYFUNCTION("""COMPUTED_VALUE"""),7500)</f>
        <v>7500</v>
      </c>
      <c r="H895" s="18">
        <f ca="1">IFERROR(__xludf.DUMMYFUNCTION("""COMPUTED_VALUE"""),45672)</f>
        <v>45672</v>
      </c>
      <c r="I895" s="5" t="str">
        <f ca="1">IFERROR(__xludf.DUMMYFUNCTION("""COMPUTED_VALUE"""),"Zillow")</f>
        <v>Zillow</v>
      </c>
      <c r="J895" s="25" t="str">
        <f ca="1">IFERROR(__xludf.DUMMYFUNCTION("""COMPUTED_VALUE"""),"https://www.zillow.com/homedetails/2937-Urban-Ave-Santa-Monica-CA-90404/20473812_zpid/")</f>
        <v>https://www.zillow.com/homedetails/2937-Urban-Ave-Santa-Monica-CA-90404/20473812_zpid/</v>
      </c>
      <c r="K895" s="5" t="str">
        <f ca="1">IFERROR(__xludf.DUMMYFUNCTION("""COMPUTED_VALUE"""),"Nancy Wang")</f>
        <v>Nancy Wang</v>
      </c>
      <c r="L895" s="5"/>
      <c r="M895" s="5"/>
      <c r="N895" s="5" t="str">
        <f ca="1">IFERROR(__xludf.DUMMYFUNCTION("""COMPUTED_VALUE"""),"https://drive.google.com/open?id=1OB1DqVVXVxJ_i364NELjBAIKFSatip3L, https://drive.google.com/open?id=1nXKcTCJk34I9fOz4aI9FNNafI7pRb8yL")</f>
        <v>https://drive.google.com/open?id=1OB1DqVVXVxJ_i364NELjBAIKFSatip3L, https://drive.google.com/open?id=1nXKcTCJk34I9fOz4aI9FNNafI7pRb8yL</v>
      </c>
      <c r="O895" s="5">
        <f ca="1">IFERROR(__xludf.DUMMYFUNCTION("""COMPUTED_VALUE"""),5445027006)</f>
        <v>5445027006</v>
      </c>
      <c r="P895" s="5">
        <f ca="1">IFERROR(__xludf.DUMMYFUNCTION("""COMPUTED_VALUE"""),9099673151)</f>
        <v>9099673151</v>
      </c>
      <c r="Q895" s="5"/>
      <c r="R895" s="5"/>
      <c r="S895" s="5"/>
      <c r="T895" s="18">
        <f ca="1">IFERROR(__xludf.DUMMYFUNCTION("""COMPUTED_VALUE"""),45479)</f>
        <v>45479</v>
      </c>
    </row>
    <row r="896" spans="1:20" ht="12.75">
      <c r="A896" s="24">
        <f ca="1">IFERROR(__xludf.DUMMYFUNCTION("""COMPUTED_VALUE"""),45671.8245129976)</f>
        <v>45671.824512997599</v>
      </c>
      <c r="B896" s="5" t="str">
        <f ca="1">IFERROR(__xludf.DUMMYFUNCTION("""COMPUTED_VALUE"""),"15 Outrigger St APT 102")</f>
        <v>15 Outrigger St APT 102</v>
      </c>
      <c r="C896" s="5" t="str">
        <f ca="1">IFERROR(__xludf.DUMMYFUNCTION("""COMPUTED_VALUE"""),"Marina Del Rey")</f>
        <v>Marina Del Rey</v>
      </c>
      <c r="D896" s="5" t="str">
        <f ca="1">IFERROR(__xludf.DUMMYFUNCTION("""COMPUTED_VALUE"""),"CA")</f>
        <v>CA</v>
      </c>
      <c r="E896" s="5">
        <f ca="1">IFERROR(__xludf.DUMMYFUNCTION("""COMPUTED_VALUE"""),90292)</f>
        <v>90292</v>
      </c>
      <c r="F896" s="19">
        <f ca="1">IFERROR(__xludf.DUMMYFUNCTION("""COMPUTED_VALUE"""),3800)</f>
        <v>3800</v>
      </c>
      <c r="G896" s="19">
        <f ca="1">IFERROR(__xludf.DUMMYFUNCTION("""COMPUTED_VALUE"""),4300)</f>
        <v>4300</v>
      </c>
      <c r="H896" s="18">
        <f ca="1">IFERROR(__xludf.DUMMYFUNCTION("""COMPUTED_VALUE"""),45667)</f>
        <v>45667</v>
      </c>
      <c r="I896" s="5" t="str">
        <f ca="1">IFERROR(__xludf.DUMMYFUNCTION("""COMPUTED_VALUE"""),"Zillow")</f>
        <v>Zillow</v>
      </c>
      <c r="J896" s="25" t="str">
        <f ca="1">IFERROR(__xludf.DUMMYFUNCTION("""COMPUTED_VALUE"""),"https://www.zillow.com/homedetails/15-Outrigger-St-APT-102-Marina-Del-Rey-CA-90292/2091349239_zpid/")</f>
        <v>https://www.zillow.com/homedetails/15-Outrigger-St-APT-102-Marina-Del-Rey-CA-90292/2091349239_zpid/</v>
      </c>
      <c r="K896" s="5" t="str">
        <f ca="1">IFERROR(__xludf.DUMMYFUNCTION("""COMPUTED_VALUE"""),"Paola Mireles")</f>
        <v>Paola Mireles</v>
      </c>
      <c r="L896" s="5"/>
      <c r="M896" s="5"/>
      <c r="N896" s="26" t="str">
        <f ca="1">IFERROR(__xludf.DUMMYFUNCTION("""COMPUTED_VALUE"""),"https://drive.google.com/open?id=1TRKZbnkvAfoGr_FgoLacYwXudXyw9u1k")</f>
        <v>https://drive.google.com/open?id=1TRKZbnkvAfoGr_FgoLacYwXudXyw9u1k</v>
      </c>
      <c r="O896" s="5" t="str">
        <f ca="1">IFERROR(__xludf.DUMMYFUNCTION("""COMPUTED_VALUE"""),"NA")</f>
        <v>NA</v>
      </c>
      <c r="P896" s="5" t="str">
        <f ca="1">IFERROR(__xludf.DUMMYFUNCTION("""COMPUTED_VALUE"""),"(213) 277-2614")</f>
        <v>(213) 277-2614</v>
      </c>
      <c r="Q896" s="5"/>
      <c r="R896" s="5"/>
      <c r="S896" s="5"/>
      <c r="T896" s="18">
        <f ca="1">IFERROR(__xludf.DUMMYFUNCTION("""COMPUTED_VALUE"""),45666)</f>
        <v>45666</v>
      </c>
    </row>
    <row r="897" spans="1:20" ht="12.75">
      <c r="A897" s="24">
        <f ca="1">IFERROR(__xludf.DUMMYFUNCTION("""COMPUTED_VALUE"""),45671.8273071296)</f>
        <v>45671.827307129599</v>
      </c>
      <c r="B897" s="5" t="str">
        <f ca="1">IFERROR(__xludf.DUMMYFUNCTION("""COMPUTED_VALUE"""),"4322 Escondido Dr")</f>
        <v>4322 Escondido Dr</v>
      </c>
      <c r="C897" s="5" t="str">
        <f ca="1">IFERROR(__xludf.DUMMYFUNCTION("""COMPUTED_VALUE"""),"Malibu")</f>
        <v>Malibu</v>
      </c>
      <c r="D897" s="5" t="str">
        <f ca="1">IFERROR(__xludf.DUMMYFUNCTION("""COMPUTED_VALUE"""),"CA")</f>
        <v>CA</v>
      </c>
      <c r="E897" s="5">
        <f ca="1">IFERROR(__xludf.DUMMYFUNCTION("""COMPUTED_VALUE"""),90265)</f>
        <v>90265</v>
      </c>
      <c r="F897" s="19">
        <f ca="1">IFERROR(__xludf.DUMMYFUNCTION("""COMPUTED_VALUE"""),22000)</f>
        <v>22000</v>
      </c>
      <c r="G897" s="19">
        <f ca="1">IFERROR(__xludf.DUMMYFUNCTION("""COMPUTED_VALUE"""),25000)</f>
        <v>25000</v>
      </c>
      <c r="H897" s="18">
        <f ca="1">IFERROR(__xludf.DUMMYFUNCTION("""COMPUTED_VALUE"""),45669)</f>
        <v>45669</v>
      </c>
      <c r="I897" s="5" t="str">
        <f ca="1">IFERROR(__xludf.DUMMYFUNCTION("""COMPUTED_VALUE"""),"Zillow")</f>
        <v>Zillow</v>
      </c>
      <c r="J897" s="25" t="str">
        <f ca="1">IFERROR(__xludf.DUMMYFUNCTION("""COMPUTED_VALUE"""),"https://www.zillow.com/homedetails/4322-Escondido-Dr-Malibu-CA-90265/338340541_zpid/")</f>
        <v>https://www.zillow.com/homedetails/4322-Escondido-Dr-Malibu-CA-90265/338340541_zpid/</v>
      </c>
      <c r="K897" s="5" t="str">
        <f ca="1">IFERROR(__xludf.DUMMYFUNCTION("""COMPUTED_VALUE"""),"Keeli Bloom, Douglas Elliman")</f>
        <v>Keeli Bloom, Douglas Elliman</v>
      </c>
      <c r="L897" s="5"/>
      <c r="M897" s="5"/>
      <c r="N897" s="5" t="str">
        <f ca="1">IFERROR(__xludf.DUMMYFUNCTION("""COMPUTED_VALUE"""),"https://drive.google.com/open?id=1vvI6tB7Xdk7W2h04EkvAqCph9qgYX-Mb, https://drive.google.com/open?id=1MRR8_IVLRR6cCPGEl9lpQBECorBTwo3e, https://drive.google.com/open?id=1n-fAXyvCv6k3zZygd8EVnCauLRSzGcOb")</f>
        <v>https://drive.google.com/open?id=1vvI6tB7Xdk7W2h04EkvAqCph9qgYX-Mb, https://drive.google.com/open?id=1MRR8_IVLRR6cCPGEl9lpQBECorBTwo3e, https://drive.google.com/open?id=1n-fAXyvCv6k3zZygd8EVnCauLRSzGcOb</v>
      </c>
      <c r="O897" s="5">
        <f ca="1">IFERROR(__xludf.DUMMYFUNCTION("""COMPUTED_VALUE"""),4461021006)</f>
        <v>4461021006</v>
      </c>
      <c r="P897" s="5" t="str">
        <f ca="1">IFERROR(__xludf.DUMMYFUNCTION("""COMPUTED_VALUE"""),"(870) 703-4234")</f>
        <v>(870) 703-4234</v>
      </c>
      <c r="Q897" s="5"/>
      <c r="R897" s="5"/>
      <c r="S897" s="5"/>
      <c r="T897" s="18">
        <f ca="1">IFERROR(__xludf.DUMMYFUNCTION("""COMPUTED_VALUE"""),45573)</f>
        <v>45573</v>
      </c>
    </row>
    <row r="898" spans="1:20" ht="12.75">
      <c r="A898" s="24">
        <f ca="1">IFERROR(__xludf.DUMMYFUNCTION("""COMPUTED_VALUE"""),45671.8284596875)</f>
        <v>45671.828459687502</v>
      </c>
      <c r="B898" s="5" t="str">
        <f ca="1">IFERROR(__xludf.DUMMYFUNCTION("""COMPUTED_VALUE"""),"321 Beloit Ave")</f>
        <v>321 Beloit Ave</v>
      </c>
      <c r="C898" s="5" t="str">
        <f ca="1">IFERROR(__xludf.DUMMYFUNCTION("""COMPUTED_VALUE"""),"Los Angeles")</f>
        <v>Los Angeles</v>
      </c>
      <c r="D898" s="5" t="str">
        <f ca="1">IFERROR(__xludf.DUMMYFUNCTION("""COMPUTED_VALUE"""),"CA")</f>
        <v>CA</v>
      </c>
      <c r="E898" s="5">
        <f ca="1">IFERROR(__xludf.DUMMYFUNCTION("""COMPUTED_VALUE"""),90049)</f>
        <v>90049</v>
      </c>
      <c r="F898" s="19">
        <f ca="1">IFERROR(__xludf.DUMMYFUNCTION("""COMPUTED_VALUE"""),7000)</f>
        <v>7000</v>
      </c>
      <c r="G898" s="19">
        <f ca="1">IFERROR(__xludf.DUMMYFUNCTION("""COMPUTED_VALUE"""),8240)</f>
        <v>8240</v>
      </c>
      <c r="H898" s="18">
        <f ca="1">IFERROR(__xludf.DUMMYFUNCTION("""COMPUTED_VALUE"""),45672)</f>
        <v>45672</v>
      </c>
      <c r="I898" s="5" t="str">
        <f ca="1">IFERROR(__xludf.DUMMYFUNCTION("""COMPUTED_VALUE"""),"Zillow")</f>
        <v>Zillow</v>
      </c>
      <c r="J898" s="25" t="str">
        <f ca="1">IFERROR(__xludf.DUMMYFUNCTION("""COMPUTED_VALUE"""),"https://www.zillow.com/homedetails/321-Beloit-Ave-Los-Angeles-CA-90049/20527260_zpid/")</f>
        <v>https://www.zillow.com/homedetails/321-Beloit-Ave-Los-Angeles-CA-90049/20527260_zpid/</v>
      </c>
      <c r="K898" s="5" t="str">
        <f ca="1">IFERROR(__xludf.DUMMYFUNCTION("""COMPUTED_VALUE"""),"Cindy")</f>
        <v>Cindy</v>
      </c>
      <c r="L898" s="5"/>
      <c r="M898" s="5"/>
      <c r="N898" s="5" t="str">
        <f ca="1">IFERROR(__xludf.DUMMYFUNCTION("""COMPUTED_VALUE"""),"https://drive.google.com/open?id=1N1crW3BcFKe-ojk0JZPjWO5NLg2DsrBP, https://drive.google.com/open?id=1QUFgBn8Tismc-mQuYxC4v6pXy1mJSX63")</f>
        <v>https://drive.google.com/open?id=1N1crW3BcFKe-ojk0JZPjWO5NLg2DsrBP, https://drive.google.com/open?id=1QUFgBn8Tismc-mQuYxC4v6pXy1mJSX63</v>
      </c>
      <c r="O898" s="5">
        <f ca="1">IFERROR(__xludf.DUMMYFUNCTION("""COMPUTED_VALUE"""),4365005017)</f>
        <v>4365005017</v>
      </c>
      <c r="P898" s="5" t="str">
        <f ca="1">IFERROR(__xludf.DUMMYFUNCTION("""COMPUTED_VALUE"""),"415-797-9226")</f>
        <v>415-797-9226</v>
      </c>
      <c r="Q898" s="5"/>
      <c r="R898" s="5"/>
      <c r="S898" s="5"/>
      <c r="T898" s="18">
        <f ca="1">IFERROR(__xludf.DUMMYFUNCTION("""COMPUTED_VALUE"""),45642)</f>
        <v>45642</v>
      </c>
    </row>
    <row r="899" spans="1:20" ht="12.75">
      <c r="A899" s="24">
        <f ca="1">IFERROR(__xludf.DUMMYFUNCTION("""COMPUTED_VALUE"""),45671.8307438773)</f>
        <v>45671.830743877297</v>
      </c>
      <c r="B899" s="5" t="str">
        <f ca="1">IFERROR(__xludf.DUMMYFUNCTION("""COMPUTED_VALUE"""),"6952 Solano Verde Dr")</f>
        <v>6952 Solano Verde Dr</v>
      </c>
      <c r="C899" s="5" t="str">
        <f ca="1">IFERROR(__xludf.DUMMYFUNCTION("""COMPUTED_VALUE"""),"Somis")</f>
        <v>Somis</v>
      </c>
      <c r="D899" s="5" t="str">
        <f ca="1">IFERROR(__xludf.DUMMYFUNCTION("""COMPUTED_VALUE"""),"CA")</f>
        <v>CA</v>
      </c>
      <c r="E899" s="5">
        <f ca="1">IFERROR(__xludf.DUMMYFUNCTION("""COMPUTED_VALUE"""),93066)</f>
        <v>93066</v>
      </c>
      <c r="F899" s="19">
        <f ca="1">IFERROR(__xludf.DUMMYFUNCTION("""COMPUTED_VALUE"""),17000)</f>
        <v>17000</v>
      </c>
      <c r="G899" s="19">
        <f ca="1">IFERROR(__xludf.DUMMYFUNCTION("""COMPUTED_VALUE"""),23000)</f>
        <v>23000</v>
      </c>
      <c r="H899" s="18">
        <f ca="1">IFERROR(__xludf.DUMMYFUNCTION("""COMPUTED_VALUE"""),45671)</f>
        <v>45671</v>
      </c>
      <c r="I899" s="5" t="str">
        <f ca="1">IFERROR(__xludf.DUMMYFUNCTION("""COMPUTED_VALUE"""),"Zillow")</f>
        <v>Zillow</v>
      </c>
      <c r="J899" s="25" t="str">
        <f ca="1">IFERROR(__xludf.DUMMYFUNCTION("""COMPUTED_VALUE"""),"https://www.zillow.com/homedetails/6952-Solano-Verde-Dr-Somis-CA-93066/16346318_zpid/")</f>
        <v>https://www.zillow.com/homedetails/6952-Solano-Verde-Dr-Somis-CA-93066/16346318_zpid/</v>
      </c>
      <c r="K899" s="5"/>
      <c r="L899" s="5" t="str">
        <f ca="1">IFERROR(__xludf.DUMMYFUNCTION("""COMPUTED_VALUE"""),"Preet Boparai")</f>
        <v>Preet Boparai</v>
      </c>
      <c r="M899" s="5"/>
      <c r="N899" s="5" t="str">
        <f ca="1">IFERROR(__xludf.DUMMYFUNCTION("""COMPUTED_VALUE"""),"https://drive.google.com/open?id=1bZZeMT5zQLDq_BoejV7Rj5qrNq9HhlXp, https://drive.google.com/open?id=1JUakKrfsfMc6eqgwlx8PEHMVozVP0cjW, https://drive.google.com/open?id=1kcCCPrF4tLzkO7cRFR4eTVbGArvsJW4l")</f>
        <v>https://drive.google.com/open?id=1bZZeMT5zQLDq_BoejV7Rj5qrNq9HhlXp, https://drive.google.com/open?id=1JUakKrfsfMc6eqgwlx8PEHMVozVP0cjW, https://drive.google.com/open?id=1kcCCPrF4tLzkO7cRFR4eTVbGArvsJW4l</v>
      </c>
      <c r="O899" s="5">
        <f ca="1">IFERROR(__xludf.DUMMYFUNCTION("""COMPUTED_VALUE"""),1080140275)</f>
        <v>1080140275</v>
      </c>
      <c r="P899" s="5"/>
      <c r="Q899" s="5"/>
      <c r="R899" s="5" t="str">
        <f ca="1">IFERROR(__xludf.DUMMYFUNCTION("""COMPUTED_VALUE"""),"(213) 855-1771")</f>
        <v>(213) 855-1771</v>
      </c>
      <c r="S899" s="5"/>
      <c r="T899" s="18">
        <f ca="1">IFERROR(__xludf.DUMMYFUNCTION("""COMPUTED_VALUE"""),45669)</f>
        <v>45669</v>
      </c>
    </row>
    <row r="900" spans="1:20" ht="12.75">
      <c r="A900" s="24">
        <f ca="1">IFERROR(__xludf.DUMMYFUNCTION("""COMPUTED_VALUE"""),45671.8318070138)</f>
        <v>45671.831807013798</v>
      </c>
      <c r="B900" s="5" t="str">
        <f ca="1">IFERROR(__xludf.DUMMYFUNCTION("""COMPUTED_VALUE"""),"414 Pacific Ave")</f>
        <v>414 Pacific Ave</v>
      </c>
      <c r="C900" s="5" t="str">
        <f ca="1">IFERROR(__xludf.DUMMYFUNCTION("""COMPUTED_VALUE"""),"Venice")</f>
        <v>Venice</v>
      </c>
      <c r="D900" s="5" t="str">
        <f ca="1">IFERROR(__xludf.DUMMYFUNCTION("""COMPUTED_VALUE"""),"CA")</f>
        <v>CA</v>
      </c>
      <c r="E900" s="5">
        <f ca="1">IFERROR(__xludf.DUMMYFUNCTION("""COMPUTED_VALUE"""),90291)</f>
        <v>90291</v>
      </c>
      <c r="F900" s="19">
        <f ca="1">IFERROR(__xludf.DUMMYFUNCTION("""COMPUTED_VALUE"""),12500)</f>
        <v>12500</v>
      </c>
      <c r="G900" s="19">
        <f ca="1">IFERROR(__xludf.DUMMYFUNCTION("""COMPUTED_VALUE"""),8195)</f>
        <v>8195</v>
      </c>
      <c r="H900" s="18">
        <f ca="1">IFERROR(__xludf.DUMMYFUNCTION("""COMPUTED_VALUE"""),43687)</f>
        <v>43687</v>
      </c>
      <c r="I900" s="5" t="str">
        <f ca="1">IFERROR(__xludf.DUMMYFUNCTION("""COMPUTED_VALUE"""),"Zillow")</f>
        <v>Zillow</v>
      </c>
      <c r="J900" s="25" t="str">
        <f ca="1">IFERROR(__xludf.DUMMYFUNCTION("""COMPUTED_VALUE"""),"https://www.zillow.com/homedetails/414-Pacific-Ave-Venice-CA-90291/20482001_zpid/")</f>
        <v>https://www.zillow.com/homedetails/414-Pacific-Ave-Venice-CA-90291/20482001_zpid/</v>
      </c>
      <c r="K900" s="5" t="str">
        <f ca="1">IFERROR(__xludf.DUMMYFUNCTION("""COMPUTED_VALUE"""),"Wexler Property Management")</f>
        <v>Wexler Property Management</v>
      </c>
      <c r="L900" s="5"/>
      <c r="M900" s="5" t="str">
        <f ca="1">IFERROR(__xludf.DUMMYFUNCTION("""COMPUTED_VALUE"""),"Previous listing before this one was Aug 2019 ($8,195), a 52.5% increase. Hasn't been active for years before now.")</f>
        <v>Previous listing before this one was Aug 2019 ($8,195), a 52.5% increase. Hasn't been active for years before now.</v>
      </c>
      <c r="N900" s="5" t="str">
        <f ca="1">IFERROR(__xludf.DUMMYFUNCTION("""COMPUTED_VALUE"""),"https://drive.google.com/open?id=1AdY5OIrVRibFGKkEi6PWe2VoHcUKkpxC, https://drive.google.com/open?id=1mUN7s-P3bqChACD6Mz5bretQvBt5WaXh")</f>
        <v>https://drive.google.com/open?id=1AdY5OIrVRibFGKkEi6PWe2VoHcUKkpxC, https://drive.google.com/open?id=1mUN7s-P3bqChACD6Mz5bretQvBt5WaXh</v>
      </c>
      <c r="O900" s="5">
        <f ca="1">IFERROR(__xludf.DUMMYFUNCTION("""COMPUTED_VALUE"""),4286016025)</f>
        <v>4286016025</v>
      </c>
      <c r="P900" s="5" t="str">
        <f ca="1">IFERROR(__xludf.DUMMYFUNCTION("""COMPUTED_VALUE"""),"213-394-2924")</f>
        <v>213-394-2924</v>
      </c>
      <c r="Q900" s="5"/>
      <c r="R900" s="5"/>
      <c r="S900" s="5"/>
      <c r="T900" s="18">
        <f ca="1">IFERROR(__xludf.DUMMYFUNCTION("""COMPUTED_VALUE"""),45671)</f>
        <v>45671</v>
      </c>
    </row>
    <row r="901" spans="1:20" ht="12.75">
      <c r="A901" s="24">
        <f ca="1">IFERROR(__xludf.DUMMYFUNCTION("""COMPUTED_VALUE"""),45671.8341758101)</f>
        <v>45671.834175810101</v>
      </c>
      <c r="B901" s="5" t="str">
        <f ca="1">IFERROR(__xludf.DUMMYFUNCTION("""COMPUTED_VALUE"""),"5059 Hermosa Ave")</f>
        <v>5059 Hermosa Ave</v>
      </c>
      <c r="C901" s="5" t="str">
        <f ca="1">IFERROR(__xludf.DUMMYFUNCTION("""COMPUTED_VALUE"""),"Eagle Rock")</f>
        <v>Eagle Rock</v>
      </c>
      <c r="D901" s="5" t="str">
        <f ca="1">IFERROR(__xludf.DUMMYFUNCTION("""COMPUTED_VALUE"""),"CA")</f>
        <v>CA</v>
      </c>
      <c r="E901" s="5">
        <f ca="1">IFERROR(__xludf.DUMMYFUNCTION("""COMPUTED_VALUE"""),90041)</f>
        <v>90041</v>
      </c>
      <c r="F901" s="19">
        <f ca="1">IFERROR(__xludf.DUMMYFUNCTION("""COMPUTED_VALUE"""),2995)</f>
        <v>2995</v>
      </c>
      <c r="G901" s="19">
        <f ca="1">IFERROR(__xludf.DUMMYFUNCTION("""COMPUTED_VALUE"""),3600)</f>
        <v>3600</v>
      </c>
      <c r="H901" s="18">
        <f ca="1">IFERROR(__xludf.DUMMYFUNCTION("""COMPUTED_VALUE"""),45665)</f>
        <v>45665</v>
      </c>
      <c r="I901" s="5" t="str">
        <f ca="1">IFERROR(__xludf.DUMMYFUNCTION("""COMPUTED_VALUE"""),"Zillow")</f>
        <v>Zillow</v>
      </c>
      <c r="J901" s="25" t="str">
        <f ca="1">IFERROR(__xludf.DUMMYFUNCTION("""COMPUTED_VALUE"""),"https://www.zillow.com/homedetails/5059-Hermosa-Ave-Los-Angeles-CA-90041/2090546544_zpid/")</f>
        <v>https://www.zillow.com/homedetails/5059-Hermosa-Ave-Los-Angeles-CA-90041/2090546544_zpid/</v>
      </c>
      <c r="K901" s="5" t="str">
        <f ca="1">IFERROR(__xludf.DUMMYFUNCTION("""COMPUTED_VALUE"""),"Benjamin Cheng")</f>
        <v>Benjamin Cheng</v>
      </c>
      <c r="L901" s="5"/>
      <c r="M901" s="5"/>
      <c r="N901" s="26" t="str">
        <f ca="1">IFERROR(__xludf.DUMMYFUNCTION("""COMPUTED_VALUE"""),"https://drive.google.com/open?id=1v1H3QeJY_qq2mjOGOsY9-v_K-9KL0_Tt")</f>
        <v>https://drive.google.com/open?id=1v1H3QeJY_qq2mjOGOsY9-v_K-9KL0_Tt</v>
      </c>
      <c r="O901" s="5" t="str">
        <f ca="1">IFERROR(__xludf.DUMMYFUNCTION("""COMPUTED_VALUE"""),"NA")</f>
        <v>NA</v>
      </c>
      <c r="P901" s="5" t="str">
        <f ca="1">IFERROR(__xludf.DUMMYFUNCTION("""COMPUTED_VALUE""")," (657) 571-7642")</f>
        <v xml:space="preserve"> (657) 571-7642</v>
      </c>
      <c r="Q901" s="5"/>
      <c r="R901" s="5"/>
      <c r="S901" s="5"/>
      <c r="T901" s="18">
        <f ca="1">IFERROR(__xludf.DUMMYFUNCTION("""COMPUTED_VALUE"""),44929)</f>
        <v>44929</v>
      </c>
    </row>
    <row r="902" spans="1:20" ht="12.75">
      <c r="A902" s="24">
        <f ca="1">IFERROR(__xludf.DUMMYFUNCTION("""COMPUTED_VALUE"""),45671.8352079051)</f>
        <v>45671.835207905096</v>
      </c>
      <c r="B902" s="5" t="str">
        <f ca="1">IFERROR(__xludf.DUMMYFUNCTION("""COMPUTED_VALUE"""),"222 7th St UNIT 202")</f>
        <v>222 7th St UNIT 202</v>
      </c>
      <c r="C902" s="5" t="str">
        <f ca="1">IFERROR(__xludf.DUMMYFUNCTION("""COMPUTED_VALUE"""),"Santa Monica")</f>
        <v>Santa Monica</v>
      </c>
      <c r="D902" s="5" t="str">
        <f ca="1">IFERROR(__xludf.DUMMYFUNCTION("""COMPUTED_VALUE"""),"CA")</f>
        <v>CA</v>
      </c>
      <c r="E902" s="5">
        <f ca="1">IFERROR(__xludf.DUMMYFUNCTION("""COMPUTED_VALUE"""),90402)</f>
        <v>90402</v>
      </c>
      <c r="F902" s="19">
        <f ca="1">IFERROR(__xludf.DUMMYFUNCTION("""COMPUTED_VALUE"""),3295)</f>
        <v>3295</v>
      </c>
      <c r="G902" s="19">
        <f ca="1">IFERROR(__xludf.DUMMYFUNCTION("""COMPUTED_VALUE"""),3795)</f>
        <v>3795</v>
      </c>
      <c r="H902" s="18">
        <f ca="1">IFERROR(__xludf.DUMMYFUNCTION("""COMPUTED_VALUE"""),45665)</f>
        <v>45665</v>
      </c>
      <c r="I902" s="5" t="str">
        <f ca="1">IFERROR(__xludf.DUMMYFUNCTION("""COMPUTED_VALUE"""),"Zillow")</f>
        <v>Zillow</v>
      </c>
      <c r="J902" s="25" t="str">
        <f ca="1">IFERROR(__xludf.DUMMYFUNCTION("""COMPUTED_VALUE"""),"https://www.zillow.com/homedetails/222-7th-St-UNIT-202-Santa-Monica-CA-90402/20485881_zpid/")</f>
        <v>https://www.zillow.com/homedetails/222-7th-St-UNIT-202-Santa-Monica-CA-90402/20485881_zpid/</v>
      </c>
      <c r="K902" s="5"/>
      <c r="L902" s="5"/>
      <c r="M902" s="5"/>
      <c r="N902" s="26" t="str">
        <f ca="1">IFERROR(__xludf.DUMMYFUNCTION("""COMPUTED_VALUE"""),"https://drive.google.com/open?id=1cLGR0wN2_pDUo5Nu432atS1vLEJW57ZE")</f>
        <v>https://drive.google.com/open?id=1cLGR0wN2_pDUo5Nu432atS1vLEJW57ZE</v>
      </c>
      <c r="O902" s="5">
        <f ca="1">IFERROR(__xludf.DUMMYFUNCTION("""COMPUTED_VALUE"""),4293001045)</f>
        <v>4293001045</v>
      </c>
      <c r="P902" s="5"/>
      <c r="Q902" s="5"/>
      <c r="R902" s="5"/>
      <c r="S902" s="5"/>
      <c r="T902" s="18">
        <f ca="1">IFERROR(__xludf.DUMMYFUNCTION("""COMPUTED_VALUE"""),43158)</f>
        <v>43158</v>
      </c>
    </row>
    <row r="903" spans="1:20" ht="12.75">
      <c r="A903" s="24">
        <f ca="1">IFERROR(__xludf.DUMMYFUNCTION("""COMPUTED_VALUE"""),45671.8368905787)</f>
        <v>45671.836890578699</v>
      </c>
      <c r="B903" s="5" t="str">
        <f ca="1">IFERROR(__xludf.DUMMYFUNCTION("""COMPUTED_VALUE"""),"934 N Orlando Ave")</f>
        <v>934 N Orlando Ave</v>
      </c>
      <c r="C903" s="5" t="str">
        <f ca="1">IFERROR(__xludf.DUMMYFUNCTION("""COMPUTED_VALUE"""),"LOS ANGELES")</f>
        <v>LOS ANGELES</v>
      </c>
      <c r="D903" s="5" t="str">
        <f ca="1">IFERROR(__xludf.DUMMYFUNCTION("""COMPUTED_VALUE"""),"CA")</f>
        <v>CA</v>
      </c>
      <c r="E903" s="5">
        <f ca="1">IFERROR(__xludf.DUMMYFUNCTION("""COMPUTED_VALUE"""),90069)</f>
        <v>90069</v>
      </c>
      <c r="F903" s="19">
        <f ca="1">IFERROR(__xludf.DUMMYFUNCTION("""COMPUTED_VALUE"""),15000)</f>
        <v>15000</v>
      </c>
      <c r="G903" s="19">
        <f ca="1">IFERROR(__xludf.DUMMYFUNCTION("""COMPUTED_VALUE"""),20000)</f>
        <v>20000</v>
      </c>
      <c r="H903" s="18">
        <f ca="1">IFERROR(__xludf.DUMMYFUNCTION("""COMPUTED_VALUE"""),45672)</f>
        <v>45672</v>
      </c>
      <c r="I903" s="5" t="str">
        <f ca="1">IFERROR(__xludf.DUMMYFUNCTION("""COMPUTED_VALUE"""),"Zillow")</f>
        <v>Zillow</v>
      </c>
      <c r="J903" s="25" t="str">
        <f ca="1">IFERROR(__xludf.DUMMYFUNCTION("""COMPUTED_VALUE"""),"https://www.zillow.com/homedetails/934-N-Orlando-Ave-Los-Angeles-CA-90069/20787434_zpid/?utm_campaign=iosappmessage&amp;utm_medium=referral&amp;utm_source=txtshare")</f>
        <v>https://www.zillow.com/homedetails/934-N-Orlando-Ave-Los-Angeles-CA-90069/20787434_zpid/?utm_campaign=iosappmessage&amp;utm_medium=referral&amp;utm_source=txtshare</v>
      </c>
      <c r="K903" s="5" t="str">
        <f ca="1">IFERROR(__xludf.DUMMYFUNCTION("""COMPUTED_VALUE"""),"Barrie Renee Avedon")</f>
        <v>Barrie Renee Avedon</v>
      </c>
      <c r="L903" s="5"/>
      <c r="M903" s="5"/>
      <c r="N903" s="5" t="str">
        <f ca="1">IFERROR(__xludf.DUMMYFUNCTION("""COMPUTED_VALUE"""),"https://drive.google.com/open?id=1AXZ4ruhNF5bbmNkFfsIOF742ec3egN1e, https://drive.google.com/open?id=1_KANHzuYDQ5guUb_SIxNYMTkVcnxNmV1")</f>
        <v>https://drive.google.com/open?id=1AXZ4ruhNF5bbmNkFfsIOF742ec3egN1e, https://drive.google.com/open?id=1_KANHzuYDQ5guUb_SIxNYMTkVcnxNmV1</v>
      </c>
      <c r="O903" s="5" t="str">
        <f ca="1">IFERROR(__xludf.DUMMYFUNCTION("""COMPUTED_VALUE"""),"NA")</f>
        <v>NA</v>
      </c>
      <c r="P903" s="5" t="str">
        <f ca="1">IFERROR(__xludf.DUMMYFUNCTION("""COMPUTED_VALUE"""),"(310) 801-5400")</f>
        <v>(310) 801-5400</v>
      </c>
      <c r="Q903" s="5"/>
      <c r="R903" s="5"/>
      <c r="S903" s="5"/>
      <c r="T903" s="18">
        <f ca="1">IFERROR(__xludf.DUMMYFUNCTION("""COMPUTED_VALUE"""),45651)</f>
        <v>45651</v>
      </c>
    </row>
    <row r="904" spans="1:20" ht="12.75">
      <c r="A904" s="24">
        <f ca="1">IFERROR(__xludf.DUMMYFUNCTION("""COMPUTED_VALUE"""),45671.8370398611)</f>
        <v>45671.8370398611</v>
      </c>
      <c r="B904" s="5" t="str">
        <f ca="1">IFERROR(__xludf.DUMMYFUNCTION("""COMPUTED_VALUE"""),"4400 Carpenter Ave")</f>
        <v>4400 Carpenter Ave</v>
      </c>
      <c r="C904" s="5" t="str">
        <f ca="1">IFERROR(__xludf.DUMMYFUNCTION("""COMPUTED_VALUE"""),"Valley Village")</f>
        <v>Valley Village</v>
      </c>
      <c r="D904" s="5" t="str">
        <f ca="1">IFERROR(__xludf.DUMMYFUNCTION("""COMPUTED_VALUE"""),"CA")</f>
        <v>CA</v>
      </c>
      <c r="E904" s="5">
        <f ca="1">IFERROR(__xludf.DUMMYFUNCTION("""COMPUTED_VALUE"""),91607)</f>
        <v>91607</v>
      </c>
      <c r="F904" s="19">
        <f ca="1">IFERROR(__xludf.DUMMYFUNCTION("""COMPUTED_VALUE"""),14500)</f>
        <v>14500</v>
      </c>
      <c r="G904" s="19">
        <f ca="1">IFERROR(__xludf.DUMMYFUNCTION("""COMPUTED_VALUE"""),16000)</f>
        <v>16000</v>
      </c>
      <c r="H904" s="18">
        <f ca="1">IFERROR(__xludf.DUMMYFUNCTION("""COMPUTED_VALUE"""),45671)</f>
        <v>45671</v>
      </c>
      <c r="I904" s="5" t="str">
        <f ca="1">IFERROR(__xludf.DUMMYFUNCTION("""COMPUTED_VALUE"""),"Trulia")</f>
        <v>Trulia</v>
      </c>
      <c r="J904" s="25" t="str">
        <f ca="1">IFERROR(__xludf.DUMMYFUNCTION("""COMPUTED_VALUE"""),"https://www.trulia.com/home/4400-carpenter-ave-valley-village-ca-91607-20024404")</f>
        <v>https://www.trulia.com/home/4400-carpenter-ave-valley-village-ca-91607-20024404</v>
      </c>
      <c r="K904" s="5" t="str">
        <f ca="1">IFERROR(__xludf.DUMMYFUNCTION("""COMPUTED_VALUE"""),"Brielle Bacal - Christie's International Real Estate SoCal")</f>
        <v>Brielle Bacal - Christie's International Real Estate SoCal</v>
      </c>
      <c r="L904" s="5"/>
      <c r="M904" s="5"/>
      <c r="N904" s="26" t="str">
        <f ca="1">IFERROR(__xludf.DUMMYFUNCTION("""COMPUTED_VALUE"""),"https://drive.google.com/open?id=1I9-w49am5bOsT5kE4UBOOtW2G0vqrHVz")</f>
        <v>https://drive.google.com/open?id=1I9-w49am5bOsT5kE4UBOOtW2G0vqrHVz</v>
      </c>
      <c r="O904" s="5">
        <f ca="1">IFERROR(__xludf.DUMMYFUNCTION("""COMPUTED_VALUE"""),2364011007)</f>
        <v>2364011007</v>
      </c>
      <c r="P904" s="5" t="str">
        <f ca="1">IFERROR(__xludf.DUMMYFUNCTION("""COMPUTED_VALUE"""),"424-527-7177")</f>
        <v>424-527-7177</v>
      </c>
      <c r="Q904" s="5"/>
      <c r="R904" s="5"/>
      <c r="S904" s="5"/>
      <c r="T904" s="18">
        <f ca="1">IFERROR(__xludf.DUMMYFUNCTION("""COMPUTED_VALUE"""),45060)</f>
        <v>45060</v>
      </c>
    </row>
    <row r="905" spans="1:20" ht="12.75">
      <c r="A905" s="24">
        <f ca="1">IFERROR(__xludf.DUMMYFUNCTION("""COMPUTED_VALUE"""),45671.8374221875)</f>
        <v>45671.837422187498</v>
      </c>
      <c r="B905" s="5" t="str">
        <f ca="1">IFERROR(__xludf.DUMMYFUNCTION("""COMPUTED_VALUE"""),"207 Hollister Ave")</f>
        <v>207 Hollister Ave</v>
      </c>
      <c r="C905" s="5" t="str">
        <f ca="1">IFERROR(__xludf.DUMMYFUNCTION("""COMPUTED_VALUE"""),"Santa Monica")</f>
        <v>Santa Monica</v>
      </c>
      <c r="D905" s="5" t="str">
        <f ca="1">IFERROR(__xludf.DUMMYFUNCTION("""COMPUTED_VALUE"""),"CA")</f>
        <v>CA</v>
      </c>
      <c r="E905" s="5">
        <f ca="1">IFERROR(__xludf.DUMMYFUNCTION("""COMPUTED_VALUE"""),90405)</f>
        <v>90405</v>
      </c>
      <c r="F905" s="19">
        <f ca="1">IFERROR(__xludf.DUMMYFUNCTION("""COMPUTED_VALUE"""),40000)</f>
        <v>40000</v>
      </c>
      <c r="G905" s="19">
        <f ca="1">IFERROR(__xludf.DUMMYFUNCTION("""COMPUTED_VALUE"""),44000)</f>
        <v>44000</v>
      </c>
      <c r="H905" s="18">
        <f ca="1">IFERROR(__xludf.DUMMYFUNCTION("""COMPUTED_VALUE"""),45671)</f>
        <v>45671</v>
      </c>
      <c r="I905" s="5" t="str">
        <f ca="1">IFERROR(__xludf.DUMMYFUNCTION("""COMPUTED_VALUE"""),"Zillow")</f>
        <v>Zillow</v>
      </c>
      <c r="J905" s="25" t="str">
        <f ca="1">IFERROR(__xludf.DUMMYFUNCTION("""COMPUTED_VALUE"""),"https://www.zillow.com/homedetails/207-Hollister-Ave-Santa-Monica-CA-90405/82872897_zpid/")</f>
        <v>https://www.zillow.com/homedetails/207-Hollister-Ave-Santa-Monica-CA-90405/82872897_zpid/</v>
      </c>
      <c r="K905" s="5" t="str">
        <f ca="1">IFERROR(__xludf.DUMMYFUNCTION("""COMPUTED_VALUE"""),"Julian Alexander")</f>
        <v>Julian Alexander</v>
      </c>
      <c r="L905" s="5"/>
      <c r="M905" s="5"/>
      <c r="N905" s="5" t="str">
        <f ca="1">IFERROR(__xludf.DUMMYFUNCTION("""COMPUTED_VALUE"""),"https://drive.google.com/open?id=1Y9R3wrKAYWt08vJnHbBtoB_8O6IcpHm5, https://drive.google.com/open?id=1SzERTDe8cxM8Jnoooxd_gf4Xeby5Yoxw")</f>
        <v>https://drive.google.com/open?id=1Y9R3wrKAYWt08vJnHbBtoB_8O6IcpHm5, https://drive.google.com/open?id=1SzERTDe8cxM8Jnoooxd_gf4Xeby5Yoxw</v>
      </c>
      <c r="O905" s="5">
        <f ca="1">IFERROR(__xludf.DUMMYFUNCTION("""COMPUTED_VALUE"""),4289015025)</f>
        <v>4289015025</v>
      </c>
      <c r="P905" s="5" t="str">
        <f ca="1">IFERROR(__xludf.DUMMYFUNCTION("""COMPUTED_VALUE"""),"424-425-9292")</f>
        <v>424-425-9292</v>
      </c>
      <c r="Q905" s="5"/>
      <c r="R905" s="5"/>
      <c r="S905" s="5"/>
      <c r="T905" s="18">
        <f ca="1">IFERROR(__xludf.DUMMYFUNCTION("""COMPUTED_VALUE"""),45646)</f>
        <v>45646</v>
      </c>
    </row>
    <row r="906" spans="1:20" ht="12.75">
      <c r="A906" s="24">
        <f ca="1">IFERROR(__xludf.DUMMYFUNCTION("""COMPUTED_VALUE"""),45671.8396046296)</f>
        <v>45671.839604629597</v>
      </c>
      <c r="B906" s="5" t="str">
        <f ca="1">IFERROR(__xludf.DUMMYFUNCTION("""COMPUTED_VALUE"""),"547 Palisades Beach Rd")</f>
        <v>547 Palisades Beach Rd</v>
      </c>
      <c r="C906" s="5" t="str">
        <f ca="1">IFERROR(__xludf.DUMMYFUNCTION("""COMPUTED_VALUE"""),"Santa Monica ")</f>
        <v xml:space="preserve">Santa Monica </v>
      </c>
      <c r="D906" s="5" t="str">
        <f ca="1">IFERROR(__xludf.DUMMYFUNCTION("""COMPUTED_VALUE"""),"CA")</f>
        <v>CA</v>
      </c>
      <c r="E906" s="5">
        <f ca="1">IFERROR(__xludf.DUMMYFUNCTION("""COMPUTED_VALUE"""),90402)</f>
        <v>90402</v>
      </c>
      <c r="F906" s="19">
        <f ca="1">IFERROR(__xludf.DUMMYFUNCTION("""COMPUTED_VALUE"""),21000)</f>
        <v>21000</v>
      </c>
      <c r="G906" s="19">
        <f ca="1">IFERROR(__xludf.DUMMYFUNCTION("""COMPUTED_VALUE"""),200000)</f>
        <v>200000</v>
      </c>
      <c r="H906" s="18">
        <f ca="1">IFERROR(__xludf.DUMMYFUNCTION("""COMPUTED_VALUE"""),45315)</f>
        <v>45315</v>
      </c>
      <c r="I906" s="5" t="str">
        <f ca="1">IFERROR(__xludf.DUMMYFUNCTION("""COMPUTED_VALUE"""),"Zillow")</f>
        <v>Zillow</v>
      </c>
      <c r="J906" s="25" t="str">
        <f ca="1">IFERROR(__xludf.DUMMYFUNCTION("""COMPUTED_VALUE"""),"https://www.zillow.com/homedetails/547-Palisades-Beach-Rd-Santa-Monica-CA-90402/20486922_zpid/")</f>
        <v>https://www.zillow.com/homedetails/547-Palisades-Beach-Rd-Santa-Monica-CA-90402/20486922_zpid/</v>
      </c>
      <c r="K906" s="5"/>
      <c r="L906" s="5"/>
      <c r="M906" s="5"/>
      <c r="N906" s="26" t="str">
        <f ca="1">IFERROR(__xludf.DUMMYFUNCTION("""COMPUTED_VALUE"""),"https://drive.google.com/open?id=1o5Qz_AuYKzMEli3xoRpl9vGp0IlysP4s")</f>
        <v>https://drive.google.com/open?id=1o5Qz_AuYKzMEli3xoRpl9vGp0IlysP4s</v>
      </c>
      <c r="O906" s="5">
        <f ca="1">IFERROR(__xludf.DUMMYFUNCTION("""COMPUTED_VALUE"""),4293018006)</f>
        <v>4293018006</v>
      </c>
      <c r="P906" s="5"/>
      <c r="Q906" s="5"/>
      <c r="R906" s="5"/>
      <c r="S906" s="5"/>
      <c r="T906" s="18">
        <f ca="1">IFERROR(__xludf.DUMMYFUNCTION("""COMPUTED_VALUE"""),42129)</f>
        <v>42129</v>
      </c>
    </row>
    <row r="907" spans="1:20" ht="12.75">
      <c r="A907" s="24">
        <f ca="1">IFERROR(__xludf.DUMMYFUNCTION("""COMPUTED_VALUE"""),45671.8401208564)</f>
        <v>45671.840120856403</v>
      </c>
      <c r="B907" s="5" t="str">
        <f ca="1">IFERROR(__xludf.DUMMYFUNCTION("""COMPUTED_VALUE"""),"3362 1/2 Descanso Dr")</f>
        <v>3362 1/2 Descanso Dr</v>
      </c>
      <c r="C907" s="5" t="str">
        <f ca="1">IFERROR(__xludf.DUMMYFUNCTION("""COMPUTED_VALUE"""),"Los Angeles")</f>
        <v>Los Angeles</v>
      </c>
      <c r="D907" s="5" t="str">
        <f ca="1">IFERROR(__xludf.DUMMYFUNCTION("""COMPUTED_VALUE"""),"CA")</f>
        <v>CA</v>
      </c>
      <c r="E907" s="5">
        <f ca="1">IFERROR(__xludf.DUMMYFUNCTION("""COMPUTED_VALUE"""),90026)</f>
        <v>90026</v>
      </c>
      <c r="F907" s="19">
        <f ca="1">IFERROR(__xludf.DUMMYFUNCTION("""COMPUTED_VALUE"""),1995)</f>
        <v>1995</v>
      </c>
      <c r="G907" s="19">
        <f ca="1">IFERROR(__xludf.DUMMYFUNCTION("""COMPUTED_VALUE"""),2795)</f>
        <v>2795</v>
      </c>
      <c r="H907" s="18">
        <f ca="1">IFERROR(__xludf.DUMMYFUNCTION("""COMPUTED_VALUE"""),45672)</f>
        <v>45672</v>
      </c>
      <c r="I907" s="5" t="str">
        <f ca="1">IFERROR(__xludf.DUMMYFUNCTION("""COMPUTED_VALUE"""),"Zillow")</f>
        <v>Zillow</v>
      </c>
      <c r="J907" s="25" t="str">
        <f ca="1">IFERROR(__xludf.DUMMYFUNCTION("""COMPUTED_VALUE"""),"https://www.zillow.com/homedetails/3362-1-2-Descanso-Dr-Los-Angeles-CA-90026/2094914576_zpid/")</f>
        <v>https://www.zillow.com/homedetails/3362-1-2-Descanso-Dr-Los-Angeles-CA-90026/2094914576_zpid/</v>
      </c>
      <c r="K907" s="5" t="str">
        <f ca="1">IFERROR(__xludf.DUMMYFUNCTION("""COMPUTED_VALUE"""),"NA")</f>
        <v>NA</v>
      </c>
      <c r="L907" s="5" t="str">
        <f ca="1">IFERROR(__xludf.DUMMYFUNCTION("""COMPUTED_VALUE"""),"NA")</f>
        <v>NA</v>
      </c>
      <c r="M907" s="5"/>
      <c r="N907" s="26" t="str">
        <f ca="1">IFERROR(__xludf.DUMMYFUNCTION("""COMPUTED_VALUE"""),"https://drive.google.com/open?id=1ZNsh9GUlGNSMC-slYorgWwVhq9DUhb7L")</f>
        <v>https://drive.google.com/open?id=1ZNsh9GUlGNSMC-slYorgWwVhq9DUhb7L</v>
      </c>
      <c r="O907" s="5" t="str">
        <f ca="1">IFERROR(__xludf.DUMMYFUNCTION("""COMPUTED_VALUE"""),"NA")</f>
        <v>NA</v>
      </c>
      <c r="P907" s="5" t="str">
        <f ca="1">IFERROR(__xludf.DUMMYFUNCTION("""COMPUTED_VALUE"""),"NA")</f>
        <v>NA</v>
      </c>
      <c r="Q907" s="5"/>
      <c r="R907" s="5" t="str">
        <f ca="1">IFERROR(__xludf.DUMMYFUNCTION("""COMPUTED_VALUE"""),"NA")</f>
        <v>NA</v>
      </c>
      <c r="S907" s="5"/>
      <c r="T907" s="18">
        <f ca="1">IFERROR(__xludf.DUMMYFUNCTION("""COMPUTED_VALUE"""),42823)</f>
        <v>42823</v>
      </c>
    </row>
    <row r="908" spans="1:20" ht="12.75">
      <c r="A908" s="24">
        <f ca="1">IFERROR(__xludf.DUMMYFUNCTION("""COMPUTED_VALUE"""),45671.8406142939)</f>
        <v>45671.840614293898</v>
      </c>
      <c r="B908" s="5" t="str">
        <f ca="1">IFERROR(__xludf.DUMMYFUNCTION("""COMPUTED_VALUE"""),"8262 Woodshill Trail")</f>
        <v>8262 Woodshill Trail</v>
      </c>
      <c r="C908" s="5" t="str">
        <f ca="1">IFERROR(__xludf.DUMMYFUNCTION("""COMPUTED_VALUE"""),"Los Angeles")</f>
        <v>Los Angeles</v>
      </c>
      <c r="D908" s="5" t="str">
        <f ca="1">IFERROR(__xludf.DUMMYFUNCTION("""COMPUTED_VALUE"""),"CA")</f>
        <v>CA</v>
      </c>
      <c r="E908" s="5">
        <f ca="1">IFERROR(__xludf.DUMMYFUNCTION("""COMPUTED_VALUE"""),90069)</f>
        <v>90069</v>
      </c>
      <c r="F908" s="19">
        <f ca="1">IFERROR(__xludf.DUMMYFUNCTION("""COMPUTED_VALUE"""),22995)</f>
        <v>22995</v>
      </c>
      <c r="G908" s="19">
        <f ca="1">IFERROR(__xludf.DUMMYFUNCTION("""COMPUTED_VALUE"""),40000)</f>
        <v>40000</v>
      </c>
      <c r="H908" s="18">
        <f ca="1">IFERROR(__xludf.DUMMYFUNCTION("""COMPUTED_VALUE"""),45671)</f>
        <v>45671</v>
      </c>
      <c r="I908" s="5" t="str">
        <f ca="1">IFERROR(__xludf.DUMMYFUNCTION("""COMPUTED_VALUE"""),"Zillow")</f>
        <v>Zillow</v>
      </c>
      <c r="J908" s="25" t="str">
        <f ca="1">IFERROR(__xludf.DUMMYFUNCTION("""COMPUTED_VALUE"""),"https://www.zillow.com/homedetails/8262-Woodshill-Trl-Los-Angeles-CA-90069/20797509_zpid/?utm_campaign=iosappmessage&amp;utm_medium=referral&amp;utm_source=txtshare")</f>
        <v>https://www.zillow.com/homedetails/8262-Woodshill-Trl-Los-Angeles-CA-90069/20797509_zpid/?utm_campaign=iosappmessage&amp;utm_medium=referral&amp;utm_source=txtshare</v>
      </c>
      <c r="K908" s="5" t="str">
        <f ca="1">IFERROR(__xludf.DUMMYFUNCTION("""COMPUTED_VALUE"""),"LA Luxuries Real Estate Agency")</f>
        <v>LA Luxuries Real Estate Agency</v>
      </c>
      <c r="L908" s="5"/>
      <c r="M908" s="5"/>
      <c r="N908" s="5" t="str">
        <f ca="1">IFERROR(__xludf.DUMMYFUNCTION("""COMPUTED_VALUE"""),"https://drive.google.com/open?id=1Hx6KHCp6Vf83jrKUoHhE2KzU1LBGHrfv, https://drive.google.com/open?id=1fy7JUgXvfquyFyIBPuFW1ZKQzDUoQbWB")</f>
        <v>https://drive.google.com/open?id=1Hx6KHCp6Vf83jrKUoHhE2KzU1LBGHrfv, https://drive.google.com/open?id=1fy7JUgXvfquyFyIBPuFW1ZKQzDUoQbWB</v>
      </c>
      <c r="O908" s="5">
        <f ca="1">IFERROR(__xludf.DUMMYFUNCTION("""COMPUTED_VALUE"""),5555028013)</f>
        <v>5555028013</v>
      </c>
      <c r="P908" s="5" t="str">
        <f ca="1">IFERROR(__xludf.DUMMYFUNCTION("""COMPUTED_VALUE"""),"(213) 320-5981")</f>
        <v>(213) 320-5981</v>
      </c>
      <c r="Q908" s="5"/>
      <c r="R908" s="5"/>
      <c r="S908" s="5"/>
      <c r="T908" s="18">
        <f ca="1">IFERROR(__xludf.DUMMYFUNCTION("""COMPUTED_VALUE"""),45659)</f>
        <v>45659</v>
      </c>
    </row>
    <row r="909" spans="1:20" ht="12.75">
      <c r="A909" s="24">
        <f ca="1">IFERROR(__xludf.DUMMYFUNCTION("""COMPUTED_VALUE"""),45671.8423467476)</f>
        <v>45671.842346747602</v>
      </c>
      <c r="B909" s="5" t="str">
        <f ca="1">IFERROR(__xludf.DUMMYFUNCTION("""COMPUTED_VALUE"""),"4104 Huron Ave")</f>
        <v>4104 Huron Ave</v>
      </c>
      <c r="C909" s="5" t="str">
        <f ca="1">IFERROR(__xludf.DUMMYFUNCTION("""COMPUTED_VALUE"""),"Culver City")</f>
        <v>Culver City</v>
      </c>
      <c r="D909" s="5" t="str">
        <f ca="1">IFERROR(__xludf.DUMMYFUNCTION("""COMPUTED_VALUE"""),"CA")</f>
        <v>CA</v>
      </c>
      <c r="E909" s="5">
        <f ca="1">IFERROR(__xludf.DUMMYFUNCTION("""COMPUTED_VALUE"""),90232)</f>
        <v>90232</v>
      </c>
      <c r="F909" s="19">
        <f ca="1">IFERROR(__xludf.DUMMYFUNCTION("""COMPUTED_VALUE"""),2750)</f>
        <v>2750</v>
      </c>
      <c r="G909" s="19">
        <f ca="1">IFERROR(__xludf.DUMMYFUNCTION("""COMPUTED_VALUE"""),4500)</f>
        <v>4500</v>
      </c>
      <c r="H909" s="18">
        <f ca="1">IFERROR(__xludf.DUMMYFUNCTION("""COMPUTED_VALUE"""),45671)</f>
        <v>45671</v>
      </c>
      <c r="I909" s="5" t="str">
        <f ca="1">IFERROR(__xludf.DUMMYFUNCTION("""COMPUTED_VALUE"""),"Zillow")</f>
        <v>Zillow</v>
      </c>
      <c r="J909" s="25" t="str">
        <f ca="1">IFERROR(__xludf.DUMMYFUNCTION("""COMPUTED_VALUE"""),"https://www.zillow.com/homedetails/4104-Huron-Ave-Culver-City-CA-90232/20432909_zpid/")</f>
        <v>https://www.zillow.com/homedetails/4104-Huron-Ave-Culver-City-CA-90232/20432909_zpid/</v>
      </c>
      <c r="K909" s="5" t="str">
        <f ca="1">IFERROR(__xludf.DUMMYFUNCTION("""COMPUTED_VALUE"""),"Allen Duan")</f>
        <v>Allen Duan</v>
      </c>
      <c r="L909" s="5"/>
      <c r="M909" s="5" t="str">
        <f ca="1">IFERROR(__xludf.DUMMYFUNCTION("""COMPUTED_VALUE"""),"Had been off the market for 6 years, relisted on 1/14/2025 at 63.6% increase.")</f>
        <v>Had been off the market for 6 years, relisted on 1/14/2025 at 63.6% increase.</v>
      </c>
      <c r="N909" s="5" t="str">
        <f ca="1">IFERROR(__xludf.DUMMYFUNCTION("""COMPUTED_VALUE"""),"https://drive.google.com/open?id=1zPTcIXWy7EbO9NngNeGPV1HmJW-ZQpCO, https://drive.google.com/open?id=1D3tB9Zhe7YPhRwlEpjgaD41lLQixXs-K")</f>
        <v>https://drive.google.com/open?id=1zPTcIXWy7EbO9NngNeGPV1HmJW-ZQpCO, https://drive.google.com/open?id=1D3tB9Zhe7YPhRwlEpjgaD41lLQixXs-K</v>
      </c>
      <c r="O909" s="5">
        <f ca="1">IFERROR(__xludf.DUMMYFUNCTION("""COMPUTED_VALUE"""),4208025033)</f>
        <v>4208025033</v>
      </c>
      <c r="P909" s="5" t="str">
        <f ca="1">IFERROR(__xludf.DUMMYFUNCTION("""COMPUTED_VALUE"""),"781-512-6397")</f>
        <v>781-512-6397</v>
      </c>
      <c r="Q909" s="5"/>
      <c r="R909" s="5"/>
      <c r="S909" s="5"/>
      <c r="T909" s="18">
        <f ca="1">IFERROR(__xludf.DUMMYFUNCTION("""COMPUTED_VALUE"""),43682)</f>
        <v>43682</v>
      </c>
    </row>
    <row r="910" spans="1:20" ht="12.75">
      <c r="A910" s="24">
        <f ca="1">IFERROR(__xludf.DUMMYFUNCTION("""COMPUTED_VALUE"""),45671.8448833796)</f>
        <v>45671.844883379599</v>
      </c>
      <c r="B910" s="5" t="str">
        <f ca="1">IFERROR(__xludf.DUMMYFUNCTION("""COMPUTED_VALUE"""),"1067 Palos Verdes Blvd #A")</f>
        <v>1067 Palos Verdes Blvd #A</v>
      </c>
      <c r="C910" s="5" t="str">
        <f ca="1">IFERROR(__xludf.DUMMYFUNCTION("""COMPUTED_VALUE"""),"Redondo beach ")</f>
        <v xml:space="preserve">Redondo beach </v>
      </c>
      <c r="D910" s="5" t="str">
        <f ca="1">IFERROR(__xludf.DUMMYFUNCTION("""COMPUTED_VALUE"""),"CA")</f>
        <v>CA</v>
      </c>
      <c r="E910" s="5">
        <f ca="1">IFERROR(__xludf.DUMMYFUNCTION("""COMPUTED_VALUE"""),90277)</f>
        <v>90277</v>
      </c>
      <c r="F910" s="19">
        <f ca="1">IFERROR(__xludf.DUMMYFUNCTION("""COMPUTED_VALUE"""),1600)</f>
        <v>1600</v>
      </c>
      <c r="G910" s="19">
        <f ca="1">IFERROR(__xludf.DUMMYFUNCTION("""COMPUTED_VALUE"""),2000)</f>
        <v>2000</v>
      </c>
      <c r="H910" s="18">
        <f ca="1">IFERROR(__xludf.DUMMYFUNCTION("""COMPUTED_VALUE"""),45656)</f>
        <v>45656</v>
      </c>
      <c r="I910" s="5" t="str">
        <f ca="1">IFERROR(__xludf.DUMMYFUNCTION("""COMPUTED_VALUE"""),"Zillow")</f>
        <v>Zillow</v>
      </c>
      <c r="J910" s="25" t="str">
        <f ca="1">IFERROR(__xludf.DUMMYFUNCTION("""COMPUTED_VALUE"""),"https://www.zillow.com/homedetails/1067-Palos-Verdes-Blvd-A-Redondo-Beach-CA-90277/2077373956_zpid/")</f>
        <v>https://www.zillow.com/homedetails/1067-Palos-Verdes-Blvd-A-Redondo-Beach-CA-90277/2077373956_zpid/</v>
      </c>
      <c r="K910" s="5"/>
      <c r="L910" s="5"/>
      <c r="M910" s="5"/>
      <c r="N910" s="26" t="str">
        <f ca="1">IFERROR(__xludf.DUMMYFUNCTION("""COMPUTED_VALUE"""),"https://drive.google.com/open?id=1ehv4sjNnPAXAk4A4AUbuiLNsQ23GVlZo")</f>
        <v>https://drive.google.com/open?id=1ehv4sjNnPAXAk4A4AUbuiLNsQ23GVlZo</v>
      </c>
      <c r="O910" s="5" t="str">
        <f ca="1">IFERROR(__xludf.DUMMYFUNCTION("""COMPUTED_VALUE"""),"NA")</f>
        <v>NA</v>
      </c>
      <c r="P910" s="5"/>
      <c r="Q910" s="5"/>
      <c r="R910" s="5"/>
      <c r="S910" s="5"/>
      <c r="T910" s="18">
        <f ca="1">IFERROR(__xludf.DUMMYFUNCTION("""COMPUTED_VALUE"""),44222)</f>
        <v>44222</v>
      </c>
    </row>
    <row r="911" spans="1:20" ht="12.75">
      <c r="A911" s="24">
        <f ca="1">IFERROR(__xludf.DUMMYFUNCTION("""COMPUTED_VALUE"""),45671.8490235648)</f>
        <v>45671.849023564799</v>
      </c>
      <c r="B911" s="5" t="str">
        <f ca="1">IFERROR(__xludf.DUMMYFUNCTION("""COMPUTED_VALUE"""),"411 Grand Blvd")</f>
        <v>411 Grand Blvd</v>
      </c>
      <c r="C911" s="5" t="str">
        <f ca="1">IFERROR(__xludf.DUMMYFUNCTION("""COMPUTED_VALUE"""),"Venice")</f>
        <v>Venice</v>
      </c>
      <c r="D911" s="5" t="str">
        <f ca="1">IFERROR(__xludf.DUMMYFUNCTION("""COMPUTED_VALUE"""),"CA")</f>
        <v>CA</v>
      </c>
      <c r="E911" s="5">
        <f ca="1">IFERROR(__xludf.DUMMYFUNCTION("""COMPUTED_VALUE"""),90291)</f>
        <v>90291</v>
      </c>
      <c r="F911" s="19">
        <f ca="1">IFERROR(__xludf.DUMMYFUNCTION("""COMPUTED_VALUE"""),16995)</f>
        <v>16995</v>
      </c>
      <c r="G911" s="19">
        <f ca="1">IFERROR(__xludf.DUMMYFUNCTION("""COMPUTED_VALUE"""),19950)</f>
        <v>19950</v>
      </c>
      <c r="H911" s="18">
        <f ca="1">IFERROR(__xludf.DUMMYFUNCTION("""COMPUTED_VALUE"""),45672)</f>
        <v>45672</v>
      </c>
      <c r="I911" s="5" t="str">
        <f ca="1">IFERROR(__xludf.DUMMYFUNCTION("""COMPUTED_VALUE"""),"Zillow")</f>
        <v>Zillow</v>
      </c>
      <c r="J911" s="25" t="str">
        <f ca="1">IFERROR(__xludf.DUMMYFUNCTION("""COMPUTED_VALUE"""),"https://www.zillow.com/homedetails/411-Grand-Blvd-Venice-CA-90291/20450390_zpid/")</f>
        <v>https://www.zillow.com/homedetails/411-Grand-Blvd-Venice-CA-90291/20450390_zpid/</v>
      </c>
      <c r="K911" s="5" t="str">
        <f ca="1">IFERROR(__xludf.DUMMYFUNCTION("""COMPUTED_VALUE"""),"Shena Suleimanova")</f>
        <v>Shena Suleimanova</v>
      </c>
      <c r="L911" s="5"/>
      <c r="M911" s="5"/>
      <c r="N911" s="26" t="str">
        <f ca="1">IFERROR(__xludf.DUMMYFUNCTION("""COMPUTED_VALUE"""),"https://drive.google.com/open?id=1WJa7DRtnb7A0xXci5jLbefxnLRMu9IEZ")</f>
        <v>https://drive.google.com/open?id=1WJa7DRtnb7A0xXci5jLbefxnLRMu9IEZ</v>
      </c>
      <c r="O911" s="5">
        <f ca="1">IFERROR(__xludf.DUMMYFUNCTION("""COMPUTED_VALUE"""),4238015029)</f>
        <v>4238015029</v>
      </c>
      <c r="P911" s="5" t="str">
        <f ca="1">IFERROR(__xludf.DUMMYFUNCTION("""COMPUTED_VALUE"""),"949-302-2308")</f>
        <v>949-302-2308</v>
      </c>
      <c r="Q911" s="5"/>
      <c r="R911" s="5"/>
      <c r="S911" s="5"/>
      <c r="T911" s="18">
        <f ca="1">IFERROR(__xludf.DUMMYFUNCTION("""COMPUTED_VALUE"""),45321)</f>
        <v>45321</v>
      </c>
    </row>
    <row r="912" spans="1:20" ht="12.75">
      <c r="A912" s="24">
        <f ca="1">IFERROR(__xludf.DUMMYFUNCTION("""COMPUTED_VALUE"""),45671.8527703472)</f>
        <v>45671.852770347199</v>
      </c>
      <c r="B912" s="5" t="str">
        <f ca="1">IFERROR(__xludf.DUMMYFUNCTION("""COMPUTED_VALUE"""),"715 N Rexford Dr")</f>
        <v>715 N Rexford Dr</v>
      </c>
      <c r="C912" s="5" t="str">
        <f ca="1">IFERROR(__xludf.DUMMYFUNCTION("""COMPUTED_VALUE"""),"Beverly Hills")</f>
        <v>Beverly Hills</v>
      </c>
      <c r="D912" s="5" t="str">
        <f ca="1">IFERROR(__xludf.DUMMYFUNCTION("""COMPUTED_VALUE"""),"CA")</f>
        <v>CA</v>
      </c>
      <c r="E912" s="5">
        <f ca="1">IFERROR(__xludf.DUMMYFUNCTION("""COMPUTED_VALUE"""),90210)</f>
        <v>90210</v>
      </c>
      <c r="F912" s="19">
        <f ca="1">IFERROR(__xludf.DUMMYFUNCTION("""COMPUTED_VALUE"""),37500)</f>
        <v>37500</v>
      </c>
      <c r="G912" s="19">
        <f ca="1">IFERROR(__xludf.DUMMYFUNCTION("""COMPUTED_VALUE"""),55000)</f>
        <v>55000</v>
      </c>
      <c r="H912" s="18">
        <f ca="1">IFERROR(__xludf.DUMMYFUNCTION("""COMPUTED_VALUE"""),45669)</f>
        <v>45669</v>
      </c>
      <c r="I912" s="5" t="str">
        <f ca="1">IFERROR(__xludf.DUMMYFUNCTION("""COMPUTED_VALUE"""),"Zillow")</f>
        <v>Zillow</v>
      </c>
      <c r="J912" s="25" t="str">
        <f ca="1">IFERROR(__xludf.DUMMYFUNCTION("""COMPUTED_VALUE"""),"https://www.zillow.com/homedetails/715-N-Rexford-Dr-Beverly-Hills-CA-90210/20520993_zpid/")</f>
        <v>https://www.zillow.com/homedetails/715-N-Rexford-Dr-Beverly-Hills-CA-90210/20520993_zpid/</v>
      </c>
      <c r="K912" s="5" t="str">
        <f ca="1">IFERROR(__xludf.DUMMYFUNCTION("""COMPUTED_VALUE"""),"Luxury Property management LLC")</f>
        <v>Luxury Property management LLC</v>
      </c>
      <c r="L912" s="5"/>
      <c r="M912" s="5"/>
      <c r="N912" s="5" t="str">
        <f ca="1">IFERROR(__xludf.DUMMYFUNCTION("""COMPUTED_VALUE"""),"https://drive.google.com/open?id=1fCLv3xZhIkjZ5DZ6pyOtZEp6n2A7emlW, https://drive.google.com/open?id=1UDaZkiS5NxAQJdMPZkFzRyj50Tlv9UC7, https://drive.google.com/open?id=1twHXZGqrpsvIr5up_z7bKd2NX8pWHOgp")</f>
        <v>https://drive.google.com/open?id=1fCLv3xZhIkjZ5DZ6pyOtZEp6n2A7emlW, https://drive.google.com/open?id=1UDaZkiS5NxAQJdMPZkFzRyj50Tlv9UC7, https://drive.google.com/open?id=1twHXZGqrpsvIr5up_z7bKd2NX8pWHOgp</v>
      </c>
      <c r="O912" s="5">
        <f ca="1">IFERROR(__xludf.DUMMYFUNCTION("""COMPUTED_VALUE"""),4344003017)</f>
        <v>4344003017</v>
      </c>
      <c r="P912" s="5" t="str">
        <f ca="1">IFERROR(__xludf.DUMMYFUNCTION("""COMPUTED_VALUE"""),"(818) 620-4955")</f>
        <v>(818) 620-4955</v>
      </c>
      <c r="Q912" s="5"/>
      <c r="R912" s="5"/>
      <c r="S912" s="5"/>
      <c r="T912" s="18">
        <f ca="1">IFERROR(__xludf.DUMMYFUNCTION("""COMPUTED_VALUE"""),45608)</f>
        <v>45608</v>
      </c>
    </row>
    <row r="913" spans="1:20" ht="12.75">
      <c r="A913" s="24">
        <f ca="1">IFERROR(__xludf.DUMMYFUNCTION("""COMPUTED_VALUE"""),45671.8550685648)</f>
        <v>45671.855068564801</v>
      </c>
      <c r="B913" s="5" t="str">
        <f ca="1">IFERROR(__xludf.DUMMYFUNCTION("""COMPUTED_VALUE"""),"120 Galleon St")</f>
        <v>120 Galleon St</v>
      </c>
      <c r="C913" s="5" t="str">
        <f ca="1">IFERROR(__xludf.DUMMYFUNCTION("""COMPUTED_VALUE"""),"Los Angeles")</f>
        <v>Los Angeles</v>
      </c>
      <c r="D913" s="5" t="str">
        <f ca="1">IFERROR(__xludf.DUMMYFUNCTION("""COMPUTED_VALUE"""),"CA")</f>
        <v>CA</v>
      </c>
      <c r="E913" s="5">
        <f ca="1">IFERROR(__xludf.DUMMYFUNCTION("""COMPUTED_VALUE"""),90292)</f>
        <v>90292</v>
      </c>
      <c r="F913" s="19">
        <f ca="1">IFERROR(__xludf.DUMMYFUNCTION("""COMPUTED_VALUE"""),8030)</f>
        <v>8030</v>
      </c>
      <c r="G913" s="19">
        <f ca="1">IFERROR(__xludf.DUMMYFUNCTION("""COMPUTED_VALUE"""),25000)</f>
        <v>25000</v>
      </c>
      <c r="H913" s="18">
        <f ca="1">IFERROR(__xludf.DUMMYFUNCTION("""COMPUTED_VALUE"""),45670)</f>
        <v>45670</v>
      </c>
      <c r="I913" s="5" t="str">
        <f ca="1">IFERROR(__xludf.DUMMYFUNCTION("""COMPUTED_VALUE"""),"Zillow")</f>
        <v>Zillow</v>
      </c>
      <c r="J913" s="25" t="str">
        <f ca="1">IFERROR(__xludf.DUMMYFUNCTION("""COMPUTED_VALUE"""),"https://www.zillow.com/homedetails/120-Galleon-St-Los-Angeles-CA-90292/50894475_zpid/")</f>
        <v>https://www.zillow.com/homedetails/120-Galleon-St-Los-Angeles-CA-90292/50894475_zpid/</v>
      </c>
      <c r="K913" s="5" t="str">
        <f ca="1">IFERROR(__xludf.DUMMYFUNCTION("""COMPUTED_VALUE"""),"Jonathan Spica")</f>
        <v>Jonathan Spica</v>
      </c>
      <c r="L913" s="5" t="str">
        <f ca="1">IFERROR(__xludf.DUMMYFUNCTION("""COMPUTED_VALUE"""),"Jonathan Spica")</f>
        <v>Jonathan Spica</v>
      </c>
      <c r="M913" s="5" t="str">
        <f ca="1">IFERROR(__xludf.DUMMYFUNCTION("""COMPUTED_VALUE"""),"Had previously been rented to someone displaced by the fires. Newly renovated, but rent increased by over 200% for the next renter in Feb!!")</f>
        <v>Had previously been rented to someone displaced by the fires. Newly renovated, but rent increased by over 200% for the next renter in Feb!!</v>
      </c>
      <c r="N913" s="26" t="str">
        <f ca="1">IFERROR(__xludf.DUMMYFUNCTION("""COMPUTED_VALUE"""),"https://drive.google.com/open?id=1PjTJhkWRdd-2nyZFagan0YBmuPHV-r3j")</f>
        <v>https://drive.google.com/open?id=1PjTJhkWRdd-2nyZFagan0YBmuPHV-r3j</v>
      </c>
      <c r="O913" s="5">
        <f ca="1">IFERROR(__xludf.DUMMYFUNCTION("""COMPUTED_VALUE"""),4225008060)</f>
        <v>4225008060</v>
      </c>
      <c r="P913" s="5" t="str">
        <f ca="1">IFERROR(__xludf.DUMMYFUNCTION("""COMPUTED_VALUE"""),"310-968-3654")</f>
        <v>310-968-3654</v>
      </c>
      <c r="Q913" s="5"/>
      <c r="R913" s="5" t="str">
        <f ca="1">IFERROR(__xludf.DUMMYFUNCTION("""COMPUTED_VALUE"""),"310-968-3654")</f>
        <v>310-968-3654</v>
      </c>
      <c r="S913" s="5"/>
      <c r="T913" s="18">
        <f ca="1">IFERROR(__xludf.DUMMYFUNCTION("""COMPUTED_VALUE"""),42347)</f>
        <v>42347</v>
      </c>
    </row>
    <row r="914" spans="1:20" ht="12.75">
      <c r="A914" s="24">
        <f ca="1">IFERROR(__xludf.DUMMYFUNCTION("""COMPUTED_VALUE"""),45671.8573021527)</f>
        <v>45671.857302152697</v>
      </c>
      <c r="B914" s="5" t="str">
        <f ca="1">IFERROR(__xludf.DUMMYFUNCTION("""COMPUTED_VALUE"""),"1433 19 th street Unit C")</f>
        <v>1433 19 th street Unit C</v>
      </c>
      <c r="C914" s="5" t="str">
        <f ca="1">IFERROR(__xludf.DUMMYFUNCTION("""COMPUTED_VALUE"""),"Santa Monica")</f>
        <v>Santa Monica</v>
      </c>
      <c r="D914" s="5" t="str">
        <f ca="1">IFERROR(__xludf.DUMMYFUNCTION("""COMPUTED_VALUE"""),"CA")</f>
        <v>CA</v>
      </c>
      <c r="E914" s="5">
        <f ca="1">IFERROR(__xludf.DUMMYFUNCTION("""COMPUTED_VALUE"""),90404)</f>
        <v>90404</v>
      </c>
      <c r="F914" s="19">
        <f ca="1">IFERROR(__xludf.DUMMYFUNCTION("""COMPUTED_VALUE"""),3195)</f>
        <v>3195</v>
      </c>
      <c r="G914" s="19">
        <f ca="1">IFERROR(__xludf.DUMMYFUNCTION("""COMPUTED_VALUE"""),3350)</f>
        <v>3350</v>
      </c>
      <c r="H914" s="18">
        <f ca="1">IFERROR(__xludf.DUMMYFUNCTION("""COMPUTED_VALUE"""),45669)</f>
        <v>45669</v>
      </c>
      <c r="I914" s="5" t="str">
        <f ca="1">IFERROR(__xludf.DUMMYFUNCTION("""COMPUTED_VALUE"""),"Zillow")</f>
        <v>Zillow</v>
      </c>
      <c r="J914" s="25" t="str">
        <f ca="1">IFERROR(__xludf.DUMMYFUNCTION("""COMPUTED_VALUE"""),"https://www.zillow.com/homedetails/1433-19th-St-APT-C-Santa-Monica-CA-90404/2088111038_zpid/?utm_campaign=iosappmessage&amp;utm_medium=referral&amp;utm_source=txtshare")</f>
        <v>https://www.zillow.com/homedetails/1433-19th-St-APT-C-Santa-Monica-CA-90404/2088111038_zpid/?utm_campaign=iosappmessage&amp;utm_medium=referral&amp;utm_source=txtshare</v>
      </c>
      <c r="K914" s="5"/>
      <c r="L914" s="5"/>
      <c r="M914" s="5"/>
      <c r="N914" s="26" t="str">
        <f ca="1">IFERROR(__xludf.DUMMYFUNCTION("""COMPUTED_VALUE"""),"https://drive.google.com/open?id=10B4itCRJadNmeDs_3C7di3KSSVOdVm99")</f>
        <v>https://drive.google.com/open?id=10B4itCRJadNmeDs_3C7di3KSSVOdVm99</v>
      </c>
      <c r="O914" s="5" t="str">
        <f ca="1">IFERROR(__xludf.DUMMYFUNCTION("""COMPUTED_VALUE"""),"NA")</f>
        <v>NA</v>
      </c>
      <c r="P914" s="5"/>
      <c r="Q914" s="5"/>
      <c r="R914" s="5"/>
      <c r="S914" s="5"/>
      <c r="T914" s="18">
        <f ca="1">IFERROR(__xludf.DUMMYFUNCTION("""COMPUTED_VALUE"""),45664)</f>
        <v>45664</v>
      </c>
    </row>
    <row r="915" spans="1:20" ht="12.75">
      <c r="A915" s="24">
        <f ca="1">IFERROR(__xludf.DUMMYFUNCTION("""COMPUTED_VALUE"""),45671.8582308333)</f>
        <v>45671.858230833299</v>
      </c>
      <c r="B915" s="5" t="str">
        <f ca="1">IFERROR(__xludf.DUMMYFUNCTION("""COMPUTED_VALUE"""),"5190 Horizon Dr")</f>
        <v>5190 Horizon Dr</v>
      </c>
      <c r="C915" s="5" t="str">
        <f ca="1">IFERROR(__xludf.DUMMYFUNCTION("""COMPUTED_VALUE"""),"Malibu")</f>
        <v>Malibu</v>
      </c>
      <c r="D915" s="5" t="str">
        <f ca="1">IFERROR(__xludf.DUMMYFUNCTION("""COMPUTED_VALUE"""),"CA")</f>
        <v>CA</v>
      </c>
      <c r="E915" s="5">
        <f ca="1">IFERROR(__xludf.DUMMYFUNCTION("""COMPUTED_VALUE"""),90265)</f>
        <v>90265</v>
      </c>
      <c r="F915" s="19">
        <f ca="1">IFERROR(__xludf.DUMMYFUNCTION("""COMPUTED_VALUE"""),3200)</f>
        <v>3200</v>
      </c>
      <c r="G915" s="19">
        <f ca="1">IFERROR(__xludf.DUMMYFUNCTION("""COMPUTED_VALUE"""),25000)</f>
        <v>25000</v>
      </c>
      <c r="H915" s="18">
        <f ca="1">IFERROR(__xludf.DUMMYFUNCTION("""COMPUTED_VALUE"""),45669)</f>
        <v>45669</v>
      </c>
      <c r="I915" s="5" t="str">
        <f ca="1">IFERROR(__xludf.DUMMYFUNCTION("""COMPUTED_VALUE"""),"Zillow")</f>
        <v>Zillow</v>
      </c>
      <c r="J915" s="25" t="str">
        <f ca="1">IFERROR(__xludf.DUMMYFUNCTION("""COMPUTED_VALUE"""),"https://www.zillow.com/homedetails/5190-Horizon-Dr-Malibu-CA-90265/95578986_zpid/")</f>
        <v>https://www.zillow.com/homedetails/5190-Horizon-Dr-Malibu-CA-90265/95578986_zpid/</v>
      </c>
      <c r="K915" s="5" t="str">
        <f ca="1">IFERROR(__xludf.DUMMYFUNCTION("""COMPUTED_VALUE"""),"Heather Wildman, The Agency")</f>
        <v>Heather Wildman, The Agency</v>
      </c>
      <c r="L915" s="5"/>
      <c r="M915" s="5"/>
      <c r="N915" s="5" t="str">
        <f ca="1">IFERROR(__xludf.DUMMYFUNCTION("""COMPUTED_VALUE"""),"https://drive.google.com/open?id=1bnZCUQR7AjDnAqSiedAJhqMIHgHQcynY, https://drive.google.com/open?id=1EgsR2AzgXylk-a3RwUUck6wGFVCI4VAg, https://drive.google.com/open?id=1Okj8kXUSf_yPyiwUB74roIdv_HmkD6S1")</f>
        <v>https://drive.google.com/open?id=1bnZCUQR7AjDnAqSiedAJhqMIHgHQcynY, https://drive.google.com/open?id=1EgsR2AzgXylk-a3RwUUck6wGFVCI4VAg, https://drive.google.com/open?id=1Okj8kXUSf_yPyiwUB74roIdv_HmkD6S1</v>
      </c>
      <c r="O915" s="5">
        <f ca="1">IFERROR(__xludf.DUMMYFUNCTION("""COMPUTED_VALUE"""),4469005018)</f>
        <v>4469005018</v>
      </c>
      <c r="P915" s="5" t="str">
        <f ca="1">IFERROR(__xludf.DUMMYFUNCTION("""COMPUTED_VALUE"""),"(310) 936-7405")</f>
        <v>(310) 936-7405</v>
      </c>
      <c r="Q915" s="5"/>
      <c r="R915" s="5"/>
      <c r="S915" s="5"/>
      <c r="T915" s="18">
        <f ca="1">IFERROR(__xludf.DUMMYFUNCTION("""COMPUTED_VALUE"""),45513)</f>
        <v>45513</v>
      </c>
    </row>
    <row r="916" spans="1:20" ht="12.75">
      <c r="A916" s="24">
        <f ca="1">IFERROR(__xludf.DUMMYFUNCTION("""COMPUTED_VALUE"""),45671.8623079166)</f>
        <v>45671.862307916599</v>
      </c>
      <c r="B916" s="5" t="str">
        <f ca="1">IFERROR(__xludf.DUMMYFUNCTION("""COMPUTED_VALUE"""),"1217 Douglas St, 101")</f>
        <v>1217 Douglas St, 101</v>
      </c>
      <c r="C916" s="5" t="str">
        <f ca="1">IFERROR(__xludf.DUMMYFUNCTION("""COMPUTED_VALUE"""),"Los Angeles")</f>
        <v>Los Angeles</v>
      </c>
      <c r="D916" s="5" t="str">
        <f ca="1">IFERROR(__xludf.DUMMYFUNCTION("""COMPUTED_VALUE"""),"CA")</f>
        <v>CA</v>
      </c>
      <c r="E916" s="5">
        <f ca="1">IFERROR(__xludf.DUMMYFUNCTION("""COMPUTED_VALUE"""),90026)</f>
        <v>90026</v>
      </c>
      <c r="F916" s="19">
        <f ca="1">IFERROR(__xludf.DUMMYFUNCTION("""COMPUTED_VALUE"""),1630)</f>
        <v>1630</v>
      </c>
      <c r="G916" s="19">
        <f ca="1">IFERROR(__xludf.DUMMYFUNCTION("""COMPUTED_VALUE"""),1711)</f>
        <v>1711</v>
      </c>
      <c r="H916" s="18">
        <f ca="1">IFERROR(__xludf.DUMMYFUNCTION("""COMPUTED_VALUE"""),45689)</f>
        <v>45689</v>
      </c>
      <c r="I916" s="5" t="str">
        <f ca="1">IFERROR(__xludf.DUMMYFUNCTION("""COMPUTED_VALUE"""),"Craigslist ")</f>
        <v xml:space="preserve">Craigslist </v>
      </c>
      <c r="J916" s="5" t="str">
        <f ca="1">IFERROR(__xludf.DUMMYFUNCTION("""COMPUTED_VALUE"""),"already.rented")</f>
        <v>already.rented</v>
      </c>
      <c r="K916" s="5"/>
      <c r="L916" s="5"/>
      <c r="M916" s="5" t="str">
        <f ca="1">IFERROR(__xludf.DUMMYFUNCTION("""COMPUTED_VALUE"""),"I started renting here in 2023 for the price of $1600. In 2024, they increased my rent to $1630 and now they’re increasing again to 1711.00. They also came to “check” my gas appliances then told me the appliances are now my responsibility and not contact "&amp;"them should something go wrong with my heater and/or stove. They’ve also sent me a 3 day or pay notice multiple times for being late with rent, which I paid before the 3 days")</f>
        <v>I started renting here in 2023 for the price of $1600. In 2024, they increased my rent to $1630 and now they’re increasing again to 1711.00. They also came to “check” my gas appliances then told me the appliances are now my responsibility and not contact them should something go wrong with my heater and/or stove. They’ve also sent me a 3 day or pay notice multiple times for being late with rent, which I paid before the 3 days</v>
      </c>
      <c r="N916" s="26" t="str">
        <f ca="1">IFERROR(__xludf.DUMMYFUNCTION("""COMPUTED_VALUE"""),"https://drive.google.com/open?id=10k86cidj7BDd03mSvF6Y5iDXjEibPkaK")</f>
        <v>https://drive.google.com/open?id=10k86cidj7BDd03mSvF6Y5iDXjEibPkaK</v>
      </c>
      <c r="O916" s="5" t="str">
        <f ca="1">IFERROR(__xludf.DUMMYFUNCTION("""COMPUTED_VALUE"""),"NA")</f>
        <v>NA</v>
      </c>
      <c r="P916" s="5"/>
      <c r="Q916" s="5"/>
      <c r="R916" s="5"/>
      <c r="S916" s="5"/>
      <c r="T916" s="18">
        <f ca="1">IFERROR(__xludf.DUMMYFUNCTION("""COMPUTED_VALUE"""),45323)</f>
        <v>45323</v>
      </c>
    </row>
    <row r="917" spans="1:20" ht="12.75">
      <c r="A917" s="24">
        <f ca="1">IFERROR(__xludf.DUMMYFUNCTION("""COMPUTED_VALUE"""),45671.8653044907)</f>
        <v>45671.865304490697</v>
      </c>
      <c r="B917" s="5" t="str">
        <f ca="1">IFERROR(__xludf.DUMMYFUNCTION("""COMPUTED_VALUE"""),"2152 crescent ave")</f>
        <v>2152 crescent ave</v>
      </c>
      <c r="C917" s="5" t="str">
        <f ca="1">IFERROR(__xludf.DUMMYFUNCTION("""COMPUTED_VALUE"""),"Montrose")</f>
        <v>Montrose</v>
      </c>
      <c r="D917" s="5" t="str">
        <f ca="1">IFERROR(__xludf.DUMMYFUNCTION("""COMPUTED_VALUE"""),"CA")</f>
        <v>CA</v>
      </c>
      <c r="E917" s="5">
        <f ca="1">IFERROR(__xludf.DUMMYFUNCTION("""COMPUTED_VALUE"""),91029)</f>
        <v>91029</v>
      </c>
      <c r="F917" s="19">
        <f ca="1">IFERROR(__xludf.DUMMYFUNCTION("""COMPUTED_VALUE"""),8200)</f>
        <v>8200</v>
      </c>
      <c r="G917" s="19">
        <f ca="1">IFERROR(__xludf.DUMMYFUNCTION("""COMPUTED_VALUE"""),12500)</f>
        <v>12500</v>
      </c>
      <c r="H917" s="18">
        <f ca="1">IFERROR(__xludf.DUMMYFUNCTION("""COMPUTED_VALUE"""),-684817)</f>
        <v>-684817</v>
      </c>
      <c r="I917" s="5" t="str">
        <f ca="1">IFERROR(__xludf.DUMMYFUNCTION("""COMPUTED_VALUE"""),"Pocket listing")</f>
        <v>Pocket listing</v>
      </c>
      <c r="J917" s="25" t="str">
        <f ca="1">IFERROR(__xludf.DUMMYFUNCTION("""COMPUTED_VALUE"""),"https://www.zillow.com/homedetails/2152-Crescent-Ave-Montrose-CA-91020/20902481_zpid/?utm_campaign=iosappmessage&amp;utm_medium=referral&amp;utm_source=txtshare")</f>
        <v>https://www.zillow.com/homedetails/2152-Crescent-Ave-Montrose-CA-91020/20902481_zpid/?utm_campaign=iosappmessage&amp;utm_medium=referral&amp;utm_source=txtshare</v>
      </c>
      <c r="K917" s="5"/>
      <c r="L917" s="5"/>
      <c r="M917" s="5" t="str">
        <f ca="1">IFERROR(__xludf.DUMMYFUNCTION("""COMPUTED_VALUE"""),"Bidding war resulting in price going from $8,200 to $12,500. Landlord asked for 24 months rent up from in cash and negotiated to 18 months. Two families bidding both lost their homes in Eaton fire. This seems illegal. How are families that don’t have 300k"&amp;" in cash going to compete??")</f>
        <v>Bidding war resulting in price going from $8,200 to $12,500. Landlord asked for 24 months rent up from in cash and negotiated to 18 months. Two families bidding both lost their homes in Eaton fire. This seems illegal. How are families that don’t have 300k in cash going to compete??</v>
      </c>
      <c r="N917" s="26" t="str">
        <f ca="1">IFERROR(__xludf.DUMMYFUNCTION("""COMPUTED_VALUE"""),"https://drive.google.com/open?id=1M-zhTTNtqbdNloapQ4_FPgq21KyCUhwS")</f>
        <v>https://drive.google.com/open?id=1M-zhTTNtqbdNloapQ4_FPgq21KyCUhwS</v>
      </c>
      <c r="O917" s="5">
        <f ca="1">IFERROR(__xludf.DUMMYFUNCTION("""COMPUTED_VALUE"""),5810017015)</f>
        <v>5810017015</v>
      </c>
      <c r="P917" s="5"/>
      <c r="Q917" s="5"/>
      <c r="R917" s="5"/>
      <c r="S917" s="5"/>
      <c r="T917" s="18">
        <f ca="1">IFERROR(__xludf.DUMMYFUNCTION("""COMPUTED_VALUE"""),45663)</f>
        <v>45663</v>
      </c>
    </row>
    <row r="918" spans="1:20" ht="12.75">
      <c r="A918" s="24">
        <f ca="1">IFERROR(__xludf.DUMMYFUNCTION("""COMPUTED_VALUE"""),45671.8654630555)</f>
        <v>45671.865463055503</v>
      </c>
      <c r="B918" s="5" t="str">
        <f ca="1">IFERROR(__xludf.DUMMYFUNCTION("""COMPUTED_VALUE"""),"2 El Concho Ln")</f>
        <v>2 El Concho Ln</v>
      </c>
      <c r="C918" s="5" t="str">
        <f ca="1">IFERROR(__xludf.DUMMYFUNCTION("""COMPUTED_VALUE"""),"Rolling Hills")</f>
        <v>Rolling Hills</v>
      </c>
      <c r="D918" s="5" t="str">
        <f ca="1">IFERROR(__xludf.DUMMYFUNCTION("""COMPUTED_VALUE"""),"CA")</f>
        <v>CA</v>
      </c>
      <c r="E918" s="5">
        <f ca="1">IFERROR(__xludf.DUMMYFUNCTION("""COMPUTED_VALUE"""),90274)</f>
        <v>90274</v>
      </c>
      <c r="F918" s="19">
        <f ca="1">IFERROR(__xludf.DUMMYFUNCTION("""COMPUTED_VALUE"""),15000)</f>
        <v>15000</v>
      </c>
      <c r="G918" s="19">
        <f ca="1">IFERROR(__xludf.DUMMYFUNCTION("""COMPUTED_VALUE"""),20000)</f>
        <v>20000</v>
      </c>
      <c r="H918" s="18">
        <f ca="1">IFERROR(__xludf.DUMMYFUNCTION("""COMPUTED_VALUE"""),45668)</f>
        <v>45668</v>
      </c>
      <c r="I918" s="5" t="str">
        <f ca="1">IFERROR(__xludf.DUMMYFUNCTION("""COMPUTED_VALUE"""),"Zillow")</f>
        <v>Zillow</v>
      </c>
      <c r="J918" s="25" t="str">
        <f ca="1">IFERROR(__xludf.DUMMYFUNCTION("""COMPUTED_VALUE"""),"https://www.zillow.com/homedetails/2-El-Concho-Ln-Rolling-Hills-CA-90274/21355619_zpid/")</f>
        <v>https://www.zillow.com/homedetails/2-El-Concho-Ln-Rolling-Hills-CA-90274/21355619_zpid/</v>
      </c>
      <c r="K918" s="5" t="str">
        <f ca="1">IFERROR(__xludf.DUMMYFUNCTION("""COMPUTED_VALUE"""),"Stephen Haw, Keller Williams Palos Verdes Realty")</f>
        <v>Stephen Haw, Keller Williams Palos Verdes Realty</v>
      </c>
      <c r="L918" s="5"/>
      <c r="M918" s="5"/>
      <c r="N918" s="5" t="str">
        <f ca="1">IFERROR(__xludf.DUMMYFUNCTION("""COMPUTED_VALUE"""),"https://drive.google.com/open?id=1lo1I_53EzjkzsAqCx095ITTdJcOtV5_B, https://drive.google.com/open?id=1HzEGPahtMKCVZdN0YW18DcETmU6Swwbh, https://drive.google.com/open?id=1l38ffjNVdpKLW3qQpepvos4I5FjUu_FW")</f>
        <v>https://drive.google.com/open?id=1lo1I_53EzjkzsAqCx095ITTdJcOtV5_B, https://drive.google.com/open?id=1HzEGPahtMKCVZdN0YW18DcETmU6Swwbh, https://drive.google.com/open?id=1l38ffjNVdpKLW3qQpepvos4I5FjUu_FW</v>
      </c>
      <c r="O918" s="5">
        <f ca="1">IFERROR(__xludf.DUMMYFUNCTION("""COMPUTED_VALUE"""),7567014002)</f>
        <v>7567014002</v>
      </c>
      <c r="P918" s="5" t="str">
        <f ca="1">IFERROR(__xludf.DUMMYFUNCTION("""COMPUTED_VALUE"""),"(310) 544-6100")</f>
        <v>(310) 544-6100</v>
      </c>
      <c r="Q918" s="5"/>
      <c r="R918" s="5"/>
      <c r="S918" s="5"/>
      <c r="T918" s="18">
        <f ca="1">IFERROR(__xludf.DUMMYFUNCTION("""COMPUTED_VALUE"""),45583)</f>
        <v>45583</v>
      </c>
    </row>
    <row r="919" spans="1:20" ht="12.75">
      <c r="A919" s="24">
        <f ca="1">IFERROR(__xludf.DUMMYFUNCTION("""COMPUTED_VALUE"""),45671.8671253819)</f>
        <v>45671.867125381897</v>
      </c>
      <c r="B919" s="5" t="str">
        <f ca="1">IFERROR(__xludf.DUMMYFUNCTION("""COMPUTED_VALUE"""),"49 Aria St")</f>
        <v>49 Aria St</v>
      </c>
      <c r="C919" s="5" t="str">
        <f ca="1">IFERROR(__xludf.DUMMYFUNCTION("""COMPUTED_VALUE"""),"South El Monte")</f>
        <v>South El Monte</v>
      </c>
      <c r="D919" s="5" t="str">
        <f ca="1">IFERROR(__xludf.DUMMYFUNCTION("""COMPUTED_VALUE"""),"CA")</f>
        <v>CA</v>
      </c>
      <c r="E919" s="5">
        <f ca="1">IFERROR(__xludf.DUMMYFUNCTION("""COMPUTED_VALUE"""),91733)</f>
        <v>91733</v>
      </c>
      <c r="F919" s="19">
        <f ca="1">IFERROR(__xludf.DUMMYFUNCTION("""COMPUTED_VALUE"""),7000)</f>
        <v>7000</v>
      </c>
      <c r="G919" s="19">
        <f ca="1">IFERROR(__xludf.DUMMYFUNCTION("""COMPUTED_VALUE"""),11200)</f>
        <v>11200</v>
      </c>
      <c r="H919" s="18">
        <f ca="1">IFERROR(__xludf.DUMMYFUNCTION("""COMPUTED_VALUE"""),45667)</f>
        <v>45667</v>
      </c>
      <c r="I919" s="5" t="str">
        <f ca="1">IFERROR(__xludf.DUMMYFUNCTION("""COMPUTED_VALUE"""),"Redfin")</f>
        <v>Redfin</v>
      </c>
      <c r="J919" s="25" t="str">
        <f ca="1">IFERROR(__xludf.DUMMYFUNCTION("""COMPUTED_VALUE"""),"https://www.redfin.com/CA/South-El-Monte/49-Aria-St-91733/home/182335149#property-history")</f>
        <v>https://www.redfin.com/CA/South-El-Monte/49-Aria-St-91733/home/182335149#property-history</v>
      </c>
      <c r="K919" s="5"/>
      <c r="L919" s="5"/>
      <c r="M919" s="5" t="str">
        <f ca="1">IFERROR(__xludf.DUMMYFUNCTION("""COMPUTED_VALUE"""),"This rental went from $7000 to $11,200 on January 10. However, it went back to $7000 on January 11. This was a clear attempt at price gouging.")</f>
        <v>This rental went from $7000 to $11,200 on January 10. However, it went back to $7000 on January 11. This was a clear attempt at price gouging.</v>
      </c>
      <c r="N919" s="26" t="str">
        <f ca="1">IFERROR(__xludf.DUMMYFUNCTION("""COMPUTED_VALUE"""),"https://drive.google.com/open?id=1-CMbX1zUMRhKUT2TaJZzPtM7mFqWOkDw")</f>
        <v>https://drive.google.com/open?id=1-CMbX1zUMRhKUT2TaJZzPtM7mFqWOkDw</v>
      </c>
      <c r="O919" s="5" t="str">
        <f ca="1">IFERROR(__xludf.DUMMYFUNCTION("""COMPUTED_VALUE"""),"NA")</f>
        <v>NA</v>
      </c>
      <c r="P919" s="5"/>
      <c r="Q919" s="5"/>
      <c r="R919" s="5"/>
      <c r="S919" s="5"/>
      <c r="T919" s="18">
        <f ca="1">IFERROR(__xludf.DUMMYFUNCTION("""COMPUTED_VALUE"""),45548)</f>
        <v>45548</v>
      </c>
    </row>
    <row r="920" spans="1:20" ht="12.75">
      <c r="A920" s="24">
        <f ca="1">IFERROR(__xludf.DUMMYFUNCTION("""COMPUTED_VALUE"""),45671.8708540393)</f>
        <v>45671.870854039298</v>
      </c>
      <c r="B920" s="5" t="str">
        <f ca="1">IFERROR(__xludf.DUMMYFUNCTION("""COMPUTED_VALUE"""),"25247 Bigelow Rd #503-02")</f>
        <v>25247 Bigelow Rd #503-02</v>
      </c>
      <c r="C920" s="5" t="str">
        <f ca="1">IFERROR(__xludf.DUMMYFUNCTION("""COMPUTED_VALUE"""),"Torrance")</f>
        <v>Torrance</v>
      </c>
      <c r="D920" s="5" t="str">
        <f ca="1">IFERROR(__xludf.DUMMYFUNCTION("""COMPUTED_VALUE"""),"CA")</f>
        <v>CA</v>
      </c>
      <c r="E920" s="5">
        <f ca="1">IFERROR(__xludf.DUMMYFUNCTION("""COMPUTED_VALUE"""),90505)</f>
        <v>90505</v>
      </c>
      <c r="F920" s="19">
        <f ca="1">IFERROR(__xludf.DUMMYFUNCTION("""COMPUTED_VALUE"""),1795)</f>
        <v>1795</v>
      </c>
      <c r="G920" s="19">
        <f ca="1">IFERROR(__xludf.DUMMYFUNCTION("""COMPUTED_VALUE"""),2195)</f>
        <v>2195</v>
      </c>
      <c r="H920" s="18">
        <f ca="1">IFERROR(__xludf.DUMMYFUNCTION("""COMPUTED_VALUE"""),45666)</f>
        <v>45666</v>
      </c>
      <c r="I920" s="5" t="str">
        <f ca="1">IFERROR(__xludf.DUMMYFUNCTION("""COMPUTED_VALUE"""),"Zillow")</f>
        <v>Zillow</v>
      </c>
      <c r="J920" s="25" t="str">
        <f ca="1">IFERROR(__xludf.DUMMYFUNCTION("""COMPUTED_VALUE"""),"https://www.zillow.com/homedetails/25247-Bigelow-Rd-503-02-Torrance-CA-90505/2079199375_zpid/")</f>
        <v>https://www.zillow.com/homedetails/25247-Bigelow-Rd-503-02-Torrance-CA-90505/2079199375_zpid/</v>
      </c>
      <c r="K920" s="5" t="str">
        <f ca="1">IFERROR(__xludf.DUMMYFUNCTION("""COMPUTED_VALUE"""),"Riviera Property Management Rossmoore Realty, Inc")</f>
        <v>Riviera Property Management Rossmoore Realty, Inc</v>
      </c>
      <c r="L920" s="5" t="str">
        <f ca="1">IFERROR(__xludf.DUMMYFUNCTION("""COMPUTED_VALUE"""),"-")</f>
        <v>-</v>
      </c>
      <c r="M920" s="5" t="str">
        <f ca="1">IFERROR(__xludf.DUMMYFUNCTION("""COMPUTED_VALUE"""),"Listing last removed in July 2020, listed 1/9 at +22.3% increase")</f>
        <v>Listing last removed in July 2020, listed 1/9 at +22.3% increase</v>
      </c>
      <c r="N920" s="5" t="str">
        <f ca="1">IFERROR(__xludf.DUMMYFUNCTION("""COMPUTED_VALUE"""),"https://drive.google.com/open?id=1nCyZ3TYT8sBs3Vv6Zb8oLpcd4v46x1sq, https://drive.google.com/open?id=1107oudwOSUoVM_OS_4hJ_rwTO2EiqnF2")</f>
        <v>https://drive.google.com/open?id=1nCyZ3TYT8sBs3Vv6Zb8oLpcd4v46x1sq, https://drive.google.com/open?id=1107oudwOSUoVM_OS_4hJ_rwTO2EiqnF2</v>
      </c>
      <c r="O920" s="5" t="str">
        <f ca="1">IFERROR(__xludf.DUMMYFUNCTION("""COMPUTED_VALUE"""),"N/A")</f>
        <v>N/A</v>
      </c>
      <c r="P920" s="5" t="str">
        <f ca="1">IFERROR(__xludf.DUMMYFUNCTION("""COMPUTED_VALUE"""),"(310) 937-6388")</f>
        <v>(310) 937-6388</v>
      </c>
      <c r="Q920" s="5"/>
      <c r="R920" s="5" t="str">
        <f ca="1">IFERROR(__xludf.DUMMYFUNCTION("""COMPUTED_VALUE"""),"-")</f>
        <v>-</v>
      </c>
      <c r="S920" s="5"/>
      <c r="T920" s="18">
        <f ca="1">IFERROR(__xludf.DUMMYFUNCTION("""COMPUTED_VALUE"""),44013)</f>
        <v>44013</v>
      </c>
    </row>
    <row r="921" spans="1:20" ht="12.75">
      <c r="A921" s="24">
        <f ca="1">IFERROR(__xludf.DUMMYFUNCTION("""COMPUTED_VALUE"""),45671.87213478)</f>
        <v>45671.872134780002</v>
      </c>
      <c r="B921" s="5" t="str">
        <f ca="1">IFERROR(__xludf.DUMMYFUNCTION("""COMPUTED_VALUE"""),"31663 Broad Beach Rd")</f>
        <v>31663 Broad Beach Rd</v>
      </c>
      <c r="C921" s="5" t="str">
        <f ca="1">IFERROR(__xludf.DUMMYFUNCTION("""COMPUTED_VALUE"""),"Malibu")</f>
        <v>Malibu</v>
      </c>
      <c r="D921" s="5" t="str">
        <f ca="1">IFERROR(__xludf.DUMMYFUNCTION("""COMPUTED_VALUE"""),"CA")</f>
        <v>CA</v>
      </c>
      <c r="E921" s="5">
        <f ca="1">IFERROR(__xludf.DUMMYFUNCTION("""COMPUTED_VALUE"""),90265)</f>
        <v>90265</v>
      </c>
      <c r="F921" s="19">
        <f ca="1">IFERROR(__xludf.DUMMYFUNCTION("""COMPUTED_VALUE"""),14950)</f>
        <v>14950</v>
      </c>
      <c r="G921" s="19">
        <f ca="1">IFERROR(__xludf.DUMMYFUNCTION("""COMPUTED_VALUE"""),16500)</f>
        <v>16500</v>
      </c>
      <c r="H921" s="18">
        <f ca="1">IFERROR(__xludf.DUMMYFUNCTION("""COMPUTED_VALUE"""),45668)</f>
        <v>45668</v>
      </c>
      <c r="I921" s="5" t="str">
        <f ca="1">IFERROR(__xludf.DUMMYFUNCTION("""COMPUTED_VALUE"""),"Zillow")</f>
        <v>Zillow</v>
      </c>
      <c r="J921" s="25" t="str">
        <f ca="1">IFERROR(__xludf.DUMMYFUNCTION("""COMPUTED_VALUE"""),"https://www.zillow.com/homedetails/31663-Broad-Beach-Rd-Malibu-CA-90265/20557790_zpid/")</f>
        <v>https://www.zillow.com/homedetails/31663-Broad-Beach-Rd-Malibu-CA-90265/20557790_zpid/</v>
      </c>
      <c r="K921" s="5" t="str">
        <f ca="1">IFERROR(__xludf.DUMMYFUNCTION("""COMPUTED_VALUE"""),"Pamela Van Ierland")</f>
        <v>Pamela Van Ierland</v>
      </c>
      <c r="L921" s="5"/>
      <c r="M921" s="5"/>
      <c r="N921" s="5" t="str">
        <f ca="1">IFERROR(__xludf.DUMMYFUNCTION("""COMPUTED_VALUE"""),"https://drive.google.com/open?id=1j1hUlRVRmMpRgHSVufOtJt22EagbwqXY, https://drive.google.com/open?id=14Kp0j3JQFNAMB13bX3tCX7gblJTyNl1G, https://drive.google.com/open?id=1h4jHUU1CS6zXh_6AQ6-ANi-zNBcmIiXx")</f>
        <v>https://drive.google.com/open?id=1j1hUlRVRmMpRgHSVufOtJt22EagbwqXY, https://drive.google.com/open?id=14Kp0j3JQFNAMB13bX3tCX7gblJTyNl1G, https://drive.google.com/open?id=1h4jHUU1CS6zXh_6AQ6-ANi-zNBcmIiXx</v>
      </c>
      <c r="O921" s="5">
        <f ca="1">IFERROR(__xludf.DUMMYFUNCTION("""COMPUTED_VALUE"""),4470019017)</f>
        <v>4470019017</v>
      </c>
      <c r="P921" s="5" t="str">
        <f ca="1">IFERROR(__xludf.DUMMYFUNCTION("""COMPUTED_VALUE"""),"(310) 487-8799")</f>
        <v>(310) 487-8799</v>
      </c>
      <c r="Q921" s="5"/>
      <c r="R921" s="5"/>
      <c r="S921" s="5"/>
      <c r="T921" s="18">
        <f ca="1">IFERROR(__xludf.DUMMYFUNCTION("""COMPUTED_VALUE"""),45547)</f>
        <v>45547</v>
      </c>
    </row>
    <row r="922" spans="1:20" ht="12.75">
      <c r="A922" s="24">
        <f ca="1">IFERROR(__xludf.DUMMYFUNCTION("""COMPUTED_VALUE"""),45671.8724848842)</f>
        <v>45671.872484884203</v>
      </c>
      <c r="B922" s="5" t="str">
        <f ca="1">IFERROR(__xludf.DUMMYFUNCTION("""COMPUTED_VALUE"""),"843 N Spaulding Ave")</f>
        <v>843 N Spaulding Ave</v>
      </c>
      <c r="C922" s="5" t="str">
        <f ca="1">IFERROR(__xludf.DUMMYFUNCTION("""COMPUTED_VALUE"""),"Los Angeles")</f>
        <v>Los Angeles</v>
      </c>
      <c r="D922" s="5" t="str">
        <f ca="1">IFERROR(__xludf.DUMMYFUNCTION("""COMPUTED_VALUE"""),"CA")</f>
        <v>CA</v>
      </c>
      <c r="E922" s="5">
        <f ca="1">IFERROR(__xludf.DUMMYFUNCTION("""COMPUTED_VALUE"""),90046)</f>
        <v>90046</v>
      </c>
      <c r="F922" s="19">
        <f ca="1">IFERROR(__xludf.DUMMYFUNCTION("""COMPUTED_VALUE"""),25900)</f>
        <v>25900</v>
      </c>
      <c r="G922" s="19">
        <f ca="1">IFERROR(__xludf.DUMMYFUNCTION("""COMPUTED_VALUE"""),35000)</f>
        <v>35000</v>
      </c>
      <c r="H922" s="18">
        <f ca="1">IFERROR(__xludf.DUMMYFUNCTION("""COMPUTED_VALUE"""),45671)</f>
        <v>45671</v>
      </c>
      <c r="I922" s="5" t="str">
        <f ca="1">IFERROR(__xludf.DUMMYFUNCTION("""COMPUTED_VALUE"""),"Redfin")</f>
        <v>Redfin</v>
      </c>
      <c r="J922" s="25" t="str">
        <f ca="1">IFERROR(__xludf.DUMMYFUNCTION("""COMPUTED_VALUE"""),"https://www.redfin.com/CA/Los-Angeles/843-N-Spaulding-Ave-90046/home/7103480#property-history")</f>
        <v>https://www.redfin.com/CA/Los-Angeles/843-N-Spaulding-Ave-90046/home/7103480#property-history</v>
      </c>
      <c r="K922" s="5" t="str">
        <f ca="1">IFERROR(__xludf.DUMMYFUNCTION("""COMPUTED_VALUE"""),"Or Brodsky")</f>
        <v>Or Brodsky</v>
      </c>
      <c r="L922" s="5"/>
      <c r="M922" s="5"/>
      <c r="N922" s="26" t="str">
        <f ca="1">IFERROR(__xludf.DUMMYFUNCTION("""COMPUTED_VALUE"""),"https://drive.google.com/open?id=1XwVk29ZJ10q097mqReXgr4-BQYG7FNvU")</f>
        <v>https://drive.google.com/open?id=1XwVk29ZJ10q097mqReXgr4-BQYG7FNvU</v>
      </c>
      <c r="O922" s="5" t="str">
        <f ca="1">IFERROR(__xludf.DUMMYFUNCTION("""COMPUTED_VALUE"""),"NA")</f>
        <v>NA</v>
      </c>
      <c r="P922" s="5" t="str">
        <f ca="1">IFERROR(__xludf.DUMMYFUNCTION("""COMPUTED_VALUE"""),"310-623-2319")</f>
        <v>310-623-2319</v>
      </c>
      <c r="Q922" s="5" t="str">
        <f ca="1">IFERROR(__xludf.DUMMYFUNCTION("""COMPUTED_VALUE"""),"or@orbrodskygroup.com")</f>
        <v>or@orbrodskygroup.com</v>
      </c>
      <c r="R922" s="5"/>
      <c r="S922" s="5"/>
      <c r="T922" s="18">
        <f ca="1">IFERROR(__xludf.DUMMYFUNCTION("""COMPUTED_VALUE"""),44682)</f>
        <v>44682</v>
      </c>
    </row>
    <row r="923" spans="1:20" ht="12.75">
      <c r="A923" s="24">
        <f ca="1">IFERROR(__xludf.DUMMYFUNCTION("""COMPUTED_VALUE"""),45671.8747636574)</f>
        <v>45671.874763657397</v>
      </c>
      <c r="B923" s="5" t="str">
        <f ca="1">IFERROR(__xludf.DUMMYFUNCTION("""COMPUTED_VALUE"""),"3761 Greenfield Ave")</f>
        <v>3761 Greenfield Ave</v>
      </c>
      <c r="C923" s="5" t="str">
        <f ca="1">IFERROR(__xludf.DUMMYFUNCTION("""COMPUTED_VALUE"""),"Los Angeles")</f>
        <v>Los Angeles</v>
      </c>
      <c r="D923" s="5" t="str">
        <f ca="1">IFERROR(__xludf.DUMMYFUNCTION("""COMPUTED_VALUE"""),"CA")</f>
        <v>CA</v>
      </c>
      <c r="E923" s="5">
        <f ca="1">IFERROR(__xludf.DUMMYFUNCTION("""COMPUTED_VALUE"""),90034)</f>
        <v>90034</v>
      </c>
      <c r="F923" s="19">
        <f ca="1">IFERROR(__xludf.DUMMYFUNCTION("""COMPUTED_VALUE"""),3800)</f>
        <v>3800</v>
      </c>
      <c r="G923" s="19">
        <f ca="1">IFERROR(__xludf.DUMMYFUNCTION("""COMPUTED_VALUE"""),4999)</f>
        <v>4999</v>
      </c>
      <c r="H923" s="18">
        <f ca="1">IFERROR(__xludf.DUMMYFUNCTION("""COMPUTED_VALUE"""),45670)</f>
        <v>45670</v>
      </c>
      <c r="I923" s="5" t="str">
        <f ca="1">IFERROR(__xludf.DUMMYFUNCTION("""COMPUTED_VALUE"""),"Zillow")</f>
        <v>Zillow</v>
      </c>
      <c r="J923" s="25" t="str">
        <f ca="1">IFERROR(__xludf.DUMMYFUNCTION("""COMPUTED_VALUE"""),"https://www.zillow.com/homedetails/3761-Greenfield-Ave-Los-Angeles-CA-90034/20460245_zpid/")</f>
        <v>https://www.zillow.com/homedetails/3761-Greenfield-Ave-Los-Angeles-CA-90034/20460245_zpid/</v>
      </c>
      <c r="K923" s="5" t="str">
        <f ca="1">IFERROR(__xludf.DUMMYFUNCTION("""COMPUTED_VALUE"""),"Daniel Glaser")</f>
        <v>Daniel Glaser</v>
      </c>
      <c r="L923" s="5"/>
      <c r="M923" s="5"/>
      <c r="N923" s="26" t="str">
        <f ca="1">IFERROR(__xludf.DUMMYFUNCTION("""COMPUTED_VALUE"""),"https://drive.google.com/open?id=1Vnx6izXIA3kCOhXvyhgMZGJ2j0MLeHeQ")</f>
        <v>https://drive.google.com/open?id=1Vnx6izXIA3kCOhXvyhgMZGJ2j0MLeHeQ</v>
      </c>
      <c r="O923" s="5">
        <f ca="1">IFERROR(__xludf.DUMMYFUNCTION("""COMPUTED_VALUE"""),4252014015)</f>
        <v>4252014015</v>
      </c>
      <c r="P923" s="5" t="str">
        <f ca="1">IFERROR(__xludf.DUMMYFUNCTION("""COMPUTED_VALUE"""),"310-905-9479")</f>
        <v>310-905-9479</v>
      </c>
      <c r="Q923" s="5"/>
      <c r="R923" s="5"/>
      <c r="S923" s="5"/>
      <c r="T923" s="18">
        <f ca="1">IFERROR(__xludf.DUMMYFUNCTION("""COMPUTED_VALUE"""),44086)</f>
        <v>44086</v>
      </c>
    </row>
    <row r="924" spans="1:20" ht="12.75">
      <c r="A924" s="24">
        <f ca="1">IFERROR(__xludf.DUMMYFUNCTION("""COMPUTED_VALUE"""),45671.8759092592)</f>
        <v>45671.875909259201</v>
      </c>
      <c r="B924" s="5" t="str">
        <f ca="1">IFERROR(__xludf.DUMMYFUNCTION("""COMPUTED_VALUE"""),"3317 Vista Dr")</f>
        <v>3317 Vista Dr</v>
      </c>
      <c r="C924" s="5" t="str">
        <f ca="1">IFERROR(__xludf.DUMMYFUNCTION("""COMPUTED_VALUE"""),"Manhattan Beach")</f>
        <v>Manhattan Beach</v>
      </c>
      <c r="D924" s="5" t="str">
        <f ca="1">IFERROR(__xludf.DUMMYFUNCTION("""COMPUTED_VALUE"""),"CA")</f>
        <v>CA</v>
      </c>
      <c r="E924" s="5">
        <f ca="1">IFERROR(__xludf.DUMMYFUNCTION("""COMPUTED_VALUE"""),90266)</f>
        <v>90266</v>
      </c>
      <c r="F924" s="19">
        <f ca="1">IFERROR(__xludf.DUMMYFUNCTION("""COMPUTED_VALUE"""),12000)</f>
        <v>12000</v>
      </c>
      <c r="G924" s="19">
        <f ca="1">IFERROR(__xludf.DUMMYFUNCTION("""COMPUTED_VALUE"""),22000)</f>
        <v>22000</v>
      </c>
      <c r="H924" s="18">
        <f ca="1">IFERROR(__xludf.DUMMYFUNCTION("""COMPUTED_VALUE"""),45672)</f>
        <v>45672</v>
      </c>
      <c r="I924" s="5" t="str">
        <f ca="1">IFERROR(__xludf.DUMMYFUNCTION("""COMPUTED_VALUE"""),"Zillow")</f>
        <v>Zillow</v>
      </c>
      <c r="J924" s="25" t="str">
        <f ca="1">IFERROR(__xludf.DUMMYFUNCTION("""COMPUTED_VALUE"""),"https://www.zillow.com/homedetails/3317-Vista-Dr-Manhattan-Beach-CA-90266/68993329_zpid/?utm_campaign=iosappmessage&amp;utm_medium=referral&amp;utm_source=txtshare")</f>
        <v>https://www.zillow.com/homedetails/3317-Vista-Dr-Manhattan-Beach-CA-90266/68993329_zpid/?utm_campaign=iosappmessage&amp;utm_medium=referral&amp;utm_source=txtshare</v>
      </c>
      <c r="K924" s="5"/>
      <c r="L924" s="5"/>
      <c r="M924" s="5"/>
      <c r="N924" s="5" t="str">
        <f ca="1">IFERROR(__xludf.DUMMYFUNCTION("""COMPUTED_VALUE"""),"https://drive.google.com/open?id=15-8Bi2taDM073HdOiZO-y0Cx0ttV2Dts, https://drive.google.com/open?id=17JnPZCu9ucO0nvyHgtGp76DwqkA0Nj_y")</f>
        <v>https://drive.google.com/open?id=15-8Bi2taDM073HdOiZO-y0Cx0ttV2Dts, https://drive.google.com/open?id=17JnPZCu9ucO0nvyHgtGp76DwqkA0Nj_y</v>
      </c>
      <c r="O924" s="5" t="str">
        <f ca="1">IFERROR(__xludf.DUMMYFUNCTION("""COMPUTED_VALUE"""),"Parcel number: 4175012024")</f>
        <v>Parcel number: 4175012024</v>
      </c>
      <c r="P924" s="5"/>
      <c r="Q924" s="5"/>
      <c r="R924" s="5"/>
      <c r="S924" s="5"/>
      <c r="T924" s="18">
        <f ca="1">IFERROR(__xludf.DUMMYFUNCTION("""COMPUTED_VALUE"""),45645)</f>
        <v>45645</v>
      </c>
    </row>
    <row r="925" spans="1:20" ht="12.75">
      <c r="A925" s="24">
        <f ca="1">IFERROR(__xludf.DUMMYFUNCTION("""COMPUTED_VALUE"""),45671.8776759259)</f>
        <v>45671.877675925898</v>
      </c>
      <c r="B925" s="5" t="str">
        <f ca="1">IFERROR(__xludf.DUMMYFUNCTION("""COMPUTED_VALUE"""),"5050 Casa Dr")</f>
        <v>5050 Casa Dr</v>
      </c>
      <c r="C925" s="5" t="str">
        <f ca="1">IFERROR(__xludf.DUMMYFUNCTION("""COMPUTED_VALUE"""),"Tarzana")</f>
        <v>Tarzana</v>
      </c>
      <c r="D925" s="5" t="str">
        <f ca="1">IFERROR(__xludf.DUMMYFUNCTION("""COMPUTED_VALUE"""),"CA")</f>
        <v>CA</v>
      </c>
      <c r="E925" s="5">
        <f ca="1">IFERROR(__xludf.DUMMYFUNCTION("""COMPUTED_VALUE"""),91356)</f>
        <v>91356</v>
      </c>
      <c r="F925" s="19">
        <f ca="1">IFERROR(__xludf.DUMMYFUNCTION("""COMPUTED_VALUE"""),8500)</f>
        <v>8500</v>
      </c>
      <c r="G925" s="19">
        <f ca="1">IFERROR(__xludf.DUMMYFUNCTION("""COMPUTED_VALUE"""),10000)</f>
        <v>10000</v>
      </c>
      <c r="H925" s="18">
        <f ca="1">IFERROR(__xludf.DUMMYFUNCTION("""COMPUTED_VALUE"""),45671)</f>
        <v>45671</v>
      </c>
      <c r="I925" s="5" t="str">
        <f ca="1">IFERROR(__xludf.DUMMYFUNCTION("""COMPUTED_VALUE"""),"Redfin")</f>
        <v>Redfin</v>
      </c>
      <c r="J925" s="25" t="str">
        <f ca="1">IFERROR(__xludf.DUMMYFUNCTION("""COMPUTED_VALUE"""),"https://www.redfin.com/CA/Tarzana/5050-Casa-Dr-91356/home/4238732")</f>
        <v>https://www.redfin.com/CA/Tarzana/5050-Casa-Dr-91356/home/4238732</v>
      </c>
      <c r="K925" s="5"/>
      <c r="L925" s="5"/>
      <c r="M925" s="5"/>
      <c r="N925" s="5" t="str">
        <f ca="1">IFERROR(__xludf.DUMMYFUNCTION("""COMPUTED_VALUE"""),"https://drive.google.com/open?id=19lQrDqdFMCuTpmm0L7Ht7E97DEf0mABM, https://drive.google.com/open?id=1TUOrpYV4lZrQG-QyJuGzE-Cmz-ZT08ix")</f>
        <v>https://drive.google.com/open?id=19lQrDqdFMCuTpmm0L7Ht7E97DEf0mABM, https://drive.google.com/open?id=1TUOrpYV4lZrQG-QyJuGzE-Cmz-ZT08ix</v>
      </c>
      <c r="O925" s="5" t="str">
        <f ca="1">IFERROR(__xludf.DUMMYFUNCTION("""COMPUTED_VALUE"""),"NA")</f>
        <v>NA</v>
      </c>
      <c r="P925" s="5"/>
      <c r="Q925" s="5"/>
      <c r="R925" s="5"/>
      <c r="S925" s="5"/>
      <c r="T925" s="18">
        <f ca="1">IFERROR(__xludf.DUMMYFUNCTION("""COMPUTED_VALUE"""),45628)</f>
        <v>45628</v>
      </c>
    </row>
    <row r="926" spans="1:20" ht="12.75">
      <c r="A926" s="24">
        <f ca="1">IFERROR(__xludf.DUMMYFUNCTION("""COMPUTED_VALUE"""),45671.8804687152)</f>
        <v>45671.880468715201</v>
      </c>
      <c r="B926" s="5" t="str">
        <f ca="1">IFERROR(__xludf.DUMMYFUNCTION("""COMPUTED_VALUE"""),"1900 Fox Hills Dr")</f>
        <v>1900 Fox Hills Dr</v>
      </c>
      <c r="C926" s="5" t="str">
        <f ca="1">IFERROR(__xludf.DUMMYFUNCTION("""COMPUTED_VALUE"""),"Los Angeles")</f>
        <v>Los Angeles</v>
      </c>
      <c r="D926" s="5" t="str">
        <f ca="1">IFERROR(__xludf.DUMMYFUNCTION("""COMPUTED_VALUE"""),"CA")</f>
        <v>CA</v>
      </c>
      <c r="E926" s="5">
        <f ca="1">IFERROR(__xludf.DUMMYFUNCTION("""COMPUTED_VALUE"""),90025)</f>
        <v>90025</v>
      </c>
      <c r="F926" s="19">
        <f ca="1">IFERROR(__xludf.DUMMYFUNCTION("""COMPUTED_VALUE"""),11000)</f>
        <v>11000</v>
      </c>
      <c r="G926" s="19">
        <f ca="1">IFERROR(__xludf.DUMMYFUNCTION("""COMPUTED_VALUE"""),15000)</f>
        <v>15000</v>
      </c>
      <c r="H926" s="18">
        <f ca="1">IFERROR(__xludf.DUMMYFUNCTION("""COMPUTED_VALUE"""),45672)</f>
        <v>45672</v>
      </c>
      <c r="I926" s="5" t="str">
        <f ca="1">IFERROR(__xludf.DUMMYFUNCTION("""COMPUTED_VALUE"""),"Zillow")</f>
        <v>Zillow</v>
      </c>
      <c r="J926" s="25" t="str">
        <f ca="1">IFERROR(__xludf.DUMMYFUNCTION("""COMPUTED_VALUE"""),"https://www.zillow.com/homedetails/1900-Fox-Hills-Dr-Los-Angeles-CA-90025/20500326_zpid/")</f>
        <v>https://www.zillow.com/homedetails/1900-Fox-Hills-Dr-Los-Angeles-CA-90025/20500326_zpid/</v>
      </c>
      <c r="K926" s="5" t="str">
        <f ca="1">IFERROR(__xludf.DUMMYFUNCTION("""COMPUTED_VALUE"""),"Natalie K")</f>
        <v>Natalie K</v>
      </c>
      <c r="L926" s="5"/>
      <c r="M926" s="5"/>
      <c r="N926" s="26" t="str">
        <f ca="1">IFERROR(__xludf.DUMMYFUNCTION("""COMPUTED_VALUE"""),"https://drive.google.com/open?id=1zRAKdqGtj1Ewx-BbXjhtTKRRTuapmKOa")</f>
        <v>https://drive.google.com/open?id=1zRAKdqGtj1Ewx-BbXjhtTKRRTuapmKOa</v>
      </c>
      <c r="O926" s="5">
        <f ca="1">IFERROR(__xludf.DUMMYFUNCTION("""COMPUTED_VALUE"""),4319011007)</f>
        <v>4319011007</v>
      </c>
      <c r="P926" s="5" t="str">
        <f ca="1">IFERROR(__xludf.DUMMYFUNCTION("""COMPUTED_VALUE"""),"310-245-0033")</f>
        <v>310-245-0033</v>
      </c>
      <c r="Q926" s="5"/>
      <c r="R926" s="5"/>
      <c r="S926" s="5"/>
      <c r="T926" s="18">
        <f ca="1">IFERROR(__xludf.DUMMYFUNCTION("""COMPUTED_VALUE"""),45224)</f>
        <v>45224</v>
      </c>
    </row>
    <row r="927" spans="1:20" ht="12.75">
      <c r="A927" s="24">
        <f ca="1">IFERROR(__xludf.DUMMYFUNCTION("""COMPUTED_VALUE"""),45671.8807095601)</f>
        <v>45671.880709560101</v>
      </c>
      <c r="B927" s="5" t="str">
        <f ca="1">IFERROR(__xludf.DUMMYFUNCTION("""COMPUTED_VALUE"""),"637 N Gardner St")</f>
        <v>637 N Gardner St</v>
      </c>
      <c r="C927" s="5" t="str">
        <f ca="1">IFERROR(__xludf.DUMMYFUNCTION("""COMPUTED_VALUE"""),"Los Angeles")</f>
        <v>Los Angeles</v>
      </c>
      <c r="D927" s="5" t="str">
        <f ca="1">IFERROR(__xludf.DUMMYFUNCTION("""COMPUTED_VALUE"""),"CA")</f>
        <v>CA</v>
      </c>
      <c r="E927" s="5">
        <f ca="1">IFERROR(__xludf.DUMMYFUNCTION("""COMPUTED_VALUE"""),90036)</f>
        <v>90036</v>
      </c>
      <c r="F927" s="19">
        <f ca="1">IFERROR(__xludf.DUMMYFUNCTION("""COMPUTED_VALUE"""),22500)</f>
        <v>22500</v>
      </c>
      <c r="G927" s="19">
        <f ca="1">IFERROR(__xludf.DUMMYFUNCTION("""COMPUTED_VALUE"""),30000)</f>
        <v>30000</v>
      </c>
      <c r="H927" s="18">
        <f ca="1">IFERROR(__xludf.DUMMYFUNCTION("""COMPUTED_VALUE"""),45667)</f>
        <v>45667</v>
      </c>
      <c r="I927" s="5" t="str">
        <f ca="1">IFERROR(__xludf.DUMMYFUNCTION("""COMPUTED_VALUE"""),"Redfin")</f>
        <v>Redfin</v>
      </c>
      <c r="J927" s="25" t="str">
        <f ca="1">IFERROR(__xludf.DUMMYFUNCTION("""COMPUTED_VALUE"""),"https://www.redfin.com/CA/Los-Angeles/637-N-Gardner-St-90036/home/7102773#property-history")</f>
        <v>https://www.redfin.com/CA/Los-Angeles/637-N-Gardner-St-90036/home/7102773#property-history</v>
      </c>
      <c r="K927" s="5" t="str">
        <f ca="1">IFERROR(__xludf.DUMMYFUNCTION("""COMPUTED_VALUE"""),"Kai Cohen")</f>
        <v>Kai Cohen</v>
      </c>
      <c r="L927" s="5"/>
      <c r="M927" s="5" t="str">
        <f ca="1">IFERROR(__xludf.DUMMYFUNCTION("""COMPUTED_VALUE"""),"This is another example of someone who price gouged and then walked it back. It was listed at $20,000 in November 2024, then jumped to $22,500 on 1/9/25, then jumped to $30,000 on 1/10/25, before dropping back to $22,000 on 1/13/25.")</f>
        <v>This is another example of someone who price gouged and then walked it back. It was listed at $20,000 in November 2024, then jumped to $22,500 on 1/9/25, then jumped to $30,000 on 1/10/25, before dropping back to $22,000 on 1/13/25.</v>
      </c>
      <c r="N927" s="26" t="str">
        <f ca="1">IFERROR(__xludf.DUMMYFUNCTION("""COMPUTED_VALUE"""),"https://drive.google.com/open?id=1C-_4t0WLafFJQzezkbuMoamD8uDg3kEq")</f>
        <v>https://drive.google.com/open?id=1C-_4t0WLafFJQzezkbuMoamD8uDg3kEq</v>
      </c>
      <c r="O927" s="5" t="str">
        <f ca="1">IFERROR(__xludf.DUMMYFUNCTION("""COMPUTED_VALUE"""),"NA")</f>
        <v>NA</v>
      </c>
      <c r="P927" s="5" t="str">
        <f ca="1">IFERROR(__xludf.DUMMYFUNCTION("""COMPUTED_VALUE"""),"818-274-1710 ")</f>
        <v xml:space="preserve">818-274-1710 </v>
      </c>
      <c r="Q927" s="5" t="str">
        <f ca="1">IFERROR(__xludf.DUMMYFUNCTION("""COMPUTED_VALUE"""),"Kai@CohenLA.com")</f>
        <v>Kai@CohenLA.com</v>
      </c>
      <c r="R927" s="5"/>
      <c r="S927" s="5"/>
      <c r="T927" s="18">
        <f ca="1">IFERROR(__xludf.DUMMYFUNCTION("""COMPUTED_VALUE"""),45666)</f>
        <v>45666</v>
      </c>
    </row>
    <row r="928" spans="1:20" ht="12.75">
      <c r="A928" s="24">
        <f ca="1">IFERROR(__xludf.DUMMYFUNCTION("""COMPUTED_VALUE"""),45671.8831435416)</f>
        <v>45671.8831435416</v>
      </c>
      <c r="B928" s="5" t="str">
        <f ca="1">IFERROR(__xludf.DUMMYFUNCTION("""COMPUTED_VALUE"""),"610 N Stanley Ave")</f>
        <v>610 N Stanley Ave</v>
      </c>
      <c r="C928" s="5" t="str">
        <f ca="1">IFERROR(__xludf.DUMMYFUNCTION("""COMPUTED_VALUE"""),"Los Angeles")</f>
        <v>Los Angeles</v>
      </c>
      <c r="D928" s="5" t="str">
        <f ca="1">IFERROR(__xludf.DUMMYFUNCTION("""COMPUTED_VALUE"""),"CA")</f>
        <v>CA</v>
      </c>
      <c r="E928" s="5">
        <f ca="1">IFERROR(__xludf.DUMMYFUNCTION("""COMPUTED_VALUE"""),90036)</f>
        <v>90036</v>
      </c>
      <c r="F928" s="19">
        <f ca="1">IFERROR(__xludf.DUMMYFUNCTION("""COMPUTED_VALUE"""),22500)</f>
        <v>22500</v>
      </c>
      <c r="G928" s="19">
        <f ca="1">IFERROR(__xludf.DUMMYFUNCTION("""COMPUTED_VALUE"""),30000)</f>
        <v>30000</v>
      </c>
      <c r="H928" s="18">
        <f ca="1">IFERROR(__xludf.DUMMYFUNCTION("""COMPUTED_VALUE"""),45667)</f>
        <v>45667</v>
      </c>
      <c r="I928" s="5" t="str">
        <f ca="1">IFERROR(__xludf.DUMMYFUNCTION("""COMPUTED_VALUE"""),"Redfin")</f>
        <v>Redfin</v>
      </c>
      <c r="J928" s="25" t="str">
        <f ca="1">IFERROR(__xludf.DUMMYFUNCTION("""COMPUTED_VALUE"""),"https://www.redfin.com/CA/Los-Angeles/610-N-Stanley-Ave-90036/home/7102743#property-history")</f>
        <v>https://www.redfin.com/CA/Los-Angeles/610-N-Stanley-Ave-90036/home/7102743#property-history</v>
      </c>
      <c r="K928" s="5" t="str">
        <f ca="1">IFERROR(__xludf.DUMMYFUNCTION("""COMPUTED_VALUE"""),"Kai Cohen")</f>
        <v>Kai Cohen</v>
      </c>
      <c r="L928" s="5"/>
      <c r="M928" s="5" t="str">
        <f ca="1">IFERROR(__xludf.DUMMYFUNCTION("""COMPUTED_VALUE"""),"Kai Cohen strikes again. Same as the 843 N Spaulding entry: $20,000 in November 2024, $22,500 on 1/9/25, $30,000 on 1/10/25, and back down to $22,000 on 1/13/25.")</f>
        <v>Kai Cohen strikes again. Same as the 843 N Spaulding entry: $20,000 in November 2024, $22,500 on 1/9/25, $30,000 on 1/10/25, and back down to $22,000 on 1/13/25.</v>
      </c>
      <c r="N928" s="26" t="str">
        <f ca="1">IFERROR(__xludf.DUMMYFUNCTION("""COMPUTED_VALUE"""),"https://drive.google.com/open?id=1KAslVx50Pdex-peJVV_J5UNuJmkY-Vki")</f>
        <v>https://drive.google.com/open?id=1KAslVx50Pdex-peJVV_J5UNuJmkY-Vki</v>
      </c>
      <c r="O928" s="5" t="str">
        <f ca="1">IFERROR(__xludf.DUMMYFUNCTION("""COMPUTED_VALUE"""),"NA")</f>
        <v>NA</v>
      </c>
      <c r="P928" s="5"/>
      <c r="Q928" s="5"/>
      <c r="R928" s="5"/>
      <c r="S928" s="5"/>
      <c r="T928" s="18">
        <f ca="1">IFERROR(__xludf.DUMMYFUNCTION("""COMPUTED_VALUE"""),45666)</f>
        <v>45666</v>
      </c>
    </row>
    <row r="929" spans="1:20" ht="12.75">
      <c r="A929" s="24">
        <f ca="1">IFERROR(__xludf.DUMMYFUNCTION("""COMPUTED_VALUE"""),45671.8834309027)</f>
        <v>45671.883430902701</v>
      </c>
      <c r="B929" s="5" t="str">
        <f ca="1">IFERROR(__xludf.DUMMYFUNCTION("""COMPUTED_VALUE"""),"71 Linda Isle")</f>
        <v>71 Linda Isle</v>
      </c>
      <c r="C929" s="5" t="str">
        <f ca="1">IFERROR(__xludf.DUMMYFUNCTION("""COMPUTED_VALUE"""),"Newport Beach")</f>
        <v>Newport Beach</v>
      </c>
      <c r="D929" s="5" t="str">
        <f ca="1">IFERROR(__xludf.DUMMYFUNCTION("""COMPUTED_VALUE"""),"CA")</f>
        <v>CA</v>
      </c>
      <c r="E929" s="5">
        <f ca="1">IFERROR(__xludf.DUMMYFUNCTION("""COMPUTED_VALUE"""),92660)</f>
        <v>92660</v>
      </c>
      <c r="F929" s="19">
        <f ca="1">IFERROR(__xludf.DUMMYFUNCTION("""COMPUTED_VALUE"""),55000)</f>
        <v>55000</v>
      </c>
      <c r="G929" s="19">
        <f ca="1">IFERROR(__xludf.DUMMYFUNCTION("""COMPUTED_VALUE"""),65000)</f>
        <v>65000</v>
      </c>
      <c r="H929" s="18">
        <f ca="1">IFERROR(__xludf.DUMMYFUNCTION("""COMPUTED_VALUE"""),45668)</f>
        <v>45668</v>
      </c>
      <c r="I929" s="5" t="str">
        <f ca="1">IFERROR(__xludf.DUMMYFUNCTION("""COMPUTED_VALUE"""),"Zillow")</f>
        <v>Zillow</v>
      </c>
      <c r="J929" s="25" t="str">
        <f ca="1">IFERROR(__xludf.DUMMYFUNCTION("""COMPUTED_VALUE"""),"https://www.zillow.com/homedetails/71-Linda-Isle-Newport-Beach-CA-92660/25139026_zpid/")</f>
        <v>https://www.zillow.com/homedetails/71-Linda-Isle-Newport-Beach-CA-92660/25139026_zpid/</v>
      </c>
      <c r="K929" s="5" t="str">
        <f ca="1">IFERROR(__xludf.DUMMYFUNCTION("""COMPUTED_VALUE"""),"Cari Young, Compass")</f>
        <v>Cari Young, Compass</v>
      </c>
      <c r="L929" s="5"/>
      <c r="M929" s="5"/>
      <c r="N929" s="5" t="str">
        <f ca="1">IFERROR(__xludf.DUMMYFUNCTION("""COMPUTED_VALUE"""),"https://drive.google.com/open?id=1lOPMcH0XSKUIYMcTFUxN5GoOcrxRXcph, https://drive.google.com/open?id=16cb1_lDtqXNiRVSUmj-4CJZLTWhQe3IK, https://drive.google.com/open?id=1AOFF9VZ-wJo3BD6BQrOBzbrXBsVPYXar")</f>
        <v>https://drive.google.com/open?id=1lOPMcH0XSKUIYMcTFUxN5GoOcrxRXcph, https://drive.google.com/open?id=16cb1_lDtqXNiRVSUmj-4CJZLTWhQe3IK, https://drive.google.com/open?id=1AOFF9VZ-wJo3BD6BQrOBzbrXBsVPYXar</v>
      </c>
      <c r="O929" s="5" t="str">
        <f ca="1">IFERROR(__xludf.DUMMYFUNCTION("""COMPUTED_VALUE"""),"05047159")</f>
        <v>05047159</v>
      </c>
      <c r="P929" s="5" t="str">
        <f ca="1">IFERROR(__xludf.DUMMYFUNCTION("""COMPUTED_VALUE"""),"(949) 290-5906")</f>
        <v>(949) 290-5906</v>
      </c>
      <c r="Q929" s="5"/>
      <c r="R929" s="5"/>
      <c r="S929" s="5"/>
      <c r="T929" s="18">
        <f ca="1">IFERROR(__xludf.DUMMYFUNCTION("""COMPUTED_VALUE"""),45427)</f>
        <v>45427</v>
      </c>
    </row>
    <row r="930" spans="1:20" ht="12.75">
      <c r="A930" s="24">
        <f ca="1">IFERROR(__xludf.DUMMYFUNCTION("""COMPUTED_VALUE"""),45671.885438125)</f>
        <v>45671.885438124998</v>
      </c>
      <c r="B930" s="5" t="str">
        <f ca="1">IFERROR(__xludf.DUMMYFUNCTION("""COMPUTED_VALUE"""),"7168 Rockridge Ter")</f>
        <v>7168 Rockridge Ter</v>
      </c>
      <c r="C930" s="5" t="str">
        <f ca="1">IFERROR(__xludf.DUMMYFUNCTION("""COMPUTED_VALUE"""),"West Hills")</f>
        <v>West Hills</v>
      </c>
      <c r="D930" s="5" t="str">
        <f ca="1">IFERROR(__xludf.DUMMYFUNCTION("""COMPUTED_VALUE"""),"CA")</f>
        <v>CA</v>
      </c>
      <c r="E930" s="5">
        <f ca="1">IFERROR(__xludf.DUMMYFUNCTION("""COMPUTED_VALUE"""),91307)</f>
        <v>91307</v>
      </c>
      <c r="F930" s="19">
        <f ca="1">IFERROR(__xludf.DUMMYFUNCTION("""COMPUTED_VALUE"""),5900)</f>
        <v>5900</v>
      </c>
      <c r="G930" s="19">
        <f ca="1">IFERROR(__xludf.DUMMYFUNCTION("""COMPUTED_VALUE"""),6500)</f>
        <v>6500</v>
      </c>
      <c r="H930" s="18">
        <f ca="1">IFERROR(__xludf.DUMMYFUNCTION("""COMPUTED_VALUE"""),45671)</f>
        <v>45671</v>
      </c>
      <c r="I930" s="5" t="str">
        <f ca="1">IFERROR(__xludf.DUMMYFUNCTION("""COMPUTED_VALUE"""),"Redfin")</f>
        <v>Redfin</v>
      </c>
      <c r="J930" s="25" t="str">
        <f ca="1">IFERROR(__xludf.DUMMYFUNCTION("""COMPUTED_VALUE"""),"https://www.redfin.com/CA/West-Hills/7168-Rockridge-Ter-91307/home/3142272")</f>
        <v>https://www.redfin.com/CA/West-Hills/7168-Rockridge-Ter-91307/home/3142272</v>
      </c>
      <c r="K930" s="5"/>
      <c r="L930" s="5"/>
      <c r="M930" s="5" t="str">
        <f ca="1">IFERROR(__xludf.DUMMYFUNCTION("""COMPUTED_VALUE"""),"There was also a price change to $6950 on 1/13/25 before changing to $6500 on 1/14/25")</f>
        <v>There was also a price change to $6950 on 1/13/25 before changing to $6500 on 1/14/25</v>
      </c>
      <c r="N930" s="5" t="str">
        <f ca="1">IFERROR(__xludf.DUMMYFUNCTION("""COMPUTED_VALUE"""),"https://drive.google.com/open?id=1qmHZ5j9-T0LE_6WQPf8lau3Q0KPrhaCA, https://drive.google.com/open?id=1rRpadHkjpe_tR1UQaF0KhR5balrhMg5_")</f>
        <v>https://drive.google.com/open?id=1qmHZ5j9-T0LE_6WQPf8lau3Q0KPrhaCA, https://drive.google.com/open?id=1rRpadHkjpe_tR1UQaF0KhR5balrhMg5_</v>
      </c>
      <c r="O930" s="5" t="str">
        <f ca="1">IFERROR(__xludf.DUMMYFUNCTION("""COMPUTED_VALUE"""),"NA")</f>
        <v>NA</v>
      </c>
      <c r="P930" s="5"/>
      <c r="Q930" s="5"/>
      <c r="R930" s="5"/>
      <c r="S930" s="5"/>
      <c r="T930" s="18">
        <f ca="1">IFERROR(__xludf.DUMMYFUNCTION("""COMPUTED_VALUE"""),45640)</f>
        <v>45640</v>
      </c>
    </row>
    <row r="931" spans="1:20" ht="12.75">
      <c r="A931" s="24">
        <f ca="1">IFERROR(__xludf.DUMMYFUNCTION("""COMPUTED_VALUE"""),45671.8867912847)</f>
        <v>45671.886791284698</v>
      </c>
      <c r="B931" s="5" t="str">
        <f ca="1">IFERROR(__xludf.DUMMYFUNCTION("""COMPUTED_VALUE"""),"213 Via Cordova")</f>
        <v>213 Via Cordova</v>
      </c>
      <c r="C931" s="5" t="str">
        <f ca="1">IFERROR(__xludf.DUMMYFUNCTION("""COMPUTED_VALUE"""),"Newport Beach")</f>
        <v>Newport Beach</v>
      </c>
      <c r="D931" s="5" t="str">
        <f ca="1">IFERROR(__xludf.DUMMYFUNCTION("""COMPUTED_VALUE"""),"CA")</f>
        <v>CA</v>
      </c>
      <c r="E931" s="5">
        <f ca="1">IFERROR(__xludf.DUMMYFUNCTION("""COMPUTED_VALUE"""),92663)</f>
        <v>92663</v>
      </c>
      <c r="F931" s="19">
        <f ca="1">IFERROR(__xludf.DUMMYFUNCTION("""COMPUTED_VALUE"""),20000)</f>
        <v>20000</v>
      </c>
      <c r="G931" s="19">
        <f ca="1">IFERROR(__xludf.DUMMYFUNCTION("""COMPUTED_VALUE"""),29500)</f>
        <v>29500</v>
      </c>
      <c r="H931" s="18">
        <f ca="1">IFERROR(__xludf.DUMMYFUNCTION("""COMPUTED_VALUE"""),45668)</f>
        <v>45668</v>
      </c>
      <c r="I931" s="5" t="str">
        <f ca="1">IFERROR(__xludf.DUMMYFUNCTION("""COMPUTED_VALUE"""),"Zillow")</f>
        <v>Zillow</v>
      </c>
      <c r="J931" s="25" t="str">
        <f ca="1">IFERROR(__xludf.DUMMYFUNCTION("""COMPUTED_VALUE"""),"https://www.zillow.com/homedetails/213-Via-Cordova-Newport-Beach-CA-92663/25464893_zpid/")</f>
        <v>https://www.zillow.com/homedetails/213-Via-Cordova-Newport-Beach-CA-92663/25464893_zpid/</v>
      </c>
      <c r="K931" s="5" t="str">
        <f ca="1">IFERROR(__xludf.DUMMYFUNCTION("""COMPUTED_VALUE"""),"Federico Salvatori, eXp of California Inc")</f>
        <v>Federico Salvatori, eXp of California Inc</v>
      </c>
      <c r="L931" s="5"/>
      <c r="M931" s="5"/>
      <c r="N931" s="5" t="str">
        <f ca="1">IFERROR(__xludf.DUMMYFUNCTION("""COMPUTED_VALUE"""),"https://drive.google.com/open?id=1XFxOO-CjhLCjNVdjrLAkk5go6VjFUOt_, https://drive.google.com/open?id=1_JSjiRvA9LP8fEYVqVzV4bkurEZDvJnV, https://drive.google.com/open?id=1yiC_cO6KlswB1PiDagAb7x1NAQilD3ec")</f>
        <v>https://drive.google.com/open?id=1XFxOO-CjhLCjNVdjrLAkk5go6VjFUOt_, https://drive.google.com/open?id=1_JSjiRvA9LP8fEYVqVzV4bkurEZDvJnV, https://drive.google.com/open?id=1yiC_cO6KlswB1PiDagAb7x1NAQilD3ec</v>
      </c>
      <c r="O931" s="5">
        <f ca="1">IFERROR(__xludf.DUMMYFUNCTION("""COMPUTED_VALUE"""),42314206)</f>
        <v>42314206</v>
      </c>
      <c r="P931" s="5" t="str">
        <f ca="1">IFERROR(__xludf.DUMMYFUNCTION("""COMPUTED_VALUE"""),"(310) 500-8213")</f>
        <v>(310) 500-8213</v>
      </c>
      <c r="Q931" s="5"/>
      <c r="R931" s="5"/>
      <c r="S931" s="5"/>
      <c r="T931" s="18">
        <f ca="1">IFERROR(__xludf.DUMMYFUNCTION("""COMPUTED_VALUE"""),45351)</f>
        <v>45351</v>
      </c>
    </row>
    <row r="932" spans="1:20" ht="12.75">
      <c r="A932" s="24">
        <f ca="1">IFERROR(__xludf.DUMMYFUNCTION("""COMPUTED_VALUE"""),45671.8871000115)</f>
        <v>45671.887100011503</v>
      </c>
      <c r="B932" s="5" t="str">
        <f ca="1">IFERROR(__xludf.DUMMYFUNCTION("""COMPUTED_VALUE"""),"1524 N Sierra Bonita Ave, Los Angeles, CA 90046")</f>
        <v>1524 N Sierra Bonita Ave, Los Angeles, CA 90046</v>
      </c>
      <c r="C932" s="5" t="str">
        <f ca="1">IFERROR(__xludf.DUMMYFUNCTION("""COMPUTED_VALUE"""),"Los Angeles")</f>
        <v>Los Angeles</v>
      </c>
      <c r="D932" s="5" t="str">
        <f ca="1">IFERROR(__xludf.DUMMYFUNCTION("""COMPUTED_VALUE"""),"CA")</f>
        <v>CA</v>
      </c>
      <c r="E932" s="5">
        <f ca="1">IFERROR(__xludf.DUMMYFUNCTION("""COMPUTED_VALUE"""),90046)</f>
        <v>90046</v>
      </c>
      <c r="F932" s="19">
        <f ca="1">IFERROR(__xludf.DUMMYFUNCTION("""COMPUTED_VALUE"""),15000)</f>
        <v>15000</v>
      </c>
      <c r="G932" s="19">
        <f ca="1">IFERROR(__xludf.DUMMYFUNCTION("""COMPUTED_VALUE"""),19500)</f>
        <v>19500</v>
      </c>
      <c r="H932" s="18">
        <f ca="1">IFERROR(__xludf.DUMMYFUNCTION("""COMPUTED_VALUE"""),45670)</f>
        <v>45670</v>
      </c>
      <c r="I932" s="5" t="str">
        <f ca="1">IFERROR(__xludf.DUMMYFUNCTION("""COMPUTED_VALUE"""),"Zillow")</f>
        <v>Zillow</v>
      </c>
      <c r="J932" s="25" t="str">
        <f ca="1">IFERROR(__xludf.DUMMYFUNCTION("""COMPUTED_VALUE"""),"https://www.zillow.com/homedetails/1524-N-Sierra-Bonita-Ave-Los-Angeles-CA-90046/20794339_zpid/?utm_campaign=iosappmessage&amp;utm_medium=referral&amp;utm_source=txtshare")</f>
        <v>https://www.zillow.com/homedetails/1524-N-Sierra-Bonita-Ave-Los-Angeles-CA-90046/20794339_zpid/?utm_campaign=iosappmessage&amp;utm_medium=referral&amp;utm_source=txtshare</v>
      </c>
      <c r="K932" s="26" t="str">
        <f ca="1">IFERROR(__xludf.DUMMYFUNCTION("""COMPUTED_VALUE"""),"https://www.zillow.com/profile/lindsaysegal")</f>
        <v>https://www.zillow.com/profile/lindsaysegal</v>
      </c>
      <c r="L932" s="5"/>
      <c r="M932" s="5" t="str">
        <f ca="1">IFERROR(__xludf.DUMMYFUNCTION("""COMPUTED_VALUE"""),"08/27/2024 property was listed at 15,000, removed on 10/1/2024, then reposted on 1/13/2025 at 19,500 (+30% increase) ")</f>
        <v xml:space="preserve">08/27/2024 property was listed at 15,000, removed on 10/1/2024, then reposted on 1/13/2025 at 19,500 (+30% increase) </v>
      </c>
      <c r="N932" s="5" t="str">
        <f ca="1">IFERROR(__xludf.DUMMYFUNCTION("""COMPUTED_VALUE"""),"https://drive.google.com/open?id=1NBxefV6RBtM9JUJqUn_pkh1azLZUQjtQ, https://drive.google.com/open?id=1Ny4OF6fOYa1JEzfBaqpDu6-8fw2xqWtE")</f>
        <v>https://drive.google.com/open?id=1NBxefV6RBtM9JUJqUn_pkh1azLZUQjtQ, https://drive.google.com/open?id=1Ny4OF6fOYa1JEzfBaqpDu6-8fw2xqWtE</v>
      </c>
      <c r="O932" s="5">
        <f ca="1">IFERROR(__xludf.DUMMYFUNCTION("""COMPUTED_VALUE"""),5550010013)</f>
        <v>5550010013</v>
      </c>
      <c r="P932" s="5" t="str">
        <f ca="1">IFERROR(__xludf.DUMMYFUNCTION("""COMPUTED_VALUE"""),"(310) 721-1383")</f>
        <v>(310) 721-1383</v>
      </c>
      <c r="Q932" s="5" t="str">
        <f ca="1">IFERROR(__xludf.DUMMYFUNCTION("""COMPUTED_VALUE"""),"lindsay@lindsaysegal.com")</f>
        <v>lindsay@lindsaysegal.com</v>
      </c>
      <c r="R932" s="5"/>
      <c r="S932" s="5"/>
      <c r="T932" s="18">
        <f ca="1">IFERROR(__xludf.DUMMYFUNCTION("""COMPUTED_VALUE"""),45566)</f>
        <v>45566</v>
      </c>
    </row>
    <row r="933" spans="1:20" ht="12.75">
      <c r="A933" s="24">
        <f ca="1">IFERROR(__xludf.DUMMYFUNCTION("""COMPUTED_VALUE"""),45671.8876820138)</f>
        <v>45671.887682013803</v>
      </c>
      <c r="B933" s="5" t="str">
        <f ca="1">IFERROR(__xludf.DUMMYFUNCTION("""COMPUTED_VALUE"""),"10769-10771 Ashton Ave")</f>
        <v>10769-10771 Ashton Ave</v>
      </c>
      <c r="C933" s="5" t="str">
        <f ca="1">IFERROR(__xludf.DUMMYFUNCTION("""COMPUTED_VALUE"""),"Los Angeles")</f>
        <v>Los Angeles</v>
      </c>
      <c r="D933" s="5" t="str">
        <f ca="1">IFERROR(__xludf.DUMMYFUNCTION("""COMPUTED_VALUE"""),"CA")</f>
        <v>CA</v>
      </c>
      <c r="E933" s="5">
        <f ca="1">IFERROR(__xludf.DUMMYFUNCTION("""COMPUTED_VALUE"""),90024)</f>
        <v>90024</v>
      </c>
      <c r="F933" s="19">
        <f ca="1">IFERROR(__xludf.DUMMYFUNCTION("""COMPUTED_VALUE"""),17500)</f>
        <v>17500</v>
      </c>
      <c r="G933" s="19">
        <f ca="1">IFERROR(__xludf.DUMMYFUNCTION("""COMPUTED_VALUE"""),35000)</f>
        <v>35000</v>
      </c>
      <c r="H933" s="18">
        <f ca="1">IFERROR(__xludf.DUMMYFUNCTION("""COMPUTED_VALUE"""),45671)</f>
        <v>45671</v>
      </c>
      <c r="I933" s="5" t="str">
        <f ca="1">IFERROR(__xludf.DUMMYFUNCTION("""COMPUTED_VALUE"""),"Zillow")</f>
        <v>Zillow</v>
      </c>
      <c r="J933" s="25" t="str">
        <f ca="1">IFERROR(__xludf.DUMMYFUNCTION("""COMPUTED_VALUE"""),"https://www.zillow.com/homedetails/10769-10771-Ashton-Ave-Los-Angeles-CA-90024/20504690_zpid/")</f>
        <v>https://www.zillow.com/homedetails/10769-10771-Ashton-Ave-Los-Angeles-CA-90024/20504690_zpid/</v>
      </c>
      <c r="K933" s="5" t="str">
        <f ca="1">IFERROR(__xludf.DUMMYFUNCTION("""COMPUTED_VALUE"""),"Rosemary Staltare")</f>
        <v>Rosemary Staltare</v>
      </c>
      <c r="L933" s="5"/>
      <c r="M933" s="5" t="str">
        <f ca="1">IFERROR(__xludf.DUMMYFUNCTION("""COMPUTED_VALUE"""),"Price had originally gone up on 1/10, they lowered it on 1/12, but as of 1/14, it has been increased again. 100% increase from 1/14. ")</f>
        <v xml:space="preserve">Price had originally gone up on 1/10, they lowered it on 1/12, but as of 1/14, it has been increased again. 100% increase from 1/14. </v>
      </c>
      <c r="N933" s="26" t="str">
        <f ca="1">IFERROR(__xludf.DUMMYFUNCTION("""COMPUTED_VALUE"""),"https://drive.google.com/open?id=1WUHVj4onr_wBmUis7ge5Kefw93mxX_0b")</f>
        <v>https://drive.google.com/open?id=1WUHVj4onr_wBmUis7ge5Kefw93mxX_0b</v>
      </c>
      <c r="O933" s="5">
        <f ca="1">IFERROR(__xludf.DUMMYFUNCTION("""COMPUTED_VALUE"""),4325004014)</f>
        <v>4325004014</v>
      </c>
      <c r="P933" s="5" t="str">
        <f ca="1">IFERROR(__xludf.DUMMYFUNCTION("""COMPUTED_VALUE"""),"786-683-0045")</f>
        <v>786-683-0045</v>
      </c>
      <c r="Q933" s="5"/>
      <c r="R933" s="5"/>
      <c r="S933" s="5"/>
      <c r="T933" s="18">
        <f ca="1">IFERROR(__xludf.DUMMYFUNCTION("""COMPUTED_VALUE"""),45669)</f>
        <v>45669</v>
      </c>
    </row>
    <row r="934" spans="1:20" ht="12.75">
      <c r="A934" s="24">
        <f ca="1">IFERROR(__xludf.DUMMYFUNCTION("""COMPUTED_VALUE"""),45671.8894076388)</f>
        <v>45671.889407638802</v>
      </c>
      <c r="B934" s="5" t="str">
        <f ca="1">IFERROR(__xludf.DUMMYFUNCTION("""COMPUTED_VALUE"""),"527 Seaward Rd")</f>
        <v>527 Seaward Rd</v>
      </c>
      <c r="C934" s="5" t="str">
        <f ca="1">IFERROR(__xludf.DUMMYFUNCTION("""COMPUTED_VALUE"""),"Corona Del Mar")</f>
        <v>Corona Del Mar</v>
      </c>
      <c r="D934" s="5" t="str">
        <f ca="1">IFERROR(__xludf.DUMMYFUNCTION("""COMPUTED_VALUE"""),"CA")</f>
        <v>CA</v>
      </c>
      <c r="E934" s="5">
        <f ca="1">IFERROR(__xludf.DUMMYFUNCTION("""COMPUTED_VALUE"""),92625)</f>
        <v>92625</v>
      </c>
      <c r="F934" s="19">
        <f ca="1">IFERROR(__xludf.DUMMYFUNCTION("""COMPUTED_VALUE"""),22000)</f>
        <v>22000</v>
      </c>
      <c r="G934" s="19">
        <f ca="1">IFERROR(__xludf.DUMMYFUNCTION("""COMPUTED_VALUE"""),35000)</f>
        <v>35000</v>
      </c>
      <c r="H934" s="18">
        <f ca="1">IFERROR(__xludf.DUMMYFUNCTION("""COMPUTED_VALUE"""),45668)</f>
        <v>45668</v>
      </c>
      <c r="I934" s="5" t="str">
        <f ca="1">IFERROR(__xludf.DUMMYFUNCTION("""COMPUTED_VALUE"""),"Zillow")</f>
        <v>Zillow</v>
      </c>
      <c r="J934" s="25" t="str">
        <f ca="1">IFERROR(__xludf.DUMMYFUNCTION("""COMPUTED_VALUE"""),"https://www.zillow.com/homedetails/527-Seaward-Rd-Corona-Del-Mar-CA-92625/25498083_zpid/")</f>
        <v>https://www.zillow.com/homedetails/527-Seaward-Rd-Corona-Del-Mar-CA-92625/25498083_zpid/</v>
      </c>
      <c r="K934" s="5" t="str">
        <f ca="1">IFERROR(__xludf.DUMMYFUNCTION("""COMPUTED_VALUE"""),"Eliisa Stowell, Surterre Properties")</f>
        <v>Eliisa Stowell, Surterre Properties</v>
      </c>
      <c r="L934" s="5"/>
      <c r="M934" s="5"/>
      <c r="N934" s="5" t="str">
        <f ca="1">IFERROR(__xludf.DUMMYFUNCTION("""COMPUTED_VALUE"""),"https://drive.google.com/open?id=1MMxUayjvNjW7qI2kUxWqQN8E8TTVewCc, https://drive.google.com/open?id=1BzWKQhvUkv8x37KjLIap8M6yit7CkjpQ, https://drive.google.com/open?id=15nAzvJ7OIHOYzg3g7ftY9nNELLcLn50x")</f>
        <v>https://drive.google.com/open?id=1MMxUayjvNjW7qI2kUxWqQN8E8TTVewCc, https://drive.google.com/open?id=1BzWKQhvUkv8x37KjLIap8M6yit7CkjpQ, https://drive.google.com/open?id=15nAzvJ7OIHOYzg3g7ftY9nNELLcLn50x</v>
      </c>
      <c r="O934" s="5">
        <f ca="1">IFERROR(__xludf.DUMMYFUNCTION("""COMPUTED_VALUE"""),45915211)</f>
        <v>45915211</v>
      </c>
      <c r="P934" s="5" t="str">
        <f ca="1">IFERROR(__xludf.DUMMYFUNCTION("""COMPUTED_VALUE"""),"(949) 903-0026")</f>
        <v>(949) 903-0026</v>
      </c>
      <c r="Q934" s="5"/>
      <c r="R934" s="5"/>
      <c r="S934" s="5"/>
      <c r="T934" s="18">
        <f ca="1">IFERROR(__xludf.DUMMYFUNCTION("""COMPUTED_VALUE"""),45658)</f>
        <v>45658</v>
      </c>
    </row>
    <row r="935" spans="1:20" ht="12.75">
      <c r="A935" s="24">
        <f ca="1">IFERROR(__xludf.DUMMYFUNCTION("""COMPUTED_VALUE"""),45671.892771412)</f>
        <v>45671.892771412</v>
      </c>
      <c r="B935" s="5" t="str">
        <f ca="1">IFERROR(__xludf.DUMMYFUNCTION("""COMPUTED_VALUE"""),"474 Rye Ct")</f>
        <v>474 Rye Ct</v>
      </c>
      <c r="C935" s="5" t="str">
        <f ca="1">IFERROR(__xludf.DUMMYFUNCTION("""COMPUTED_VALUE"""),"Thousand Oaks")</f>
        <v>Thousand Oaks</v>
      </c>
      <c r="D935" s="5" t="str">
        <f ca="1">IFERROR(__xludf.DUMMYFUNCTION("""COMPUTED_VALUE"""),"CA")</f>
        <v>CA</v>
      </c>
      <c r="E935" s="5">
        <f ca="1">IFERROR(__xludf.DUMMYFUNCTION("""COMPUTED_VALUE"""),91362)</f>
        <v>91362</v>
      </c>
      <c r="F935" s="19">
        <f ca="1">IFERROR(__xludf.DUMMYFUNCTION("""COMPUTED_VALUE"""),10000)</f>
        <v>10000</v>
      </c>
      <c r="G935" s="19">
        <f ca="1">IFERROR(__xludf.DUMMYFUNCTION("""COMPUTED_VALUE"""),12500)</f>
        <v>12500</v>
      </c>
      <c r="H935" s="18">
        <f ca="1">IFERROR(__xludf.DUMMYFUNCTION("""COMPUTED_VALUE"""),45668)</f>
        <v>45668</v>
      </c>
      <c r="I935" s="5" t="str">
        <f ca="1">IFERROR(__xludf.DUMMYFUNCTION("""COMPUTED_VALUE"""),"Zillow")</f>
        <v>Zillow</v>
      </c>
      <c r="J935" s="25" t="str">
        <f ca="1">IFERROR(__xludf.DUMMYFUNCTION("""COMPUTED_VALUE"""),"https://www.zillow.com/homedetails/474-Rye-Ct-Thousand-Oaks-CA-91362/54900416_zpid/")</f>
        <v>https://www.zillow.com/homedetails/474-Rye-Ct-Thousand-Oaks-CA-91362/54900416_zpid/</v>
      </c>
      <c r="K935" s="5" t="str">
        <f ca="1">IFERROR(__xludf.DUMMYFUNCTION("""COMPUTED_VALUE"""),"Gianfranco Lisi, Pinnacle Estate Properties")</f>
        <v>Gianfranco Lisi, Pinnacle Estate Properties</v>
      </c>
      <c r="L935" s="5"/>
      <c r="M935" s="5"/>
      <c r="N935" s="5" t="str">
        <f ca="1">IFERROR(__xludf.DUMMYFUNCTION("""COMPUTED_VALUE"""),"https://drive.google.com/open?id=16fT6rEfNkMygZu1aWp1AeeAS4XQ95qE8, https://drive.google.com/open?id=1Ki3oAl69J1XuogtR7ggN0oj7z3cuOH89, https://drive.google.com/open?id=1ciiPpdnV5Ft2N6wvdHDjGyJx5b1YKHEJ")</f>
        <v>https://drive.google.com/open?id=16fT6rEfNkMygZu1aWp1AeeAS4XQ95qE8, https://drive.google.com/open?id=1Ki3oAl69J1XuogtR7ggN0oj7z3cuOH89, https://drive.google.com/open?id=1ciiPpdnV5Ft2N6wvdHDjGyJx5b1YKHEJ</v>
      </c>
      <c r="O935" s="5">
        <f ca="1">IFERROR(__xludf.DUMMYFUNCTION("""COMPUTED_VALUE"""),6710360145)</f>
        <v>6710360145</v>
      </c>
      <c r="P935" s="5" t="str">
        <f ca="1">IFERROR(__xludf.DUMMYFUNCTION("""COMPUTED_VALUE"""),"(805) 796-5435")</f>
        <v>(805) 796-5435</v>
      </c>
      <c r="Q935" s="5"/>
      <c r="R935" s="5"/>
      <c r="S935" s="5"/>
      <c r="T935" s="18">
        <f ca="1">IFERROR(__xludf.DUMMYFUNCTION("""COMPUTED_VALUE"""),45650)</f>
        <v>45650</v>
      </c>
    </row>
    <row r="936" spans="1:20" ht="12.75">
      <c r="A936" s="24">
        <f ca="1">IFERROR(__xludf.DUMMYFUNCTION("""COMPUTED_VALUE"""),45671.8929850578)</f>
        <v>45671.892985057799</v>
      </c>
      <c r="B936" s="5" t="str">
        <f ca="1">IFERROR(__xludf.DUMMYFUNCTION("""COMPUTED_VALUE"""),"1914 Laurel Canyon Blvd, Los Angeles, CA 90046")</f>
        <v>1914 Laurel Canyon Blvd, Los Angeles, CA 90046</v>
      </c>
      <c r="C936" s="5" t="str">
        <f ca="1">IFERROR(__xludf.DUMMYFUNCTION("""COMPUTED_VALUE"""),"Los Angeles")</f>
        <v>Los Angeles</v>
      </c>
      <c r="D936" s="5" t="str">
        <f ca="1">IFERROR(__xludf.DUMMYFUNCTION("""COMPUTED_VALUE"""),"CA")</f>
        <v>CA</v>
      </c>
      <c r="E936" s="5">
        <f ca="1">IFERROR(__xludf.DUMMYFUNCTION("""COMPUTED_VALUE"""),90046)</f>
        <v>90046</v>
      </c>
      <c r="F936" s="19">
        <f ca="1">IFERROR(__xludf.DUMMYFUNCTION("""COMPUTED_VALUE"""),33000)</f>
        <v>33000</v>
      </c>
      <c r="G936" s="19">
        <f ca="1">IFERROR(__xludf.DUMMYFUNCTION("""COMPUTED_VALUE"""),45000)</f>
        <v>45000</v>
      </c>
      <c r="H936" s="18">
        <f ca="1">IFERROR(__xludf.DUMMYFUNCTION("""COMPUTED_VALUE"""),45671)</f>
        <v>45671</v>
      </c>
      <c r="I936" s="5" t="str">
        <f ca="1">IFERROR(__xludf.DUMMYFUNCTION("""COMPUTED_VALUE"""),"Zillow")</f>
        <v>Zillow</v>
      </c>
      <c r="J936" s="25" t="str">
        <f ca="1">IFERROR(__xludf.DUMMYFUNCTION("""COMPUTED_VALUE"""),"https://www.zillow.com/homedetails/1914-Laurel-Canyon-Blvd-Los-Angeles-CA-90046/20802462_zpid/?utm_campaign=iosappmessage&amp;utm_medium=referral&amp;utm_source=txtshare")</f>
        <v>https://www.zillow.com/homedetails/1914-Laurel-Canyon-Blvd-Los-Angeles-CA-90046/20802462_zpid/?utm_campaign=iosappmessage&amp;utm_medium=referral&amp;utm_source=txtshare</v>
      </c>
      <c r="K936" s="5" t="str">
        <f ca="1">IFERROR(__xludf.DUMMYFUNCTION("""COMPUTED_VALUE"""),"Laura Soares")</f>
        <v>Laura Soares</v>
      </c>
      <c r="L936" s="5"/>
      <c r="M936" s="5" t="str">
        <f ca="1">IFERROR(__xludf.DUMMYFUNCTION("""COMPUTED_VALUE"""),"listing removed in december 2024 then reposted Jan 14th for 36.4% more")</f>
        <v>listing removed in december 2024 then reposted Jan 14th for 36.4% more</v>
      </c>
      <c r="N936" s="5" t="str">
        <f ca="1">IFERROR(__xludf.DUMMYFUNCTION("""COMPUTED_VALUE"""),"https://drive.google.com/open?id=1ApiEy8YGydh2mWTIa6w4gcfvBVxjROKj, https://drive.google.com/open?id=1LLWZYa0kQpn7B6fBtMjSbC729rq2CXTW")</f>
        <v>https://drive.google.com/open?id=1ApiEy8YGydh2mWTIa6w4gcfvBVxjROKj, https://drive.google.com/open?id=1LLWZYa0kQpn7B6fBtMjSbC729rq2CXTW</v>
      </c>
      <c r="O936" s="5">
        <f ca="1">IFERROR(__xludf.DUMMYFUNCTION("""COMPUTED_VALUE"""),5569036003)</f>
        <v>5569036003</v>
      </c>
      <c r="P936" s="5" t="str">
        <f ca="1">IFERROR(__xludf.DUMMYFUNCTION("""COMPUTED_VALUE""")," (424) 527-5532")</f>
        <v xml:space="preserve"> (424) 527-5532</v>
      </c>
      <c r="Q936" s="5" t="str">
        <f ca="1">IFERROR(__xludf.DUMMYFUNCTION("""COMPUTED_VALUE"""),"laurasoar@theagencyre.com")</f>
        <v>laurasoar@theagencyre.com</v>
      </c>
      <c r="R936" s="5"/>
      <c r="S936" s="5"/>
      <c r="T936" s="18">
        <f ca="1">IFERROR(__xludf.DUMMYFUNCTION("""COMPUTED_VALUE"""),45645)</f>
        <v>45645</v>
      </c>
    </row>
    <row r="937" spans="1:20" ht="12.75">
      <c r="A937" s="24">
        <f ca="1">IFERROR(__xludf.DUMMYFUNCTION("""COMPUTED_VALUE"""),45671.895093287)</f>
        <v>45671.895093286999</v>
      </c>
      <c r="B937" s="5" t="str">
        <f ca="1">IFERROR(__xludf.DUMMYFUNCTION("""COMPUTED_VALUE"""),"2529 Topanga Skyline Dr")</f>
        <v>2529 Topanga Skyline Dr</v>
      </c>
      <c r="C937" s="5" t="str">
        <f ca="1">IFERROR(__xludf.DUMMYFUNCTION("""COMPUTED_VALUE"""),"Topanga")</f>
        <v>Topanga</v>
      </c>
      <c r="D937" s="5" t="str">
        <f ca="1">IFERROR(__xludf.DUMMYFUNCTION("""COMPUTED_VALUE"""),"CA")</f>
        <v>CA</v>
      </c>
      <c r="E937" s="5">
        <f ca="1">IFERROR(__xludf.DUMMYFUNCTION("""COMPUTED_VALUE"""),90290)</f>
        <v>90290</v>
      </c>
      <c r="F937" s="19">
        <f ca="1">IFERROR(__xludf.DUMMYFUNCTION("""COMPUTED_VALUE"""),11000)</f>
        <v>11000</v>
      </c>
      <c r="G937" s="19">
        <f ca="1">IFERROR(__xludf.DUMMYFUNCTION("""COMPUTED_VALUE"""),13500)</f>
        <v>13500</v>
      </c>
      <c r="H937" s="18">
        <f ca="1">IFERROR(__xludf.DUMMYFUNCTION("""COMPUTED_VALUE"""),45667)</f>
        <v>45667</v>
      </c>
      <c r="I937" s="5" t="str">
        <f ca="1">IFERROR(__xludf.DUMMYFUNCTION("""COMPUTED_VALUE"""),"Zillow")</f>
        <v>Zillow</v>
      </c>
      <c r="J937" s="25" t="str">
        <f ca="1">IFERROR(__xludf.DUMMYFUNCTION("""COMPUTED_VALUE"""),"https://www.zillow.com/homedetails/2529-Topanga-Skyline-Dr-Topanga-CA-90290/135463528_zpid/")</f>
        <v>https://www.zillow.com/homedetails/2529-Topanga-Skyline-Dr-Topanga-CA-90290/135463528_zpid/</v>
      </c>
      <c r="K937" s="5" t="str">
        <f ca="1">IFERROR(__xludf.DUMMYFUNCTION("""COMPUTED_VALUE"""),"Catherine Campbell, Sotheby's International Realty")</f>
        <v>Catherine Campbell, Sotheby's International Realty</v>
      </c>
      <c r="L937" s="5"/>
      <c r="M937" s="5"/>
      <c r="N937" s="5" t="str">
        <f ca="1">IFERROR(__xludf.DUMMYFUNCTION("""COMPUTED_VALUE"""),"https://drive.google.com/open?id=1JqmvBS7h5MnkBoaFlmNAq_QMGyk5i09u, https://drive.google.com/open?id=1GtRQKJ-0eqDDOBLVlJIePmt-Ye4YmIfd, https://drive.google.com/open?id=12ZkwUYakSLtnbUX_hUfuqBprjKHMewMA")</f>
        <v>https://drive.google.com/open?id=1JqmvBS7h5MnkBoaFlmNAq_QMGyk5i09u, https://drive.google.com/open?id=1GtRQKJ-0eqDDOBLVlJIePmt-Ye4YmIfd, https://drive.google.com/open?id=12ZkwUYakSLtnbUX_hUfuqBprjKHMewMA</v>
      </c>
      <c r="O937" s="5">
        <f ca="1">IFERROR(__xludf.DUMMYFUNCTION("""COMPUTED_VALUE"""),4436012051)</f>
        <v>4436012051</v>
      </c>
      <c r="P937" s="5" t="str">
        <f ca="1">IFERROR(__xludf.DUMMYFUNCTION("""COMPUTED_VALUE"""),"(310) 663-9039")</f>
        <v>(310) 663-9039</v>
      </c>
      <c r="Q937" s="5"/>
      <c r="R937" s="5"/>
      <c r="S937" s="5"/>
      <c r="T937" s="18">
        <f ca="1">IFERROR(__xludf.DUMMYFUNCTION("""COMPUTED_VALUE"""),45545)</f>
        <v>45545</v>
      </c>
    </row>
    <row r="938" spans="1:20" ht="12.75">
      <c r="A938" s="24">
        <f ca="1">IFERROR(__xludf.DUMMYFUNCTION("""COMPUTED_VALUE"""),45671.8972707986)</f>
        <v>45671.897270798603</v>
      </c>
      <c r="B938" s="5" t="str">
        <f ca="1">IFERROR(__xludf.DUMMYFUNCTION("""COMPUTED_VALUE"""),"321 Beloit Ave")</f>
        <v>321 Beloit Ave</v>
      </c>
      <c r="C938" s="5" t="str">
        <f ca="1">IFERROR(__xludf.DUMMYFUNCTION("""COMPUTED_VALUE"""),"Los Angeles")</f>
        <v>Los Angeles</v>
      </c>
      <c r="D938" s="5" t="str">
        <f ca="1">IFERROR(__xludf.DUMMYFUNCTION("""COMPUTED_VALUE"""),"CA")</f>
        <v>CA</v>
      </c>
      <c r="E938" s="5">
        <f ca="1">IFERROR(__xludf.DUMMYFUNCTION("""COMPUTED_VALUE"""),90049)</f>
        <v>90049</v>
      </c>
      <c r="F938" s="19">
        <f ca="1">IFERROR(__xludf.DUMMYFUNCTION("""COMPUTED_VALUE"""),7000)</f>
        <v>7000</v>
      </c>
      <c r="G938" s="19">
        <f ca="1">IFERROR(__xludf.DUMMYFUNCTION("""COMPUTED_VALUE"""),8240)</f>
        <v>8240</v>
      </c>
      <c r="H938" s="18">
        <f ca="1">IFERROR(__xludf.DUMMYFUNCTION("""COMPUTED_VALUE"""),45672)</f>
        <v>45672</v>
      </c>
      <c r="I938" s="5" t="str">
        <f ca="1">IFERROR(__xludf.DUMMYFUNCTION("""COMPUTED_VALUE"""),"Zillow")</f>
        <v>Zillow</v>
      </c>
      <c r="J938" s="25" t="str">
        <f ca="1">IFERROR(__xludf.DUMMYFUNCTION("""COMPUTED_VALUE"""),"https://www.zillow.com/homedetails/321-Beloit-Ave-Los-Angeles-CA-90049/20527260_zpid/?utm_campaign=iosappmessage&amp;utm_medium=referral&amp;utm_source=txtshare")</f>
        <v>https://www.zillow.com/homedetails/321-Beloit-Ave-Los-Angeles-CA-90049/20527260_zpid/?utm_campaign=iosappmessage&amp;utm_medium=referral&amp;utm_source=txtshare</v>
      </c>
      <c r="K938" s="5" t="str">
        <f ca="1">IFERROR(__xludf.DUMMYFUNCTION("""COMPUTED_VALUE"""),"Cindy")</f>
        <v>Cindy</v>
      </c>
      <c r="L938" s="5"/>
      <c r="M938" s="5" t="str">
        <f ca="1">IFERROR(__xludf.DUMMYFUNCTION("""COMPUTED_VALUE"""),"No email provided for listing agent. 12/16/2024 listed for 7000 and removed. Relisted 1/15/2025 for 8240 (+17.7%) ")</f>
        <v xml:space="preserve">No email provided for listing agent. 12/16/2024 listed for 7000 and removed. Relisted 1/15/2025 for 8240 (+17.7%) </v>
      </c>
      <c r="N938" s="5" t="str">
        <f ca="1">IFERROR(__xludf.DUMMYFUNCTION("""COMPUTED_VALUE"""),"https://drive.google.com/open?id=1URfrprd2cagfPUo48020ZJTZtVCG-8TT, https://drive.google.com/open?id=1RiawAKjsX1bTh4kZAGcvWItQPa0st2Fl")</f>
        <v>https://drive.google.com/open?id=1URfrprd2cagfPUo48020ZJTZtVCG-8TT, https://drive.google.com/open?id=1RiawAKjsX1bTh4kZAGcvWItQPa0st2Fl</v>
      </c>
      <c r="O938" s="5">
        <f ca="1">IFERROR(__xludf.DUMMYFUNCTION("""COMPUTED_VALUE"""),4365005017)</f>
        <v>4365005017</v>
      </c>
      <c r="P938" s="5" t="str">
        <f ca="1">IFERROR(__xludf.DUMMYFUNCTION("""COMPUTED_VALUE""")," (415) 797-9226")</f>
        <v xml:space="preserve"> (415) 797-9226</v>
      </c>
      <c r="Q938" s="5"/>
      <c r="R938" s="5"/>
      <c r="S938" s="5"/>
      <c r="T938" s="18">
        <f ca="1">IFERROR(__xludf.DUMMYFUNCTION("""COMPUTED_VALUE"""),45642)</f>
        <v>45642</v>
      </c>
    </row>
    <row r="939" spans="1:20" ht="12.75">
      <c r="A939" s="24">
        <f ca="1">IFERROR(__xludf.DUMMYFUNCTION("""COMPUTED_VALUE"""),45671.8973413078)</f>
        <v>45671.897341307798</v>
      </c>
      <c r="B939" s="5" t="str">
        <f ca="1">IFERROR(__xludf.DUMMYFUNCTION("""COMPUTED_VALUE"""),"18007 Elgar Ave")</f>
        <v>18007 Elgar Ave</v>
      </c>
      <c r="C939" s="5" t="str">
        <f ca="1">IFERROR(__xludf.DUMMYFUNCTION("""COMPUTED_VALUE"""),"Torrance")</f>
        <v>Torrance</v>
      </c>
      <c r="D939" s="5" t="str">
        <f ca="1">IFERROR(__xludf.DUMMYFUNCTION("""COMPUTED_VALUE"""),"CA")</f>
        <v>CA</v>
      </c>
      <c r="E939" s="5">
        <f ca="1">IFERROR(__xludf.DUMMYFUNCTION("""COMPUTED_VALUE"""),90504)</f>
        <v>90504</v>
      </c>
      <c r="F939" s="19">
        <f ca="1">IFERROR(__xludf.DUMMYFUNCTION("""COMPUTED_VALUE"""),2695)</f>
        <v>2695</v>
      </c>
      <c r="G939" s="19">
        <f ca="1">IFERROR(__xludf.DUMMYFUNCTION("""COMPUTED_VALUE"""),4195)</f>
        <v>4195</v>
      </c>
      <c r="H939" s="18">
        <f ca="1">IFERROR(__xludf.DUMMYFUNCTION("""COMPUTED_VALUE"""),45672)</f>
        <v>45672</v>
      </c>
      <c r="I939" s="5" t="str">
        <f ca="1">IFERROR(__xludf.DUMMYFUNCTION("""COMPUTED_VALUE"""),"Zillow")</f>
        <v>Zillow</v>
      </c>
      <c r="J939" s="25" t="str">
        <f ca="1">IFERROR(__xludf.DUMMYFUNCTION("""COMPUTED_VALUE"""),"https://www.zillow.com/homedetails/18007-Elgar-Ave-Torrance-CA-90504/20373248_zpid/")</f>
        <v>https://www.zillow.com/homedetails/18007-Elgar-Ave-Torrance-CA-90504/20373248_zpid/</v>
      </c>
      <c r="K939" s="5" t="str">
        <f ca="1">IFERROR(__xludf.DUMMYFUNCTION("""COMPUTED_VALUE"""),"Mutsubu Inayama")</f>
        <v>Mutsubu Inayama</v>
      </c>
      <c r="L939" s="5" t="str">
        <f ca="1">IFERROR(__xludf.DUMMYFUNCTION("""COMPUTED_VALUE"""),"Mutsubu Inayama (same as rental listing agent)")</f>
        <v>Mutsubu Inayama (same as rental listing agent)</v>
      </c>
      <c r="M939" s="5" t="str">
        <f ca="1">IFERROR(__xludf.DUMMYFUNCTION("""COMPUTED_VALUE"""),"+55.7% increase when listed 1/15/25 from 10/19/19")</f>
        <v>+55.7% increase when listed 1/15/25 from 10/19/19</v>
      </c>
      <c r="N939" s="5" t="str">
        <f ca="1">IFERROR(__xludf.DUMMYFUNCTION("""COMPUTED_VALUE"""),"https://drive.google.com/open?id=1Vl3u7DGdM_7R7lMOIDpQ-MoixFxMhNZM, https://drive.google.com/open?id=1s8rZ6TrfuIKWgAwnbk3dN-xKVXyQTtiS")</f>
        <v>https://drive.google.com/open?id=1Vl3u7DGdM_7R7lMOIDpQ-MoixFxMhNZM, https://drive.google.com/open?id=1s8rZ6TrfuIKWgAwnbk3dN-xKVXyQTtiS</v>
      </c>
      <c r="O939" s="5">
        <f ca="1">IFERROR(__xludf.DUMMYFUNCTION("""COMPUTED_VALUE"""),4091017015)</f>
        <v>4091017015</v>
      </c>
      <c r="P939" s="5" t="str">
        <f ca="1">IFERROR(__xludf.DUMMYFUNCTION("""COMPUTED_VALUE"""),"(415) 691-7205")</f>
        <v>(415) 691-7205</v>
      </c>
      <c r="Q939" s="5"/>
      <c r="R939" s="5" t="str">
        <f ca="1">IFERROR(__xludf.DUMMYFUNCTION("""COMPUTED_VALUE"""),"(415) 691-7205")</f>
        <v>(415) 691-7205</v>
      </c>
      <c r="S939" s="5"/>
      <c r="T939" s="18">
        <f ca="1">IFERROR(__xludf.DUMMYFUNCTION("""COMPUTED_VALUE"""),43757)</f>
        <v>43757</v>
      </c>
    </row>
    <row r="940" spans="1:20" ht="12.75">
      <c r="A940" s="24">
        <f ca="1">IFERROR(__xludf.DUMMYFUNCTION("""COMPUTED_VALUE"""),45671.8979854861)</f>
        <v>45671.897985486103</v>
      </c>
      <c r="B940" s="5" t="str">
        <f ca="1">IFERROR(__xludf.DUMMYFUNCTION("""COMPUTED_VALUE"""),"715 N Rexford Dr,")</f>
        <v>715 N Rexford Dr,</v>
      </c>
      <c r="C940" s="5" t="str">
        <f ca="1">IFERROR(__xludf.DUMMYFUNCTION("""COMPUTED_VALUE"""),"Beverly Hills")</f>
        <v>Beverly Hills</v>
      </c>
      <c r="D940" s="5" t="str">
        <f ca="1">IFERROR(__xludf.DUMMYFUNCTION("""COMPUTED_VALUE"""),"Other")</f>
        <v>Other</v>
      </c>
      <c r="E940" s="5">
        <f ca="1">IFERROR(__xludf.DUMMYFUNCTION("""COMPUTED_VALUE"""),90210)</f>
        <v>90210</v>
      </c>
      <c r="F940" s="19">
        <f ca="1">IFERROR(__xludf.DUMMYFUNCTION("""COMPUTED_VALUE"""),37500)</f>
        <v>37500</v>
      </c>
      <c r="G940" s="19">
        <f ca="1">IFERROR(__xludf.DUMMYFUNCTION("""COMPUTED_VALUE"""),55000)</f>
        <v>55000</v>
      </c>
      <c r="H940" s="18">
        <f ca="1">IFERROR(__xludf.DUMMYFUNCTION("""COMPUTED_VALUE"""),45670)</f>
        <v>45670</v>
      </c>
      <c r="I940" s="5" t="str">
        <f ca="1">IFERROR(__xludf.DUMMYFUNCTION("""COMPUTED_VALUE"""),"Zillow")</f>
        <v>Zillow</v>
      </c>
      <c r="J940" s="25" t="str">
        <f ca="1">IFERROR(__xludf.DUMMYFUNCTION("""COMPUTED_VALUE"""),"https://www.zillow.com/homedetails/715-N-Rexford-Dr-Beverly-Hills-CA-90210/20520993_zpid/?utm_campaign=iosappmessage&amp;utm_medium=referral&amp;utm_source=txtshare")</f>
        <v>https://www.zillow.com/homedetails/715-N-Rexford-Dr-Beverly-Hills-CA-90210/20520993_zpid/?utm_campaign=iosappmessage&amp;utm_medium=referral&amp;utm_source=txtshare</v>
      </c>
      <c r="K940" s="5" t="str">
        <f ca="1">IFERROR(__xludf.DUMMYFUNCTION("""COMPUTED_VALUE"""),"Luxury Property Management LLC")</f>
        <v>Luxury Property Management LLC</v>
      </c>
      <c r="L940" s="5"/>
      <c r="M940" s="5"/>
      <c r="N940" s="5" t="str">
        <f ca="1">IFERROR(__xludf.DUMMYFUNCTION("""COMPUTED_VALUE"""),"https://drive.google.com/open?id=18oyMC2Z2Jx4Pf8QxKEnOhmJX5Ha6UGgr, https://drive.google.com/open?id=1OtPXhdifrezcBZih07XMWG-ROhss3Pbh")</f>
        <v>https://drive.google.com/open?id=18oyMC2Z2Jx4Pf8QxKEnOhmJX5Ha6UGgr, https://drive.google.com/open?id=1OtPXhdifrezcBZih07XMWG-ROhss3Pbh</v>
      </c>
      <c r="O940" s="5">
        <f ca="1">IFERROR(__xludf.DUMMYFUNCTION("""COMPUTED_VALUE"""),4344003017)</f>
        <v>4344003017</v>
      </c>
      <c r="P940" s="5">
        <f ca="1">IFERROR(__xludf.DUMMYFUNCTION("""COMPUTED_VALUE"""),8186204956)</f>
        <v>8186204956</v>
      </c>
      <c r="Q940" s="5"/>
      <c r="R940" s="5"/>
      <c r="S940" s="5"/>
      <c r="T940" s="18">
        <f ca="1">IFERROR(__xludf.DUMMYFUNCTION("""COMPUTED_VALUE"""),45608)</f>
        <v>45608</v>
      </c>
    </row>
    <row r="941" spans="1:20" ht="12.75">
      <c r="A941" s="24">
        <f ca="1">IFERROR(__xludf.DUMMYFUNCTION("""COMPUTED_VALUE"""),45671.9018683796)</f>
        <v>45671.901868379602</v>
      </c>
      <c r="B941" s="5" t="str">
        <f ca="1">IFERROR(__xludf.DUMMYFUNCTION("""COMPUTED_VALUE"""),"508 N Canon Dr")</f>
        <v>508 N Canon Dr</v>
      </c>
      <c r="C941" s="5" t="str">
        <f ca="1">IFERROR(__xludf.DUMMYFUNCTION("""COMPUTED_VALUE"""),"Beverly Hills")</f>
        <v>Beverly Hills</v>
      </c>
      <c r="D941" s="5" t="str">
        <f ca="1">IFERROR(__xludf.DUMMYFUNCTION("""COMPUTED_VALUE"""),"CA")</f>
        <v>CA</v>
      </c>
      <c r="E941" s="5">
        <f ca="1">IFERROR(__xludf.DUMMYFUNCTION("""COMPUTED_VALUE"""),90210)</f>
        <v>90210</v>
      </c>
      <c r="F941" s="19">
        <f ca="1">IFERROR(__xludf.DUMMYFUNCTION("""COMPUTED_VALUE"""),20000)</f>
        <v>20000</v>
      </c>
      <c r="G941" s="19">
        <f ca="1">IFERROR(__xludf.DUMMYFUNCTION("""COMPUTED_VALUE"""),30000)</f>
        <v>30000</v>
      </c>
      <c r="H941" s="18">
        <f ca="1">IFERROR(__xludf.DUMMYFUNCTION("""COMPUTED_VALUE"""),45665)</f>
        <v>45665</v>
      </c>
      <c r="I941" s="5" t="str">
        <f ca="1">IFERROR(__xludf.DUMMYFUNCTION("""COMPUTED_VALUE"""),"Zillow")</f>
        <v>Zillow</v>
      </c>
      <c r="J941" s="25" t="str">
        <f ca="1">IFERROR(__xludf.DUMMYFUNCTION("""COMPUTED_VALUE"""),"https://www.zillow.com/homedetails/508-N-Canon-Dr-Beverly-Hills-CA-90210/20521062_zpid/?utm_campaign=iosappmessage&amp;utm_medium=referral&amp;utm_source=txtshare")</f>
        <v>https://www.zillow.com/homedetails/508-N-Canon-Dr-Beverly-Hills-CA-90210/20521062_zpid/?utm_campaign=iosappmessage&amp;utm_medium=referral&amp;utm_source=txtshare</v>
      </c>
      <c r="K941" s="5" t="str">
        <f ca="1">IFERROR(__xludf.DUMMYFUNCTION("""COMPUTED_VALUE"""),"Ariel Dromy LND Realty")</f>
        <v>Ariel Dromy LND Realty</v>
      </c>
      <c r="L941" s="5"/>
      <c r="M941" s="5"/>
      <c r="N941" s="5" t="str">
        <f ca="1">IFERROR(__xludf.DUMMYFUNCTION("""COMPUTED_VALUE"""),"https://drive.google.com/open?id=13D5_BG8Kgb7yTaJstpfgmEpucJR-E0u6, https://drive.google.com/open?id=1AAKvCnk_8LpU_daGX7tS67jNNtRYc1gL")</f>
        <v>https://drive.google.com/open?id=13D5_BG8Kgb7yTaJstpfgmEpucJR-E0u6, https://drive.google.com/open?id=1AAKvCnk_8LpU_daGX7tS67jNNtRYc1gL</v>
      </c>
      <c r="O941" s="5">
        <f ca="1">IFERROR(__xludf.DUMMYFUNCTION("""COMPUTED_VALUE"""),4344007003)</f>
        <v>4344007003</v>
      </c>
      <c r="P941" s="5">
        <f ca="1">IFERROR(__xludf.DUMMYFUNCTION("""COMPUTED_VALUE"""),2135451059)</f>
        <v>2135451059</v>
      </c>
      <c r="Q941" s="5"/>
      <c r="R941" s="5"/>
      <c r="S941" s="5"/>
      <c r="T941" s="18">
        <f ca="1">IFERROR(__xludf.DUMMYFUNCTION("""COMPUTED_VALUE"""),45621)</f>
        <v>45621</v>
      </c>
    </row>
    <row r="942" spans="1:20" ht="12.75">
      <c r="A942" s="24">
        <f ca="1">IFERROR(__xludf.DUMMYFUNCTION("""COMPUTED_VALUE"""),45671.9026371875)</f>
        <v>45671.902637187501</v>
      </c>
      <c r="B942" s="5" t="str">
        <f ca="1">IFERROR(__xludf.DUMMYFUNCTION("""COMPUTED_VALUE"""),"2438 Riverside Pl")</f>
        <v>2438 Riverside Pl</v>
      </c>
      <c r="C942" s="5" t="str">
        <f ca="1">IFERROR(__xludf.DUMMYFUNCTION("""COMPUTED_VALUE"""),"Los Angeles")</f>
        <v>Los Angeles</v>
      </c>
      <c r="D942" s="5" t="str">
        <f ca="1">IFERROR(__xludf.DUMMYFUNCTION("""COMPUTED_VALUE"""),"CA")</f>
        <v>CA</v>
      </c>
      <c r="E942" s="5">
        <f ca="1">IFERROR(__xludf.DUMMYFUNCTION("""COMPUTED_VALUE"""),90039)</f>
        <v>90039</v>
      </c>
      <c r="F942" s="19">
        <f ca="1">IFERROR(__xludf.DUMMYFUNCTION("""COMPUTED_VALUE"""),14000)</f>
        <v>14000</v>
      </c>
      <c r="G942" s="19">
        <f ca="1">IFERROR(__xludf.DUMMYFUNCTION("""COMPUTED_VALUE"""),22000)</f>
        <v>22000</v>
      </c>
      <c r="H942" s="18">
        <f ca="1">IFERROR(__xludf.DUMMYFUNCTION("""COMPUTED_VALUE"""),45672)</f>
        <v>45672</v>
      </c>
      <c r="I942" s="5" t="str">
        <f ca="1">IFERROR(__xludf.DUMMYFUNCTION("""COMPUTED_VALUE"""),"Zillow")</f>
        <v>Zillow</v>
      </c>
      <c r="J942" s="25" t="str">
        <f ca="1">IFERROR(__xludf.DUMMYFUNCTION("""COMPUTED_VALUE"""),"https://www.zillow.com/homedetails/2438-Riverside-Pl-Los-Angeles-CA-90039/20753132_zpid/?utm_campaign=iosappmessage&amp;utm_medium=referral&amp;utm_source=txtshare")</f>
        <v>https://www.zillow.com/homedetails/2438-Riverside-Pl-Los-Angeles-CA-90039/20753132_zpid/?utm_campaign=iosappmessage&amp;utm_medium=referral&amp;utm_source=txtshare</v>
      </c>
      <c r="K942" s="5" t="str">
        <f ca="1">IFERROR(__xludf.DUMMYFUNCTION("""COMPUTED_VALUE"""),"Vlad and Natalia Gold")</f>
        <v>Vlad and Natalia Gold</v>
      </c>
      <c r="L942" s="5"/>
      <c r="M942" s="5" t="str">
        <f ca="1">IFERROR(__xludf.DUMMYFUNCTION("""COMPUTED_VALUE"""),"vlad@goldrealtors.com (310.403.3969) and nataliagoldre@gmail.com (310.650.6073) listed as agents. Taken down on 1/1/2025 and was listed at 14K/mo, relisted 1/15/2025 at 22,000 (+57.1%).")</f>
        <v>vlad@goldrealtors.com (310.403.3969) and nataliagoldre@gmail.com (310.650.6073) listed as agents. Taken down on 1/1/2025 and was listed at 14K/mo, relisted 1/15/2025 at 22,000 (+57.1%).</v>
      </c>
      <c r="N942" s="5" t="str">
        <f ca="1">IFERROR(__xludf.DUMMYFUNCTION("""COMPUTED_VALUE"""),"https://drive.google.com/open?id=1Kj3LBaxQ97evfYO4OPjJZYhioW4cU8U7, https://drive.google.com/open?id=1eM-6ICqTLWkwkyBOV63EFtOHkwjmkQd3")</f>
        <v>https://drive.google.com/open?id=1Kj3LBaxQ97evfYO4OPjJZYhioW4cU8U7, https://drive.google.com/open?id=1eM-6ICqTLWkwkyBOV63EFtOHkwjmkQd3</v>
      </c>
      <c r="O942" s="5">
        <f ca="1">IFERROR(__xludf.DUMMYFUNCTION("""COMPUTED_VALUE"""),5440026026)</f>
        <v>5440026026</v>
      </c>
      <c r="P942" s="5" t="str">
        <f ca="1">IFERROR(__xludf.DUMMYFUNCTION("""COMPUTED_VALUE"""),"(310) 403-3969")</f>
        <v>(310) 403-3969</v>
      </c>
      <c r="Q942" s="5" t="str">
        <f ca="1">IFERROR(__xludf.DUMMYFUNCTION("""COMPUTED_VALUE"""),"vlad@goldrealtors.com")</f>
        <v>vlad@goldrealtors.com</v>
      </c>
      <c r="R942" s="5"/>
      <c r="S942" s="5"/>
      <c r="T942" s="18">
        <f ca="1">IFERROR(__xludf.DUMMYFUNCTION("""COMPUTED_VALUE"""),45292)</f>
        <v>45292</v>
      </c>
    </row>
    <row r="943" spans="1:20" ht="12.75">
      <c r="A943" s="24">
        <f ca="1">IFERROR(__xludf.DUMMYFUNCTION("""COMPUTED_VALUE"""),45671.9041801736)</f>
        <v>45671.904180173602</v>
      </c>
      <c r="B943" s="5" t="str">
        <f ca="1">IFERROR(__xludf.DUMMYFUNCTION("""COMPUTED_VALUE"""),"11730 Stonehenge Ln")</f>
        <v>11730 Stonehenge Ln</v>
      </c>
      <c r="C943" s="5" t="str">
        <f ca="1">IFERROR(__xludf.DUMMYFUNCTION("""COMPUTED_VALUE"""),"Los Angeles")</f>
        <v>Los Angeles</v>
      </c>
      <c r="D943" s="5" t="str">
        <f ca="1">IFERROR(__xludf.DUMMYFUNCTION("""COMPUTED_VALUE"""),"CA")</f>
        <v>CA</v>
      </c>
      <c r="E943" s="5">
        <f ca="1">IFERROR(__xludf.DUMMYFUNCTION("""COMPUTED_VALUE"""),90077)</f>
        <v>90077</v>
      </c>
      <c r="F943" s="19">
        <f ca="1">IFERROR(__xludf.DUMMYFUNCTION("""COMPUTED_VALUE"""),48500)</f>
        <v>48500</v>
      </c>
      <c r="G943" s="19">
        <f ca="1">IFERROR(__xludf.DUMMYFUNCTION("""COMPUTED_VALUE"""),65000)</f>
        <v>65000</v>
      </c>
      <c r="H943" s="18">
        <f ca="1">IFERROR(__xludf.DUMMYFUNCTION("""COMPUTED_VALUE"""),45667)</f>
        <v>45667</v>
      </c>
      <c r="I943" s="5" t="str">
        <f ca="1">IFERROR(__xludf.DUMMYFUNCTION("""COMPUTED_VALUE"""),"Zillow")</f>
        <v>Zillow</v>
      </c>
      <c r="J943" s="25" t="str">
        <f ca="1">IFERROR(__xludf.DUMMYFUNCTION("""COMPUTED_VALUE"""),"https://www.zillow.com/homedetails/11730-Stonehenge-Ln-Los-Angeles-CA-90077/20530651_zpid/")</f>
        <v>https://www.zillow.com/homedetails/11730-Stonehenge-Ln-Los-Angeles-CA-90077/20530651_zpid/</v>
      </c>
      <c r="K943" s="5" t="str">
        <f ca="1">IFERROR(__xludf.DUMMYFUNCTION("""COMPUTED_VALUE"""),"Jana Helmig, Modern Properties")</f>
        <v>Jana Helmig, Modern Properties</v>
      </c>
      <c r="L943" s="5"/>
      <c r="M943" s="5"/>
      <c r="N943" s="5" t="str">
        <f ca="1">IFERROR(__xludf.DUMMYFUNCTION("""COMPUTED_VALUE"""),"https://drive.google.com/open?id=1SLSb82JINIAmMqG6BFvkTobPpth478b5, https://drive.google.com/open?id=10wZytinOPssONRgqrgzkPXHWc8sWPgrS, https://drive.google.com/open?id=1DCTAdtSI1K31ytK-lo1bZKb9CPoNLiAp")</f>
        <v>https://drive.google.com/open?id=1SLSb82JINIAmMqG6BFvkTobPpth478b5, https://drive.google.com/open?id=10wZytinOPssONRgqrgzkPXHWc8sWPgrS, https://drive.google.com/open?id=1DCTAdtSI1K31ytK-lo1bZKb9CPoNLiAp</v>
      </c>
      <c r="O943" s="5">
        <f ca="1">IFERROR(__xludf.DUMMYFUNCTION("""COMPUTED_VALUE"""),4377046018)</f>
        <v>4377046018</v>
      </c>
      <c r="P943" s="5" t="str">
        <f ca="1">IFERROR(__xludf.DUMMYFUNCTION("""COMPUTED_VALUE"""),"(310) 890-9163")</f>
        <v>(310) 890-9163</v>
      </c>
      <c r="Q943" s="5"/>
      <c r="R943" s="5"/>
      <c r="S943" s="5"/>
      <c r="T943" s="18">
        <f ca="1">IFERROR(__xludf.DUMMYFUNCTION("""COMPUTED_VALUE"""),45477)</f>
        <v>45477</v>
      </c>
    </row>
    <row r="944" spans="1:20" ht="12.75">
      <c r="A944" s="24">
        <f ca="1">IFERROR(__xludf.DUMMYFUNCTION("""COMPUTED_VALUE"""),45671.9175164814)</f>
        <v>45671.917516481401</v>
      </c>
      <c r="B944" s="5" t="str">
        <f ca="1">IFERROR(__xludf.DUMMYFUNCTION("""COMPUTED_VALUE"""),"24438 Ward St")</f>
        <v>24438 Ward St</v>
      </c>
      <c r="C944" s="5" t="str">
        <f ca="1">IFERROR(__xludf.DUMMYFUNCTION("""COMPUTED_VALUE"""),"Torrance")</f>
        <v>Torrance</v>
      </c>
      <c r="D944" s="5" t="str">
        <f ca="1">IFERROR(__xludf.DUMMYFUNCTION("""COMPUTED_VALUE"""),"CA")</f>
        <v>CA</v>
      </c>
      <c r="E944" s="5">
        <f ca="1">IFERROR(__xludf.DUMMYFUNCTION("""COMPUTED_VALUE"""),90505)</f>
        <v>90505</v>
      </c>
      <c r="F944" s="19">
        <f ca="1">IFERROR(__xludf.DUMMYFUNCTION("""COMPUTED_VALUE"""),1)</f>
        <v>1</v>
      </c>
      <c r="G944" s="19">
        <f ca="1">IFERROR(__xludf.DUMMYFUNCTION("""COMPUTED_VALUE"""),7000)</f>
        <v>7000</v>
      </c>
      <c r="H944" s="18">
        <f ca="1">IFERROR(__xludf.DUMMYFUNCTION("""COMPUTED_VALUE"""),45671)</f>
        <v>45671</v>
      </c>
      <c r="I944" s="5" t="str">
        <f ca="1">IFERROR(__xludf.DUMMYFUNCTION("""COMPUTED_VALUE"""),"Zillow")</f>
        <v>Zillow</v>
      </c>
      <c r="J944" s="25" t="str">
        <f ca="1">IFERROR(__xludf.DUMMYFUNCTION("""COMPUTED_VALUE"""),"https://www.zillow.com/homedetails/24438-Ward-St-Torrance-CA-90505/21337001_zpid/")</f>
        <v>https://www.zillow.com/homedetails/24438-Ward-St-Torrance-CA-90505/21337001_zpid/</v>
      </c>
      <c r="K944" s="5" t="str">
        <f ca="1">IFERROR(__xludf.DUMMYFUNCTION("""COMPUTED_VALUE"""),"Allen Duan")</f>
        <v>Allen Duan</v>
      </c>
      <c r="L944" s="5"/>
      <c r="M944" s="5" t="str">
        <f ca="1">IFERROR(__xludf.DUMMYFUNCTION("""COMPUTED_VALUE"""),"Had to enter ""1"" for the previous price to submit the form, but there's no previous rental listing. Meets definition of price gouging in subparagraph (B), even with the 5% increase for fully furnished housing - exceeds 165% of fair market rent for 3 bed"&amp;"rooms in 90505 (FMR is $3,810, 165% of FMR is $6,286.50)")</f>
        <v>Had to enter "1" for the previous price to submit the form, but there's no previous rental listing. Meets definition of price gouging in subparagraph (B), even with the 5% increase for fully furnished housing - exceeds 165% of fair market rent for 3 bedrooms in 90505 (FMR is $3,810, 165% of FMR is $6,286.50)</v>
      </c>
      <c r="N944" s="5" t="str">
        <f ca="1">IFERROR(__xludf.DUMMYFUNCTION("""COMPUTED_VALUE"""),"https://drive.google.com/open?id=1inTCYoUexIZ2Ns9hr9idpxgh92Homyc4, https://drive.google.com/open?id=1l9MYJmuCMjYTMe-erqQp43RDuq42CYfC, https://drive.google.com/open?id=12OxjGo62HW84Me43_N4g_EnIXTz-XHPO, https://drive.google.com/open?id=1qlZH8la5srZJ7_8og"&amp;"TmP4BxD_iP0raTz")</f>
        <v>https://drive.google.com/open?id=1inTCYoUexIZ2Ns9hr9idpxgh92Homyc4, https://drive.google.com/open?id=1l9MYJmuCMjYTMe-erqQp43RDuq42CYfC, https://drive.google.com/open?id=12OxjGo62HW84Me43_N4g_EnIXTz-XHPO, https://drive.google.com/open?id=1qlZH8la5srZJ7_8ogTmP4BxD_iP0raTz</v>
      </c>
      <c r="O944" s="5">
        <f ca="1">IFERROR(__xludf.DUMMYFUNCTION("""COMPUTED_VALUE"""),7534017015)</f>
        <v>7534017015</v>
      </c>
      <c r="P944" s="5" t="str">
        <f ca="1">IFERROR(__xludf.DUMMYFUNCTION("""COMPUTED_VALUE"""),"(781) 512-6397")</f>
        <v>(781) 512-6397</v>
      </c>
      <c r="Q944" s="5"/>
      <c r="R944" s="5"/>
      <c r="S944" s="5"/>
      <c r="T944" s="5"/>
    </row>
    <row r="945" spans="1:20" ht="12.75">
      <c r="A945" s="24">
        <f ca="1">IFERROR(__xludf.DUMMYFUNCTION("""COMPUTED_VALUE"""),45671.9253533912)</f>
        <v>45671.925353391198</v>
      </c>
      <c r="B945" s="5" t="str">
        <f ca="1">IFERROR(__xludf.DUMMYFUNCTION("""COMPUTED_VALUE"""),"3623 Saint Elizabeth Rd")</f>
        <v>3623 Saint Elizabeth Rd</v>
      </c>
      <c r="C945" s="5" t="str">
        <f ca="1">IFERROR(__xludf.DUMMYFUNCTION("""COMPUTED_VALUE"""),"Glendale")</f>
        <v>Glendale</v>
      </c>
      <c r="D945" s="5" t="str">
        <f ca="1">IFERROR(__xludf.DUMMYFUNCTION("""COMPUTED_VALUE"""),"CA")</f>
        <v>CA</v>
      </c>
      <c r="E945" s="5">
        <f ca="1">IFERROR(__xludf.DUMMYFUNCTION("""COMPUTED_VALUE"""),91206)</f>
        <v>91206</v>
      </c>
      <c r="F945" s="19">
        <f ca="1">IFERROR(__xludf.DUMMYFUNCTION("""COMPUTED_VALUE"""),3500)</f>
        <v>3500</v>
      </c>
      <c r="G945" s="19">
        <f ca="1">IFERROR(__xludf.DUMMYFUNCTION("""COMPUTED_VALUE"""),7995)</f>
        <v>7995</v>
      </c>
      <c r="H945" s="18">
        <f ca="1">IFERROR(__xludf.DUMMYFUNCTION("""COMPUTED_VALUE"""),45671)</f>
        <v>45671</v>
      </c>
      <c r="I945" s="5" t="str">
        <f ca="1">IFERROR(__xludf.DUMMYFUNCTION("""COMPUTED_VALUE"""),"Zillow")</f>
        <v>Zillow</v>
      </c>
      <c r="J945" s="25" t="str">
        <f ca="1">IFERROR(__xludf.DUMMYFUNCTION("""COMPUTED_VALUE"""),"https://www.zillow.com/homedetails/3623-Saint-Elizabeth-Rd-Glendale-CA-91206/20841809_zpid/")</f>
        <v>https://www.zillow.com/homedetails/3623-Saint-Elizabeth-Rd-Glendale-CA-91206/20841809_zpid/</v>
      </c>
      <c r="K945" s="5" t="str">
        <f ca="1">IFERROR(__xludf.DUMMYFUNCTION("""COMPUTED_VALUE"""),"Thomas Atamian")</f>
        <v>Thomas Atamian</v>
      </c>
      <c r="L945" s="5"/>
      <c r="M945" s="5" t="str">
        <f ca="1">IFERROR(__xludf.DUMMYFUNCTION("""COMPUTED_VALUE"""),"Listing was removed in 2017, listed again on 1/14/2025 at 128% increase.")</f>
        <v>Listing was removed in 2017, listed again on 1/14/2025 at 128% increase.</v>
      </c>
      <c r="N945" s="26" t="str">
        <f ca="1">IFERROR(__xludf.DUMMYFUNCTION("""COMPUTED_VALUE"""),"https://drive.google.com/open?id=1dJiHmGashTUihDtL9uUkcvUtnfUlP0V4")</f>
        <v>https://drive.google.com/open?id=1dJiHmGashTUihDtL9uUkcvUtnfUlP0V4</v>
      </c>
      <c r="O945" s="5">
        <f ca="1">IFERROR(__xludf.DUMMYFUNCTION("""COMPUTED_VALUE"""),5660002009)</f>
        <v>5660002009</v>
      </c>
      <c r="P945" s="5" t="str">
        <f ca="1">IFERROR(__xludf.DUMMYFUNCTION("""COMPUTED_VALUE"""),"818-235-6325")</f>
        <v>818-235-6325</v>
      </c>
      <c r="Q945" s="5"/>
      <c r="R945" s="5"/>
      <c r="S945" s="5"/>
      <c r="T945" s="18">
        <f ca="1">IFERROR(__xludf.DUMMYFUNCTION("""COMPUTED_VALUE"""),42929)</f>
        <v>42929</v>
      </c>
    </row>
    <row r="946" spans="1:20" ht="12.75">
      <c r="A946" s="24">
        <f ca="1">IFERROR(__xludf.DUMMYFUNCTION("""COMPUTED_VALUE"""),45671.9267087152)</f>
        <v>45671.926708715197</v>
      </c>
      <c r="B946" s="5" t="str">
        <f ca="1">IFERROR(__xludf.DUMMYFUNCTION("""COMPUTED_VALUE"""),"18027 Saint Andrews Pl")</f>
        <v>18027 Saint Andrews Pl</v>
      </c>
      <c r="C946" s="5" t="str">
        <f ca="1">IFERROR(__xludf.DUMMYFUNCTION("""COMPUTED_VALUE"""),"Torrance")</f>
        <v>Torrance</v>
      </c>
      <c r="D946" s="5" t="str">
        <f ca="1">IFERROR(__xludf.DUMMYFUNCTION("""COMPUTED_VALUE"""),"CA")</f>
        <v>CA</v>
      </c>
      <c r="E946" s="5">
        <f ca="1">IFERROR(__xludf.DUMMYFUNCTION("""COMPUTED_VALUE"""),90504)</f>
        <v>90504</v>
      </c>
      <c r="F946" s="19">
        <f ca="1">IFERROR(__xludf.DUMMYFUNCTION("""COMPUTED_VALUE"""),3500)</f>
        <v>3500</v>
      </c>
      <c r="G946" s="19">
        <f ca="1">IFERROR(__xludf.DUMMYFUNCTION("""COMPUTED_VALUE"""),4200)</f>
        <v>4200</v>
      </c>
      <c r="H946" s="18">
        <f ca="1">IFERROR(__xludf.DUMMYFUNCTION("""COMPUTED_VALUE"""),45667)</f>
        <v>45667</v>
      </c>
      <c r="I946" s="5" t="str">
        <f ca="1">IFERROR(__xludf.DUMMYFUNCTION("""COMPUTED_VALUE"""),"Zillow")</f>
        <v>Zillow</v>
      </c>
      <c r="J946" s="25" t="str">
        <f ca="1">IFERROR(__xludf.DUMMYFUNCTION("""COMPUTED_VALUE"""),"https://www.zillow.com/homedetails/18027-Saint-Andrews-Pl-Torrance-CA-90504/20376462_zpid/")</f>
        <v>https://www.zillow.com/homedetails/18027-Saint-Andrews-Pl-Torrance-CA-90504/20376462_zpid/</v>
      </c>
      <c r="K946" s="5" t="str">
        <f ca="1">IFERROR(__xludf.DUMMYFUNCTION("""COMPUTED_VALUE"""),"Alta Properties")</f>
        <v>Alta Properties</v>
      </c>
      <c r="L946" s="5"/>
      <c r="M946" s="5" t="str">
        <f ca="1">IFERROR(__xludf.DUMMYFUNCTION("""COMPUTED_VALUE"""),"+20% from 9/7/21")</f>
        <v>+20% from 9/7/21</v>
      </c>
      <c r="N946" s="5" t="str">
        <f ca="1">IFERROR(__xludf.DUMMYFUNCTION("""COMPUTED_VALUE"""),"https://drive.google.com/open?id=1UcA7t0aSCwrRYLLj2r6uhlY01ly61b2x, https://drive.google.com/open?id=1zBrg-75V6IxSXNzrIE6ZLN2-FYVAMhlM, https://drive.google.com/open?id=1jaG2PHewO-JzwU1m_A3Qvj5J0STg1IXS")</f>
        <v>https://drive.google.com/open?id=1UcA7t0aSCwrRYLLj2r6uhlY01ly61b2x, https://drive.google.com/open?id=1zBrg-75V6IxSXNzrIE6ZLN2-FYVAMhlM, https://drive.google.com/open?id=1jaG2PHewO-JzwU1m_A3Qvj5J0STg1IXS</v>
      </c>
      <c r="O946" s="5">
        <f ca="1">IFERROR(__xludf.DUMMYFUNCTION("""COMPUTED_VALUE"""),4096015025)</f>
        <v>4096015025</v>
      </c>
      <c r="P946" s="5" t="str">
        <f ca="1">IFERROR(__xludf.DUMMYFUNCTION("""COMPUTED_VALUE"""),"(310) 515-7113")</f>
        <v>(310) 515-7113</v>
      </c>
      <c r="Q946" s="5"/>
      <c r="R946" s="5"/>
      <c r="S946" s="5"/>
      <c r="T946" s="18">
        <f ca="1">IFERROR(__xludf.DUMMYFUNCTION("""COMPUTED_VALUE"""),44446)</f>
        <v>44446</v>
      </c>
    </row>
    <row r="947" spans="1:20" ht="12.75">
      <c r="A947" s="24">
        <f ca="1">IFERROR(__xludf.DUMMYFUNCTION("""COMPUTED_VALUE"""),45671.9270544444)</f>
        <v>45671.927054444401</v>
      </c>
      <c r="B947" s="5" t="str">
        <f ca="1">IFERROR(__xludf.DUMMYFUNCTION("""COMPUTED_VALUE"""),"349 E Newman Ave")</f>
        <v>349 E Newman Ave</v>
      </c>
      <c r="C947" s="5" t="str">
        <f ca="1">IFERROR(__xludf.DUMMYFUNCTION("""COMPUTED_VALUE"""),"Arcadia")</f>
        <v>Arcadia</v>
      </c>
      <c r="D947" s="5" t="str">
        <f ca="1">IFERROR(__xludf.DUMMYFUNCTION("""COMPUTED_VALUE"""),"CA")</f>
        <v>CA</v>
      </c>
      <c r="E947" s="5">
        <f ca="1">IFERROR(__xludf.DUMMYFUNCTION("""COMPUTED_VALUE"""),91006)</f>
        <v>91006</v>
      </c>
      <c r="F947" s="19">
        <f ca="1">IFERROR(__xludf.DUMMYFUNCTION("""COMPUTED_VALUE"""),2400)</f>
        <v>2400</v>
      </c>
      <c r="G947" s="19">
        <f ca="1">IFERROR(__xludf.DUMMYFUNCTION("""COMPUTED_VALUE"""),3300)</f>
        <v>3300</v>
      </c>
      <c r="H947" s="18">
        <f ca="1">IFERROR(__xludf.DUMMYFUNCTION("""COMPUTED_VALUE"""),45670)</f>
        <v>45670</v>
      </c>
      <c r="I947" s="5" t="str">
        <f ca="1">IFERROR(__xludf.DUMMYFUNCTION("""COMPUTED_VALUE"""),"Zillow")</f>
        <v>Zillow</v>
      </c>
      <c r="J947" s="25" t="str">
        <f ca="1">IFERROR(__xludf.DUMMYFUNCTION("""COMPUTED_VALUE"""),"https://www.zillow.com/homedetails/349-E-Newman-Ave-Arcadia-CA-91006/20888114_zpid/")</f>
        <v>https://www.zillow.com/homedetails/349-E-Newman-Ave-Arcadia-CA-91006/20888114_zpid/</v>
      </c>
      <c r="K947" s="5" t="str">
        <f ca="1">IFERROR(__xludf.DUMMYFUNCTION("""COMPUTED_VALUE"""),"Abraham")</f>
        <v>Abraham</v>
      </c>
      <c r="L947" s="5" t="str">
        <f ca="1">IFERROR(__xludf.DUMMYFUNCTION("""COMPUTED_VALUE"""),"Abraham")</f>
        <v>Abraham</v>
      </c>
      <c r="M947" s="5" t="str">
        <f ca="1">IFERROR(__xludf.DUMMYFUNCTION("""COMPUTED_VALUE"""),"Listing removed in 2019, relisted 1/13/2025 at 37% increase.")</f>
        <v>Listing removed in 2019, relisted 1/13/2025 at 37% increase.</v>
      </c>
      <c r="N947" s="26" t="str">
        <f ca="1">IFERROR(__xludf.DUMMYFUNCTION("""COMPUTED_VALUE"""),"https://drive.google.com/open?id=1oPuBLTwcLJHbvyVlx1NCPp9O48ofp6KY")</f>
        <v>https://drive.google.com/open?id=1oPuBLTwcLJHbvyVlx1NCPp9O48ofp6KY</v>
      </c>
      <c r="O947" s="5">
        <f ca="1">IFERROR(__xludf.DUMMYFUNCTION("""COMPUTED_VALUE"""),5772025014)</f>
        <v>5772025014</v>
      </c>
      <c r="P947" s="5" t="str">
        <f ca="1">IFERROR(__xludf.DUMMYFUNCTION("""COMPUTED_VALUE"""),"626-476-3995")</f>
        <v>626-476-3995</v>
      </c>
      <c r="Q947" s="5"/>
      <c r="R947" s="5" t="str">
        <f ca="1">IFERROR(__xludf.DUMMYFUNCTION("""COMPUTED_VALUE"""),"626-476-3995")</f>
        <v>626-476-3995</v>
      </c>
      <c r="S947" s="5"/>
      <c r="T947" s="18">
        <f ca="1">IFERROR(__xludf.DUMMYFUNCTION("""COMPUTED_VALUE"""),43687)</f>
        <v>43687</v>
      </c>
    </row>
    <row r="948" spans="1:20" ht="12.75">
      <c r="A948" s="24">
        <f ca="1">IFERROR(__xludf.DUMMYFUNCTION("""COMPUTED_VALUE"""),45671.9306507407)</f>
        <v>45671.930650740702</v>
      </c>
      <c r="B948" s="5" t="str">
        <f ca="1">IFERROR(__xludf.DUMMYFUNCTION("""COMPUTED_VALUE"""),"1425 Wentworth Ave")</f>
        <v>1425 Wentworth Ave</v>
      </c>
      <c r="C948" s="5" t="str">
        <f ca="1">IFERROR(__xludf.DUMMYFUNCTION("""COMPUTED_VALUE"""),"Pasadena")</f>
        <v>Pasadena</v>
      </c>
      <c r="D948" s="5" t="str">
        <f ca="1">IFERROR(__xludf.DUMMYFUNCTION("""COMPUTED_VALUE"""),"CA")</f>
        <v>CA</v>
      </c>
      <c r="E948" s="5">
        <f ca="1">IFERROR(__xludf.DUMMYFUNCTION("""COMPUTED_VALUE"""),91106)</f>
        <v>91106</v>
      </c>
      <c r="F948" s="19">
        <f ca="1">IFERROR(__xludf.DUMMYFUNCTION("""COMPUTED_VALUE"""),8800)</f>
        <v>8800</v>
      </c>
      <c r="G948" s="19">
        <f ca="1">IFERROR(__xludf.DUMMYFUNCTION("""COMPUTED_VALUE"""),15000)</f>
        <v>15000</v>
      </c>
      <c r="H948" s="18">
        <f ca="1">IFERROR(__xludf.DUMMYFUNCTION("""COMPUTED_VALUE"""),45671)</f>
        <v>45671</v>
      </c>
      <c r="I948" s="5" t="str">
        <f ca="1">IFERROR(__xludf.DUMMYFUNCTION("""COMPUTED_VALUE"""),"Zillow")</f>
        <v>Zillow</v>
      </c>
      <c r="J948" s="25" t="str">
        <f ca="1">IFERROR(__xludf.DUMMYFUNCTION("""COMPUTED_VALUE"""),"https://www.zillow.com/homedetails/1425-Wentworth-Ave-Pasadena-CA-91106/20699925_zpid/")</f>
        <v>https://www.zillow.com/homedetails/1425-Wentworth-Ave-Pasadena-CA-91106/20699925_zpid/</v>
      </c>
      <c r="K948" s="5" t="str">
        <f ca="1">IFERROR(__xludf.DUMMYFUNCTION("""COMPUTED_VALUE"""),"Carol Chua")</f>
        <v>Carol Chua</v>
      </c>
      <c r="L948" s="5"/>
      <c r="M948" s="5" t="str">
        <f ca="1">IFERROR(__xludf.DUMMYFUNCTION("""COMPUTED_VALUE"""),"Listing removed Jan 2019. Relisted on 1/14/2025 at 70% increase.")</f>
        <v>Listing removed Jan 2019. Relisted on 1/14/2025 at 70% increase.</v>
      </c>
      <c r="N948" s="26" t="str">
        <f ca="1">IFERROR(__xludf.DUMMYFUNCTION("""COMPUTED_VALUE"""),"https://drive.google.com/open?id=1ElfqO42X1xb7ugCh3lKihcCpi1vpu9_z")</f>
        <v>https://drive.google.com/open?id=1ElfqO42X1xb7ugCh3lKihcCpi1vpu9_z</v>
      </c>
      <c r="O948" s="5">
        <f ca="1">IFERROR(__xludf.DUMMYFUNCTION("""COMPUTED_VALUE"""),5325012033)</f>
        <v>5325012033</v>
      </c>
      <c r="P948" s="5" t="str">
        <f ca="1">IFERROR(__xludf.DUMMYFUNCTION("""COMPUTED_VALUE"""),"626-844-2222")</f>
        <v>626-844-2222</v>
      </c>
      <c r="Q948" s="5"/>
      <c r="R948" s="5"/>
      <c r="S948" s="5"/>
      <c r="T948" s="18">
        <f ca="1">IFERROR(__xludf.DUMMYFUNCTION("""COMPUTED_VALUE"""),43491)</f>
        <v>43491</v>
      </c>
    </row>
    <row r="949" spans="1:20" ht="12.75">
      <c r="A949" s="24">
        <f ca="1">IFERROR(__xludf.DUMMYFUNCTION("""COMPUTED_VALUE"""),45671.9311840856)</f>
        <v>45671.931184085603</v>
      </c>
      <c r="B949" s="5" t="str">
        <f ca="1">IFERROR(__xludf.DUMMYFUNCTION("""COMPUTED_VALUE"""),"22601 Iris Ave")</f>
        <v>22601 Iris Ave</v>
      </c>
      <c r="C949" s="5" t="str">
        <f ca="1">IFERROR(__xludf.DUMMYFUNCTION("""COMPUTED_VALUE"""),"Torrance")</f>
        <v>Torrance</v>
      </c>
      <c r="D949" s="5" t="str">
        <f ca="1">IFERROR(__xludf.DUMMYFUNCTION("""COMPUTED_VALUE"""),"CA")</f>
        <v>CA</v>
      </c>
      <c r="E949" s="5">
        <f ca="1">IFERROR(__xludf.DUMMYFUNCTION("""COMPUTED_VALUE"""),90505)</f>
        <v>90505</v>
      </c>
      <c r="F949" s="19">
        <f ca="1">IFERROR(__xludf.DUMMYFUNCTION("""COMPUTED_VALUE"""),3600)</f>
        <v>3600</v>
      </c>
      <c r="G949" s="19">
        <f ca="1">IFERROR(__xludf.DUMMYFUNCTION("""COMPUTED_VALUE"""),4800)</f>
        <v>4800</v>
      </c>
      <c r="H949" s="18">
        <f ca="1">IFERROR(__xludf.DUMMYFUNCTION("""COMPUTED_VALUE"""),45965)</f>
        <v>45965</v>
      </c>
      <c r="I949" s="5" t="str">
        <f ca="1">IFERROR(__xludf.DUMMYFUNCTION("""COMPUTED_VALUE"""),"Zillow")</f>
        <v>Zillow</v>
      </c>
      <c r="J949" s="25" t="str">
        <f ca="1">IFERROR(__xludf.DUMMYFUNCTION("""COMPUTED_VALUE"""),"https://www.zillow.com/homedetails/22601-Iris-Ave-Torrance-CA-90505/21277590_zpid/")</f>
        <v>https://www.zillow.com/homedetails/22601-Iris-Ave-Torrance-CA-90505/21277590_zpid/</v>
      </c>
      <c r="K949" s="5" t="str">
        <f ca="1">IFERROR(__xludf.DUMMYFUNCTION("""COMPUTED_VALUE"""),"Ralph Lepore (South Bay Homes)")</f>
        <v>Ralph Lepore (South Bay Homes)</v>
      </c>
      <c r="L949" s="5"/>
      <c r="M949" s="5" t="str">
        <f ca="1">IFERROR(__xludf.DUMMYFUNCTION("""COMPUTED_VALUE"""),"+33.3% from 12/15/19 listing")</f>
        <v>+33.3% from 12/15/19 listing</v>
      </c>
      <c r="N949" s="5" t="str">
        <f ca="1">IFERROR(__xludf.DUMMYFUNCTION("""COMPUTED_VALUE"""),"https://drive.google.com/open?id=1KNj79HVMXJmPQ9X1LlHMtCHdn7SWdFS6, https://drive.google.com/open?id=1iQjC5t9rbpzhOb3VkOjBz9vuOzO5RzsP, https://drive.google.com/open?id=1eqOk9hCVHo5IHkiSZfxfRGP2BIT-GTnR")</f>
        <v>https://drive.google.com/open?id=1KNj79HVMXJmPQ9X1LlHMtCHdn7SWdFS6, https://drive.google.com/open?id=1iQjC5t9rbpzhOb3VkOjBz9vuOzO5RzsP, https://drive.google.com/open?id=1eqOk9hCVHo5IHkiSZfxfRGP2BIT-GTnR</v>
      </c>
      <c r="O949" s="5">
        <f ca="1">IFERROR(__xludf.DUMMYFUNCTION("""COMPUTED_VALUE"""),7369006016)</f>
        <v>7369006016</v>
      </c>
      <c r="P949" s="5" t="str">
        <f ca="1">IFERROR(__xludf.DUMMYFUNCTION("""COMPUTED_VALUE"""),"(310) 370-6111")</f>
        <v>(310) 370-6111</v>
      </c>
      <c r="Q949" s="5"/>
      <c r="R949" s="5"/>
      <c r="S949" s="5"/>
      <c r="T949" s="18">
        <f ca="1">IFERROR(__xludf.DUMMYFUNCTION("""COMPUTED_VALUE"""),43814)</f>
        <v>43814</v>
      </c>
    </row>
    <row r="950" spans="1:20" ht="12.75">
      <c r="A950" s="24">
        <f ca="1">IFERROR(__xludf.DUMMYFUNCTION("""COMPUTED_VALUE"""),45671.933746574)</f>
        <v>45671.933746574003</v>
      </c>
      <c r="B950" s="5" t="str">
        <f ca="1">IFERROR(__xludf.DUMMYFUNCTION("""COMPUTED_VALUE"""),"161 E Las Flores Ave")</f>
        <v>161 E Las Flores Ave</v>
      </c>
      <c r="C950" s="5" t="str">
        <f ca="1">IFERROR(__xludf.DUMMYFUNCTION("""COMPUTED_VALUE"""),"Arcadia")</f>
        <v>Arcadia</v>
      </c>
      <c r="D950" s="5" t="str">
        <f ca="1">IFERROR(__xludf.DUMMYFUNCTION("""COMPUTED_VALUE"""),"CA")</f>
        <v>CA</v>
      </c>
      <c r="E950" s="5">
        <f ca="1">IFERROR(__xludf.DUMMYFUNCTION("""COMPUTED_VALUE"""),91006)</f>
        <v>91006</v>
      </c>
      <c r="F950" s="19">
        <f ca="1">IFERROR(__xludf.DUMMYFUNCTION("""COMPUTED_VALUE"""),3200)</f>
        <v>3200</v>
      </c>
      <c r="G950" s="19">
        <f ca="1">IFERROR(__xludf.DUMMYFUNCTION("""COMPUTED_VALUE"""),4200)</f>
        <v>4200</v>
      </c>
      <c r="H950" s="18">
        <f ca="1">IFERROR(__xludf.DUMMYFUNCTION("""COMPUTED_VALUE"""),45670)</f>
        <v>45670</v>
      </c>
      <c r="I950" s="5" t="str">
        <f ca="1">IFERROR(__xludf.DUMMYFUNCTION("""COMPUTED_VALUE"""),"Zillow")</f>
        <v>Zillow</v>
      </c>
      <c r="J950" s="25" t="str">
        <f ca="1">IFERROR(__xludf.DUMMYFUNCTION("""COMPUTED_VALUE"""),"https://www.zillow.com/homedetails/161-E-Las-Flores-Ave-Arcadia-CA-91006/20896641_zpid/")</f>
        <v>https://www.zillow.com/homedetails/161-E-Las-Flores-Ave-Arcadia-CA-91006/20896641_zpid/</v>
      </c>
      <c r="K950" s="5" t="str">
        <f ca="1">IFERROR(__xludf.DUMMYFUNCTION("""COMPUTED_VALUE"""),"John Yang")</f>
        <v>John Yang</v>
      </c>
      <c r="L950" s="5"/>
      <c r="M950" s="5" t="str">
        <f ca="1">IFERROR(__xludf.DUMMYFUNCTION("""COMPUTED_VALUE"""),"Listing removed Feb 2018. Relisted on 1/13/2025 at 31% increase.")</f>
        <v>Listing removed Feb 2018. Relisted on 1/13/2025 at 31% increase.</v>
      </c>
      <c r="N950" s="26" t="str">
        <f ca="1">IFERROR(__xludf.DUMMYFUNCTION("""COMPUTED_VALUE"""),"https://drive.google.com/open?id=1kGugXFrSy8Zf47cxt5fh6PH0gH9u1WJX")</f>
        <v>https://drive.google.com/open?id=1kGugXFrSy8Zf47cxt5fh6PH0gH9u1WJX</v>
      </c>
      <c r="O950" s="5">
        <f ca="1">IFERROR(__xludf.DUMMYFUNCTION("""COMPUTED_VALUE"""),5789012017)</f>
        <v>5789012017</v>
      </c>
      <c r="P950" s="5" t="str">
        <f ca="1">IFERROR(__xludf.DUMMYFUNCTION("""COMPUTED_VALUE"""),"626-215-9598")</f>
        <v>626-215-9598</v>
      </c>
      <c r="Q950" s="5"/>
      <c r="R950" s="5"/>
      <c r="S950" s="5"/>
      <c r="T950" s="18">
        <f ca="1">IFERROR(__xludf.DUMMYFUNCTION("""COMPUTED_VALUE"""),43138)</f>
        <v>43138</v>
      </c>
    </row>
    <row r="951" spans="1:20" ht="12.75">
      <c r="A951" s="24">
        <f ca="1">IFERROR(__xludf.DUMMYFUNCTION("""COMPUTED_VALUE"""),45671.9348455208)</f>
        <v>45671.934845520802</v>
      </c>
      <c r="B951" s="5" t="str">
        <f ca="1">IFERROR(__xludf.DUMMYFUNCTION("""COMPUTED_VALUE"""),"2908 Foss Ave")</f>
        <v>2908 Foss Ave</v>
      </c>
      <c r="C951" s="5" t="str">
        <f ca="1">IFERROR(__xludf.DUMMYFUNCTION("""COMPUTED_VALUE"""),"Arcadia")</f>
        <v>Arcadia</v>
      </c>
      <c r="D951" s="5" t="str">
        <f ca="1">IFERROR(__xludf.DUMMYFUNCTION("""COMPUTED_VALUE"""),"CA")</f>
        <v>CA</v>
      </c>
      <c r="E951" s="5">
        <f ca="1">IFERROR(__xludf.DUMMYFUNCTION("""COMPUTED_VALUE"""),91006)</f>
        <v>91006</v>
      </c>
      <c r="F951" s="19">
        <f ca="1">IFERROR(__xludf.DUMMYFUNCTION("""COMPUTED_VALUE"""),2500)</f>
        <v>2500</v>
      </c>
      <c r="G951" s="19">
        <f ca="1">IFERROR(__xludf.DUMMYFUNCTION("""COMPUTED_VALUE"""),4500)</f>
        <v>4500</v>
      </c>
      <c r="H951" s="18">
        <f ca="1">IFERROR(__xludf.DUMMYFUNCTION("""COMPUTED_VALUE"""),45669)</f>
        <v>45669</v>
      </c>
      <c r="I951" s="5" t="str">
        <f ca="1">IFERROR(__xludf.DUMMYFUNCTION("""COMPUTED_VALUE"""),"Zillow")</f>
        <v>Zillow</v>
      </c>
      <c r="J951" s="25" t="str">
        <f ca="1">IFERROR(__xludf.DUMMYFUNCTION("""COMPUTED_VALUE"""),"https://www.zillow.com/homedetails/2908-Foss-Ave-Arcadia-CA-91006/20898248_zpid/")</f>
        <v>https://www.zillow.com/homedetails/2908-Foss-Ave-Arcadia-CA-91006/20898248_zpid/</v>
      </c>
      <c r="K951" s="5" t="str">
        <f ca="1">IFERROR(__xludf.DUMMYFUNCTION("""COMPUTED_VALUE"""),"Lotus Property Services, Inc.")</f>
        <v>Lotus Property Services, Inc.</v>
      </c>
      <c r="L951" s="5"/>
      <c r="M951" s="5"/>
      <c r="N951" s="26" t="str">
        <f ca="1">IFERROR(__xludf.DUMMYFUNCTION("""COMPUTED_VALUE"""),"https://drive.google.com/open?id=1JYXj0d_1KSnTZk_vJlRZNOBn1lysvQAl")</f>
        <v>https://drive.google.com/open?id=1JYXj0d_1KSnTZk_vJlRZNOBn1lysvQAl</v>
      </c>
      <c r="O951" s="5">
        <f ca="1">IFERROR(__xludf.DUMMYFUNCTION("""COMPUTED_VALUE"""),5791029020)</f>
        <v>5791029020</v>
      </c>
      <c r="P951" s="5" t="str">
        <f ca="1">IFERROR(__xludf.DUMMYFUNCTION("""COMPUTED_VALUE"""),"626-887-1003")</f>
        <v>626-887-1003</v>
      </c>
      <c r="Q951" s="5"/>
      <c r="R951" s="5"/>
      <c r="S951" s="5"/>
      <c r="T951" s="18">
        <f ca="1">IFERROR(__xludf.DUMMYFUNCTION("""COMPUTED_VALUE"""),41945)</f>
        <v>41945</v>
      </c>
    </row>
    <row r="952" spans="1:20" ht="12.75">
      <c r="A952" s="24">
        <f ca="1">IFERROR(__xludf.DUMMYFUNCTION("""COMPUTED_VALUE"""),45671.9358733217)</f>
        <v>45671.935873321701</v>
      </c>
      <c r="B952" s="5" t="str">
        <f ca="1">IFERROR(__xludf.DUMMYFUNCTION("""COMPUTED_VALUE"""),"1341 Sierra Alta Way")</f>
        <v>1341 Sierra Alta Way</v>
      </c>
      <c r="C952" s="5" t="str">
        <f ca="1">IFERROR(__xludf.DUMMYFUNCTION("""COMPUTED_VALUE"""),"Los Angeles")</f>
        <v>Los Angeles</v>
      </c>
      <c r="D952" s="5" t="str">
        <f ca="1">IFERROR(__xludf.DUMMYFUNCTION("""COMPUTED_VALUE"""),"CA")</f>
        <v>CA</v>
      </c>
      <c r="E952" s="5">
        <f ca="1">IFERROR(__xludf.DUMMYFUNCTION("""COMPUTED_VALUE"""),90069)</f>
        <v>90069</v>
      </c>
      <c r="F952" s="19">
        <f ca="1">IFERROR(__xludf.DUMMYFUNCTION("""COMPUTED_VALUE"""),16500)</f>
        <v>16500</v>
      </c>
      <c r="G952" s="19">
        <f ca="1">IFERROR(__xludf.DUMMYFUNCTION("""COMPUTED_VALUE"""),18000)</f>
        <v>18000</v>
      </c>
      <c r="H952" s="18">
        <f ca="1">IFERROR(__xludf.DUMMYFUNCTION("""COMPUTED_VALUE"""),45672)</f>
        <v>45672</v>
      </c>
      <c r="I952" s="5" t="str">
        <f ca="1">IFERROR(__xludf.DUMMYFUNCTION("""COMPUTED_VALUE"""),"Zillow")</f>
        <v>Zillow</v>
      </c>
      <c r="J952" s="25" t="str">
        <f ca="1">IFERROR(__xludf.DUMMYFUNCTION("""COMPUTED_VALUE"""),"https://www.zillow.com/homedetails/1341-Sierra-Alta-Way-Los-Angeles-CA-90069/20535094_zpid/")</f>
        <v>https://www.zillow.com/homedetails/1341-Sierra-Alta-Way-Los-Angeles-CA-90069/20535094_zpid/</v>
      </c>
      <c r="K952" s="5" t="str">
        <f ca="1">IFERROR(__xludf.DUMMYFUNCTION("""COMPUTED_VALUE"""),"Shana Tavangarian")</f>
        <v>Shana Tavangarian</v>
      </c>
      <c r="L952" s="5"/>
      <c r="M952" s="5"/>
      <c r="N952" s="5" t="str">
        <f ca="1">IFERROR(__xludf.DUMMYFUNCTION("""COMPUTED_VALUE"""),"https://drive.google.com/open?id=19mXV5wOllhSwtGVf28WZ3eriPULyBOdA, https://drive.google.com/open?id=1OJiTzF-o0hFYDqPcYQoUMUFeevRBHdz1")</f>
        <v>https://drive.google.com/open?id=19mXV5wOllhSwtGVf28WZ3eriPULyBOdA, https://drive.google.com/open?id=1OJiTzF-o0hFYDqPcYQoUMUFeevRBHdz1</v>
      </c>
      <c r="O952" s="5">
        <f ca="1">IFERROR(__xludf.DUMMYFUNCTION("""COMPUTED_VALUE"""),4392017008)</f>
        <v>4392017008</v>
      </c>
      <c r="P952" s="5">
        <f ca="1">IFERROR(__xludf.DUMMYFUNCTION("""COMPUTED_VALUE"""),3107404982)</f>
        <v>3107404982</v>
      </c>
      <c r="Q952" s="5"/>
      <c r="R952" s="5"/>
      <c r="S952" s="5"/>
      <c r="T952" s="18">
        <f ca="1">IFERROR(__xludf.DUMMYFUNCTION("""COMPUTED_VALUE"""),45568)</f>
        <v>45568</v>
      </c>
    </row>
    <row r="953" spans="1:20" ht="12.75">
      <c r="A953" s="24">
        <f ca="1">IFERROR(__xludf.DUMMYFUNCTION("""COMPUTED_VALUE"""),45671.9372306365)</f>
        <v>45671.937230636497</v>
      </c>
      <c r="B953" s="5" t="str">
        <f ca="1">IFERROR(__xludf.DUMMYFUNCTION("""COMPUTED_VALUE"""),"815 E Chestnut Ave")</f>
        <v>815 E Chestnut Ave</v>
      </c>
      <c r="C953" s="5" t="str">
        <f ca="1">IFERROR(__xludf.DUMMYFUNCTION("""COMPUTED_VALUE"""),"San Gabriel")</f>
        <v>San Gabriel</v>
      </c>
      <c r="D953" s="5" t="str">
        <f ca="1">IFERROR(__xludf.DUMMYFUNCTION("""COMPUTED_VALUE"""),"CA")</f>
        <v>CA</v>
      </c>
      <c r="E953" s="5">
        <f ca="1">IFERROR(__xludf.DUMMYFUNCTION("""COMPUTED_VALUE"""),91776)</f>
        <v>91776</v>
      </c>
      <c r="F953" s="19">
        <f ca="1">IFERROR(__xludf.DUMMYFUNCTION("""COMPUTED_VALUE"""),2800)</f>
        <v>2800</v>
      </c>
      <c r="G953" s="19">
        <f ca="1">IFERROR(__xludf.DUMMYFUNCTION("""COMPUTED_VALUE"""),3300)</f>
        <v>3300</v>
      </c>
      <c r="H953" s="18">
        <f ca="1">IFERROR(__xludf.DUMMYFUNCTION("""COMPUTED_VALUE"""),45671)</f>
        <v>45671</v>
      </c>
      <c r="I953" s="5" t="str">
        <f ca="1">IFERROR(__xludf.DUMMYFUNCTION("""COMPUTED_VALUE"""),"Zillow")</f>
        <v>Zillow</v>
      </c>
      <c r="J953" s="25" t="str">
        <f ca="1">IFERROR(__xludf.DUMMYFUNCTION("""COMPUTED_VALUE"""),"https://www.zillow.com/homedetails/815-E-Chestnut-Ave-San-Gabriel-CA-91776/20725484_zpid/")</f>
        <v>https://www.zillow.com/homedetails/815-E-Chestnut-Ave-San-Gabriel-CA-91776/20725484_zpid/</v>
      </c>
      <c r="K953" s="5" t="str">
        <f ca="1">IFERROR(__xludf.DUMMYFUNCTION("""COMPUTED_VALUE"""),"Sharon")</f>
        <v>Sharon</v>
      </c>
      <c r="L953" s="5"/>
      <c r="M953" s="5"/>
      <c r="N953" s="26" t="str">
        <f ca="1">IFERROR(__xludf.DUMMYFUNCTION("""COMPUTED_VALUE"""),"https://drive.google.com/open?id=1EA4UhOZeHm7mVJTAJdYuiE0sFkkzODhJ")</f>
        <v>https://drive.google.com/open?id=1EA4UhOZeHm7mVJTAJdYuiE0sFkkzODhJ</v>
      </c>
      <c r="O953" s="5">
        <f ca="1">IFERROR(__xludf.DUMMYFUNCTION("""COMPUTED_VALUE"""),5372003018)</f>
        <v>5372003018</v>
      </c>
      <c r="P953" s="5" t="str">
        <f ca="1">IFERROR(__xludf.DUMMYFUNCTION("""COMPUTED_VALUE"""),"626-469-5479")</f>
        <v>626-469-5479</v>
      </c>
      <c r="Q953" s="5"/>
      <c r="R953" s="5"/>
      <c r="S953" s="5"/>
      <c r="T953" s="18">
        <f ca="1">IFERROR(__xludf.DUMMYFUNCTION("""COMPUTED_VALUE"""),44510)</f>
        <v>44510</v>
      </c>
    </row>
    <row r="954" spans="1:20" ht="12.75">
      <c r="A954" s="24">
        <f ca="1">IFERROR(__xludf.DUMMYFUNCTION("""COMPUTED_VALUE"""),45671.9374382754)</f>
        <v>45671.937438275403</v>
      </c>
      <c r="B954" s="5" t="str">
        <f ca="1">IFERROR(__xludf.DUMMYFUNCTION("""COMPUTED_VALUE"""),"3210 Merrill Dr Apt 9")</f>
        <v>3210 Merrill Dr Apt 9</v>
      </c>
      <c r="C954" s="5" t="str">
        <f ca="1">IFERROR(__xludf.DUMMYFUNCTION("""COMPUTED_VALUE"""),"Torrance")</f>
        <v>Torrance</v>
      </c>
      <c r="D954" s="5" t="str">
        <f ca="1">IFERROR(__xludf.DUMMYFUNCTION("""COMPUTED_VALUE"""),"CA")</f>
        <v>CA</v>
      </c>
      <c r="E954" s="5">
        <f ca="1">IFERROR(__xludf.DUMMYFUNCTION("""COMPUTED_VALUE"""),90503)</f>
        <v>90503</v>
      </c>
      <c r="F954" s="19">
        <f ca="1">IFERROR(__xludf.DUMMYFUNCTION("""COMPUTED_VALUE"""),2250)</f>
        <v>2250</v>
      </c>
      <c r="G954" s="19">
        <f ca="1">IFERROR(__xludf.DUMMYFUNCTION("""COMPUTED_VALUE"""),2595)</f>
        <v>2595</v>
      </c>
      <c r="H954" s="18">
        <f ca="1">IFERROR(__xludf.DUMMYFUNCTION("""COMPUTED_VALUE"""),45667)</f>
        <v>45667</v>
      </c>
      <c r="I954" s="5" t="str">
        <f ca="1">IFERROR(__xludf.DUMMYFUNCTION("""COMPUTED_VALUE"""),"Zillow")</f>
        <v>Zillow</v>
      </c>
      <c r="J954" s="25" t="str">
        <f ca="1">IFERROR(__xludf.DUMMYFUNCTION("""COMPUTED_VALUE"""),"https://www.zillow.com/homedetails/3210-Merrill-Dr-APT-9-Torrance-CA-90503/2101357879_zpid/")</f>
        <v>https://www.zillow.com/homedetails/3210-Merrill-Dr-APT-9-Torrance-CA-90503/2101357879_zpid/</v>
      </c>
      <c r="K954" s="5" t="str">
        <f ca="1">IFERROR(__xludf.DUMMYFUNCTION("""COMPUTED_VALUE"""),"KNM Property Management, Inc.")</f>
        <v>KNM Property Management, Inc.</v>
      </c>
      <c r="L954" s="5"/>
      <c r="M954" s="5" t="str">
        <f ca="1">IFERROR(__xludf.DUMMYFUNCTION("""COMPUTED_VALUE"""),"+15.3% from 05/21/20 listing")</f>
        <v>+15.3% from 05/21/20 listing</v>
      </c>
      <c r="N954" s="5" t="str">
        <f ca="1">IFERROR(__xludf.DUMMYFUNCTION("""COMPUTED_VALUE"""),"https://drive.google.com/open?id=10_lOHeykUPGMzOEswVx_xADBBrkTQRYU, https://drive.google.com/open?id=1T9vABc7GFG2ldeSbk2UnlizROU8Ja00_, https://drive.google.com/open?id=11ez19IAsRYdd68iVcUsS7wrrPlnVlkwC")</f>
        <v>https://drive.google.com/open?id=10_lOHeykUPGMzOEswVx_xADBBrkTQRYU, https://drive.google.com/open?id=1T9vABc7GFG2ldeSbk2UnlizROU8Ja00_, https://drive.google.com/open?id=11ez19IAsRYdd68iVcUsS7wrrPlnVlkwC</v>
      </c>
      <c r="O954" s="5" t="str">
        <f ca="1">IFERROR(__xludf.DUMMYFUNCTION("""COMPUTED_VALUE"""),"NA")</f>
        <v>NA</v>
      </c>
      <c r="P954" s="5" t="str">
        <f ca="1">IFERROR(__xludf.DUMMYFUNCTION("""COMPUTED_VALUE"""),"(424) 404-0803")</f>
        <v>(424) 404-0803</v>
      </c>
      <c r="Q954" s="5"/>
      <c r="R954" s="5"/>
      <c r="S954" s="5"/>
      <c r="T954" s="18">
        <f ca="1">IFERROR(__xludf.DUMMYFUNCTION("""COMPUTED_VALUE"""),43972)</f>
        <v>43972</v>
      </c>
    </row>
    <row r="955" spans="1:20" ht="12.75">
      <c r="A955" s="24">
        <f ca="1">IFERROR(__xludf.DUMMYFUNCTION("""COMPUTED_VALUE"""),45671.9387262037)</f>
        <v>45671.938726203698</v>
      </c>
      <c r="B955" s="5" t="str">
        <f ca="1">IFERROR(__xludf.DUMMYFUNCTION("""COMPUTED_VALUE"""),"536 Quail Drive")</f>
        <v>536 Quail Drive</v>
      </c>
      <c r="C955" s="5" t="str">
        <f ca="1">IFERROR(__xludf.DUMMYFUNCTION("""COMPUTED_VALUE"""),"Los Angeles")</f>
        <v>Los Angeles</v>
      </c>
      <c r="D955" s="5" t="str">
        <f ca="1">IFERROR(__xludf.DUMMYFUNCTION("""COMPUTED_VALUE"""),"CA")</f>
        <v>CA</v>
      </c>
      <c r="E955" s="5">
        <f ca="1">IFERROR(__xludf.DUMMYFUNCTION("""COMPUTED_VALUE"""),90065)</f>
        <v>90065</v>
      </c>
      <c r="F955" s="19">
        <f ca="1">IFERROR(__xludf.DUMMYFUNCTION("""COMPUTED_VALUE"""),4750)</f>
        <v>4750</v>
      </c>
      <c r="G955" s="19">
        <f ca="1">IFERROR(__xludf.DUMMYFUNCTION("""COMPUTED_VALUE"""),5850)</f>
        <v>5850</v>
      </c>
      <c r="H955" s="18">
        <f ca="1">IFERROR(__xludf.DUMMYFUNCTION("""COMPUTED_VALUE"""),45671)</f>
        <v>45671</v>
      </c>
      <c r="I955" s="5" t="str">
        <f ca="1">IFERROR(__xludf.DUMMYFUNCTION("""COMPUTED_VALUE"""),"Zillow")</f>
        <v>Zillow</v>
      </c>
      <c r="J955" s="25" t="str">
        <f ca="1">IFERROR(__xludf.DUMMYFUNCTION("""COMPUTED_VALUE"""),"https://www.zillow.com/homedetails/536-Quail-Dr-Los-Angeles-CA-90065/20761121_zpid/")</f>
        <v>https://www.zillow.com/homedetails/536-Quail-Dr-Los-Angeles-CA-90065/20761121_zpid/</v>
      </c>
      <c r="K955" s="5"/>
      <c r="L955" s="5" t="str">
        <f ca="1">IFERROR(__xludf.DUMMYFUNCTION("""COMPUTED_VALUE"""),"Jackie")</f>
        <v>Jackie</v>
      </c>
      <c r="M955" s="5"/>
      <c r="N955" s="5" t="str">
        <f ca="1">IFERROR(__xludf.DUMMYFUNCTION("""COMPUTED_VALUE"""),"https://drive.google.com/open?id=1gwRhGt0rrNb6FlyhkZX6JaMJPZtZPwVP, https://drive.google.com/open?id=1sBBIxSY6k_463AxIhmdeWwhWiH1sZVF4")</f>
        <v>https://drive.google.com/open?id=1gwRhGt0rrNb6FlyhkZX6JaMJPZtZPwVP, https://drive.google.com/open?id=1sBBIxSY6k_463AxIhmdeWwhWiH1sZVF4</v>
      </c>
      <c r="O955" s="5">
        <f ca="1">IFERROR(__xludf.DUMMYFUNCTION("""COMPUTED_VALUE"""),5466020032)</f>
        <v>5466020032</v>
      </c>
      <c r="P955" s="5"/>
      <c r="Q955" s="5"/>
      <c r="R955" s="5"/>
      <c r="S955" s="5"/>
      <c r="T955" s="18">
        <f ca="1">IFERROR(__xludf.DUMMYFUNCTION("""COMPUTED_VALUE"""),44201)</f>
        <v>44201</v>
      </c>
    </row>
    <row r="956" spans="1:20" ht="12.75">
      <c r="A956" s="24">
        <f ca="1">IFERROR(__xludf.DUMMYFUNCTION("""COMPUTED_VALUE"""),45671.9401681597)</f>
        <v>45671.940168159701</v>
      </c>
      <c r="B956" s="5" t="str">
        <f ca="1">IFERROR(__xludf.DUMMYFUNCTION("""COMPUTED_VALUE"""),"3872 N Delta Ave")</f>
        <v>3872 N Delta Ave</v>
      </c>
      <c r="C956" s="5" t="str">
        <f ca="1">IFERROR(__xludf.DUMMYFUNCTION("""COMPUTED_VALUE"""),"Rosemead")</f>
        <v>Rosemead</v>
      </c>
      <c r="D956" s="5" t="str">
        <f ca="1">IFERROR(__xludf.DUMMYFUNCTION("""COMPUTED_VALUE"""),"CA")</f>
        <v>CA</v>
      </c>
      <c r="E956" s="5">
        <f ca="1">IFERROR(__xludf.DUMMYFUNCTION("""COMPUTED_VALUE"""),91770)</f>
        <v>91770</v>
      </c>
      <c r="F956" s="19">
        <f ca="1">IFERROR(__xludf.DUMMYFUNCTION("""COMPUTED_VALUE"""),3400)</f>
        <v>3400</v>
      </c>
      <c r="G956" s="19">
        <f ca="1">IFERROR(__xludf.DUMMYFUNCTION("""COMPUTED_VALUE"""),3800)</f>
        <v>3800</v>
      </c>
      <c r="H956" s="18">
        <f ca="1">IFERROR(__xludf.DUMMYFUNCTION("""COMPUTED_VALUE"""),45667)</f>
        <v>45667</v>
      </c>
      <c r="I956" s="5" t="str">
        <f ca="1">IFERROR(__xludf.DUMMYFUNCTION("""COMPUTED_VALUE"""),"Zillow")</f>
        <v>Zillow</v>
      </c>
      <c r="J956" s="25" t="str">
        <f ca="1">IFERROR(__xludf.DUMMYFUNCTION("""COMPUTED_VALUE"""),"https://www.zillow.com/homedetails/3872-N-Delta-Ave-Rosemead-CA-91770/2063289465_zpid/")</f>
        <v>https://www.zillow.com/homedetails/3872-N-Delta-Ave-Rosemead-CA-91770/2063289465_zpid/</v>
      </c>
      <c r="K956" s="5" t="str">
        <f ca="1">IFERROR(__xludf.DUMMYFUNCTION("""COMPUTED_VALUE"""),"Hudson Tsoi")</f>
        <v>Hudson Tsoi</v>
      </c>
      <c r="L956" s="5" t="str">
        <f ca="1">IFERROR(__xludf.DUMMYFUNCTION("""COMPUTED_VALUE"""),"Hudson Tsoi")</f>
        <v>Hudson Tsoi</v>
      </c>
      <c r="M956" s="5"/>
      <c r="N956" s="26" t="str">
        <f ca="1">IFERROR(__xludf.DUMMYFUNCTION("""COMPUTED_VALUE"""),"https://drive.google.com/open?id=1o_9ITaq7JSCKsi7V2m8Xy4cBbiStM8ie")</f>
        <v>https://drive.google.com/open?id=1o_9ITaq7JSCKsi7V2m8Xy4cBbiStM8ie</v>
      </c>
      <c r="O956" s="5" t="str">
        <f ca="1">IFERROR(__xludf.DUMMYFUNCTION("""COMPUTED_VALUE"""),"NA")</f>
        <v>NA</v>
      </c>
      <c r="P956" s="5" t="str">
        <f ca="1">IFERROR(__xludf.DUMMYFUNCTION("""COMPUTED_VALUE"""),"626-644-9936")</f>
        <v>626-644-9936</v>
      </c>
      <c r="Q956" s="5"/>
      <c r="R956" s="5" t="str">
        <f ca="1">IFERROR(__xludf.DUMMYFUNCTION("""COMPUTED_VALUE"""),"626-644-9936")</f>
        <v>626-644-9936</v>
      </c>
      <c r="S956" s="5"/>
      <c r="T956" s="18">
        <f ca="1">IFERROR(__xludf.DUMMYFUNCTION("""COMPUTED_VALUE"""),44694)</f>
        <v>44694</v>
      </c>
    </row>
    <row r="957" spans="1:20" ht="12.75">
      <c r="A957" s="24">
        <f ca="1">IFERROR(__xludf.DUMMYFUNCTION("""COMPUTED_VALUE"""),45671.9405150925)</f>
        <v>45671.940515092501</v>
      </c>
      <c r="B957" s="5" t="str">
        <f ca="1">IFERROR(__xludf.DUMMYFUNCTION("""COMPUTED_VALUE"""),"280 Cherry Drive")</f>
        <v>280 Cherry Drive</v>
      </c>
      <c r="C957" s="5" t="str">
        <f ca="1">IFERROR(__xludf.DUMMYFUNCTION("""COMPUTED_VALUE"""),"Pasadena")</f>
        <v>Pasadena</v>
      </c>
      <c r="D957" s="5" t="str">
        <f ca="1">IFERROR(__xludf.DUMMYFUNCTION("""COMPUTED_VALUE"""),"CA")</f>
        <v>CA</v>
      </c>
      <c r="E957" s="5">
        <f ca="1">IFERROR(__xludf.DUMMYFUNCTION("""COMPUTED_VALUE"""),91105)</f>
        <v>91105</v>
      </c>
      <c r="F957" s="19">
        <f ca="1">IFERROR(__xludf.DUMMYFUNCTION("""COMPUTED_VALUE"""),5480)</f>
        <v>5480</v>
      </c>
      <c r="G957" s="19">
        <f ca="1">IFERROR(__xludf.DUMMYFUNCTION("""COMPUTED_VALUE"""),6800)</f>
        <v>6800</v>
      </c>
      <c r="H957" s="18">
        <f ca="1">IFERROR(__xludf.DUMMYFUNCTION("""COMPUTED_VALUE"""),45671)</f>
        <v>45671</v>
      </c>
      <c r="I957" s="5" t="str">
        <f ca="1">IFERROR(__xludf.DUMMYFUNCTION("""COMPUTED_VALUE"""),"Zillow")</f>
        <v>Zillow</v>
      </c>
      <c r="J957" s="25" t="str">
        <f ca="1">IFERROR(__xludf.DUMMYFUNCTION("""COMPUTED_VALUE"""),"https://www.zillow.com/homedetails/280-Cherry-Dr-Pasadena-CA-91105/20857313_zpid/")</f>
        <v>https://www.zillow.com/homedetails/280-Cherry-Dr-Pasadena-CA-91105/20857313_zpid/</v>
      </c>
      <c r="K957" s="5" t="str">
        <f ca="1">IFERROR(__xludf.DUMMYFUNCTION("""COMPUTED_VALUE"""),"Kevin Chen")</f>
        <v>Kevin Chen</v>
      </c>
      <c r="L957" s="5"/>
      <c r="M957" s="5"/>
      <c r="N957" s="5" t="str">
        <f ca="1">IFERROR(__xludf.DUMMYFUNCTION("""COMPUTED_VALUE"""),"https://drive.google.com/open?id=1HgfPR1fW0JIqGNyiqCfjDvVxF7mQma1P, https://drive.google.com/open?id=1tdglaxDCPMtqL_68L7vXKv0cPiVbymV2")</f>
        <v>https://drive.google.com/open?id=1HgfPR1fW0JIqGNyiqCfjDvVxF7mQma1P, https://drive.google.com/open?id=1tdglaxDCPMtqL_68L7vXKv0cPiVbymV2</v>
      </c>
      <c r="O957" s="5">
        <f ca="1">IFERROR(__xludf.DUMMYFUNCTION("""COMPUTED_VALUE"""),5709032022)</f>
        <v>5709032022</v>
      </c>
      <c r="P957" s="5">
        <f ca="1">IFERROR(__xludf.DUMMYFUNCTION("""COMPUTED_VALUE"""),6262198201)</f>
        <v>6262198201</v>
      </c>
      <c r="Q957" s="5"/>
      <c r="R957" s="5"/>
      <c r="S957" s="5"/>
      <c r="T957" s="18">
        <f ca="1">IFERROR(__xludf.DUMMYFUNCTION("""COMPUTED_VALUE"""),44109)</f>
        <v>44109</v>
      </c>
    </row>
    <row r="958" spans="1:20" ht="12.75">
      <c r="A958" s="24">
        <f ca="1">IFERROR(__xludf.DUMMYFUNCTION("""COMPUTED_VALUE"""),45671.9425338541)</f>
        <v>45671.942533854097</v>
      </c>
      <c r="B958" s="5" t="str">
        <f ca="1">IFERROR(__xludf.DUMMYFUNCTION("""COMPUTED_VALUE"""),"1621 S Atlantic Blvd")</f>
        <v>1621 S Atlantic Blvd</v>
      </c>
      <c r="C958" s="5" t="str">
        <f ca="1">IFERROR(__xludf.DUMMYFUNCTION("""COMPUTED_VALUE"""),"Alhambra")</f>
        <v>Alhambra</v>
      </c>
      <c r="D958" s="5" t="str">
        <f ca="1">IFERROR(__xludf.DUMMYFUNCTION("""COMPUTED_VALUE"""),"CA")</f>
        <v>CA</v>
      </c>
      <c r="E958" s="5">
        <f ca="1">IFERROR(__xludf.DUMMYFUNCTION("""COMPUTED_VALUE"""),91803)</f>
        <v>91803</v>
      </c>
      <c r="F958" s="19">
        <f ca="1">IFERROR(__xludf.DUMMYFUNCTION("""COMPUTED_VALUE"""),1880)</f>
        <v>1880</v>
      </c>
      <c r="G958" s="19">
        <f ca="1">IFERROR(__xludf.DUMMYFUNCTION("""COMPUTED_VALUE"""),3680)</f>
        <v>3680</v>
      </c>
      <c r="H958" s="18">
        <f ca="1">IFERROR(__xludf.DUMMYFUNCTION("""COMPUTED_VALUE"""),45667)</f>
        <v>45667</v>
      </c>
      <c r="I958" s="5" t="str">
        <f ca="1">IFERROR(__xludf.DUMMYFUNCTION("""COMPUTED_VALUE"""),"Zillow")</f>
        <v>Zillow</v>
      </c>
      <c r="J958" s="25" t="str">
        <f ca="1">IFERROR(__xludf.DUMMYFUNCTION("""COMPUTED_VALUE"""),"https://www.zillow.com/homedetails/1621-S-Atlantic-Blvd-Alhambra-CA-91803/20716753_zpid/")</f>
        <v>https://www.zillow.com/homedetails/1621-S-Atlantic-Blvd-Alhambra-CA-91803/20716753_zpid/</v>
      </c>
      <c r="K958" s="5" t="str">
        <f ca="1">IFERROR(__xludf.DUMMYFUNCTION("""COMPUTED_VALUE"""),"Kiet Do")</f>
        <v>Kiet Do</v>
      </c>
      <c r="L958" s="5"/>
      <c r="M958" s="5" t="str">
        <f ca="1">IFERROR(__xludf.DUMMYFUNCTION("""COMPUTED_VALUE"""),"Listing removed Mar 2018. Relisted on 1/10/2025 at 96% increase.")</f>
        <v>Listing removed Mar 2018. Relisted on 1/10/2025 at 96% increase.</v>
      </c>
      <c r="N958" s="26" t="str">
        <f ca="1">IFERROR(__xludf.DUMMYFUNCTION("""COMPUTED_VALUE"""),"https://drive.google.com/open?id=1tynkOT1UoWPkKztvoCiYIJimOwNUKLvz")</f>
        <v>https://drive.google.com/open?id=1tynkOT1UoWPkKztvoCiYIJimOwNUKLvz</v>
      </c>
      <c r="O958" s="5">
        <f ca="1">IFERROR(__xludf.DUMMYFUNCTION("""COMPUTED_VALUE"""),5356016047)</f>
        <v>5356016047</v>
      </c>
      <c r="P958" s="5" t="str">
        <f ca="1">IFERROR(__xludf.DUMMYFUNCTION("""COMPUTED_VALUE"""),"626-285-8333")</f>
        <v>626-285-8333</v>
      </c>
      <c r="Q958" s="5"/>
      <c r="R958" s="5"/>
      <c r="S958" s="5"/>
      <c r="T958" s="18">
        <f ca="1">IFERROR(__xludf.DUMMYFUNCTION("""COMPUTED_VALUE"""),43165)</f>
        <v>43165</v>
      </c>
    </row>
    <row r="959" spans="1:20" ht="12.75">
      <c r="A959" s="24">
        <f ca="1">IFERROR(__xludf.DUMMYFUNCTION("""COMPUTED_VALUE"""),45671.9431007523)</f>
        <v>45671.943100752302</v>
      </c>
      <c r="B959" s="5" t="str">
        <f ca="1">IFERROR(__xludf.DUMMYFUNCTION("""COMPUTED_VALUE"""),"19311 Inglewood Ave")</f>
        <v>19311 Inglewood Ave</v>
      </c>
      <c r="C959" s="5" t="str">
        <f ca="1">IFERROR(__xludf.DUMMYFUNCTION("""COMPUTED_VALUE"""),"Torrance")</f>
        <v>Torrance</v>
      </c>
      <c r="D959" s="5" t="str">
        <f ca="1">IFERROR(__xludf.DUMMYFUNCTION("""COMPUTED_VALUE"""),"CA")</f>
        <v>CA</v>
      </c>
      <c r="E959" s="5">
        <f ca="1">IFERROR(__xludf.DUMMYFUNCTION("""COMPUTED_VALUE"""),90503)</f>
        <v>90503</v>
      </c>
      <c r="F959" s="19">
        <f ca="1">IFERROR(__xludf.DUMMYFUNCTION("""COMPUTED_VALUE"""),3100)</f>
        <v>3100</v>
      </c>
      <c r="G959" s="19">
        <f ca="1">IFERROR(__xludf.DUMMYFUNCTION("""COMPUTED_VALUE"""),4200)</f>
        <v>4200</v>
      </c>
      <c r="H959" s="18">
        <f ca="1">IFERROR(__xludf.DUMMYFUNCTION("""COMPUTED_VALUE"""),45667)</f>
        <v>45667</v>
      </c>
      <c r="I959" s="5" t="str">
        <f ca="1">IFERROR(__xludf.DUMMYFUNCTION("""COMPUTED_VALUE"""),"Zillow")</f>
        <v>Zillow</v>
      </c>
      <c r="J959" s="25" t="str">
        <f ca="1">IFERROR(__xludf.DUMMYFUNCTION("""COMPUTED_VALUE"""),"https://www.zillow.com/homedetails/19311-Inglewood-Ave-Torrance-CA-90503/21331251_zpid/")</f>
        <v>https://www.zillow.com/homedetails/19311-Inglewood-Ave-Torrance-CA-90503/21331251_zpid/</v>
      </c>
      <c r="K959" s="5" t="str">
        <f ca="1">IFERROR(__xludf.DUMMYFUNCTION("""COMPUTED_VALUE"""),"Julia Rappleyea (3 Leaf Realty Inc)")</f>
        <v>Julia Rappleyea (3 Leaf Realty Inc)</v>
      </c>
      <c r="L959" s="5"/>
      <c r="M959" s="5" t="str">
        <f ca="1">IFERROR(__xludf.DUMMYFUNCTION("""COMPUTED_VALUE"""),"+35.5% from 12/16/19")</f>
        <v>+35.5% from 12/16/19</v>
      </c>
      <c r="N959" s="5" t="str">
        <f ca="1">IFERROR(__xludf.DUMMYFUNCTION("""COMPUTED_VALUE"""),"https://drive.google.com/open?id=1yP5VCcU4fU8-VuIzpDgzkDCDzjA9cmRH, https://drive.google.com/open?id=12b1fhprvspAmlmE6PouYcZYc7zeMauVg, https://drive.google.com/open?id=1g0SIlX2kxFE4nfleHq6QcI2b3x5Rf9Kf")</f>
        <v>https://drive.google.com/open?id=1yP5VCcU4fU8-VuIzpDgzkDCDzjA9cmRH, https://drive.google.com/open?id=12b1fhprvspAmlmE6PouYcZYc7zeMauVg, https://drive.google.com/open?id=1g0SIlX2kxFE4nfleHq6QcI2b3x5Rf9Kf</v>
      </c>
      <c r="O959" s="5">
        <f ca="1">IFERROR(__xludf.DUMMYFUNCTION("""COMPUTED_VALUE"""),7522014025)</f>
        <v>7522014025</v>
      </c>
      <c r="P959" s="5" t="str">
        <f ca="1">IFERROR(__xludf.DUMMYFUNCTION("""COMPUTED_VALUE"""),"(310) 625-1891")</f>
        <v>(310) 625-1891</v>
      </c>
      <c r="Q959" s="5"/>
      <c r="R959" s="5"/>
      <c r="S959" s="5"/>
      <c r="T959" s="18">
        <f ca="1">IFERROR(__xludf.DUMMYFUNCTION("""COMPUTED_VALUE"""),43815)</f>
        <v>43815</v>
      </c>
    </row>
    <row r="960" spans="1:20" ht="12.75">
      <c r="A960" s="24">
        <f ca="1">IFERROR(__xludf.DUMMYFUNCTION("""COMPUTED_VALUE"""),45671.9449526273)</f>
        <v>45671.944952627302</v>
      </c>
      <c r="B960" s="5" t="str">
        <f ca="1">IFERROR(__xludf.DUMMYFUNCTION("""COMPUTED_VALUE"""),"1234 W 1st St")</f>
        <v>1234 W 1st St</v>
      </c>
      <c r="C960" s="5" t="str">
        <f ca="1">IFERROR(__xludf.DUMMYFUNCTION("""COMPUTED_VALUE"""),"Monterey Park")</f>
        <v>Monterey Park</v>
      </c>
      <c r="D960" s="5" t="str">
        <f ca="1">IFERROR(__xludf.DUMMYFUNCTION("""COMPUTED_VALUE"""),"CA")</f>
        <v>CA</v>
      </c>
      <c r="E960" s="5">
        <f ca="1">IFERROR(__xludf.DUMMYFUNCTION("""COMPUTED_VALUE"""),91754)</f>
        <v>91754</v>
      </c>
      <c r="F960" s="19">
        <f ca="1">IFERROR(__xludf.DUMMYFUNCTION("""COMPUTED_VALUE"""),1750)</f>
        <v>1750</v>
      </c>
      <c r="G960" s="19">
        <f ca="1">IFERROR(__xludf.DUMMYFUNCTION("""COMPUTED_VALUE"""),2400)</f>
        <v>2400</v>
      </c>
      <c r="H960" s="18">
        <f ca="1">IFERROR(__xludf.DUMMYFUNCTION("""COMPUTED_VALUE"""),45667)</f>
        <v>45667</v>
      </c>
      <c r="I960" s="5" t="str">
        <f ca="1">IFERROR(__xludf.DUMMYFUNCTION("""COMPUTED_VALUE"""),"Zillow")</f>
        <v>Zillow</v>
      </c>
      <c r="J960" s="25" t="str">
        <f ca="1">IFERROR(__xludf.DUMMYFUNCTION("""COMPUTED_VALUE"""),"https://www.zillow.com/homedetails/1234-W-1st-St-Monterey-Park-CA-91754/20658363_zpid/")</f>
        <v>https://www.zillow.com/homedetails/1234-W-1st-St-Monterey-Park-CA-91754/20658363_zpid/</v>
      </c>
      <c r="K960" s="5" t="str">
        <f ca="1">IFERROR(__xludf.DUMMYFUNCTION("""COMPUTED_VALUE"""),"Vickie Sill")</f>
        <v>Vickie Sill</v>
      </c>
      <c r="L960" s="5"/>
      <c r="M960" s="5"/>
      <c r="N960" s="26" t="str">
        <f ca="1">IFERROR(__xludf.DUMMYFUNCTION("""COMPUTED_VALUE"""),"https://drive.google.com/open?id=1PSZZLoE9JwLEiYeRhQAU2MWt4o0u3qJK")</f>
        <v>https://drive.google.com/open?id=1PSZZLoE9JwLEiYeRhQAU2MWt4o0u3qJK</v>
      </c>
      <c r="O960" s="5">
        <f ca="1">IFERROR(__xludf.DUMMYFUNCTION("""COMPUTED_VALUE"""),5251030017)</f>
        <v>5251030017</v>
      </c>
      <c r="P960" s="5" t="str">
        <f ca="1">IFERROR(__xludf.DUMMYFUNCTION("""COMPUTED_VALUE"""),"626-485-1340")</f>
        <v>626-485-1340</v>
      </c>
      <c r="Q960" s="5"/>
      <c r="R960" s="5"/>
      <c r="S960" s="5"/>
      <c r="T960" s="18">
        <f ca="1">IFERROR(__xludf.DUMMYFUNCTION("""COMPUTED_VALUE"""),42804)</f>
        <v>42804</v>
      </c>
    </row>
    <row r="961" spans="1:20" ht="12.75">
      <c r="A961" s="24">
        <f ca="1">IFERROR(__xludf.DUMMYFUNCTION("""COMPUTED_VALUE"""),45671.9477531597)</f>
        <v>45671.9477531597</v>
      </c>
      <c r="B961" s="5" t="str">
        <f ca="1">IFERROR(__xludf.DUMMYFUNCTION("""COMPUTED_VALUE"""),"Undisclosed")</f>
        <v>Undisclosed</v>
      </c>
      <c r="C961" s="5" t="str">
        <f ca="1">IFERROR(__xludf.DUMMYFUNCTION("""COMPUTED_VALUE"""),"Los Angeles")</f>
        <v>Los Angeles</v>
      </c>
      <c r="D961" s="5" t="str">
        <f ca="1">IFERROR(__xludf.DUMMYFUNCTION("""COMPUTED_VALUE"""),"CA")</f>
        <v>CA</v>
      </c>
      <c r="E961" s="5">
        <f ca="1">IFERROR(__xludf.DUMMYFUNCTION("""COMPUTED_VALUE"""),90056)</f>
        <v>90056</v>
      </c>
      <c r="F961" s="19">
        <f ca="1">IFERROR(__xludf.DUMMYFUNCTION("""COMPUTED_VALUE"""),10000)</f>
        <v>10000</v>
      </c>
      <c r="G961" s="19">
        <f ca="1">IFERROR(__xludf.DUMMYFUNCTION("""COMPUTED_VALUE"""),12000)</f>
        <v>12000</v>
      </c>
      <c r="H961" s="18">
        <f ca="1">IFERROR(__xludf.DUMMYFUNCTION("""COMPUTED_VALUE"""),45671)</f>
        <v>45671</v>
      </c>
      <c r="I961" s="5" t="str">
        <f ca="1">IFERROR(__xludf.DUMMYFUNCTION("""COMPUTED_VALUE"""),"Zillow")</f>
        <v>Zillow</v>
      </c>
      <c r="J961" s="25" t="str">
        <f ca="1">IFERROR(__xludf.DUMMYFUNCTION("""COMPUTED_VALUE"""),"https://www.zillow.com/homedetails/Los-Angeles-CA-90056/20429298_zpid/")</f>
        <v>https://www.zillow.com/homedetails/Los-Angeles-CA-90056/20429298_zpid/</v>
      </c>
      <c r="K961" s="5"/>
      <c r="L961" s="5" t="str">
        <f ca="1">IFERROR(__xludf.DUMMYFUNCTION("""COMPUTED_VALUE"""),"Honora Whitfield")</f>
        <v>Honora Whitfield</v>
      </c>
      <c r="M961" s="5" t="str">
        <f ca="1">IFERROR(__xludf.DUMMYFUNCTION("""COMPUTED_VALUE"""),"lowered the rent back in dec then raised it on 1/10, lowered on 1/14 but still 20% increase")</f>
        <v>lowered the rent back in dec then raised it on 1/10, lowered on 1/14 but still 20% increase</v>
      </c>
      <c r="N961" s="5" t="str">
        <f ca="1">IFERROR(__xludf.DUMMYFUNCTION("""COMPUTED_VALUE"""),"https://drive.google.com/open?id=1QCW7Va3pmAtuXG_tDLxuyI3ifx94gSHn, https://drive.google.com/open?id=1nTmT2l5vFivjlfdUpqm1WjCEOL5qMiXv, https://drive.google.com/open?id=1oxrJIkLMxc63k_H4-0CKPxmGMPKGaF71")</f>
        <v>https://drive.google.com/open?id=1QCW7Va3pmAtuXG_tDLxuyI3ifx94gSHn, https://drive.google.com/open?id=1nTmT2l5vFivjlfdUpqm1WjCEOL5qMiXv, https://drive.google.com/open?id=1oxrJIkLMxc63k_H4-0CKPxmGMPKGaF71</v>
      </c>
      <c r="O961" s="5" t="str">
        <f ca="1">IFERROR(__xludf.DUMMYFUNCTION("""COMPUTED_VALUE"""),"N/A")</f>
        <v>N/A</v>
      </c>
      <c r="P961" s="5"/>
      <c r="Q961" s="5"/>
      <c r="R961" s="5" t="str">
        <f ca="1">IFERROR(__xludf.DUMMYFUNCTION("""COMPUTED_VALUE"""),"(424) 484-3037")</f>
        <v>(424) 484-3037</v>
      </c>
      <c r="S961" s="5"/>
      <c r="T961" s="18">
        <f ca="1">IFERROR(__xludf.DUMMYFUNCTION("""COMPUTED_VALUE"""),45638)</f>
        <v>45638</v>
      </c>
    </row>
    <row r="962" spans="1:20" ht="12.75">
      <c r="A962" s="24">
        <f ca="1">IFERROR(__xludf.DUMMYFUNCTION("""COMPUTED_VALUE"""),45671.9491614814)</f>
        <v>45671.949161481403</v>
      </c>
      <c r="B962" s="5" t="str">
        <f ca="1">IFERROR(__xludf.DUMMYFUNCTION("""COMPUTED_VALUE"""),"1304 N Gardner St #1")</f>
        <v>1304 N Gardner St #1</v>
      </c>
      <c r="C962" s="5" t="str">
        <f ca="1">IFERROR(__xludf.DUMMYFUNCTION("""COMPUTED_VALUE"""),"Los Angeles")</f>
        <v>Los Angeles</v>
      </c>
      <c r="D962" s="5" t="str">
        <f ca="1">IFERROR(__xludf.DUMMYFUNCTION("""COMPUTED_VALUE"""),"CA")</f>
        <v>CA</v>
      </c>
      <c r="E962" s="5">
        <f ca="1">IFERROR(__xludf.DUMMYFUNCTION("""COMPUTED_VALUE"""),90046)</f>
        <v>90046</v>
      </c>
      <c r="F962" s="19">
        <f ca="1">IFERROR(__xludf.DUMMYFUNCTION("""COMPUTED_VALUE"""),3300)</f>
        <v>3300</v>
      </c>
      <c r="G962" s="19">
        <f ca="1">IFERROR(__xludf.DUMMYFUNCTION("""COMPUTED_VALUE"""),4500)</f>
        <v>4500</v>
      </c>
      <c r="H962" s="18">
        <f ca="1">IFERROR(__xludf.DUMMYFUNCTION("""COMPUTED_VALUE"""),45672)</f>
        <v>45672</v>
      </c>
      <c r="I962" s="5" t="str">
        <f ca="1">IFERROR(__xludf.DUMMYFUNCTION("""COMPUTED_VALUE"""),"Zillow")</f>
        <v>Zillow</v>
      </c>
      <c r="J962" s="5" t="str">
        <f ca="1">IFERROR(__xludf.DUMMYFUNCTION("""COMPUTED_VALUE"""),"https://www.zillow.com/homedetails/1304-N-Gardner-St-1-Los-Angeles-CA-90046/444260191_zpid/ and also https://www.zillow.com/homedetails/1302-N-Gardner-St-Los-Angeles-CA-90046/2060162532_zpid/")</f>
        <v>https://www.zillow.com/homedetails/1304-N-Gardner-St-1-Los-Angeles-CA-90046/444260191_zpid/ and also https://www.zillow.com/homedetails/1302-N-Gardner-St-Los-Angeles-CA-90046/2060162532_zpid/</v>
      </c>
      <c r="K962" s="5" t="str">
        <f ca="1">IFERROR(__xludf.DUMMYFUNCTION("""COMPUTED_VALUE"""),"Jon")</f>
        <v>Jon</v>
      </c>
      <c r="L962" s="5"/>
      <c r="M962" s="5" t="str">
        <f ca="1">IFERROR(__xludf.DUMMYFUNCTION("""COMPUTED_VALUE"""),"I believe this to be a duplicate listing of 1302 N Gardner St to avoid price history being tracked. Pictures are identical https://www.zillow.com/homedetails/1302-N-Gardner-St-Los-Angeles-CA-90046/2060162532_zpid")</f>
        <v>I believe this to be a duplicate listing of 1302 N Gardner St to avoid price history being tracked. Pictures are identical https://www.zillow.com/homedetails/1302-N-Gardner-St-Los-Angeles-CA-90046/2060162532_zpid</v>
      </c>
      <c r="N962" s="5" t="str">
        <f ca="1">IFERROR(__xludf.DUMMYFUNCTION("""COMPUTED_VALUE"""),"https://drive.google.com/open?id=1yHhO7l8COaOKp-578fjmAL7sbVToxLUH, https://drive.google.com/open?id=1Sz2I-q0ri7jJnvBKO94TEmnDJ5zIWTst, https://drive.google.com/open?id=1_ec-t6aK08tw23IDw_JnLEz4MO59jwrV")</f>
        <v>https://drive.google.com/open?id=1yHhO7l8COaOKp-578fjmAL7sbVToxLUH, https://drive.google.com/open?id=1Sz2I-q0ri7jJnvBKO94TEmnDJ5zIWTst, https://drive.google.com/open?id=1_ec-t6aK08tw23IDw_JnLEz4MO59jwrV</v>
      </c>
      <c r="O962" s="5" t="str">
        <f ca="1">IFERROR(__xludf.DUMMYFUNCTION("""COMPUTED_VALUE"""),"NA")</f>
        <v>NA</v>
      </c>
      <c r="P962" s="5" t="str">
        <f ca="1">IFERROR(__xludf.DUMMYFUNCTION("""COMPUTED_VALUE"""),"(818) 269-0978")</f>
        <v>(818) 269-0978</v>
      </c>
      <c r="Q962" s="5"/>
      <c r="R962" s="5"/>
      <c r="S962" s="5"/>
      <c r="T962" s="18">
        <f ca="1">IFERROR(__xludf.DUMMYFUNCTION("""COMPUTED_VALUE"""),45625)</f>
        <v>45625</v>
      </c>
    </row>
    <row r="963" spans="1:20" ht="12.75">
      <c r="A963" s="24">
        <f ca="1">IFERROR(__xludf.DUMMYFUNCTION("""COMPUTED_VALUE"""),45671.9508067708)</f>
        <v>45671.950806770801</v>
      </c>
      <c r="B963" s="5" t="str">
        <f ca="1">IFERROR(__xludf.DUMMYFUNCTION("""COMPUTED_VALUE"""),"414 Pacific Ave")</f>
        <v>414 Pacific Ave</v>
      </c>
      <c r="C963" s="5" t="str">
        <f ca="1">IFERROR(__xludf.DUMMYFUNCTION("""COMPUTED_VALUE"""),"Venice")</f>
        <v>Venice</v>
      </c>
      <c r="D963" s="5" t="str">
        <f ca="1">IFERROR(__xludf.DUMMYFUNCTION("""COMPUTED_VALUE"""),"CA")</f>
        <v>CA</v>
      </c>
      <c r="E963" s="5">
        <f ca="1">IFERROR(__xludf.DUMMYFUNCTION("""COMPUTED_VALUE"""),90291)</f>
        <v>90291</v>
      </c>
      <c r="F963" s="19">
        <f ca="1">IFERROR(__xludf.DUMMYFUNCTION("""COMPUTED_VALUE"""),8195)</f>
        <v>8195</v>
      </c>
      <c r="G963" s="19">
        <f ca="1">IFERROR(__xludf.DUMMYFUNCTION("""COMPUTED_VALUE"""),12500)</f>
        <v>12500</v>
      </c>
      <c r="H963" s="18">
        <f ca="1">IFERROR(__xludf.DUMMYFUNCTION("""COMPUTED_VALUE"""),45671)</f>
        <v>45671</v>
      </c>
      <c r="I963" s="5" t="str">
        <f ca="1">IFERROR(__xludf.DUMMYFUNCTION("""COMPUTED_VALUE"""),"Zillow")</f>
        <v>Zillow</v>
      </c>
      <c r="J963" s="25" t="str">
        <f ca="1">IFERROR(__xludf.DUMMYFUNCTION("""COMPUTED_VALUE"""),"https://www.zillow.com/homedetails/414-Pacific-Ave-Venice-CA-90291/20482001_zpid/")</f>
        <v>https://www.zillow.com/homedetails/414-Pacific-Ave-Venice-CA-90291/20482001_zpid/</v>
      </c>
      <c r="K963" s="5" t="str">
        <f ca="1">IFERROR(__xludf.DUMMYFUNCTION("""COMPUTED_VALUE"""),"Wexler Property Management Team")</f>
        <v>Wexler Property Management Team</v>
      </c>
      <c r="L963" s="5"/>
      <c r="M963" s="5"/>
      <c r="N963" s="5" t="str">
        <f ca="1">IFERROR(__xludf.DUMMYFUNCTION("""COMPUTED_VALUE"""),"https://drive.google.com/open?id=1um7XTgTNxgYcolwsRHNm7iaETqrop9MW, https://drive.google.com/open?id=1jys2UmEqjC4XTes-yPg-UEf-iFUhsx93, https://drive.google.com/open?id=16AHS_LUfiKzepS1AGSz2wp3auuPmY4o8")</f>
        <v>https://drive.google.com/open?id=1um7XTgTNxgYcolwsRHNm7iaETqrop9MW, https://drive.google.com/open?id=1jys2UmEqjC4XTes-yPg-UEf-iFUhsx93, https://drive.google.com/open?id=16AHS_LUfiKzepS1AGSz2wp3auuPmY4o8</v>
      </c>
      <c r="O963" s="5">
        <f ca="1">IFERROR(__xludf.DUMMYFUNCTION("""COMPUTED_VALUE"""),4286016025)</f>
        <v>4286016025</v>
      </c>
      <c r="P963" s="5">
        <f ca="1">IFERROR(__xludf.DUMMYFUNCTION("""COMPUTED_VALUE"""),2133942924)</f>
        <v>2133942924</v>
      </c>
      <c r="Q963" s="5"/>
      <c r="R963" s="5"/>
      <c r="S963" s="5"/>
      <c r="T963" s="18">
        <f ca="1">IFERROR(__xludf.DUMMYFUNCTION("""COMPUTED_VALUE"""),43687)</f>
        <v>43687</v>
      </c>
    </row>
    <row r="964" spans="1:20" ht="12.75">
      <c r="A964" s="24">
        <f ca="1">IFERROR(__xludf.DUMMYFUNCTION("""COMPUTED_VALUE"""),45671.9513765277)</f>
        <v>45671.951376527701</v>
      </c>
      <c r="B964" s="5" t="str">
        <f ca="1">IFERROR(__xludf.DUMMYFUNCTION("""COMPUTED_VALUE"""),"3321 E Colorado Blvd #25")</f>
        <v>3321 E Colorado Blvd #25</v>
      </c>
      <c r="C964" s="5" t="str">
        <f ca="1">IFERROR(__xludf.DUMMYFUNCTION("""COMPUTED_VALUE"""),"Pasadena")</f>
        <v>Pasadena</v>
      </c>
      <c r="D964" s="5" t="str">
        <f ca="1">IFERROR(__xludf.DUMMYFUNCTION("""COMPUTED_VALUE"""),"CA")</f>
        <v>CA</v>
      </c>
      <c r="E964" s="5">
        <f ca="1">IFERROR(__xludf.DUMMYFUNCTION("""COMPUTED_VALUE"""),91107)</f>
        <v>91107</v>
      </c>
      <c r="F964" s="19">
        <f ca="1">IFERROR(__xludf.DUMMYFUNCTION("""COMPUTED_VALUE"""),1900)</f>
        <v>1900</v>
      </c>
      <c r="G964" s="19">
        <f ca="1">IFERROR(__xludf.DUMMYFUNCTION("""COMPUTED_VALUE"""),2300)</f>
        <v>2300</v>
      </c>
      <c r="H964" s="18">
        <f ca="1">IFERROR(__xludf.DUMMYFUNCTION("""COMPUTED_VALUE"""),45672)</f>
        <v>45672</v>
      </c>
      <c r="I964" s="5" t="str">
        <f ca="1">IFERROR(__xludf.DUMMYFUNCTION("""COMPUTED_VALUE"""),"Zillow")</f>
        <v>Zillow</v>
      </c>
      <c r="J964" s="25" t="str">
        <f ca="1">IFERROR(__xludf.DUMMYFUNCTION("""COMPUTED_VALUE"""),"https://www.zillow.com/homedetails/3321-E-Colorado-Blvd-25-Pasadena-CA-91107/353727409_zpid/")</f>
        <v>https://www.zillow.com/homedetails/3321-E-Colorado-Blvd-25-Pasadena-CA-91107/353727409_zpid/</v>
      </c>
      <c r="K964" s="5" t="str">
        <f ca="1">IFERROR(__xludf.DUMMYFUNCTION("""COMPUTED_VALUE"""),"Richard Ceja")</f>
        <v>Richard Ceja</v>
      </c>
      <c r="L964" s="5"/>
      <c r="M964" s="5" t="str">
        <f ca="1">IFERROR(__xludf.DUMMYFUNCTION("""COMPUTED_VALUE"""),"Discounted rate for fire evacuated individuals, but still 10% increase. They have micro studios for extended stay.")</f>
        <v>Discounted rate for fire evacuated individuals, but still 10% increase. They have micro studios for extended stay.</v>
      </c>
      <c r="N964" s="26" t="str">
        <f ca="1">IFERROR(__xludf.DUMMYFUNCTION("""COMPUTED_VALUE"""),"https://drive.google.com/open?id=1hf8SwBwNaZVj0FV6VG8D7mKCuF_N8bR7")</f>
        <v>https://drive.google.com/open?id=1hf8SwBwNaZVj0FV6VG8D7mKCuF_N8bR7</v>
      </c>
      <c r="O964" s="5" t="str">
        <f ca="1">IFERROR(__xludf.DUMMYFUNCTION("""COMPUTED_VALUE"""),"NA")</f>
        <v>NA</v>
      </c>
      <c r="P964" s="5" t="str">
        <f ca="1">IFERROR(__xludf.DUMMYFUNCTION("""COMPUTED_VALUE"""),"626-796-9291")</f>
        <v>626-796-9291</v>
      </c>
      <c r="Q964" s="5"/>
      <c r="R964" s="5"/>
      <c r="S964" s="5"/>
      <c r="T964" s="18">
        <f ca="1">IFERROR(__xludf.DUMMYFUNCTION("""COMPUTED_VALUE"""),45577)</f>
        <v>45577</v>
      </c>
    </row>
    <row r="965" spans="1:20" ht="12.75">
      <c r="A965" s="24">
        <f ca="1">IFERROR(__xludf.DUMMYFUNCTION("""COMPUTED_VALUE"""),45671.952374456)</f>
        <v>45671.952374455999</v>
      </c>
      <c r="B965" s="5" t="str">
        <f ca="1">IFERROR(__xludf.DUMMYFUNCTION("""COMPUTED_VALUE"""),"11750 W Sunset Blvd Apt 311")</f>
        <v>11750 W Sunset Blvd Apt 311</v>
      </c>
      <c r="C965" s="5" t="str">
        <f ca="1">IFERROR(__xludf.DUMMYFUNCTION("""COMPUTED_VALUE"""),"Los Angeles")</f>
        <v>Los Angeles</v>
      </c>
      <c r="D965" s="5" t="str">
        <f ca="1">IFERROR(__xludf.DUMMYFUNCTION("""COMPUTED_VALUE"""),"CA")</f>
        <v>CA</v>
      </c>
      <c r="E965" s="5">
        <f ca="1">IFERROR(__xludf.DUMMYFUNCTION("""COMPUTED_VALUE"""),90049)</f>
        <v>90049</v>
      </c>
      <c r="F965" s="19">
        <f ca="1">IFERROR(__xludf.DUMMYFUNCTION("""COMPUTED_VALUE"""),2575)</f>
        <v>2575</v>
      </c>
      <c r="G965" s="19">
        <f ca="1">IFERROR(__xludf.DUMMYFUNCTION("""COMPUTED_VALUE"""),3200)</f>
        <v>3200</v>
      </c>
      <c r="H965" s="18">
        <f ca="1">IFERROR(__xludf.DUMMYFUNCTION("""COMPUTED_VALUE"""),45672)</f>
        <v>45672</v>
      </c>
      <c r="I965" s="5" t="str">
        <f ca="1">IFERROR(__xludf.DUMMYFUNCTION("""COMPUTED_VALUE"""),"Zillow")</f>
        <v>Zillow</v>
      </c>
      <c r="J965" s="25" t="str">
        <f ca="1">IFERROR(__xludf.DUMMYFUNCTION("""COMPUTED_VALUE"""),"https://www.zillow.com/homedetails/11750-W-Sunset-Blvd-APT-311-Los-Angeles-CA-90049/20535208_zpid/")</f>
        <v>https://www.zillow.com/homedetails/11750-W-Sunset-Blvd-APT-311-Los-Angeles-CA-90049/20535208_zpid/</v>
      </c>
      <c r="K965" s="5"/>
      <c r="L965" s="5" t="str">
        <f ca="1">IFERROR(__xludf.DUMMYFUNCTION("""COMPUTED_VALUE"""),"David Samuel")</f>
        <v>David Samuel</v>
      </c>
      <c r="M965" s="5" t="str">
        <f ca="1">IFERROR(__xludf.DUMMYFUNCTION("""COMPUTED_VALUE"""),"Page saved on archive.org ")</f>
        <v xml:space="preserve">Page saved on archive.org </v>
      </c>
      <c r="N965" s="5" t="str">
        <f ca="1">IFERROR(__xludf.DUMMYFUNCTION("""COMPUTED_VALUE"""),"https://drive.google.com/open?id=1biwTcte1KjKqR4WDPoC4M6BuLdV0PUAP, https://drive.google.com/open?id=1Tj20wXc55-m1VxBgTN_bN1mCK4e46aj2")</f>
        <v>https://drive.google.com/open?id=1biwTcte1KjKqR4WDPoC4M6BuLdV0PUAP, https://drive.google.com/open?id=1Tj20wXc55-m1VxBgTN_bN1mCK4e46aj2</v>
      </c>
      <c r="O965" s="5">
        <f ca="1">IFERROR(__xludf.DUMMYFUNCTION("""COMPUTED_VALUE"""),4401002078)</f>
        <v>4401002078</v>
      </c>
      <c r="P965" s="5"/>
      <c r="Q965" s="5"/>
      <c r="R965" s="5"/>
      <c r="S965" s="5"/>
      <c r="T965" s="18">
        <f ca="1">IFERROR(__xludf.DUMMYFUNCTION("""COMPUTED_VALUE"""),44422)</f>
        <v>44422</v>
      </c>
    </row>
    <row r="966" spans="1:20" ht="12.75">
      <c r="A966" s="24">
        <f ca="1">IFERROR(__xludf.DUMMYFUNCTION("""COMPUTED_VALUE"""),45671.9532827893)</f>
        <v>45671.953282789298</v>
      </c>
      <c r="B966" s="5" t="str">
        <f ca="1">IFERROR(__xludf.DUMMYFUNCTION("""COMPUTED_VALUE"""),"850 S Rosemead Blvd APT 6")</f>
        <v>850 S Rosemead Blvd APT 6</v>
      </c>
      <c r="C966" s="5" t="str">
        <f ca="1">IFERROR(__xludf.DUMMYFUNCTION("""COMPUTED_VALUE"""),"Pasadena")</f>
        <v>Pasadena</v>
      </c>
      <c r="D966" s="5" t="str">
        <f ca="1">IFERROR(__xludf.DUMMYFUNCTION("""COMPUTED_VALUE"""),"CA")</f>
        <v>CA</v>
      </c>
      <c r="E966" s="5">
        <f ca="1">IFERROR(__xludf.DUMMYFUNCTION("""COMPUTED_VALUE"""),91107)</f>
        <v>91107</v>
      </c>
      <c r="F966" s="19">
        <f ca="1">IFERROR(__xludf.DUMMYFUNCTION("""COMPUTED_VALUE"""),1695)</f>
        <v>1695</v>
      </c>
      <c r="G966" s="19">
        <f ca="1">IFERROR(__xludf.DUMMYFUNCTION("""COMPUTED_VALUE"""),1895)</f>
        <v>1895</v>
      </c>
      <c r="H966" s="18">
        <f ca="1">IFERROR(__xludf.DUMMYFUNCTION("""COMPUTED_VALUE"""),45665)</f>
        <v>45665</v>
      </c>
      <c r="I966" s="5" t="str">
        <f ca="1">IFERROR(__xludf.DUMMYFUNCTION("""COMPUTED_VALUE"""),"Zillow")</f>
        <v>Zillow</v>
      </c>
      <c r="J966" s="25" t="str">
        <f ca="1">IFERROR(__xludf.DUMMYFUNCTION("""COMPUTED_VALUE"""),"https://www.zillow.com/homedetails/850-S-Rosemead-Blvd-APT-6-Pasadena-CA-91107/2087922098_zpid/")</f>
        <v>https://www.zillow.com/homedetails/850-S-Rosemead-Blvd-APT-6-Pasadena-CA-91107/2087922098_zpid/</v>
      </c>
      <c r="K966" s="5" t="str">
        <f ca="1">IFERROR(__xludf.DUMMYFUNCTION("""COMPUTED_VALUE"""),"Matthew Clark")</f>
        <v>Matthew Clark</v>
      </c>
      <c r="L966" s="5"/>
      <c r="M966" s="5"/>
      <c r="N966" s="26" t="str">
        <f ca="1">IFERROR(__xludf.DUMMYFUNCTION("""COMPUTED_VALUE"""),"https://drive.google.com/open?id=1DTeUk5r5Y-wfzP32xOy0fo_-3f4nEkdw")</f>
        <v>https://drive.google.com/open?id=1DTeUk5r5Y-wfzP32xOy0fo_-3f4nEkdw</v>
      </c>
      <c r="O966" s="5" t="str">
        <f ca="1">IFERROR(__xludf.DUMMYFUNCTION("""COMPUTED_VALUE"""),"NA")</f>
        <v>NA</v>
      </c>
      <c r="P966" s="5" t="str">
        <f ca="1">IFERROR(__xludf.DUMMYFUNCTION("""COMPUTED_VALUE"""),"747-998-2024")</f>
        <v>747-998-2024</v>
      </c>
      <c r="Q966" s="5"/>
      <c r="R966" s="5"/>
      <c r="S966" s="5"/>
      <c r="T966" s="18">
        <f ca="1">IFERROR(__xludf.DUMMYFUNCTION("""COMPUTED_VALUE"""),43491)</f>
        <v>43491</v>
      </c>
    </row>
    <row r="967" spans="1:20" ht="12.75">
      <c r="A967" s="24">
        <f ca="1">IFERROR(__xludf.DUMMYFUNCTION("""COMPUTED_VALUE"""),45671.9533119791)</f>
        <v>45671.953311979101</v>
      </c>
      <c r="B967" s="5" t="str">
        <f ca="1">IFERROR(__xludf.DUMMYFUNCTION("""COMPUTED_VALUE"""),"19844 Schoolcraft St")</f>
        <v>19844 Schoolcraft St</v>
      </c>
      <c r="C967" s="5" t="str">
        <f ca="1">IFERROR(__xludf.DUMMYFUNCTION("""COMPUTED_VALUE"""),"Winnetka")</f>
        <v>Winnetka</v>
      </c>
      <c r="D967" s="5" t="str">
        <f ca="1">IFERROR(__xludf.DUMMYFUNCTION("""COMPUTED_VALUE"""),"CA")</f>
        <v>CA</v>
      </c>
      <c r="E967" s="5">
        <f ca="1">IFERROR(__xludf.DUMMYFUNCTION("""COMPUTED_VALUE"""),91306)</f>
        <v>91306</v>
      </c>
      <c r="F967" s="19">
        <f ca="1">IFERROR(__xludf.DUMMYFUNCTION("""COMPUTED_VALUE"""),3999)</f>
        <v>3999</v>
      </c>
      <c r="G967" s="19">
        <f ca="1">IFERROR(__xludf.DUMMYFUNCTION("""COMPUTED_VALUE"""),4500)</f>
        <v>4500</v>
      </c>
      <c r="H967" s="18">
        <f ca="1">IFERROR(__xludf.DUMMYFUNCTION("""COMPUTED_VALUE"""),45667)</f>
        <v>45667</v>
      </c>
      <c r="I967" s="5" t="str">
        <f ca="1">IFERROR(__xludf.DUMMYFUNCTION("""COMPUTED_VALUE"""),"Zillow")</f>
        <v>Zillow</v>
      </c>
      <c r="J967" s="25" t="str">
        <f ca="1">IFERROR(__xludf.DUMMYFUNCTION("""COMPUTED_VALUE"""),"https://www.zillow.com/homedetails/19844-Schoolcraft-St-Winnetka-CA-91306/19926144_zpid/?utm_campaign=iosappmessage&amp;utm_medium=referral&amp;utm_source=txtshare")</f>
        <v>https://www.zillow.com/homedetails/19844-Schoolcraft-St-Winnetka-CA-91306/19926144_zpid/?utm_campaign=iosappmessage&amp;utm_medium=referral&amp;utm_source=txtshare</v>
      </c>
      <c r="K967" s="5" t="str">
        <f ca="1">IFERROR(__xludf.DUMMYFUNCTION("""COMPUTED_VALUE"""),"Sadegh Khamooshi ")</f>
        <v xml:space="preserve">Sadegh Khamooshi </v>
      </c>
      <c r="L967" s="5"/>
      <c r="M967" s="5"/>
      <c r="N967" s="5" t="str">
        <f ca="1">IFERROR(__xludf.DUMMYFUNCTION("""COMPUTED_VALUE"""),"https://drive.google.com/open?id=17SkZc0rNiwa0-ye_mzciqwG1jao1jwkQ, https://drive.google.com/open?id=1Wt8a3qDFZXjsAf7wbU0o7HH-zPE7H1aZ, https://drive.google.com/open?id=1_QEexJH2niuJC5PQr5JAsfdrDI89XQXd")</f>
        <v>https://drive.google.com/open?id=17SkZc0rNiwa0-ye_mzciqwG1jao1jwkQ, https://drive.google.com/open?id=1Wt8a3qDFZXjsAf7wbU0o7HH-zPE7H1aZ, https://drive.google.com/open?id=1_QEexJH2niuJC5PQr5JAsfdrDI89XQXd</v>
      </c>
      <c r="O967" s="5">
        <f ca="1">IFERROR(__xludf.DUMMYFUNCTION("""COMPUTED_VALUE"""),2135020003)</f>
        <v>2135020003</v>
      </c>
      <c r="P967" s="5">
        <f ca="1">IFERROR(__xludf.DUMMYFUNCTION("""COMPUTED_VALUE"""),2135830229)</f>
        <v>2135830229</v>
      </c>
      <c r="Q967" s="5"/>
      <c r="R967" s="5"/>
      <c r="S967" s="5"/>
      <c r="T967" s="18">
        <f ca="1">IFERROR(__xludf.DUMMYFUNCTION("""COMPUTED_VALUE"""),45646)</f>
        <v>45646</v>
      </c>
    </row>
    <row r="968" spans="1:20" ht="12.75">
      <c r="A968" s="24">
        <f ca="1">IFERROR(__xludf.DUMMYFUNCTION("""COMPUTED_VALUE"""),45671.9560702546)</f>
        <v>45671.9560702546</v>
      </c>
      <c r="B968" s="5" t="str">
        <f ca="1">IFERROR(__xludf.DUMMYFUNCTION("""COMPUTED_VALUE"""),"1141 Sunset Blvd #C")</f>
        <v>1141 Sunset Blvd #C</v>
      </c>
      <c r="C968" s="5" t="str">
        <f ca="1">IFERROR(__xludf.DUMMYFUNCTION("""COMPUTED_VALUE"""),"Arcadia")</f>
        <v>Arcadia</v>
      </c>
      <c r="D968" s="5" t="str">
        <f ca="1">IFERROR(__xludf.DUMMYFUNCTION("""COMPUTED_VALUE"""),"CA")</f>
        <v>CA</v>
      </c>
      <c r="E968" s="5">
        <f ca="1">IFERROR(__xludf.DUMMYFUNCTION("""COMPUTED_VALUE"""),91007)</f>
        <v>91007</v>
      </c>
      <c r="F968" s="19">
        <f ca="1">IFERROR(__xludf.DUMMYFUNCTION("""COMPUTED_VALUE"""),1100)</f>
        <v>1100</v>
      </c>
      <c r="G968" s="19">
        <f ca="1">IFERROR(__xludf.DUMMYFUNCTION("""COMPUTED_VALUE"""),2500)</f>
        <v>2500</v>
      </c>
      <c r="H968" s="18">
        <f ca="1">IFERROR(__xludf.DUMMYFUNCTION("""COMPUTED_VALUE"""),45670)</f>
        <v>45670</v>
      </c>
      <c r="I968" s="5" t="str">
        <f ca="1">IFERROR(__xludf.DUMMYFUNCTION("""COMPUTED_VALUE"""),"Zillow")</f>
        <v>Zillow</v>
      </c>
      <c r="J968" s="25" t="str">
        <f ca="1">IFERROR(__xludf.DUMMYFUNCTION("""COMPUTED_VALUE"""),"https://www.zillow.com/homedetails/1141-Sunset-Blvd-C-Arcadia-CA-91007/2132378039_zpid/")</f>
        <v>https://www.zillow.com/homedetails/1141-Sunset-Blvd-C-Arcadia-CA-91007/2132378039_zpid/</v>
      </c>
      <c r="K968" s="5" t="str">
        <f ca="1">IFERROR(__xludf.DUMMYFUNCTION("""COMPUTED_VALUE"""),"Management by Earll")</f>
        <v>Management by Earll</v>
      </c>
      <c r="L968" s="5"/>
      <c r="M968" s="5"/>
      <c r="N968" s="26" t="str">
        <f ca="1">IFERROR(__xludf.DUMMYFUNCTION("""COMPUTED_VALUE"""),"https://drive.google.com/open?id=1f37aSUOYGsfibxZgLkMdRjRSsG4Cd0ov")</f>
        <v>https://drive.google.com/open?id=1f37aSUOYGsfibxZgLkMdRjRSsG4Cd0ov</v>
      </c>
      <c r="O968" s="5" t="str">
        <f ca="1">IFERROR(__xludf.DUMMYFUNCTION("""COMPUTED_VALUE"""),"NA")</f>
        <v>NA</v>
      </c>
      <c r="P968" s="5" t="str">
        <f ca="1">IFERROR(__xludf.DUMMYFUNCTION("""COMPUTED_VALUE"""),"213-566-7072")</f>
        <v>213-566-7072</v>
      </c>
      <c r="Q968" s="5"/>
      <c r="R968" s="5"/>
      <c r="S968" s="5"/>
      <c r="T968" s="18">
        <f ca="1">IFERROR(__xludf.DUMMYFUNCTION("""COMPUTED_VALUE"""),40745)</f>
        <v>40745</v>
      </c>
    </row>
    <row r="969" spans="1:20" ht="12.75">
      <c r="A969" s="24">
        <f ca="1">IFERROR(__xludf.DUMMYFUNCTION("""COMPUTED_VALUE"""),45671.956352118)</f>
        <v>45671.956352118003</v>
      </c>
      <c r="B969" s="5" t="str">
        <f ca="1">IFERROR(__xludf.DUMMYFUNCTION("""COMPUTED_VALUE"""),"3185 Larga Ave #C")</f>
        <v>3185 Larga Ave #C</v>
      </c>
      <c r="C969" s="5" t="str">
        <f ca="1">IFERROR(__xludf.DUMMYFUNCTION("""COMPUTED_VALUE"""),"Los Angeles")</f>
        <v>Los Angeles</v>
      </c>
      <c r="D969" s="5" t="str">
        <f ca="1">IFERROR(__xludf.DUMMYFUNCTION("""COMPUTED_VALUE"""),"CA")</f>
        <v>CA</v>
      </c>
      <c r="E969" s="5">
        <f ca="1">IFERROR(__xludf.DUMMYFUNCTION("""COMPUTED_VALUE"""),90039)</f>
        <v>90039</v>
      </c>
      <c r="F969" s="19">
        <f ca="1">IFERROR(__xludf.DUMMYFUNCTION("""COMPUTED_VALUE"""),2850)</f>
        <v>2850</v>
      </c>
      <c r="G969" s="19">
        <f ca="1">IFERROR(__xludf.DUMMYFUNCTION("""COMPUTED_VALUE"""),3500)</f>
        <v>3500</v>
      </c>
      <c r="H969" s="18">
        <f ca="1">IFERROR(__xludf.DUMMYFUNCTION("""COMPUTED_VALUE"""),45672)</f>
        <v>45672</v>
      </c>
      <c r="I969" s="5" t="str">
        <f ca="1">IFERROR(__xludf.DUMMYFUNCTION("""COMPUTED_VALUE"""),"Zillow")</f>
        <v>Zillow</v>
      </c>
      <c r="J969" s="25" t="str">
        <f ca="1">IFERROR(__xludf.DUMMYFUNCTION("""COMPUTED_VALUE"""),"https://www.zillow.com/homedetails/3185-Larga-Ave-C-Los-Angeles-CA-90039/2077459261_zpid/")</f>
        <v>https://www.zillow.com/homedetails/3185-Larga-Ave-C-Los-Angeles-CA-90039/2077459261_zpid/</v>
      </c>
      <c r="K969" s="5" t="str">
        <f ca="1">IFERROR(__xludf.DUMMYFUNCTION("""COMPUTED_VALUE"""),"Ashrif Hammad, Compass Pasadena")</f>
        <v>Ashrif Hammad, Compass Pasadena</v>
      </c>
      <c r="L969" s="5"/>
      <c r="M969" s="5" t="str">
        <f ca="1">IFERROR(__xludf.DUMMYFUNCTION("""COMPUTED_VALUE"""),"Saved to archive.org")</f>
        <v>Saved to archive.org</v>
      </c>
      <c r="N969" s="5" t="str">
        <f ca="1">IFERROR(__xludf.DUMMYFUNCTION("""COMPUTED_VALUE"""),"https://drive.google.com/open?id=1hqu8MxBvDLcPoZmJDr3N8TIBeamVHkP0, https://drive.google.com/open?id=1niMnfiaqaxNzo5OgEYVELRmKR_O-HagZ")</f>
        <v>https://drive.google.com/open?id=1hqu8MxBvDLcPoZmJDr3N8TIBeamVHkP0, https://drive.google.com/open?id=1niMnfiaqaxNzo5OgEYVELRmKR_O-HagZ</v>
      </c>
      <c r="O969" s="5" t="str">
        <f ca="1">IFERROR(__xludf.DUMMYFUNCTION("""COMPUTED_VALUE"""),"NA")</f>
        <v>NA</v>
      </c>
      <c r="P969" s="5" t="str">
        <f ca="1">IFERROR(__xludf.DUMMYFUNCTION("""COMPUTED_VALUE"""),"(626) 298-3030")</f>
        <v>(626) 298-3030</v>
      </c>
      <c r="Q969" s="5"/>
      <c r="R969" s="5"/>
      <c r="S969" s="5"/>
      <c r="T969" s="18">
        <f ca="1">IFERROR(__xludf.DUMMYFUNCTION("""COMPUTED_VALUE"""),44156)</f>
        <v>44156</v>
      </c>
    </row>
    <row r="970" spans="1:20" ht="12.75">
      <c r="A970" s="24">
        <f ca="1">IFERROR(__xludf.DUMMYFUNCTION("""COMPUTED_VALUE"""),45671.958901574)</f>
        <v>45671.958901573998</v>
      </c>
      <c r="B970" s="5" t="str">
        <f ca="1">IFERROR(__xludf.DUMMYFUNCTION("""COMPUTED_VALUE"""),"95 N Michigan Ave #11")</f>
        <v>95 N Michigan Ave #11</v>
      </c>
      <c r="C970" s="5" t="str">
        <f ca="1">IFERROR(__xludf.DUMMYFUNCTION("""COMPUTED_VALUE"""),"Pasadena")</f>
        <v>Pasadena</v>
      </c>
      <c r="D970" s="5" t="str">
        <f ca="1">IFERROR(__xludf.DUMMYFUNCTION("""COMPUTED_VALUE"""),"CA")</f>
        <v>CA</v>
      </c>
      <c r="E970" s="5">
        <f ca="1">IFERROR(__xludf.DUMMYFUNCTION("""COMPUTED_VALUE"""),91106)</f>
        <v>91106</v>
      </c>
      <c r="F970" s="19">
        <f ca="1">IFERROR(__xludf.DUMMYFUNCTION("""COMPUTED_VALUE"""),1720)</f>
        <v>1720</v>
      </c>
      <c r="G970" s="19">
        <f ca="1">IFERROR(__xludf.DUMMYFUNCTION("""COMPUTED_VALUE"""),2049)</f>
        <v>2049</v>
      </c>
      <c r="H970" s="18">
        <f ca="1">IFERROR(__xludf.DUMMYFUNCTION("""COMPUTED_VALUE"""),45672)</f>
        <v>45672</v>
      </c>
      <c r="I970" s="5" t="str">
        <f ca="1">IFERROR(__xludf.DUMMYFUNCTION("""COMPUTED_VALUE"""),"Zillow")</f>
        <v>Zillow</v>
      </c>
      <c r="J970" s="25" t="str">
        <f ca="1">IFERROR(__xludf.DUMMYFUNCTION("""COMPUTED_VALUE"""),"https://www.zillow.com/homedetails/95-N-Michigan-Ave-11-Pasadena-CA-91106/2068492397_zpid/")</f>
        <v>https://www.zillow.com/homedetails/95-N-Michigan-Ave-11-Pasadena-CA-91106/2068492397_zpid/</v>
      </c>
      <c r="K970" s="5" t="str">
        <f ca="1">IFERROR(__xludf.DUMMYFUNCTION("""COMPUTED_VALUE"""),"Total Commercial Real Estate, Inc.")</f>
        <v>Total Commercial Real Estate, Inc.</v>
      </c>
      <c r="L970" s="5"/>
      <c r="M970" s="5"/>
      <c r="N970" s="26" t="str">
        <f ca="1">IFERROR(__xludf.DUMMYFUNCTION("""COMPUTED_VALUE"""),"https://drive.google.com/open?id=16VVogyfzs9o9glS9SxDyHwgO-fPeSqOX")</f>
        <v>https://drive.google.com/open?id=16VVogyfzs9o9glS9SxDyHwgO-fPeSqOX</v>
      </c>
      <c r="O970" s="5" t="str">
        <f ca="1">IFERROR(__xludf.DUMMYFUNCTION("""COMPUTED_VALUE"""),"NA")</f>
        <v>NA</v>
      </c>
      <c r="P970" s="5" t="str">
        <f ca="1">IFERROR(__xludf.DUMMYFUNCTION("""COMPUTED_VALUE"""),"424-404-1474")</f>
        <v>424-404-1474</v>
      </c>
      <c r="Q970" s="5"/>
      <c r="R970" s="5"/>
      <c r="S970" s="5"/>
      <c r="T970" s="18">
        <f ca="1">IFERROR(__xludf.DUMMYFUNCTION("""COMPUTED_VALUE"""),44454)</f>
        <v>44454</v>
      </c>
    </row>
    <row r="971" spans="1:20" ht="12.75">
      <c r="A971" s="24">
        <f ca="1">IFERROR(__xludf.DUMMYFUNCTION("""COMPUTED_VALUE"""),45671.9591182986)</f>
        <v>45671.959118298597</v>
      </c>
      <c r="B971" s="5" t="str">
        <f ca="1">IFERROR(__xludf.DUMMYFUNCTION("""COMPUTED_VALUE"""),"420 S San Pedro APT 612")</f>
        <v>420 S San Pedro APT 612</v>
      </c>
      <c r="C971" s="5" t="str">
        <f ca="1">IFERROR(__xludf.DUMMYFUNCTION("""COMPUTED_VALUE"""),"Los Angeles")</f>
        <v>Los Angeles</v>
      </c>
      <c r="D971" s="5" t="str">
        <f ca="1">IFERROR(__xludf.DUMMYFUNCTION("""COMPUTED_VALUE"""),"CA")</f>
        <v>CA</v>
      </c>
      <c r="E971" s="5">
        <f ca="1">IFERROR(__xludf.DUMMYFUNCTION("""COMPUTED_VALUE"""),90013)</f>
        <v>90013</v>
      </c>
      <c r="F971" s="19">
        <f ca="1">IFERROR(__xludf.DUMMYFUNCTION("""COMPUTED_VALUE"""),2950)</f>
        <v>2950</v>
      </c>
      <c r="G971" s="19">
        <f ca="1">IFERROR(__xludf.DUMMYFUNCTION("""COMPUTED_VALUE"""),3399)</f>
        <v>3399</v>
      </c>
      <c r="H971" s="18">
        <f ca="1">IFERROR(__xludf.DUMMYFUNCTION("""COMPUTED_VALUE"""),45671)</f>
        <v>45671</v>
      </c>
      <c r="I971" s="5" t="str">
        <f ca="1">IFERROR(__xludf.DUMMYFUNCTION("""COMPUTED_VALUE"""),"Zillow")</f>
        <v>Zillow</v>
      </c>
      <c r="J971" s="25" t="str">
        <f ca="1">IFERROR(__xludf.DUMMYFUNCTION("""COMPUTED_VALUE"""),"https://www.zillow.com/homedetails/420-S-San-Pedro-St-APT-612-Los-Angeles-CA-90013/72107701_zpid/")</f>
        <v>https://www.zillow.com/homedetails/420-S-San-Pedro-St-APT-612-Los-Angeles-CA-90013/72107701_zpid/</v>
      </c>
      <c r="K971" s="5" t="str">
        <f ca="1">IFERROR(__xludf.DUMMYFUNCTION("""COMPUTED_VALUE"""),"Amy Snider (Compass)")</f>
        <v>Amy Snider (Compass)</v>
      </c>
      <c r="L971" s="5"/>
      <c r="M971" s="5" t="str">
        <f ca="1">IFERROR(__xludf.DUMMYFUNCTION("""COMPUTED_VALUE"""),"+15.2%")</f>
        <v>+15.2%</v>
      </c>
      <c r="N971" s="5" t="str">
        <f ca="1">IFERROR(__xludf.DUMMYFUNCTION("""COMPUTED_VALUE"""),"https://drive.google.com/open?id=15ZnL61TIuWQz_96on64P3TQX04QQlh5p, https://drive.google.com/open?id=17TyYFvOmUnur_MIR8tOsOYk45ZYqLOSj")</f>
        <v>https://drive.google.com/open?id=15ZnL61TIuWQz_96on64P3TQX04QQlh5p, https://drive.google.com/open?id=17TyYFvOmUnur_MIR8tOsOYk45ZYqLOSj</v>
      </c>
      <c r="O971" s="5">
        <f ca="1">IFERROR(__xludf.DUMMYFUNCTION("""COMPUTED_VALUE"""),5147005181)</f>
        <v>5147005181</v>
      </c>
      <c r="P971" s="5" t="str">
        <f ca="1">IFERROR(__xludf.DUMMYFUNCTION("""COMPUTED_VALUE"""),"(310) 773-7512")</f>
        <v>(310) 773-7512</v>
      </c>
      <c r="Q971" s="5"/>
      <c r="R971" s="5"/>
      <c r="S971" s="5"/>
      <c r="T971" s="18">
        <f ca="1">IFERROR(__xludf.DUMMYFUNCTION("""COMPUTED_VALUE"""),44518)</f>
        <v>44518</v>
      </c>
    </row>
    <row r="972" spans="1:20" ht="12.75">
      <c r="A972" s="24">
        <f ca="1">IFERROR(__xludf.DUMMYFUNCTION("""COMPUTED_VALUE"""),45671.9605117939)</f>
        <v>45671.960511793899</v>
      </c>
      <c r="B972" s="5" t="str">
        <f ca="1">IFERROR(__xludf.DUMMYFUNCTION("""COMPUTED_VALUE"""),"2243 Century Hl")</f>
        <v>2243 Century Hl</v>
      </c>
      <c r="C972" s="5" t="str">
        <f ca="1">IFERROR(__xludf.DUMMYFUNCTION("""COMPUTED_VALUE"""),"Los Angeles")</f>
        <v>Los Angeles</v>
      </c>
      <c r="D972" s="5" t="str">
        <f ca="1">IFERROR(__xludf.DUMMYFUNCTION("""COMPUTED_VALUE"""),"CA")</f>
        <v>CA</v>
      </c>
      <c r="E972" s="5">
        <f ca="1">IFERROR(__xludf.DUMMYFUNCTION("""COMPUTED_VALUE"""),90067)</f>
        <v>90067</v>
      </c>
      <c r="F972" s="19">
        <f ca="1">IFERROR(__xludf.DUMMYFUNCTION("""COMPUTED_VALUE"""),8500)</f>
        <v>8500</v>
      </c>
      <c r="G972" s="19">
        <f ca="1">IFERROR(__xludf.DUMMYFUNCTION("""COMPUTED_VALUE"""),9400)</f>
        <v>9400</v>
      </c>
      <c r="H972" s="18">
        <f ca="1">IFERROR(__xludf.DUMMYFUNCTION("""COMPUTED_VALUE"""),45672)</f>
        <v>45672</v>
      </c>
      <c r="I972" s="5" t="str">
        <f ca="1">IFERROR(__xludf.DUMMYFUNCTION("""COMPUTED_VALUE"""),"Zillow")</f>
        <v>Zillow</v>
      </c>
      <c r="J972" s="25" t="str">
        <f ca="1">IFERROR(__xludf.DUMMYFUNCTION("""COMPUTED_VALUE"""),"https://www.zillow.com/homedetails/2243-Century-Hl-Los-Angeles-CA-90067/20510481_zpid/")</f>
        <v>https://www.zillow.com/homedetails/2243-Century-Hl-Los-Angeles-CA-90067/20510481_zpid/</v>
      </c>
      <c r="K972" s="5" t="str">
        <f ca="1">IFERROR(__xludf.DUMMYFUNCTION("""COMPUTED_VALUE"""),"Alison Winston, Dreamstate Living")</f>
        <v>Alison Winston, Dreamstate Living</v>
      </c>
      <c r="L972" s="5"/>
      <c r="M972" s="5"/>
      <c r="N972" s="5" t="str">
        <f ca="1">IFERROR(__xludf.DUMMYFUNCTION("""COMPUTED_VALUE"""),"https://drive.google.com/open?id=1v-VVoRj1-GPmLp0KW9H-PaPRmfXOV8sG, https://drive.google.com/open?id=1Bx51UtY1woTMAwkqceVWEKeh53363IGY")</f>
        <v>https://drive.google.com/open?id=1v-VVoRj1-GPmLp0KW9H-PaPRmfXOV8sG, https://drive.google.com/open?id=1Bx51UtY1woTMAwkqceVWEKeh53363IGY</v>
      </c>
      <c r="O972" s="5">
        <f ca="1">IFERROR(__xludf.DUMMYFUNCTION("""COMPUTED_VALUE"""),4329008163)</f>
        <v>4329008163</v>
      </c>
      <c r="P972" s="5" t="str">
        <f ca="1">IFERROR(__xludf.DUMMYFUNCTION("""COMPUTED_VALUE"""),"(310) 651-0336")</f>
        <v>(310) 651-0336</v>
      </c>
      <c r="Q972" s="5"/>
      <c r="R972" s="5"/>
      <c r="S972" s="5"/>
      <c r="T972" s="18">
        <f ca="1">IFERROR(__xludf.DUMMYFUNCTION("""COMPUTED_VALUE"""),45471)</f>
        <v>45471</v>
      </c>
    </row>
    <row r="973" spans="1:20" ht="12.75">
      <c r="A973" s="24">
        <f ca="1">IFERROR(__xludf.DUMMYFUNCTION("""COMPUTED_VALUE"""),45671.9609911689)</f>
        <v>45671.960991168897</v>
      </c>
      <c r="B973" s="5" t="str">
        <f ca="1">IFERROR(__xludf.DUMMYFUNCTION("""COMPUTED_VALUE"""),"278 E Washington Blvd APT 7")</f>
        <v>278 E Washington Blvd APT 7</v>
      </c>
      <c r="C973" s="5" t="str">
        <f ca="1">IFERROR(__xludf.DUMMYFUNCTION("""COMPUTED_VALUE"""),"Pasadena")</f>
        <v>Pasadena</v>
      </c>
      <c r="D973" s="5" t="str">
        <f ca="1">IFERROR(__xludf.DUMMYFUNCTION("""COMPUTED_VALUE"""),"CA")</f>
        <v>CA</v>
      </c>
      <c r="E973" s="5">
        <f ca="1">IFERROR(__xludf.DUMMYFUNCTION("""COMPUTED_VALUE"""),91104)</f>
        <v>91104</v>
      </c>
      <c r="F973" s="19">
        <f ca="1">IFERROR(__xludf.DUMMYFUNCTION("""COMPUTED_VALUE"""),1850)</f>
        <v>1850</v>
      </c>
      <c r="G973" s="19">
        <f ca="1">IFERROR(__xludf.DUMMYFUNCTION("""COMPUTED_VALUE"""),2895)</f>
        <v>2895</v>
      </c>
      <c r="H973" s="18">
        <f ca="1">IFERROR(__xludf.DUMMYFUNCTION("""COMPUTED_VALUE"""),45665)</f>
        <v>45665</v>
      </c>
      <c r="I973" s="5" t="str">
        <f ca="1">IFERROR(__xludf.DUMMYFUNCTION("""COMPUTED_VALUE"""),"Zillow")</f>
        <v>Zillow</v>
      </c>
      <c r="J973" s="25" t="str">
        <f ca="1">IFERROR(__xludf.DUMMYFUNCTION("""COMPUTED_VALUE"""),"https://www.zillow.com/homedetails/278-E-Washington-Blvd-APT-7-Pasadena-CA-91104/2087473975_zpid/")</f>
        <v>https://www.zillow.com/homedetails/278-E-Washington-Blvd-APT-7-Pasadena-CA-91104/2087473975_zpid/</v>
      </c>
      <c r="K973" s="5" t="str">
        <f ca="1">IFERROR(__xludf.DUMMYFUNCTION("""COMPUTED_VALUE"""),"SWI Washington")</f>
        <v>SWI Washington</v>
      </c>
      <c r="L973" s="5"/>
      <c r="M973" s="5"/>
      <c r="N973" s="26" t="str">
        <f ca="1">IFERROR(__xludf.DUMMYFUNCTION("""COMPUTED_VALUE"""),"https://drive.google.com/open?id=19IcC5_AE79HfQNoxZG2OD__JcCtbZXvM")</f>
        <v>https://drive.google.com/open?id=19IcC5_AE79HfQNoxZG2OD__JcCtbZXvM</v>
      </c>
      <c r="O973" s="5" t="str">
        <f ca="1">IFERROR(__xludf.DUMMYFUNCTION("""COMPUTED_VALUE"""),"NA")</f>
        <v>NA</v>
      </c>
      <c r="P973" s="5" t="str">
        <f ca="1">IFERROR(__xludf.DUMMYFUNCTION("""COMPUTED_VALUE"""),"213-715-6407")</f>
        <v>213-715-6407</v>
      </c>
      <c r="Q973" s="5"/>
      <c r="R973" s="5"/>
      <c r="S973" s="5"/>
      <c r="T973" s="18">
        <f ca="1">IFERROR(__xludf.DUMMYFUNCTION("""COMPUTED_VALUE"""),43414)</f>
        <v>43414</v>
      </c>
    </row>
    <row r="974" spans="1:20" ht="12.75">
      <c r="A974" s="24">
        <f ca="1">IFERROR(__xludf.DUMMYFUNCTION("""COMPUTED_VALUE"""),45671.9631620833)</f>
        <v>45671.963162083302</v>
      </c>
      <c r="B974" s="5" t="str">
        <f ca="1">IFERROR(__xludf.DUMMYFUNCTION("""COMPUTED_VALUE"""),"267 Barthe Dr #14")</f>
        <v>267 Barthe Dr #14</v>
      </c>
      <c r="C974" s="5" t="str">
        <f ca="1">IFERROR(__xludf.DUMMYFUNCTION("""COMPUTED_VALUE"""),"Pasadena")</f>
        <v>Pasadena</v>
      </c>
      <c r="D974" s="5" t="str">
        <f ca="1">IFERROR(__xludf.DUMMYFUNCTION("""COMPUTED_VALUE"""),"CA")</f>
        <v>CA</v>
      </c>
      <c r="E974" s="5">
        <f ca="1">IFERROR(__xludf.DUMMYFUNCTION("""COMPUTED_VALUE"""),91103)</f>
        <v>91103</v>
      </c>
      <c r="F974" s="19">
        <f ca="1">IFERROR(__xludf.DUMMYFUNCTION("""COMPUTED_VALUE"""),2292)</f>
        <v>2292</v>
      </c>
      <c r="G974" s="19">
        <f ca="1">IFERROR(__xludf.DUMMYFUNCTION("""COMPUTED_VALUE"""),2850)</f>
        <v>2850</v>
      </c>
      <c r="H974" s="18">
        <f ca="1">IFERROR(__xludf.DUMMYFUNCTION("""COMPUTED_VALUE"""),45671)</f>
        <v>45671</v>
      </c>
      <c r="I974" s="5" t="str">
        <f ca="1">IFERROR(__xludf.DUMMYFUNCTION("""COMPUTED_VALUE"""),"Zillow")</f>
        <v>Zillow</v>
      </c>
      <c r="J974" s="25" t="str">
        <f ca="1">IFERROR(__xludf.DUMMYFUNCTION("""COMPUTED_VALUE"""),"https://www.zillow.com/homedetails/267-Barthe-Dr-14-Pasadena-CA-91103/441812912_zpid/")</f>
        <v>https://www.zillow.com/homedetails/267-Barthe-Dr-14-Pasadena-CA-91103/441812912_zpid/</v>
      </c>
      <c r="K974" s="5" t="str">
        <f ca="1">IFERROR(__xludf.DUMMYFUNCTION("""COMPUTED_VALUE"""),"Affordable Housing")</f>
        <v>Affordable Housing</v>
      </c>
      <c r="L974" s="5"/>
      <c r="M974" s="5" t="str">
        <f ca="1">IFERROR(__xludf.DUMMYFUNCTION("""COMPUTED_VALUE"""),"Price previously set at $2292 on Dec 2014, taken down on 1/9/2025 before increase on 1/14/2025")</f>
        <v>Price previously set at $2292 on Dec 2014, taken down on 1/9/2025 before increase on 1/14/2025</v>
      </c>
      <c r="N974" s="26" t="str">
        <f ca="1">IFERROR(__xludf.DUMMYFUNCTION("""COMPUTED_VALUE"""),"https://drive.google.com/open?id=1cDso2WqU03ADGzluNncvUJTEm6g7hfFS")</f>
        <v>https://drive.google.com/open?id=1cDso2WqU03ADGzluNncvUJTEm6g7hfFS</v>
      </c>
      <c r="O974" s="5" t="str">
        <f ca="1">IFERROR(__xludf.DUMMYFUNCTION("""COMPUTED_VALUE"""),"NA")</f>
        <v>NA</v>
      </c>
      <c r="P974" s="5" t="str">
        <f ca="1">IFERROR(__xludf.DUMMYFUNCTION("""COMPUTED_VALUE"""),"323-442-1723")</f>
        <v>323-442-1723</v>
      </c>
      <c r="Q974" s="5"/>
      <c r="R974" s="5"/>
      <c r="S974" s="5"/>
      <c r="T974" s="18">
        <f ca="1">IFERROR(__xludf.DUMMYFUNCTION("""COMPUTED_VALUE"""),45666)</f>
        <v>45666</v>
      </c>
    </row>
    <row r="975" spans="1:20" ht="12.75">
      <c r="A975" s="24">
        <f ca="1">IFERROR(__xludf.DUMMYFUNCTION("""COMPUTED_VALUE"""),45671.9647412847)</f>
        <v>45671.964741284697</v>
      </c>
      <c r="B975" s="5" t="str">
        <f ca="1">IFERROR(__xludf.DUMMYFUNCTION("""COMPUTED_VALUE"""),"4703 Columbus Ave")</f>
        <v>4703 Columbus Ave</v>
      </c>
      <c r="C975" s="5" t="str">
        <f ca="1">IFERROR(__xludf.DUMMYFUNCTION("""COMPUTED_VALUE"""),"Sherman Oaks")</f>
        <v>Sherman Oaks</v>
      </c>
      <c r="D975" s="5" t="str">
        <f ca="1">IFERROR(__xludf.DUMMYFUNCTION("""COMPUTED_VALUE"""),"CA")</f>
        <v>CA</v>
      </c>
      <c r="E975" s="5">
        <f ca="1">IFERROR(__xludf.DUMMYFUNCTION("""COMPUTED_VALUE"""),91403)</f>
        <v>91403</v>
      </c>
      <c r="F975" s="19">
        <f ca="1">IFERROR(__xludf.DUMMYFUNCTION("""COMPUTED_VALUE"""),5300)</f>
        <v>5300</v>
      </c>
      <c r="G975" s="19">
        <f ca="1">IFERROR(__xludf.DUMMYFUNCTION("""COMPUTED_VALUE"""),7250)</f>
        <v>7250</v>
      </c>
      <c r="H975" s="18">
        <f ca="1">IFERROR(__xludf.DUMMYFUNCTION("""COMPUTED_VALUE"""),45672)</f>
        <v>45672</v>
      </c>
      <c r="I975" s="5" t="str">
        <f ca="1">IFERROR(__xludf.DUMMYFUNCTION("""COMPUTED_VALUE"""),"Zillow")</f>
        <v>Zillow</v>
      </c>
      <c r="J975" s="25" t="str">
        <f ca="1">IFERROR(__xludf.DUMMYFUNCTION("""COMPUTED_VALUE"""),"https://www.zillow.com/homedetails/4703-Columbus-Ave-Sherman-Oaks-CA-91403/19982935_zpid/")</f>
        <v>https://www.zillow.com/homedetails/4703-Columbus-Ave-Sherman-Oaks-CA-91403/19982935_zpid/</v>
      </c>
      <c r="K975" s="5"/>
      <c r="L975" s="5" t="str">
        <f ca="1">IFERROR(__xludf.DUMMYFUNCTION("""COMPUTED_VALUE"""),"Benjamin Eshaghian")</f>
        <v>Benjamin Eshaghian</v>
      </c>
      <c r="M975" s="5"/>
      <c r="N975" s="5" t="str">
        <f ca="1">IFERROR(__xludf.DUMMYFUNCTION("""COMPUTED_VALUE"""),"https://drive.google.com/open?id=1TslXDi6IW-7JW3JIQ0eYYVvyXgyBf0cV, https://drive.google.com/open?id=14JHqaO-Lmuj0Lor1l_GcjlcEVgY-asjY")</f>
        <v>https://drive.google.com/open?id=1TslXDi6IW-7JW3JIQ0eYYVvyXgyBf0cV, https://drive.google.com/open?id=14JHqaO-Lmuj0Lor1l_GcjlcEVgY-asjY</v>
      </c>
      <c r="O975" s="5">
        <f ca="1">IFERROR(__xludf.DUMMYFUNCTION("""COMPUTED_VALUE"""),2264005027)</f>
        <v>2264005027</v>
      </c>
      <c r="P975" s="5"/>
      <c r="Q975" s="5"/>
      <c r="R975" s="5" t="str">
        <f ca="1">IFERROR(__xludf.DUMMYFUNCTION("""COMPUTED_VALUE"""),"(323) 828-0522")</f>
        <v>(323) 828-0522</v>
      </c>
      <c r="S975" s="5"/>
      <c r="T975" s="18">
        <f ca="1">IFERROR(__xludf.DUMMYFUNCTION("""COMPUTED_VALUE"""),42908)</f>
        <v>42908</v>
      </c>
    </row>
    <row r="976" spans="1:20" ht="12.75">
      <c r="A976" s="24">
        <f ca="1">IFERROR(__xludf.DUMMYFUNCTION("""COMPUTED_VALUE"""),45671.9652857291)</f>
        <v>45671.9652857291</v>
      </c>
      <c r="B976" s="5" t="str">
        <f ca="1">IFERROR(__xludf.DUMMYFUNCTION("""COMPUTED_VALUE"""),"2801 Winter St")</f>
        <v>2801 Winter St</v>
      </c>
      <c r="C976" s="5" t="str">
        <f ca="1">IFERROR(__xludf.DUMMYFUNCTION("""COMPUTED_VALUE"""),"Los Angeles")</f>
        <v>Los Angeles</v>
      </c>
      <c r="D976" s="5" t="str">
        <f ca="1">IFERROR(__xludf.DUMMYFUNCTION("""COMPUTED_VALUE"""),"CA")</f>
        <v>CA</v>
      </c>
      <c r="E976" s="5">
        <f ca="1">IFERROR(__xludf.DUMMYFUNCTION("""COMPUTED_VALUE"""),90033)</f>
        <v>90033</v>
      </c>
      <c r="F976" s="19">
        <f ca="1">IFERROR(__xludf.DUMMYFUNCTION("""COMPUTED_VALUE"""),1)</f>
        <v>1</v>
      </c>
      <c r="G976" s="19">
        <f ca="1">IFERROR(__xludf.DUMMYFUNCTION("""COMPUTED_VALUE"""),4995)</f>
        <v>4995</v>
      </c>
      <c r="H976" s="18">
        <f ca="1">IFERROR(__xludf.DUMMYFUNCTION("""COMPUTED_VALUE"""),45672)</f>
        <v>45672</v>
      </c>
      <c r="I976" s="5" t="str">
        <f ca="1">IFERROR(__xludf.DUMMYFUNCTION("""COMPUTED_VALUE"""),"Zillow")</f>
        <v>Zillow</v>
      </c>
      <c r="J976" s="25" t="str">
        <f ca="1">IFERROR(__xludf.DUMMYFUNCTION("""COMPUTED_VALUE"""),"https://www.zillow.com/homedetails/2801-Winter-St-Los-Angeles-CA-90033/20630676_zpid/")</f>
        <v>https://www.zillow.com/homedetails/2801-Winter-St-Los-Angeles-CA-90033/20630676_zpid/</v>
      </c>
      <c r="K976" s="5" t="str">
        <f ca="1">IFERROR(__xludf.DUMMYFUNCTION("""COMPUTED_VALUE"""),"Fallon Dobrisky")</f>
        <v>Fallon Dobrisky</v>
      </c>
      <c r="L976" s="5"/>
      <c r="M976" s="5" t="str">
        <f ca="1">IFERROR(__xludf.DUMMYFUNCTION("""COMPUTED_VALUE"""),"New listing not fuurnished, exceeds 160% of fair market rent for 3 beds in 90033 (FMR 3b: 2940, 160%FMR=$4704)")</f>
        <v>New listing not fuurnished, exceeds 160% of fair market rent for 3 beds in 90033 (FMR 3b: 2940, 160%FMR=$4704)</v>
      </c>
      <c r="N976" s="5" t="str">
        <f ca="1">IFERROR(__xludf.DUMMYFUNCTION("""COMPUTED_VALUE"""),"https://drive.google.com/open?id=1bA8MVryl5MGMoE0dOIssNoC-AEie25YD, https://drive.google.com/open?id=1ujycpwTPspm1e5amSX451UbMUlefjsQx, https://drive.google.com/open?id=1cCI01sHxOX9ewbRjX0ojWLMu9vkbTzhb")</f>
        <v>https://drive.google.com/open?id=1bA8MVryl5MGMoE0dOIssNoC-AEie25YD, https://drive.google.com/open?id=1ujycpwTPspm1e5amSX451UbMUlefjsQx, https://drive.google.com/open?id=1cCI01sHxOX9ewbRjX0ojWLMu9vkbTzhb</v>
      </c>
      <c r="O976" s="5">
        <f ca="1">IFERROR(__xludf.DUMMYFUNCTION("""COMPUTED_VALUE"""),5178009022)</f>
        <v>5178009022</v>
      </c>
      <c r="P976" s="5" t="str">
        <f ca="1">IFERROR(__xludf.DUMMYFUNCTION("""COMPUTED_VALUE"""),"(323) 716-1876")</f>
        <v>(323) 716-1876</v>
      </c>
      <c r="Q976" s="5"/>
      <c r="R976" s="5"/>
      <c r="S976" s="5"/>
      <c r="T976" s="18">
        <f ca="1">IFERROR(__xludf.DUMMYFUNCTION("""COMPUTED_VALUE"""),44760)</f>
        <v>44760</v>
      </c>
    </row>
    <row r="977" spans="1:20" ht="12.75">
      <c r="A977" s="24">
        <f ca="1">IFERROR(__xludf.DUMMYFUNCTION("""COMPUTED_VALUE"""),45671.966848206)</f>
        <v>45671.966848206001</v>
      </c>
      <c r="B977" s="5" t="str">
        <f ca="1">IFERROR(__xludf.DUMMYFUNCTION("""COMPUTED_VALUE"""),"501 E Del Mar Blvd APT 110")</f>
        <v>501 E Del Mar Blvd APT 110</v>
      </c>
      <c r="C977" s="5" t="str">
        <f ca="1">IFERROR(__xludf.DUMMYFUNCTION("""COMPUTED_VALUE"""),"Pasadena")</f>
        <v>Pasadena</v>
      </c>
      <c r="D977" s="5" t="str">
        <f ca="1">IFERROR(__xludf.DUMMYFUNCTION("""COMPUTED_VALUE"""),"CA")</f>
        <v>CA</v>
      </c>
      <c r="E977" s="5">
        <f ca="1">IFERROR(__xludf.DUMMYFUNCTION("""COMPUTED_VALUE"""),91101)</f>
        <v>91101</v>
      </c>
      <c r="F977" s="19">
        <f ca="1">IFERROR(__xludf.DUMMYFUNCTION("""COMPUTED_VALUE"""),2800)</f>
        <v>2800</v>
      </c>
      <c r="G977" s="19">
        <f ca="1">IFERROR(__xludf.DUMMYFUNCTION("""COMPUTED_VALUE"""),3600)</f>
        <v>3600</v>
      </c>
      <c r="H977" s="18">
        <f ca="1">IFERROR(__xludf.DUMMYFUNCTION("""COMPUTED_VALUE"""),45666)</f>
        <v>45666</v>
      </c>
      <c r="I977" s="5" t="str">
        <f ca="1">IFERROR(__xludf.DUMMYFUNCTION("""COMPUTED_VALUE"""),"Zillow")</f>
        <v>Zillow</v>
      </c>
      <c r="J977" s="25" t="str">
        <f ca="1">IFERROR(__xludf.DUMMYFUNCTION("""COMPUTED_VALUE"""),"https://www.zillow.com/homedetails/501-E-Del-Mar-Blvd-APT-110-Pasadena-CA-91101/20867692_zpid/")</f>
        <v>https://www.zillow.com/homedetails/501-E-Del-Mar-Blvd-APT-110-Pasadena-CA-91101/20867692_zpid/</v>
      </c>
      <c r="K977" s="5" t="str">
        <f ca="1">IFERROR(__xludf.DUMMYFUNCTION("""COMPUTED_VALUE"""),"Bill J. Yoo")</f>
        <v>Bill J. Yoo</v>
      </c>
      <c r="L977" s="5"/>
      <c r="M977" s="5"/>
      <c r="N977" s="26" t="str">
        <f ca="1">IFERROR(__xludf.DUMMYFUNCTION("""COMPUTED_VALUE"""),"https://drive.google.com/open?id=1mfXKOtzVxM1yr-gpVxHvdkSHDFGlaGPI")</f>
        <v>https://drive.google.com/open?id=1mfXKOtzVxM1yr-gpVxHvdkSHDFGlaGPI</v>
      </c>
      <c r="O977" s="5">
        <f ca="1">IFERROR(__xludf.DUMMYFUNCTION("""COMPUTED_VALUE"""),5734010097)</f>
        <v>5734010097</v>
      </c>
      <c r="P977" s="5" t="str">
        <f ca="1">IFERROR(__xludf.DUMMYFUNCTION("""COMPUTED_VALUE"""),"213-923-3863")</f>
        <v>213-923-3863</v>
      </c>
      <c r="Q977" s="5"/>
      <c r="R977" s="5"/>
      <c r="S977" s="5"/>
      <c r="T977" s="18">
        <f ca="1">IFERROR(__xludf.DUMMYFUNCTION("""COMPUTED_VALUE"""),43981)</f>
        <v>43981</v>
      </c>
    </row>
    <row r="978" spans="1:20" ht="12.75">
      <c r="A978" s="24">
        <f ca="1">IFERROR(__xludf.DUMMYFUNCTION("""COMPUTED_VALUE"""),45671.9672079166)</f>
        <v>45671.967207916598</v>
      </c>
      <c r="B978" s="5" t="str">
        <f ca="1">IFERROR(__xludf.DUMMYFUNCTION("""COMPUTED_VALUE"""),"332 N Orlando Ave")</f>
        <v>332 N Orlando Ave</v>
      </c>
      <c r="C978" s="5" t="str">
        <f ca="1">IFERROR(__xludf.DUMMYFUNCTION("""COMPUTED_VALUE"""),"Los Angeles")</f>
        <v>Los Angeles</v>
      </c>
      <c r="D978" s="5" t="str">
        <f ca="1">IFERROR(__xludf.DUMMYFUNCTION("""COMPUTED_VALUE"""),"CA")</f>
        <v>CA</v>
      </c>
      <c r="E978" s="5">
        <f ca="1">IFERROR(__xludf.DUMMYFUNCTION("""COMPUTED_VALUE"""),90048)</f>
        <v>90048</v>
      </c>
      <c r="F978" s="19">
        <f ca="1">IFERROR(__xludf.DUMMYFUNCTION("""COMPUTED_VALUE"""),12500)</f>
        <v>12500</v>
      </c>
      <c r="G978" s="19">
        <f ca="1">IFERROR(__xludf.DUMMYFUNCTION("""COMPUTED_VALUE"""),15000)</f>
        <v>15000</v>
      </c>
      <c r="H978" s="18">
        <f ca="1">IFERROR(__xludf.DUMMYFUNCTION("""COMPUTED_VALUE"""),45672)</f>
        <v>45672</v>
      </c>
      <c r="I978" s="5" t="str">
        <f ca="1">IFERROR(__xludf.DUMMYFUNCTION("""COMPUTED_VALUE"""),"Zillow")</f>
        <v>Zillow</v>
      </c>
      <c r="J978" s="25" t="str">
        <f ca="1">IFERROR(__xludf.DUMMYFUNCTION("""COMPUTED_VALUE"""),"https://www.zillow.com/homedetails/332-N-Orlando-Ave-Los-Angeles-CA-90048/20779041_zpid/")</f>
        <v>https://www.zillow.com/homedetails/332-N-Orlando-Ave-Los-Angeles-CA-90048/20779041_zpid/</v>
      </c>
      <c r="K978" s="5" t="str">
        <f ca="1">IFERROR(__xludf.DUMMYFUNCTION("""COMPUTED_VALUE"""),"Anat Yifrah, American Dream Realty")</f>
        <v>Anat Yifrah, American Dream Realty</v>
      </c>
      <c r="L978" s="5"/>
      <c r="M978" s="5"/>
      <c r="N978" s="5" t="str">
        <f ca="1">IFERROR(__xludf.DUMMYFUNCTION("""COMPUTED_VALUE"""),"https://drive.google.com/open?id=1J1eRRJrKJSL30vWfsFguLX9XPVG_bmnb, https://drive.google.com/open?id=1y5gh20nkqD-vMSy8ld878lkDixJ2XDgh")</f>
        <v>https://drive.google.com/open?id=1J1eRRJrKJSL30vWfsFguLX9XPVG_bmnb, https://drive.google.com/open?id=1y5gh20nkqD-vMSy8ld878lkDixJ2XDgh</v>
      </c>
      <c r="O978" s="5">
        <f ca="1">IFERROR(__xludf.DUMMYFUNCTION("""COMPUTED_VALUE"""),5514010008)</f>
        <v>5514010008</v>
      </c>
      <c r="P978" s="5"/>
      <c r="Q978" s="5"/>
      <c r="R978" s="5"/>
      <c r="S978" s="5"/>
      <c r="T978" s="18">
        <f ca="1">IFERROR(__xludf.DUMMYFUNCTION("""COMPUTED_VALUE"""),45489)</f>
        <v>45489</v>
      </c>
    </row>
    <row r="979" spans="1:20" ht="12.75">
      <c r="A979" s="24">
        <f ca="1">IFERROR(__xludf.DUMMYFUNCTION("""COMPUTED_VALUE"""),45671.968744699)</f>
        <v>45671.968744698999</v>
      </c>
      <c r="B979" s="5" t="str">
        <f ca="1">IFERROR(__xludf.DUMMYFUNCTION("""COMPUTED_VALUE"""),"394 S Los Robles Ave APT 7")</f>
        <v>394 S Los Robles Ave APT 7</v>
      </c>
      <c r="C979" s="5" t="str">
        <f ca="1">IFERROR(__xludf.DUMMYFUNCTION("""COMPUTED_VALUE"""),"Pasadena")</f>
        <v>Pasadena</v>
      </c>
      <c r="D979" s="5" t="str">
        <f ca="1">IFERROR(__xludf.DUMMYFUNCTION("""COMPUTED_VALUE"""),"CA")</f>
        <v>CA</v>
      </c>
      <c r="E979" s="5">
        <f ca="1">IFERROR(__xludf.DUMMYFUNCTION("""COMPUTED_VALUE"""),91101)</f>
        <v>91101</v>
      </c>
      <c r="F979" s="19">
        <f ca="1">IFERROR(__xludf.DUMMYFUNCTION("""COMPUTED_VALUE"""),3350)</f>
        <v>3350</v>
      </c>
      <c r="G979" s="19">
        <f ca="1">IFERROR(__xludf.DUMMYFUNCTION("""COMPUTED_VALUE"""),4495)</f>
        <v>4495</v>
      </c>
      <c r="H979" s="18">
        <f ca="1">IFERROR(__xludf.DUMMYFUNCTION("""COMPUTED_VALUE"""),45666)</f>
        <v>45666</v>
      </c>
      <c r="I979" s="5" t="str">
        <f ca="1">IFERROR(__xludf.DUMMYFUNCTION("""COMPUTED_VALUE"""),"Zillow")</f>
        <v>Zillow</v>
      </c>
      <c r="J979" s="25" t="str">
        <f ca="1">IFERROR(__xludf.DUMMYFUNCTION("""COMPUTED_VALUE"""),"https://www.zillow.com/homedetails/394-S-Los-Robles-Ave-APT-7-Pasadena-CA-91101/20867347_zpid/")</f>
        <v>https://www.zillow.com/homedetails/394-S-Los-Robles-Ave-APT-7-Pasadena-CA-91101/20867347_zpid/</v>
      </c>
      <c r="K979" s="5" t="str">
        <f ca="1">IFERROR(__xludf.DUMMYFUNCTION("""COMPUTED_VALUE"""),"Beven and Brock")</f>
        <v>Beven and Brock</v>
      </c>
      <c r="L979" s="5"/>
      <c r="M979" s="5"/>
      <c r="N979" s="26" t="str">
        <f ca="1">IFERROR(__xludf.DUMMYFUNCTION("""COMPUTED_VALUE"""),"https://drive.google.com/open?id=1z9LzIuRRJFbJ6JcCrVGK_Kb7TFP0hJ9W")</f>
        <v>https://drive.google.com/open?id=1z9LzIuRRJFbJ6JcCrVGK_Kb7TFP0hJ9W</v>
      </c>
      <c r="O979" s="5">
        <f ca="1">IFERROR(__xludf.DUMMYFUNCTION("""COMPUTED_VALUE"""),5734005137)</f>
        <v>5734005137</v>
      </c>
      <c r="P979" s="5" t="str">
        <f ca="1">IFERROR(__xludf.DUMMYFUNCTION("""COMPUTED_VALUE"""),"626-243-4166")</f>
        <v>626-243-4166</v>
      </c>
      <c r="Q979" s="5"/>
      <c r="R979" s="5"/>
      <c r="S979" s="5"/>
      <c r="T979" s="18">
        <f ca="1">IFERROR(__xludf.DUMMYFUNCTION("""COMPUTED_VALUE"""),43965)</f>
        <v>43965</v>
      </c>
    </row>
    <row r="980" spans="1:20" ht="12.75">
      <c r="A980" s="24">
        <f ca="1">IFERROR(__xludf.DUMMYFUNCTION("""COMPUTED_VALUE"""),45671.9691083912)</f>
        <v>45671.969108391197</v>
      </c>
      <c r="B980" s="5" t="str">
        <f ca="1">IFERROR(__xludf.DUMMYFUNCTION("""COMPUTED_VALUE"""),"5115 Kester Ave APT 9")</f>
        <v>5115 Kester Ave APT 9</v>
      </c>
      <c r="C980" s="5" t="str">
        <f ca="1">IFERROR(__xludf.DUMMYFUNCTION("""COMPUTED_VALUE"""),"Sherman Oaks")</f>
        <v>Sherman Oaks</v>
      </c>
      <c r="D980" s="5" t="str">
        <f ca="1">IFERROR(__xludf.DUMMYFUNCTION("""COMPUTED_VALUE"""),"CA")</f>
        <v>CA</v>
      </c>
      <c r="E980" s="5">
        <f ca="1">IFERROR(__xludf.DUMMYFUNCTION("""COMPUTED_VALUE"""),91403)</f>
        <v>91403</v>
      </c>
      <c r="F980" s="19">
        <f ca="1">IFERROR(__xludf.DUMMYFUNCTION("""COMPUTED_VALUE"""),3250)</f>
        <v>3250</v>
      </c>
      <c r="G980" s="19">
        <f ca="1">IFERROR(__xludf.DUMMYFUNCTION("""COMPUTED_VALUE"""),4650)</f>
        <v>4650</v>
      </c>
      <c r="H980" s="18">
        <f ca="1">IFERROR(__xludf.DUMMYFUNCTION("""COMPUTED_VALUE"""),45672)</f>
        <v>45672</v>
      </c>
      <c r="I980" s="5" t="str">
        <f ca="1">IFERROR(__xludf.DUMMYFUNCTION("""COMPUTED_VALUE"""),"Zillow")</f>
        <v>Zillow</v>
      </c>
      <c r="J980" s="25" t="str">
        <f ca="1">IFERROR(__xludf.DUMMYFUNCTION("""COMPUTED_VALUE"""),"https://www.zillow.com/homedetails/5115-Kester-Ave-APT-9-Sherman-Oaks-CA-91403/19981877_zpid/")</f>
        <v>https://www.zillow.com/homedetails/5115-Kester-Ave-APT-9-Sherman-Oaks-CA-91403/19981877_zpid/</v>
      </c>
      <c r="K980" s="5"/>
      <c r="L980" s="5" t="str">
        <f ca="1">IFERROR(__xludf.DUMMYFUNCTION("""COMPUTED_VALUE"""),"Ian")</f>
        <v>Ian</v>
      </c>
      <c r="M980" s="5"/>
      <c r="N980" s="5" t="str">
        <f ca="1">IFERROR(__xludf.DUMMYFUNCTION("""COMPUTED_VALUE"""),"https://drive.google.com/open?id=1QSIQKtUm9el_sq9oOnhO4yYCYWd9Zca9, https://drive.google.com/open?id=1tVU5xzrJNA0QegoM-a3R8PBFF0YW0EUf")</f>
        <v>https://drive.google.com/open?id=1QSIQKtUm9el_sq9oOnhO4yYCYWd9Zca9, https://drive.google.com/open?id=1tVU5xzrJNA0QegoM-a3R8PBFF0YW0EUf</v>
      </c>
      <c r="O980" s="5">
        <f ca="1">IFERROR(__xludf.DUMMYFUNCTION("""COMPUTED_VALUE"""),2263005043)</f>
        <v>2263005043</v>
      </c>
      <c r="P980" s="5"/>
      <c r="Q980" s="5"/>
      <c r="R980" s="5" t="str">
        <f ca="1">IFERROR(__xludf.DUMMYFUNCTION("""COMPUTED_VALUE"""),"(213) 474-7933")</f>
        <v>(213) 474-7933</v>
      </c>
      <c r="S980" s="5"/>
      <c r="T980" s="18">
        <f ca="1">IFERROR(__xludf.DUMMYFUNCTION("""COMPUTED_VALUE"""),44936)</f>
        <v>44936</v>
      </c>
    </row>
    <row r="981" spans="1:20" ht="12.75">
      <c r="A981" s="24">
        <f ca="1">IFERROR(__xludf.DUMMYFUNCTION("""COMPUTED_VALUE"""),45671.9700592361)</f>
        <v>45671.970059236097</v>
      </c>
      <c r="B981" s="5" t="str">
        <f ca="1">IFERROR(__xludf.DUMMYFUNCTION("""COMPUTED_VALUE"""),"3227 E 8th St #1")</f>
        <v>3227 E 8th St #1</v>
      </c>
      <c r="C981" s="5" t="str">
        <f ca="1">IFERROR(__xludf.DUMMYFUNCTION("""COMPUTED_VALUE"""),"Los Angeles")</f>
        <v>Los Angeles</v>
      </c>
      <c r="D981" s="5" t="str">
        <f ca="1">IFERROR(__xludf.DUMMYFUNCTION("""COMPUTED_VALUE"""),"CA")</f>
        <v>CA</v>
      </c>
      <c r="E981" s="5">
        <f ca="1">IFERROR(__xludf.DUMMYFUNCTION("""COMPUTED_VALUE"""),90023)</f>
        <v>90023</v>
      </c>
      <c r="F981" s="19">
        <f ca="1">IFERROR(__xludf.DUMMYFUNCTION("""COMPUTED_VALUE"""),1)</f>
        <v>1</v>
      </c>
      <c r="G981" s="19">
        <f ca="1">IFERROR(__xludf.DUMMYFUNCTION("""COMPUTED_VALUE"""),3000)</f>
        <v>3000</v>
      </c>
      <c r="H981" s="18">
        <f ca="1">IFERROR(__xludf.DUMMYFUNCTION("""COMPUTED_VALUE"""),45668)</f>
        <v>45668</v>
      </c>
      <c r="I981" s="5" t="str">
        <f ca="1">IFERROR(__xludf.DUMMYFUNCTION("""COMPUTED_VALUE"""),"Zillow")</f>
        <v>Zillow</v>
      </c>
      <c r="J981" s="25" t="str">
        <f ca="1">IFERROR(__xludf.DUMMYFUNCTION("""COMPUTED_VALUE"""),"https://www.zillow.com/homedetails/3227-E-8th-St-1-Los-Angeles-CA-90023/443931453_zpid/")</f>
        <v>https://www.zillow.com/homedetails/3227-E-8th-St-1-Los-Angeles-CA-90023/443931453_zpid/</v>
      </c>
      <c r="K981" s="5" t="str">
        <f ca="1">IFERROR(__xludf.DUMMYFUNCTION("""COMPUTED_VALUE"""),"isabel pena")</f>
        <v>isabel pena</v>
      </c>
      <c r="L981" s="5"/>
      <c r="M981" s="5" t="str">
        <f ca="1">IFERROR(__xludf.DUMMYFUNCTION("""COMPUTED_VALUE"""),"No previous listing; 2 bed furnished exceeds 165% FMR for 2b in 90023 (FMR = $1810, 165%FMR = $2896.5)")</f>
        <v>No previous listing; 2 bed furnished exceeds 165% FMR for 2b in 90023 (FMR = $1810, 165%FMR = $2896.5)</v>
      </c>
      <c r="N981" s="5" t="str">
        <f ca="1">IFERROR(__xludf.DUMMYFUNCTION("""COMPUTED_VALUE"""),"https://drive.google.com/open?id=1Rhij72cCzcylmOMir2vXeLRSJmsdltL5, https://drive.google.com/open?id=1S0fnGNYAQfz4PF5ccBj0HMN8veo7gxxX, https://drive.google.com/open?id=19n4-W1w98TxcmUTbfAZMfw_sp3M2cPLE")</f>
        <v>https://drive.google.com/open?id=1Rhij72cCzcylmOMir2vXeLRSJmsdltL5, https://drive.google.com/open?id=1S0fnGNYAQfz4PF5ccBj0HMN8veo7gxxX, https://drive.google.com/open?id=19n4-W1w98TxcmUTbfAZMfw_sp3M2cPLE</v>
      </c>
      <c r="O981" s="5" t="str">
        <f ca="1">IFERROR(__xludf.DUMMYFUNCTION("""COMPUTED_VALUE"""),"NA")</f>
        <v>NA</v>
      </c>
      <c r="P981" s="5" t="str">
        <f ca="1">IFERROR(__xludf.DUMMYFUNCTION("""COMPUTED_VALUE"""),"(323) 929-7265")</f>
        <v>(323) 929-7265</v>
      </c>
      <c r="Q981" s="5"/>
      <c r="R981" s="5"/>
      <c r="S981" s="5"/>
      <c r="T981" s="18">
        <f ca="1">IFERROR(__xludf.DUMMYFUNCTION("""COMPUTED_VALUE"""),45668)</f>
        <v>45668</v>
      </c>
    </row>
    <row r="982" spans="1:20" ht="12.75">
      <c r="A982" s="24">
        <f ca="1">IFERROR(__xludf.DUMMYFUNCTION("""COMPUTED_VALUE"""),45671.9742765856)</f>
        <v>45671.974276585599</v>
      </c>
      <c r="B982" s="5" t="str">
        <f ca="1">IFERROR(__xludf.DUMMYFUNCTION("""COMPUTED_VALUE"""),"3406 Larissa Dr")</f>
        <v>3406 Larissa Dr</v>
      </c>
      <c r="C982" s="5" t="str">
        <f ca="1">IFERROR(__xludf.DUMMYFUNCTION("""COMPUTED_VALUE"""),"Los Angeles")</f>
        <v>Los Angeles</v>
      </c>
      <c r="D982" s="5" t="str">
        <f ca="1">IFERROR(__xludf.DUMMYFUNCTION("""COMPUTED_VALUE"""),"CA")</f>
        <v>CA</v>
      </c>
      <c r="E982" s="5">
        <f ca="1">IFERROR(__xludf.DUMMYFUNCTION("""COMPUTED_VALUE"""),90026)</f>
        <v>90026</v>
      </c>
      <c r="F982" s="19">
        <f ca="1">IFERROR(__xludf.DUMMYFUNCTION("""COMPUTED_VALUE"""),2295)</f>
        <v>2295</v>
      </c>
      <c r="G982" s="19">
        <f ca="1">IFERROR(__xludf.DUMMYFUNCTION("""COMPUTED_VALUE"""),3200)</f>
        <v>3200</v>
      </c>
      <c r="H982" s="18">
        <f ca="1">IFERROR(__xludf.DUMMYFUNCTION("""COMPUTED_VALUE"""),45661)</f>
        <v>45661</v>
      </c>
      <c r="I982" s="5" t="str">
        <f ca="1">IFERROR(__xludf.DUMMYFUNCTION("""COMPUTED_VALUE"""),"Zillow")</f>
        <v>Zillow</v>
      </c>
      <c r="J982" s="25" t="str">
        <f ca="1">IFERROR(__xludf.DUMMYFUNCTION("""COMPUTED_VALUE"""),"https://www.zillow.com/homedetails/3406-Larissa-Dr-Los-Angeles-CA-90026/2104279829_zpid/")</f>
        <v>https://www.zillow.com/homedetails/3406-Larissa-Dr-Los-Angeles-CA-90026/2104279829_zpid/</v>
      </c>
      <c r="K982" s="5"/>
      <c r="L982" s="5" t="str">
        <f ca="1">IFERROR(__xludf.DUMMYFUNCTION("""COMPUTED_VALUE"""),"Aventino")</f>
        <v>Aventino</v>
      </c>
      <c r="M982" s="5"/>
      <c r="N982" s="5" t="str">
        <f ca="1">IFERROR(__xludf.DUMMYFUNCTION("""COMPUTED_VALUE"""),"https://drive.google.com/open?id=12LAzvVYJM862tXz6XWXc8UJJdHHnWtwU, https://drive.google.com/open?id=12DULv9ItjhTJC4TupKQZGLukfnfdtYzD")</f>
        <v>https://drive.google.com/open?id=12LAzvVYJM862tXz6XWXc8UJJdHHnWtwU, https://drive.google.com/open?id=12DULv9ItjhTJC4TupKQZGLukfnfdtYzD</v>
      </c>
      <c r="O982" s="5" t="str">
        <f ca="1">IFERROR(__xludf.DUMMYFUNCTION("""COMPUTED_VALUE"""),"NA")</f>
        <v>NA</v>
      </c>
      <c r="P982" s="5"/>
      <c r="Q982" s="5"/>
      <c r="R982" s="5"/>
      <c r="S982" s="5"/>
      <c r="T982" s="18">
        <f ca="1">IFERROR(__xludf.DUMMYFUNCTION("""COMPUTED_VALUE"""),44384)</f>
        <v>44384</v>
      </c>
    </row>
    <row r="983" spans="1:20" ht="12.75">
      <c r="A983" s="24">
        <f ca="1">IFERROR(__xludf.DUMMYFUNCTION("""COMPUTED_VALUE"""),45671.9780143865)</f>
        <v>45671.978014386499</v>
      </c>
      <c r="B983" s="5" t="str">
        <f ca="1">IFERROR(__xludf.DUMMYFUNCTION("""COMPUTED_VALUE"""),"137 N Doheny Dr #3")</f>
        <v>137 N Doheny Dr #3</v>
      </c>
      <c r="C983" s="5" t="str">
        <f ca="1">IFERROR(__xludf.DUMMYFUNCTION("""COMPUTED_VALUE"""),"Los Angeles")</f>
        <v>Los Angeles</v>
      </c>
      <c r="D983" s="5" t="str">
        <f ca="1">IFERROR(__xludf.DUMMYFUNCTION("""COMPUTED_VALUE"""),"CA")</f>
        <v>CA</v>
      </c>
      <c r="E983" s="5">
        <f ca="1">IFERROR(__xludf.DUMMYFUNCTION("""COMPUTED_VALUE"""),90048)</f>
        <v>90048</v>
      </c>
      <c r="F983" s="19">
        <f ca="1">IFERROR(__xludf.DUMMYFUNCTION("""COMPUTED_VALUE"""),16995)</f>
        <v>16995</v>
      </c>
      <c r="G983" s="19">
        <f ca="1">IFERROR(__xludf.DUMMYFUNCTION("""COMPUTED_VALUE"""),25000)</f>
        <v>25000</v>
      </c>
      <c r="H983" s="18">
        <f ca="1">IFERROR(__xludf.DUMMYFUNCTION("""COMPUTED_VALUE"""),45672)</f>
        <v>45672</v>
      </c>
      <c r="I983" s="5" t="str">
        <f ca="1">IFERROR(__xludf.DUMMYFUNCTION("""COMPUTED_VALUE"""),"Zillow")</f>
        <v>Zillow</v>
      </c>
      <c r="J983" s="25" t="str">
        <f ca="1">IFERROR(__xludf.DUMMYFUNCTION("""COMPUTED_VALUE"""),"https://www.zillow.com/homedetails/137-N-Doheny-Dr-3-Los-Angeles-CA-90048/406261680_zpid/")</f>
        <v>https://www.zillow.com/homedetails/137-N-Doheny-Dr-3-Los-Angeles-CA-90048/406261680_zpid/</v>
      </c>
      <c r="K983" s="5" t="str">
        <f ca="1">IFERROR(__xludf.DUMMYFUNCTION("""COMPUTED_VALUE"""),"Jordan Pollack, LA Luxuries")</f>
        <v>Jordan Pollack, LA Luxuries</v>
      </c>
      <c r="L983" s="5"/>
      <c r="M983" s="5" t="str">
        <f ca="1">IFERROR(__xludf.DUMMYFUNCTION("""COMPUTED_VALUE"""),"Preserved on archive.org")</f>
        <v>Preserved on archive.org</v>
      </c>
      <c r="N983" s="26" t="str">
        <f ca="1">IFERROR(__xludf.DUMMYFUNCTION("""COMPUTED_VALUE"""),"https://drive.google.com/open?id=1q-Sdl8RYDbcdX4WsK2QjxRs-_M-y8IDU")</f>
        <v>https://drive.google.com/open?id=1q-Sdl8RYDbcdX4WsK2QjxRs-_M-y8IDU</v>
      </c>
      <c r="O983" s="5" t="str">
        <f ca="1">IFERROR(__xludf.DUMMYFUNCTION("""COMPUTED_VALUE"""),"NA")</f>
        <v>NA</v>
      </c>
      <c r="P983" s="5" t="str">
        <f ca="1">IFERROR(__xludf.DUMMYFUNCTION("""COMPUTED_VALUE"""),"(310) 666-5736")</f>
        <v>(310) 666-5736</v>
      </c>
      <c r="Q983" s="5"/>
      <c r="R983" s="5"/>
      <c r="S983" s="5"/>
      <c r="T983" s="18">
        <f ca="1">IFERROR(__xludf.DUMMYFUNCTION("""COMPUTED_VALUE"""),45507)</f>
        <v>45507</v>
      </c>
    </row>
    <row r="984" spans="1:20" ht="12.75">
      <c r="A984" s="24">
        <f ca="1">IFERROR(__xludf.DUMMYFUNCTION("""COMPUTED_VALUE"""),45671.9810012152)</f>
        <v>45671.981001215201</v>
      </c>
      <c r="B984" s="5" t="str">
        <f ca="1">IFERROR(__xludf.DUMMYFUNCTION("""COMPUTED_VALUE"""),"909 El Centro St FLOOR 2-ID1158, South Pasadena, CA 91030")</f>
        <v>909 El Centro St FLOOR 2-ID1158, South Pasadena, CA 91030</v>
      </c>
      <c r="C984" s="5" t="str">
        <f ca="1">IFERROR(__xludf.DUMMYFUNCTION("""COMPUTED_VALUE"""),"South Pasadena")</f>
        <v>South Pasadena</v>
      </c>
      <c r="D984" s="5" t="str">
        <f ca="1">IFERROR(__xludf.DUMMYFUNCTION("""COMPUTED_VALUE"""),"CA")</f>
        <v>CA</v>
      </c>
      <c r="E984" s="5">
        <f ca="1">IFERROR(__xludf.DUMMYFUNCTION("""COMPUTED_VALUE"""),91030)</f>
        <v>91030</v>
      </c>
      <c r="F984" s="19">
        <f ca="1">IFERROR(__xludf.DUMMYFUNCTION("""COMPUTED_VALUE"""),2630)</f>
        <v>2630</v>
      </c>
      <c r="G984" s="19">
        <f ca="1">IFERROR(__xludf.DUMMYFUNCTION("""COMPUTED_VALUE"""),3120)</f>
        <v>3120</v>
      </c>
      <c r="H984" s="18">
        <f ca="1">IFERROR(__xludf.DUMMYFUNCTION("""COMPUTED_VALUE"""),45301)</f>
        <v>45301</v>
      </c>
      <c r="I984" s="5" t="str">
        <f ca="1">IFERROR(__xludf.DUMMYFUNCTION("""COMPUTED_VALUE"""),"Zillow")</f>
        <v>Zillow</v>
      </c>
      <c r="J984" s="25" t="str">
        <f ca="1">IFERROR(__xludf.DUMMYFUNCTION("""COMPUTED_VALUE"""),"https://www.zillow.com/homedetails/909-El-Centro-St-FLOOR-2-ID1158-South-Pasadena-CA-91030/2053698939_zpid/?utm_campaign=iosappmessage&amp;utm_medium=referral&amp;utm_source=txtshare")</f>
        <v>https://www.zillow.com/homedetails/909-El-Centro-St-FLOOR-2-ID1158-South-Pasadena-CA-91030/2053698939_zpid/?utm_campaign=iosappmessage&amp;utm_medium=referral&amp;utm_source=txtshare</v>
      </c>
      <c r="K984" s="5" t="str">
        <f ca="1">IFERROR(__xludf.DUMMYFUNCTION("""COMPUTED_VALUE"""),"Blueground")</f>
        <v>Blueground</v>
      </c>
      <c r="L984" s="5"/>
      <c r="M984" s="5" t="str">
        <f ca="1">IFERROR(__xludf.DUMMYFUNCTION("""COMPUTED_VALUE"""),"This property has been on the market for a while and has wildly oscillating rates. It’s been at this price before, but this seems to be a recent increase post fire. The landlord is a 3rd party property manager renting out furnished apartments.")</f>
        <v>This property has been on the market for a while and has wildly oscillating rates. It’s been at this price before, but this seems to be a recent increase post fire. The landlord is a 3rd party property manager renting out furnished apartments.</v>
      </c>
      <c r="N984" s="5" t="str">
        <f ca="1">IFERROR(__xludf.DUMMYFUNCTION("""COMPUTED_VALUE"""),"https://drive.google.com/open?id=102JX2mGhuXSI_vxqq1mgx8GYBAxjlPCt, https://drive.google.com/open?id=1CsYlo00ooMmSyaahgewwTWW6LWHqKk_H")</f>
        <v>https://drive.google.com/open?id=102JX2mGhuXSI_vxqq1mgx8GYBAxjlPCt, https://drive.google.com/open?id=1CsYlo00ooMmSyaahgewwTWW6LWHqKk_H</v>
      </c>
      <c r="O984" s="5" t="str">
        <f ca="1">IFERROR(__xludf.DUMMYFUNCTION("""COMPUTED_VALUE"""),"NA")</f>
        <v>NA</v>
      </c>
      <c r="P984" s="5">
        <f ca="1">IFERROR(__xludf.DUMMYFUNCTION("""COMPUTED_VALUE"""),3236885446)</f>
        <v>3236885446</v>
      </c>
      <c r="Q984" s="5"/>
      <c r="R984" s="5"/>
      <c r="S984" s="5"/>
      <c r="T984" s="18">
        <f ca="1">IFERROR(__xludf.DUMMYFUNCTION("""COMPUTED_VALUE"""),45657)</f>
        <v>45657</v>
      </c>
    </row>
    <row r="985" spans="1:20" ht="12.75">
      <c r="A985" s="24">
        <f ca="1">IFERROR(__xludf.DUMMYFUNCTION("""COMPUTED_VALUE"""),45671.9812612268)</f>
        <v>45671.9812612268</v>
      </c>
      <c r="B985" s="5" t="str">
        <f ca="1">IFERROR(__xludf.DUMMYFUNCTION("""COMPUTED_VALUE"""),"5709 Calvin Ave")</f>
        <v>5709 Calvin Ave</v>
      </c>
      <c r="C985" s="5" t="str">
        <f ca="1">IFERROR(__xludf.DUMMYFUNCTION("""COMPUTED_VALUE"""),"Tarzana")</f>
        <v>Tarzana</v>
      </c>
      <c r="D985" s="5" t="str">
        <f ca="1">IFERROR(__xludf.DUMMYFUNCTION("""COMPUTED_VALUE"""),"CA")</f>
        <v>CA</v>
      </c>
      <c r="E985" s="5">
        <f ca="1">IFERROR(__xludf.DUMMYFUNCTION("""COMPUTED_VALUE"""),91356)</f>
        <v>91356</v>
      </c>
      <c r="F985" s="19">
        <f ca="1">IFERROR(__xludf.DUMMYFUNCTION("""COMPUTED_VALUE"""),4800)</f>
        <v>4800</v>
      </c>
      <c r="G985" s="19">
        <f ca="1">IFERROR(__xludf.DUMMYFUNCTION("""COMPUTED_VALUE"""),22000)</f>
        <v>22000</v>
      </c>
      <c r="H985" s="18">
        <f ca="1">IFERROR(__xludf.DUMMYFUNCTION("""COMPUTED_VALUE"""),45672)</f>
        <v>45672</v>
      </c>
      <c r="I985" s="5" t="str">
        <f ca="1">IFERROR(__xludf.DUMMYFUNCTION("""COMPUTED_VALUE"""),"Zillow")</f>
        <v>Zillow</v>
      </c>
      <c r="J985" s="25" t="str">
        <f ca="1">IFERROR(__xludf.DUMMYFUNCTION("""COMPUTED_VALUE"""),"https://www.zillow.com/homedetails/5709-Calvin-Ave-Tarzana-CA-91356/19932890_zpid/")</f>
        <v>https://www.zillow.com/homedetails/5709-Calvin-Ave-Tarzana-CA-91356/19932890_zpid/</v>
      </c>
      <c r="K985" s="5" t="str">
        <f ca="1">IFERROR(__xludf.DUMMYFUNCTION("""COMPUTED_VALUE"""),"Paris Coleman Smalls, Coleman Realty")</f>
        <v>Paris Coleman Smalls, Coleman Realty</v>
      </c>
      <c r="L985" s="5"/>
      <c r="M985" s="5" t="str">
        <f ca="1">IFERROR(__xludf.DUMMYFUNCTION("""COMPUTED_VALUE"""),"Also listed for rent in 2020 for $12,400, so even if the $4800 price was offered in error, it's still a wild markup from 2020")</f>
        <v>Also listed for rent in 2020 for $12,400, so even if the $4800 price was offered in error, it's still a wild markup from 2020</v>
      </c>
      <c r="N985" s="5" t="str">
        <f ca="1">IFERROR(__xludf.DUMMYFUNCTION("""COMPUTED_VALUE"""),"https://drive.google.com/open?id=1h_C3pHh-cH8kK46kgQJroIz4efwhdylW, https://drive.google.com/open?id=14ZM_bkt5LLgnW8nBSwM_fcI_Ef4qX2if")</f>
        <v>https://drive.google.com/open?id=1h_C3pHh-cH8kK46kgQJroIz4efwhdylW, https://drive.google.com/open?id=14ZM_bkt5LLgnW8nBSwM_fcI_Ef4qX2if</v>
      </c>
      <c r="O985" s="5">
        <f ca="1">IFERROR(__xludf.DUMMYFUNCTION("""COMPUTED_VALUE"""),2153032002)</f>
        <v>2153032002</v>
      </c>
      <c r="P985" s="5" t="str">
        <f ca="1">IFERROR(__xludf.DUMMYFUNCTION("""COMPUTED_VALUE"""),"(310) 818-3426")</f>
        <v>(310) 818-3426</v>
      </c>
      <c r="Q985" s="5"/>
      <c r="R985" s="5"/>
      <c r="S985" s="5"/>
      <c r="T985" s="18">
        <f ca="1">IFERROR(__xludf.DUMMYFUNCTION("""COMPUTED_VALUE"""),45092)</f>
        <v>45092</v>
      </c>
    </row>
    <row r="986" spans="1:20" ht="12.75">
      <c r="A986" s="24">
        <f ca="1">IFERROR(__xludf.DUMMYFUNCTION("""COMPUTED_VALUE"""),45671.9846273495)</f>
        <v>45671.984627349499</v>
      </c>
      <c r="B986" s="5" t="str">
        <f ca="1">IFERROR(__xludf.DUMMYFUNCTION("""COMPUTED_VALUE"""),"4249 Longridge Ave UNIT 303")</f>
        <v>4249 Longridge Ave UNIT 303</v>
      </c>
      <c r="C986" s="5" t="str">
        <f ca="1">IFERROR(__xludf.DUMMYFUNCTION("""COMPUTED_VALUE"""),"Studio City")</f>
        <v>Studio City</v>
      </c>
      <c r="D986" s="5" t="str">
        <f ca="1">IFERROR(__xludf.DUMMYFUNCTION("""COMPUTED_VALUE"""),"CA")</f>
        <v>CA</v>
      </c>
      <c r="E986" s="5">
        <f ca="1">IFERROR(__xludf.DUMMYFUNCTION("""COMPUTED_VALUE"""),91604)</f>
        <v>91604</v>
      </c>
      <c r="F986" s="19">
        <f ca="1">IFERROR(__xludf.DUMMYFUNCTION("""COMPUTED_VALUE"""),2700)</f>
        <v>2700</v>
      </c>
      <c r="G986" s="19">
        <f ca="1">IFERROR(__xludf.DUMMYFUNCTION("""COMPUTED_VALUE"""),3100)</f>
        <v>3100</v>
      </c>
      <c r="H986" s="18">
        <f ca="1">IFERROR(__xludf.DUMMYFUNCTION("""COMPUTED_VALUE"""),45672)</f>
        <v>45672</v>
      </c>
      <c r="I986" s="5" t="str">
        <f ca="1">IFERROR(__xludf.DUMMYFUNCTION("""COMPUTED_VALUE"""),"Zillow")</f>
        <v>Zillow</v>
      </c>
      <c r="J986" s="25" t="str">
        <f ca="1">IFERROR(__xludf.DUMMYFUNCTION("""COMPUTED_VALUE"""),"https://www.zillow.com/homedetails/4249-Longridge-Ave-UNIT-303-Studio-City-CA-91604/20029463_zpid/")</f>
        <v>https://www.zillow.com/homedetails/4249-Longridge-Ave-UNIT-303-Studio-City-CA-91604/20029463_zpid/</v>
      </c>
      <c r="K986" s="5"/>
      <c r="L986" s="5" t="str">
        <f ca="1">IFERROR(__xludf.DUMMYFUNCTION("""COMPUTED_VALUE"""),"John Bae")</f>
        <v>John Bae</v>
      </c>
      <c r="M986" s="5"/>
      <c r="N986" s="5" t="str">
        <f ca="1">IFERROR(__xludf.DUMMYFUNCTION("""COMPUTED_VALUE"""),"https://drive.google.com/open?id=18DkTLpbXc0waEBkkR3Sy3UGIygurjIkP, https://drive.google.com/open?id=1PFusl5C-CxTrPbwxk8JPxtk_F8aPdOAT")</f>
        <v>https://drive.google.com/open?id=18DkTLpbXc0waEBkkR3Sy3UGIygurjIkP, https://drive.google.com/open?id=1PFusl5C-CxTrPbwxk8JPxtk_F8aPdOAT</v>
      </c>
      <c r="O986" s="5">
        <f ca="1">IFERROR(__xludf.DUMMYFUNCTION("""COMPUTED_VALUE"""),2375017114)</f>
        <v>2375017114</v>
      </c>
      <c r="P986" s="5"/>
      <c r="Q986" s="5"/>
      <c r="R986" s="5" t="str">
        <f ca="1">IFERROR(__xludf.DUMMYFUNCTION("""COMPUTED_VALUE"""),"(818) 337-9600")</f>
        <v>(818) 337-9600</v>
      </c>
      <c r="S986" s="5"/>
      <c r="T986" s="18">
        <f ca="1">IFERROR(__xludf.DUMMYFUNCTION("""COMPUTED_VALUE"""),44225)</f>
        <v>44225</v>
      </c>
    </row>
    <row r="987" spans="1:20" ht="12.75">
      <c r="A987" s="24">
        <f ca="1">IFERROR(__xludf.DUMMYFUNCTION("""COMPUTED_VALUE"""),45671.9891681828)</f>
        <v>45671.989168182801</v>
      </c>
      <c r="B987" s="5" t="str">
        <f ca="1">IFERROR(__xludf.DUMMYFUNCTION("""COMPUTED_VALUE"""),"351 S Catalina St #351")</f>
        <v>351 S Catalina St #351</v>
      </c>
      <c r="C987" s="5" t="str">
        <f ca="1">IFERROR(__xludf.DUMMYFUNCTION("""COMPUTED_VALUE"""),"Los Angeles")</f>
        <v>Los Angeles</v>
      </c>
      <c r="D987" s="5" t="str">
        <f ca="1">IFERROR(__xludf.DUMMYFUNCTION("""COMPUTED_VALUE"""),"CA")</f>
        <v>CA</v>
      </c>
      <c r="E987" s="5">
        <f ca="1">IFERROR(__xludf.DUMMYFUNCTION("""COMPUTED_VALUE"""),90020)</f>
        <v>90020</v>
      </c>
      <c r="F987" s="19">
        <f ca="1">IFERROR(__xludf.DUMMYFUNCTION("""COMPUTED_VALUE"""),3400)</f>
        <v>3400</v>
      </c>
      <c r="G987" s="19">
        <f ca="1">IFERROR(__xludf.DUMMYFUNCTION("""COMPUTED_VALUE"""),4900)</f>
        <v>4900</v>
      </c>
      <c r="H987" s="18">
        <f ca="1">IFERROR(__xludf.DUMMYFUNCTION("""COMPUTED_VALUE"""),45672)</f>
        <v>45672</v>
      </c>
      <c r="I987" s="5" t="str">
        <f ca="1">IFERROR(__xludf.DUMMYFUNCTION("""COMPUTED_VALUE"""),"Zillow")</f>
        <v>Zillow</v>
      </c>
      <c r="J987" s="25" t="str">
        <f ca="1">IFERROR(__xludf.DUMMYFUNCTION("""COMPUTED_VALUE"""),"https://www.zillow.com/homedetails/351-S-Catalina-St-351-Los-Angeles-CA-90020/442833273_zpid/")</f>
        <v>https://www.zillow.com/homedetails/351-S-Catalina-St-351-Los-Angeles-CA-90020/442833273_zpid/</v>
      </c>
      <c r="K987" s="5" t="str">
        <f ca="1">IFERROR(__xludf.DUMMYFUNCTION("""COMPUTED_VALUE"""),"Ryhome LLC")</f>
        <v>Ryhome LLC</v>
      </c>
      <c r="L987" s="5"/>
      <c r="M987" s="5"/>
      <c r="N987" s="5" t="str">
        <f ca="1">IFERROR(__xludf.DUMMYFUNCTION("""COMPUTED_VALUE"""),"https://drive.google.com/open?id=16YyGTb52qd8vhsESdQLG6NER1_u-uduH, https://drive.google.com/open?id=1rxayD3ym1LWrYayh0GnzLldEOGfgAoGn")</f>
        <v>https://drive.google.com/open?id=16YyGTb52qd8vhsESdQLG6NER1_u-uduH, https://drive.google.com/open?id=1rxayD3ym1LWrYayh0GnzLldEOGfgAoGn</v>
      </c>
      <c r="O987" s="5" t="str">
        <f ca="1">IFERROR(__xludf.DUMMYFUNCTION("""COMPUTED_VALUE"""),"NA")</f>
        <v>NA</v>
      </c>
      <c r="P987" s="5" t="str">
        <f ca="1">IFERROR(__xludf.DUMMYFUNCTION("""COMPUTED_VALUE"""),"(951) 296-8095")</f>
        <v>(951) 296-8095</v>
      </c>
      <c r="Q987" s="5"/>
      <c r="R987" s="5"/>
      <c r="S987" s="5"/>
      <c r="T987" s="18">
        <f ca="1">IFERROR(__xludf.DUMMYFUNCTION("""COMPUTED_VALUE"""),45628)</f>
        <v>45628</v>
      </c>
    </row>
    <row r="988" spans="1:20" ht="12.75">
      <c r="A988" s="24">
        <f ca="1">IFERROR(__xludf.DUMMYFUNCTION("""COMPUTED_VALUE"""),45671.99833103)</f>
        <v>45671.998331030001</v>
      </c>
      <c r="B988" s="5" t="str">
        <f ca="1">IFERROR(__xludf.DUMMYFUNCTION("""COMPUTED_VALUE"""),"8262 Woodshill Trl")</f>
        <v>8262 Woodshill Trl</v>
      </c>
      <c r="C988" s="5" t="str">
        <f ca="1">IFERROR(__xludf.DUMMYFUNCTION("""COMPUTED_VALUE"""),"Los Angeles ")</f>
        <v xml:space="preserve">Los Angeles </v>
      </c>
      <c r="D988" s="5" t="str">
        <f ca="1">IFERROR(__xludf.DUMMYFUNCTION("""COMPUTED_VALUE"""),"CA")</f>
        <v>CA</v>
      </c>
      <c r="E988" s="5">
        <f ca="1">IFERROR(__xludf.DUMMYFUNCTION("""COMPUTED_VALUE"""),90069)</f>
        <v>90069</v>
      </c>
      <c r="F988" s="19">
        <f ca="1">IFERROR(__xludf.DUMMYFUNCTION("""COMPUTED_VALUE"""),22995)</f>
        <v>22995</v>
      </c>
      <c r="G988" s="19">
        <f ca="1">IFERROR(__xludf.DUMMYFUNCTION("""COMPUTED_VALUE"""),40000)</f>
        <v>40000</v>
      </c>
      <c r="H988" s="18">
        <f ca="1">IFERROR(__xludf.DUMMYFUNCTION("""COMPUTED_VALUE"""),45672)</f>
        <v>45672</v>
      </c>
      <c r="I988" s="5" t="str">
        <f ca="1">IFERROR(__xludf.DUMMYFUNCTION("""COMPUTED_VALUE"""),"Zillow")</f>
        <v>Zillow</v>
      </c>
      <c r="J988" s="25" t="str">
        <f ca="1">IFERROR(__xludf.DUMMYFUNCTION("""COMPUTED_VALUE"""),"https://www.zillow.com/homedetails/8262-Woodshill-Trl-Los-Angeles-CA-90069/20797509_zpid/?utm_campaign=iosappmessage&amp;utm_medium=referral&amp;utm_source=txtshare")</f>
        <v>https://www.zillow.com/homedetails/8262-Woodshill-Trl-Los-Angeles-CA-90069/20797509_zpid/?utm_campaign=iosappmessage&amp;utm_medium=referral&amp;utm_source=txtshare</v>
      </c>
      <c r="K988" s="5" t="str">
        <f ca="1">IFERROR(__xludf.DUMMYFUNCTION("""COMPUTED_VALUE"""),"LA Luxuries Real Estate Agency")</f>
        <v>LA Luxuries Real Estate Agency</v>
      </c>
      <c r="L988" s="5" t="str">
        <f ca="1">IFERROR(__xludf.DUMMYFUNCTION("""COMPUTED_VALUE"""),"NA")</f>
        <v>NA</v>
      </c>
      <c r="M988" s="5"/>
      <c r="N988" s="26" t="str">
        <f ca="1">IFERROR(__xludf.DUMMYFUNCTION("""COMPUTED_VALUE"""),"https://drive.google.com/open?id=1Bmdh1y15oqA302M4eyQq62PopwgN4J0z")</f>
        <v>https://drive.google.com/open?id=1Bmdh1y15oqA302M4eyQq62PopwgN4J0z</v>
      </c>
      <c r="O988" s="5">
        <f ca="1">IFERROR(__xludf.DUMMYFUNCTION("""COMPUTED_VALUE"""),5555028013)</f>
        <v>5555028013</v>
      </c>
      <c r="P988" s="5" t="str">
        <f ca="1">IFERROR(__xludf.DUMMYFUNCTION("""COMPUTED_VALUE"""),"(213) 320-5981")</f>
        <v>(213) 320-5981</v>
      </c>
      <c r="Q988" s="5" t="str">
        <f ca="1">IFERROR(__xludf.DUMMYFUNCTION("""COMPUTED_VALUE"""),"INQUIRE@LALUXURIES.COM")</f>
        <v>INQUIRE@LALUXURIES.COM</v>
      </c>
      <c r="R988" s="5" t="str">
        <f ca="1">IFERROR(__xludf.DUMMYFUNCTION("""COMPUTED_VALUE"""),"NA")</f>
        <v>NA</v>
      </c>
      <c r="S988" s="5"/>
      <c r="T988" s="18">
        <f ca="1">IFERROR(__xludf.DUMMYFUNCTION("""COMPUTED_VALUE"""),45662)</f>
        <v>45662</v>
      </c>
    </row>
    <row r="989" spans="1:20" ht="12.75">
      <c r="A989" s="24">
        <f ca="1">IFERROR(__xludf.DUMMYFUNCTION("""COMPUTED_VALUE"""),45672.0001725115)</f>
        <v>45672.0001725115</v>
      </c>
      <c r="B989" s="5" t="str">
        <f ca="1">IFERROR(__xludf.DUMMYFUNCTION("""COMPUTED_VALUE"""),"11645 Montana Ave APT 304")</f>
        <v>11645 Montana Ave APT 304</v>
      </c>
      <c r="C989" s="5" t="str">
        <f ca="1">IFERROR(__xludf.DUMMYFUNCTION("""COMPUTED_VALUE"""),"Los Angeles")</f>
        <v>Los Angeles</v>
      </c>
      <c r="D989" s="5" t="str">
        <f ca="1">IFERROR(__xludf.DUMMYFUNCTION("""COMPUTED_VALUE"""),"CA")</f>
        <v>CA</v>
      </c>
      <c r="E989" s="5">
        <f ca="1">IFERROR(__xludf.DUMMYFUNCTION("""COMPUTED_VALUE"""),90049)</f>
        <v>90049</v>
      </c>
      <c r="F989" s="19">
        <f ca="1">IFERROR(__xludf.DUMMYFUNCTION("""COMPUTED_VALUE"""),2500)</f>
        <v>2500</v>
      </c>
      <c r="G989" s="19">
        <f ca="1">IFERROR(__xludf.DUMMYFUNCTION("""COMPUTED_VALUE"""),3100)</f>
        <v>3100</v>
      </c>
      <c r="H989" s="18">
        <f ca="1">IFERROR(__xludf.DUMMYFUNCTION("""COMPUTED_VALUE"""),45672)</f>
        <v>45672</v>
      </c>
      <c r="I989" s="5" t="str">
        <f ca="1">IFERROR(__xludf.DUMMYFUNCTION("""COMPUTED_VALUE"""),"Zillow")</f>
        <v>Zillow</v>
      </c>
      <c r="J989" s="25" t="str">
        <f ca="1">IFERROR(__xludf.DUMMYFUNCTION("""COMPUTED_VALUE"""),"https://www.zillow.com/homedetails/11645-Montana-Ave-APT-304-Los-Angeles-CA-90049/20535996_zpid/")</f>
        <v>https://www.zillow.com/homedetails/11645-Montana-Ave-APT-304-Los-Angeles-CA-90049/20535996_zpid/</v>
      </c>
      <c r="K989" s="5"/>
      <c r="L989" s="5" t="str">
        <f ca="1">IFERROR(__xludf.DUMMYFUNCTION("""COMPUTED_VALUE"""),"Eva Hogan")</f>
        <v>Eva Hogan</v>
      </c>
      <c r="M989" s="5"/>
      <c r="N989" s="5" t="str">
        <f ca="1">IFERROR(__xludf.DUMMYFUNCTION("""COMPUTED_VALUE"""),"https://drive.google.com/open?id=1s837zlevp4sYNuISfVwR-IEpx9zWw6ow, https://drive.google.com/open?id=1LndTtypZY1vAmIsf6kEUPjWgclAnsjIB")</f>
        <v>https://drive.google.com/open?id=1s837zlevp4sYNuISfVwR-IEpx9zWw6ow, https://drive.google.com/open?id=1LndTtypZY1vAmIsf6kEUPjWgclAnsjIB</v>
      </c>
      <c r="O989" s="5">
        <f ca="1">IFERROR(__xludf.DUMMYFUNCTION("""COMPUTED_VALUE"""),4401024193)</f>
        <v>4401024193</v>
      </c>
      <c r="P989" s="5"/>
      <c r="Q989" s="5"/>
      <c r="R989" s="5" t="str">
        <f ca="1">IFERROR(__xludf.DUMMYFUNCTION("""COMPUTED_VALUE"""),"(213) 788-1278")</f>
        <v>(213) 788-1278</v>
      </c>
      <c r="S989" s="5"/>
      <c r="T989" s="18">
        <f ca="1">IFERROR(__xludf.DUMMYFUNCTION("""COMPUTED_VALUE"""),43166)</f>
        <v>43166</v>
      </c>
    </row>
    <row r="990" spans="1:20" ht="12.75">
      <c r="A990" s="24">
        <f ca="1">IFERROR(__xludf.DUMMYFUNCTION("""COMPUTED_VALUE"""),45672.0043383217)</f>
        <v>45672.004338321698</v>
      </c>
      <c r="B990" s="5" t="str">
        <f ca="1">IFERROR(__xludf.DUMMYFUNCTION("""COMPUTED_VALUE"""),"351 S Catalina St #351, Los Angeles, CA 90020")</f>
        <v>351 S Catalina St #351, Los Angeles, CA 90020</v>
      </c>
      <c r="C990" s="5" t="str">
        <f ca="1">IFERROR(__xludf.DUMMYFUNCTION("""COMPUTED_VALUE"""),"Los Angeles ")</f>
        <v xml:space="preserve">Los Angeles </v>
      </c>
      <c r="D990" s="5" t="str">
        <f ca="1">IFERROR(__xludf.DUMMYFUNCTION("""COMPUTED_VALUE"""),"CA")</f>
        <v>CA</v>
      </c>
      <c r="E990" s="5">
        <f ca="1">IFERROR(__xludf.DUMMYFUNCTION("""COMPUTED_VALUE"""),90020)</f>
        <v>90020</v>
      </c>
      <c r="F990" s="19">
        <f ca="1">IFERROR(__xludf.DUMMYFUNCTION("""COMPUTED_VALUE"""),3400)</f>
        <v>3400</v>
      </c>
      <c r="G990" s="19">
        <f ca="1">IFERROR(__xludf.DUMMYFUNCTION("""COMPUTED_VALUE"""),4900)</f>
        <v>4900</v>
      </c>
      <c r="H990" s="18">
        <f ca="1">IFERROR(__xludf.DUMMYFUNCTION("""COMPUTED_VALUE"""),45306)</f>
        <v>45306</v>
      </c>
      <c r="I990" s="5" t="str">
        <f ca="1">IFERROR(__xludf.DUMMYFUNCTION("""COMPUTED_VALUE"""),"Zillow")</f>
        <v>Zillow</v>
      </c>
      <c r="J990" s="25" t="str">
        <f ca="1">IFERROR(__xludf.DUMMYFUNCTION("""COMPUTED_VALUE"""),"https://www.google.com/url?q=https://www.zillow.com/homedetails/351-S-Catalina-St-351-Los-Angeles-CA-90020/442833273_zpid/?utm_campaign%3Diosappmessage%26utm_medium%3Dreferral%26utm_source%3Dtxtshare&amp;sa=D&amp;source=editors&amp;ust=1736931393971201&amp;usg=AOvVaw1uLN"&amp;"sK5xWkL1hdcxkBrfc8")</f>
        <v>https://www.google.com/url?q=https://www.zillow.com/homedetails/351-S-Catalina-St-351-Los-Angeles-CA-90020/442833273_zpid/?utm_campaign%3Diosappmessage%26utm_medium%3Dreferral%26utm_source%3Dtxtshare&amp;sa=D&amp;source=editors&amp;ust=1736931393971201&amp;usg=AOvVaw1uLNsK5xWkL1hdcxkBrfc8</v>
      </c>
      <c r="K990" s="5"/>
      <c r="L990" s="5" t="str">
        <f ca="1">IFERROR(__xludf.DUMMYFUNCTION("""COMPUTED_VALUE"""),"Ryhome llc")</f>
        <v>Ryhome llc</v>
      </c>
      <c r="M990" s="5"/>
      <c r="N990" s="5" t="str">
        <f ca="1">IFERROR(__xludf.DUMMYFUNCTION("""COMPUTED_VALUE"""),"https://drive.google.com/open?id=1HjmOjAYIcXzUws7W4cAGQEyfeCklhPgU, https://drive.google.com/open?id=1eiUj3-HLl7CWgepdipBfMtEaQNskJH6z")</f>
        <v>https://drive.google.com/open?id=1HjmOjAYIcXzUws7W4cAGQEyfeCklhPgU, https://drive.google.com/open?id=1eiUj3-HLl7CWgepdipBfMtEaQNskJH6z</v>
      </c>
      <c r="O990" s="5" t="str">
        <f ca="1">IFERROR(__xludf.DUMMYFUNCTION("""COMPUTED_VALUE"""),"Na")</f>
        <v>Na</v>
      </c>
      <c r="P990" s="5">
        <f ca="1">IFERROR(__xludf.DUMMYFUNCTION("""COMPUTED_VALUE"""),9512968095)</f>
        <v>9512968095</v>
      </c>
      <c r="Q990" s="5"/>
      <c r="R990" s="5"/>
      <c r="S990" s="5"/>
      <c r="T990" s="18">
        <f ca="1">IFERROR(__xludf.DUMMYFUNCTION("""COMPUTED_VALUE"""),45628)</f>
        <v>45628</v>
      </c>
    </row>
    <row r="991" spans="1:20" ht="12.75">
      <c r="A991" s="24">
        <f ca="1">IFERROR(__xludf.DUMMYFUNCTION("""COMPUTED_VALUE"""),45672.0044563425)</f>
        <v>45672.004456342504</v>
      </c>
      <c r="B991" s="5" t="str">
        <f ca="1">IFERROR(__xludf.DUMMYFUNCTION("""COMPUTED_VALUE"""),"351 S Catalina St #351, Los Angeles, CA 90020")</f>
        <v>351 S Catalina St #351, Los Angeles, CA 90020</v>
      </c>
      <c r="C991" s="5" t="str">
        <f ca="1">IFERROR(__xludf.DUMMYFUNCTION("""COMPUTED_VALUE"""),"Los Angeles ")</f>
        <v xml:space="preserve">Los Angeles </v>
      </c>
      <c r="D991" s="5" t="str">
        <f ca="1">IFERROR(__xludf.DUMMYFUNCTION("""COMPUTED_VALUE"""),"CA")</f>
        <v>CA</v>
      </c>
      <c r="E991" s="5">
        <f ca="1">IFERROR(__xludf.DUMMYFUNCTION("""COMPUTED_VALUE"""),90020)</f>
        <v>90020</v>
      </c>
      <c r="F991" s="19">
        <f ca="1">IFERROR(__xludf.DUMMYFUNCTION("""COMPUTED_VALUE"""),3400)</f>
        <v>3400</v>
      </c>
      <c r="G991" s="19">
        <f ca="1">IFERROR(__xludf.DUMMYFUNCTION("""COMPUTED_VALUE"""),4900)</f>
        <v>4900</v>
      </c>
      <c r="H991" s="18">
        <f ca="1">IFERROR(__xludf.DUMMYFUNCTION("""COMPUTED_VALUE"""),45306)</f>
        <v>45306</v>
      </c>
      <c r="I991" s="5" t="str">
        <f ca="1">IFERROR(__xludf.DUMMYFUNCTION("""COMPUTED_VALUE"""),"Zillow")</f>
        <v>Zillow</v>
      </c>
      <c r="J991" s="25" t="str">
        <f ca="1">IFERROR(__xludf.DUMMYFUNCTION("""COMPUTED_VALUE"""),"https://www.google.com/url?q=https://www.zillow.com/homedetails/351-S-Catalina-St-351-Los-Angeles-CA-90020/442833273_zpid/?utm_campaign%3Diosappmessage%26utm_medium%3Dreferral%26utm_source%3Dtxtshare&amp;sa=D&amp;source=editors&amp;ust=1736931393971201&amp;usg=AOvVaw1uLN"&amp;"sK5xWkL1hdcxkBrfc8")</f>
        <v>https://www.google.com/url?q=https://www.zillow.com/homedetails/351-S-Catalina-St-351-Los-Angeles-CA-90020/442833273_zpid/?utm_campaign%3Diosappmessage%26utm_medium%3Dreferral%26utm_source%3Dtxtshare&amp;sa=D&amp;source=editors&amp;ust=1736931393971201&amp;usg=AOvVaw1uLNsK5xWkL1hdcxkBrfc8</v>
      </c>
      <c r="K991" s="5"/>
      <c r="L991" s="5" t="str">
        <f ca="1">IFERROR(__xludf.DUMMYFUNCTION("""COMPUTED_VALUE"""),"Ryhome llc")</f>
        <v>Ryhome llc</v>
      </c>
      <c r="M991" s="5"/>
      <c r="N991" s="5" t="str">
        <f ca="1">IFERROR(__xludf.DUMMYFUNCTION("""COMPUTED_VALUE"""),"https://drive.google.com/open?id=15HbWUMOMdOZ5dzQPmvgzgeWRJ5DEnv-N, https://drive.google.com/open?id=1n7KytN_vE1PivmbcQShgwrHQXLTmSpUi")</f>
        <v>https://drive.google.com/open?id=15HbWUMOMdOZ5dzQPmvgzgeWRJ5DEnv-N, https://drive.google.com/open?id=1n7KytN_vE1PivmbcQShgwrHQXLTmSpUi</v>
      </c>
      <c r="O991" s="5" t="str">
        <f ca="1">IFERROR(__xludf.DUMMYFUNCTION("""COMPUTED_VALUE"""),"Na")</f>
        <v>Na</v>
      </c>
      <c r="P991" s="5">
        <f ca="1">IFERROR(__xludf.DUMMYFUNCTION("""COMPUTED_VALUE"""),9512968095)</f>
        <v>9512968095</v>
      </c>
      <c r="Q991" s="5"/>
      <c r="R991" s="5"/>
      <c r="S991" s="5"/>
      <c r="T991" s="18">
        <f ca="1">IFERROR(__xludf.DUMMYFUNCTION("""COMPUTED_VALUE"""),45628)</f>
        <v>45628</v>
      </c>
    </row>
    <row r="992" spans="1:20" ht="12.75">
      <c r="A992" s="24">
        <f ca="1">IFERROR(__xludf.DUMMYFUNCTION("""COMPUTED_VALUE"""),45672.0078021527)</f>
        <v>45672.007802152701</v>
      </c>
      <c r="B992" s="5" t="str">
        <f ca="1">IFERROR(__xludf.DUMMYFUNCTION("""COMPUTED_VALUE"""),"917 S Berendo St #402, Los Angeles, CA 90006")</f>
        <v>917 S Berendo St #402, Los Angeles, CA 90006</v>
      </c>
      <c r="C992" s="5" t="str">
        <f ca="1">IFERROR(__xludf.DUMMYFUNCTION("""COMPUTED_VALUE"""),"Los Angeles ")</f>
        <v xml:space="preserve">Los Angeles </v>
      </c>
      <c r="D992" s="5" t="str">
        <f ca="1">IFERROR(__xludf.DUMMYFUNCTION("""COMPUTED_VALUE"""),"CA")</f>
        <v>CA</v>
      </c>
      <c r="E992" s="5">
        <f ca="1">IFERROR(__xludf.DUMMYFUNCTION("""COMPUTED_VALUE"""),90006)</f>
        <v>90006</v>
      </c>
      <c r="F992" s="19">
        <f ca="1">IFERROR(__xludf.DUMMYFUNCTION("""COMPUTED_VALUE"""),2350)</f>
        <v>2350</v>
      </c>
      <c r="G992" s="19">
        <f ca="1">IFERROR(__xludf.DUMMYFUNCTION("""COMPUTED_VALUE"""),4000)</f>
        <v>4000</v>
      </c>
      <c r="H992" s="18">
        <f ca="1">IFERROR(__xludf.DUMMYFUNCTION("""COMPUTED_VALUE"""),45670)</f>
        <v>45670</v>
      </c>
      <c r="I992" s="5" t="str">
        <f ca="1">IFERROR(__xludf.DUMMYFUNCTION("""COMPUTED_VALUE"""),"Zillow")</f>
        <v>Zillow</v>
      </c>
      <c r="J992" s="25" t="str">
        <f ca="1">IFERROR(__xludf.DUMMYFUNCTION("""COMPUTED_VALUE"""),"https://www.google.com/url?q=https://www.zillow.com/homedetails/917-S-Berendo-St-402-Los-Angeles-CA-90006/439637632_zpid/?utm_campaign%3Diosappmessage%26utm_medium%3Dreferral%26utm_source%3Dtxtshare&amp;sa=D&amp;source=editors&amp;ust=1736931393970887&amp;usg=AOvVaw38zef"&amp;"ftyL_aeA4vEU1lLg8")</f>
        <v>https://www.google.com/url?q=https://www.zillow.com/homedetails/917-S-Berendo-St-402-Los-Angeles-CA-90006/439637632_zpid/?utm_campaign%3Diosappmessage%26utm_medium%3Dreferral%26utm_source%3Dtxtshare&amp;sa=D&amp;source=editors&amp;ust=1736931393970887&amp;usg=AOvVaw38zefftyL_aeA4vEU1lLg8</v>
      </c>
      <c r="K992" s="5" t="str">
        <f ca="1">IFERROR(__xludf.DUMMYFUNCTION("""COMPUTED_VALUE"""),"Alibaba Hoffmann brothers realty ")</f>
        <v xml:space="preserve">Alibaba Hoffmann brothers realty </v>
      </c>
      <c r="L992" s="5"/>
      <c r="M992" s="5"/>
      <c r="N992" s="5" t="str">
        <f ca="1">IFERROR(__xludf.DUMMYFUNCTION("""COMPUTED_VALUE"""),"https://drive.google.com/open?id=1LRnwIbnTSMA0kLdv-n2xkAfqIG7bYe4g, https://drive.google.com/open?id=1lVPxQhLJNQKG4DckKhYSTsI9qVn0_gCu")</f>
        <v>https://drive.google.com/open?id=1LRnwIbnTSMA0kLdv-n2xkAfqIG7bYe4g, https://drive.google.com/open?id=1lVPxQhLJNQKG4DckKhYSTsI9qVn0_gCu</v>
      </c>
      <c r="O992" s="5" t="str">
        <f ca="1">IFERROR(__xludf.DUMMYFUNCTION("""COMPUTED_VALUE"""),"Na")</f>
        <v>Na</v>
      </c>
      <c r="P992" s="5" t="str">
        <f ca="1">IFERROR(__xludf.DUMMYFUNCTION("""COMPUTED_VALUE"""),"323 825 6570")</f>
        <v>323 825 6570</v>
      </c>
      <c r="Q992" s="5"/>
      <c r="R992" s="5"/>
      <c r="S992" s="5"/>
      <c r="T992" s="18">
        <f ca="1">IFERROR(__xludf.DUMMYFUNCTION("""COMPUTED_VALUE"""),45586)</f>
        <v>45586</v>
      </c>
    </row>
    <row r="993" spans="1:20" ht="12.75">
      <c r="A993" s="24">
        <f ca="1">IFERROR(__xludf.DUMMYFUNCTION("""COMPUTED_VALUE"""),45672.0386511689)</f>
        <v>45672.038651168899</v>
      </c>
      <c r="B993" s="5" t="str">
        <f ca="1">IFERROR(__xludf.DUMMYFUNCTION("""COMPUTED_VALUE"""),"test")</f>
        <v>test</v>
      </c>
      <c r="C993" s="5" t="str">
        <f ca="1">IFERROR(__xludf.DUMMYFUNCTION("""COMPUTED_VALUE"""),"test")</f>
        <v>test</v>
      </c>
      <c r="D993" s="5" t="str">
        <f ca="1">IFERROR(__xludf.DUMMYFUNCTION("""COMPUTED_VALUE"""),"CA")</f>
        <v>CA</v>
      </c>
      <c r="E993" s="5">
        <f ca="1">IFERROR(__xludf.DUMMYFUNCTION("""COMPUTED_VALUE"""),11111)</f>
        <v>11111</v>
      </c>
      <c r="F993" s="19">
        <f ca="1">IFERROR(__xludf.DUMMYFUNCTION("""COMPUTED_VALUE"""),1000)</f>
        <v>1000</v>
      </c>
      <c r="G993" s="19">
        <f ca="1">IFERROR(__xludf.DUMMYFUNCTION("""COMPUTED_VALUE"""),1000)</f>
        <v>1000</v>
      </c>
      <c r="H993" s="18">
        <f ca="1">IFERROR(__xludf.DUMMYFUNCTION("""COMPUTED_VALUE"""),45679)</f>
        <v>45679</v>
      </c>
      <c r="I993" s="5" t="str">
        <f ca="1">IFERROR(__xludf.DUMMYFUNCTION("""COMPUTED_VALUE"""),"Zillow")</f>
        <v>Zillow</v>
      </c>
      <c r="J993" s="25" t="str">
        <f ca="1">IFERROR(__xludf.DUMMYFUNCTION("""COMPUTED_VALUE"""),"zillow.com")</f>
        <v>zillow.com</v>
      </c>
      <c r="K993" s="5"/>
      <c r="L993" s="5"/>
      <c r="M993" s="5"/>
      <c r="N993" s="26" t="str">
        <f ca="1">IFERROR(__xludf.DUMMYFUNCTION("""COMPUTED_VALUE"""),"https://drive.google.com/open?id=1h6eEO_3myR18tJWio_mxcmDSzzRfUKPe")</f>
        <v>https://drive.google.com/open?id=1h6eEO_3myR18tJWio_mxcmDSzzRfUKPe</v>
      </c>
      <c r="O993" s="5" t="str">
        <f ca="1">IFERROR(__xludf.DUMMYFUNCTION("""COMPUTED_VALUE"""),"n/a")</f>
        <v>n/a</v>
      </c>
      <c r="P993" s="5"/>
      <c r="Q993" s="5"/>
      <c r="R993" s="5"/>
      <c r="S993" s="5"/>
      <c r="T993" s="18">
        <f ca="1">IFERROR(__xludf.DUMMYFUNCTION("""COMPUTED_VALUE"""),45672)</f>
        <v>45672</v>
      </c>
    </row>
    <row r="994" spans="1:20" ht="12.75">
      <c r="A994" s="24">
        <f ca="1">IFERROR(__xludf.DUMMYFUNCTION("""COMPUTED_VALUE"""),45672.2742084722)</f>
        <v>45672.274208472198</v>
      </c>
      <c r="B994" s="5" t="str">
        <f ca="1">IFERROR(__xludf.DUMMYFUNCTION("""COMPUTED_VALUE"""),"16 Park Ave. ")</f>
        <v xml:space="preserve">16 Park Ave. </v>
      </c>
      <c r="C994" s="5" t="str">
        <f ca="1">IFERROR(__xludf.DUMMYFUNCTION("""COMPUTED_VALUE"""),"Venice")</f>
        <v>Venice</v>
      </c>
      <c r="D994" s="5" t="str">
        <f ca="1">IFERROR(__xludf.DUMMYFUNCTION("""COMPUTED_VALUE"""),"CA")</f>
        <v>CA</v>
      </c>
      <c r="E994" s="5">
        <f ca="1">IFERROR(__xludf.DUMMYFUNCTION("""COMPUTED_VALUE"""),90291)</f>
        <v>90291</v>
      </c>
      <c r="F994" s="19">
        <f ca="1">IFERROR(__xludf.DUMMYFUNCTION("""COMPUTED_VALUE"""),7000)</f>
        <v>7000</v>
      </c>
      <c r="G994" s="19">
        <f ca="1">IFERROR(__xludf.DUMMYFUNCTION("""COMPUTED_VALUE"""),30000)</f>
        <v>30000</v>
      </c>
      <c r="H994" s="18">
        <f ca="1">IFERROR(__xludf.DUMMYFUNCTION("""COMPUTED_VALUE"""),45672)</f>
        <v>45672</v>
      </c>
      <c r="I994" s="5" t="str">
        <f ca="1">IFERROR(__xludf.DUMMYFUNCTION("""COMPUTED_VALUE"""),"Zillow")</f>
        <v>Zillow</v>
      </c>
      <c r="J994" s="25" t="str">
        <f ca="1">IFERROR(__xludf.DUMMYFUNCTION("""COMPUTED_VALUE"""),"https://www.zillow.com/homedetails/16-Park-Ave-Venice-CA-90291/20482259_zpid/?utm_campaign=iosappmessage&amp;utm_medium=referral&amp;utm_source=txtshare")</f>
        <v>https://www.zillow.com/homedetails/16-Park-Ave-Venice-CA-90291/20482259_zpid/?utm_campaign=iosappmessage&amp;utm_medium=referral&amp;utm_source=txtshare</v>
      </c>
      <c r="K994" s="5" t="str">
        <f ca="1">IFERROR(__xludf.DUMMYFUNCTION("""COMPUTED_VALUE"""),"Kevin krakower")</f>
        <v>Kevin krakower</v>
      </c>
      <c r="L994" s="5"/>
      <c r="M994" s="5"/>
      <c r="N994" s="26" t="str">
        <f ca="1">IFERROR(__xludf.DUMMYFUNCTION("""COMPUTED_VALUE"""),"https://drive.google.com/open?id=1bGk5j9EKDzwjsbopSC1EjdIlsGrFmM4k")</f>
        <v>https://drive.google.com/open?id=1bGk5j9EKDzwjsbopSC1EjdIlsGrFmM4k</v>
      </c>
      <c r="O994" s="5">
        <f ca="1">IFERROR(__xludf.DUMMYFUNCTION("""COMPUTED_VALUE"""),4286025001)</f>
        <v>4286025001</v>
      </c>
      <c r="P994" s="5">
        <f ca="1">IFERROR(__xludf.DUMMYFUNCTION("""COMPUTED_VALUE"""),3104939895)</f>
        <v>3104939895</v>
      </c>
      <c r="Q994" s="5"/>
      <c r="R994" s="5"/>
      <c r="S994" s="5"/>
      <c r="T994" s="18">
        <f ca="1">IFERROR(__xludf.DUMMYFUNCTION("""COMPUTED_VALUE"""),45666)</f>
        <v>45666</v>
      </c>
    </row>
    <row r="995" spans="1:20" ht="12.75">
      <c r="A995" s="24">
        <f ca="1">IFERROR(__xludf.DUMMYFUNCTION("""COMPUTED_VALUE"""),45672.3316298958)</f>
        <v>45672.331629895802</v>
      </c>
      <c r="B995" s="5" t="str">
        <f ca="1">IFERROR(__xludf.DUMMYFUNCTION("""COMPUTED_VALUE"""),"3019 Linda Ln, Santa Monica, CA 90405")</f>
        <v>3019 Linda Ln, Santa Monica, CA 90405</v>
      </c>
      <c r="C995" s="5" t="str">
        <f ca="1">IFERROR(__xludf.DUMMYFUNCTION("""COMPUTED_VALUE"""),"Santa Monica")</f>
        <v>Santa Monica</v>
      </c>
      <c r="D995" s="5" t="str">
        <f ca="1">IFERROR(__xludf.DUMMYFUNCTION("""COMPUTED_VALUE"""),"CA")</f>
        <v>CA</v>
      </c>
      <c r="E995" s="5">
        <f ca="1">IFERROR(__xludf.DUMMYFUNCTION("""COMPUTED_VALUE"""),90405)</f>
        <v>90405</v>
      </c>
      <c r="F995" s="19">
        <f ca="1">IFERROR(__xludf.DUMMYFUNCTION("""COMPUTED_VALUE"""),5400)</f>
        <v>5400</v>
      </c>
      <c r="G995" s="19">
        <f ca="1">IFERROR(__xludf.DUMMYFUNCTION("""COMPUTED_VALUE"""),6800)</f>
        <v>6800</v>
      </c>
      <c r="H995" s="18">
        <f ca="1">IFERROR(__xludf.DUMMYFUNCTION("""COMPUTED_VALUE"""),45305)</f>
        <v>45305</v>
      </c>
      <c r="I995" s="5" t="str">
        <f ca="1">IFERROR(__xludf.DUMMYFUNCTION("""COMPUTED_VALUE"""),"Zillow")</f>
        <v>Zillow</v>
      </c>
      <c r="J995" s="25" t="str">
        <f ca="1">IFERROR(__xludf.DUMMYFUNCTION("""COMPUTED_VALUE"""),"https://www.zillow.com/homedetails/3019-Linda-Ln-Santa-Monica-CA-90405/20481699_zpid/?utm_campaign=iosappmessage&amp;utm_medium=referral&amp;utm_source=txtshare")</f>
        <v>https://www.zillow.com/homedetails/3019-Linda-Ln-Santa-Monica-CA-90405/20481699_zpid/?utm_campaign=iosappmessage&amp;utm_medium=referral&amp;utm_source=txtshare</v>
      </c>
      <c r="K995" s="5" t="str">
        <f ca="1">IFERROR(__xludf.DUMMYFUNCTION("""COMPUTED_VALUE"""),"Stephen Sean Illouz")</f>
        <v>Stephen Sean Illouz</v>
      </c>
      <c r="L995" s="5"/>
      <c r="M995" s="5" t="str">
        <f ca="1">IFERROR(__xludf.DUMMYFUNCTION("""COMPUTED_VALUE"""),"Listing brokerage is Coldwell Banker Residential Brokerage")</f>
        <v>Listing brokerage is Coldwell Banker Residential Brokerage</v>
      </c>
      <c r="N995" s="5" t="str">
        <f ca="1">IFERROR(__xludf.DUMMYFUNCTION("""COMPUTED_VALUE"""),"https://drive.google.com/open?id=1xGedXnUhldhfpNSrGgKoSR1NxoPGbWeu, https://drive.google.com/open?id=1aSH2rU5wS65rCSM9x_CUlF8FmX3Sg9fM")</f>
        <v>https://drive.google.com/open?id=1xGedXnUhldhfpNSrGgKoSR1NxoPGbWeu, https://drive.google.com/open?id=1aSH2rU5wS65rCSM9x_CUlF8FmX3Sg9fM</v>
      </c>
      <c r="O995" s="5" t="str">
        <f ca="1">IFERROR(__xludf.DUMMYFUNCTION("""COMPUTED_VALUE"""),"Parcel number: 4285033014")</f>
        <v>Parcel number: 4285033014</v>
      </c>
      <c r="P995" s="5" t="str">
        <f ca="1">IFERROR(__xludf.DUMMYFUNCTION("""COMPUTED_VALUE"""),"424-279-2477")</f>
        <v>424-279-2477</v>
      </c>
      <c r="Q995" s="5"/>
      <c r="R995" s="5"/>
      <c r="S995" s="5"/>
      <c r="T995" s="18">
        <f ca="1">IFERROR(__xludf.DUMMYFUNCTION("""COMPUTED_VALUE"""),45663)</f>
        <v>45663</v>
      </c>
    </row>
    <row r="996" spans="1:20" ht="12.75">
      <c r="A996" s="24">
        <f ca="1">IFERROR(__xludf.DUMMYFUNCTION("""COMPUTED_VALUE"""),45672.3518607175)</f>
        <v>45672.351860717499</v>
      </c>
      <c r="B996" s="5" t="str">
        <f ca="1">IFERROR(__xludf.DUMMYFUNCTION("""COMPUTED_VALUE"""),"14649 Addison St")</f>
        <v>14649 Addison St</v>
      </c>
      <c r="C996" s="5" t="str">
        <f ca="1">IFERROR(__xludf.DUMMYFUNCTION("""COMPUTED_VALUE"""),"Sherman Oaks")</f>
        <v>Sherman Oaks</v>
      </c>
      <c r="D996" s="5" t="str">
        <f ca="1">IFERROR(__xludf.DUMMYFUNCTION("""COMPUTED_VALUE"""),"CA")</f>
        <v>CA</v>
      </c>
      <c r="E996" s="5">
        <f ca="1">IFERROR(__xludf.DUMMYFUNCTION("""COMPUTED_VALUE"""),91403)</f>
        <v>91403</v>
      </c>
      <c r="F996" s="19">
        <f ca="1">IFERROR(__xludf.DUMMYFUNCTION("""COMPUTED_VALUE"""),13500)</f>
        <v>13500</v>
      </c>
      <c r="G996" s="19">
        <f ca="1">IFERROR(__xludf.DUMMYFUNCTION("""COMPUTED_VALUE"""),15300)</f>
        <v>15300</v>
      </c>
      <c r="H996" s="18">
        <f ca="1">IFERROR(__xludf.DUMMYFUNCTION("""COMPUTED_VALUE"""),45667)</f>
        <v>45667</v>
      </c>
      <c r="I996" s="5" t="str">
        <f ca="1">IFERROR(__xludf.DUMMYFUNCTION("""COMPUTED_VALUE"""),"Zillow")</f>
        <v>Zillow</v>
      </c>
      <c r="J996" s="25" t="str">
        <f ca="1">IFERROR(__xludf.DUMMYFUNCTION("""COMPUTED_VALUE"""),"https://www.zillow.com/homedetails/14649-Addison-St-Sherman-Oaks-CA-91403/19982606_zpid/")</f>
        <v>https://www.zillow.com/homedetails/14649-Addison-St-Sherman-Oaks-CA-91403/19982606_zpid/</v>
      </c>
      <c r="K996" s="5" t="str">
        <f ca="1">IFERROR(__xludf.DUMMYFUNCTION("""COMPUTED_VALUE"""),"Rachel Neuwirth")</f>
        <v>Rachel Neuwirth</v>
      </c>
      <c r="L996" s="5"/>
      <c r="M996" s="5"/>
      <c r="N996" s="5" t="str">
        <f ca="1">IFERROR(__xludf.DUMMYFUNCTION("""COMPUTED_VALUE"""),"https://drive.google.com/open?id=13ShhuPTHZcppwXw2VR-VqrL6b4_TPDVN, https://drive.google.com/open?id=17MZsZDyHV9M5xg5pGhOGmNNfA4qzq_6k")</f>
        <v>https://drive.google.com/open?id=13ShhuPTHZcppwXw2VR-VqrL6b4_TPDVN, https://drive.google.com/open?id=17MZsZDyHV9M5xg5pGhOGmNNfA4qzq_6k</v>
      </c>
      <c r="O996" s="5">
        <f ca="1">IFERROR(__xludf.DUMMYFUNCTION("""COMPUTED_VALUE"""),2263032009)</f>
        <v>2263032009</v>
      </c>
      <c r="P996" s="5" t="str">
        <f ca="1">IFERROR(__xludf.DUMMYFUNCTION("""COMPUTED_VALUE"""),"(310) 467-0998")</f>
        <v>(310) 467-0998</v>
      </c>
      <c r="Q996" s="5"/>
      <c r="R996" s="5"/>
      <c r="S996" s="5"/>
      <c r="T996" s="18">
        <f ca="1">IFERROR(__xludf.DUMMYFUNCTION("""COMPUTED_VALUE"""),45645)</f>
        <v>45645</v>
      </c>
    </row>
    <row r="997" spans="1:20" ht="12.75">
      <c r="A997" s="24">
        <f ca="1">IFERROR(__xludf.DUMMYFUNCTION("""COMPUTED_VALUE"""),45672.3565371296)</f>
        <v>45672.356537129599</v>
      </c>
      <c r="B997" s="5" t="str">
        <f ca="1">IFERROR(__xludf.DUMMYFUNCTION("""COMPUTED_VALUE"""),"17 Northstar Street, #105")</f>
        <v>17 Northstar Street, #105</v>
      </c>
      <c r="C997" s="5" t="str">
        <f ca="1">IFERROR(__xludf.DUMMYFUNCTION("""COMPUTED_VALUE"""),"Marina Del Rey")</f>
        <v>Marina Del Rey</v>
      </c>
      <c r="D997" s="5" t="str">
        <f ca="1">IFERROR(__xludf.DUMMYFUNCTION("""COMPUTED_VALUE"""),"CA")</f>
        <v>CA</v>
      </c>
      <c r="E997" s="5">
        <f ca="1">IFERROR(__xludf.DUMMYFUNCTION("""COMPUTED_VALUE"""),90292)</f>
        <v>90292</v>
      </c>
      <c r="F997" s="19">
        <f ca="1">IFERROR(__xludf.DUMMYFUNCTION("""COMPUTED_VALUE"""),4998)</f>
        <v>4998</v>
      </c>
      <c r="G997" s="19">
        <f ca="1">IFERROR(__xludf.DUMMYFUNCTION("""COMPUTED_VALUE"""),5898)</f>
        <v>5898</v>
      </c>
      <c r="H997" s="18">
        <f ca="1">IFERROR(__xludf.DUMMYFUNCTION("""COMPUTED_VALUE"""),45670)</f>
        <v>45670</v>
      </c>
      <c r="I997" s="5" t="str">
        <f ca="1">IFERROR(__xludf.DUMMYFUNCTION("""COMPUTED_VALUE"""),"Zillow")</f>
        <v>Zillow</v>
      </c>
      <c r="J997" s="25" t="str">
        <f ca="1">IFERROR(__xludf.DUMMYFUNCTION("""COMPUTED_VALUE"""),"https://www.zillow.com/apartments/marina-del-rey-ca/17-northstar-street/5Xn2hz/")</f>
        <v>https://www.zillow.com/apartments/marina-del-rey-ca/17-northstar-street/5Xn2hz/</v>
      </c>
      <c r="K997" s="5" t="str">
        <f ca="1">IFERROR(__xludf.DUMMYFUNCTION("""COMPUTED_VALUE"""),"Westside Habitats LLC (Audra)")</f>
        <v>Westside Habitats LLC (Audra)</v>
      </c>
      <c r="L997" s="5" t="str">
        <f ca="1">IFERROR(__xludf.DUMMYFUNCTION("""COMPUTED_VALUE"""),"Westside Habitats LLC")</f>
        <v>Westside Habitats LLC</v>
      </c>
      <c r="M997" s="5" t="str">
        <f ca="1">IFERROR(__xludf.DUMMYFUNCTION("""COMPUTED_VALUE"""),"I sent the listing to my husband on 1/3/25 (it was listed at $4,498, but they apply a concession of $3k spread over 6 months, so the real rent was $4,998 after the first 6 months). I checked it this morning after hearing about landlords increasing rent an"&amp;"d noticed it is now $5,898 (w/ $3k concession over 6 months so they show it as $5,398). Equates to 18% increase. The screenshot I have from this morning shows it as only a $700 increase, so they must have increased it $200 before in the past week. I only "&amp;"know this because our budget in Zillow is $4,500, which is how it originally came up about a week ago.")</f>
        <v>I sent the listing to my husband on 1/3/25 (it was listed at $4,498, but they apply a concession of $3k spread over 6 months, so the real rent was $4,998 after the first 6 months). I checked it this morning after hearing about landlords increasing rent and noticed it is now $5,898 (w/ $3k concession over 6 months so they show it as $5,398). Equates to 18% increase. The screenshot I have from this morning shows it as only a $700 increase, so they must have increased it $200 before in the past week. I only know this because our budget in Zillow is $4,500, which is how it originally came up about a week ago.</v>
      </c>
      <c r="N997" s="26" t="str">
        <f ca="1">IFERROR(__xludf.DUMMYFUNCTION("""COMPUTED_VALUE"""),"https://drive.google.com/open?id=1Wrf_leVpIqTyyzeVzX_B2O-cjiuOtJ43")</f>
        <v>https://drive.google.com/open?id=1Wrf_leVpIqTyyzeVzX_B2O-cjiuOtJ43</v>
      </c>
      <c r="O997" s="5" t="str">
        <f ca="1">IFERROR(__xludf.DUMMYFUNCTION("""COMPUTED_VALUE"""),"NA")</f>
        <v>NA</v>
      </c>
      <c r="P997" s="5" t="str">
        <f ca="1">IFERROR(__xludf.DUMMYFUNCTION("""COMPUTED_VALUE"""),"(310) 738-1593")</f>
        <v>(310) 738-1593</v>
      </c>
      <c r="Q997" s="5" t="str">
        <f ca="1">IFERROR(__xludf.DUMMYFUNCTION("""COMPUTED_VALUE"""),"Audra.Vanhees@whab.com")</f>
        <v>Audra.Vanhees@whab.com</v>
      </c>
      <c r="R997" s="5"/>
      <c r="S997" s="5"/>
      <c r="T997" s="18">
        <f ca="1">IFERROR(__xludf.DUMMYFUNCTION("""COMPUTED_VALUE"""),45660)</f>
        <v>45660</v>
      </c>
    </row>
    <row r="998" spans="1:20" ht="12.75">
      <c r="A998" s="24">
        <f ca="1">IFERROR(__xludf.DUMMYFUNCTION("""COMPUTED_VALUE"""),45672.3592431481)</f>
        <v>45672.359243148101</v>
      </c>
      <c r="B998" s="5" t="str">
        <f ca="1">IFERROR(__xludf.DUMMYFUNCTION("""COMPUTED_VALUE"""),"134 S Carmelina Ave")</f>
        <v>134 S Carmelina Ave</v>
      </c>
      <c r="C998" s="5" t="str">
        <f ca="1">IFERROR(__xludf.DUMMYFUNCTION("""COMPUTED_VALUE"""),"Los Angeles")</f>
        <v>Los Angeles</v>
      </c>
      <c r="D998" s="5" t="str">
        <f ca="1">IFERROR(__xludf.DUMMYFUNCTION("""COMPUTED_VALUE"""),"CA")</f>
        <v>CA</v>
      </c>
      <c r="E998" s="5">
        <f ca="1">IFERROR(__xludf.DUMMYFUNCTION("""COMPUTED_VALUE"""),90049)</f>
        <v>90049</v>
      </c>
      <c r="F998" s="19">
        <f ca="1">IFERROR(__xludf.DUMMYFUNCTION("""COMPUTED_VALUE"""),13995)</f>
        <v>13995</v>
      </c>
      <c r="G998" s="19">
        <f ca="1">IFERROR(__xludf.DUMMYFUNCTION("""COMPUTED_VALUE"""),15500)</f>
        <v>15500</v>
      </c>
      <c r="H998" s="18">
        <f ca="1">IFERROR(__xludf.DUMMYFUNCTION("""COMPUTED_VALUE"""),45664)</f>
        <v>45664</v>
      </c>
      <c r="I998" s="5" t="str">
        <f ca="1">IFERROR(__xludf.DUMMYFUNCTION("""COMPUTED_VALUE"""),"Zillow")</f>
        <v>Zillow</v>
      </c>
      <c r="J998" s="25" t="str">
        <f ca="1">IFERROR(__xludf.DUMMYFUNCTION("""COMPUTED_VALUE"""),"https://www.zillow.com/homedetails/134-S-Carmelina-Ave-Los-Angeles-CA-90049/20538283_zpid/")</f>
        <v>https://www.zillow.com/homedetails/134-S-Carmelina-Ave-Los-Angeles-CA-90049/20538283_zpid/</v>
      </c>
      <c r="K998" s="5" t="str">
        <f ca="1">IFERROR(__xludf.DUMMYFUNCTION("""COMPUTED_VALUE"""),"Mark Handler - Coldwell Banker Realty")</f>
        <v>Mark Handler - Coldwell Banker Realty</v>
      </c>
      <c r="L998" s="5"/>
      <c r="M998" s="5"/>
      <c r="N998" s="26" t="str">
        <f ca="1">IFERROR(__xludf.DUMMYFUNCTION("""COMPUTED_VALUE"""),"https://drive.google.com/open?id=1XRTz0UVzH1nRXHJLwltZ9lgqbhRwhwvD")</f>
        <v>https://drive.google.com/open?id=1XRTz0UVzH1nRXHJLwltZ9lgqbhRwhwvD</v>
      </c>
      <c r="O998" s="5">
        <f ca="1">IFERROR(__xludf.DUMMYFUNCTION("""COMPUTED_VALUE"""),4405042027)</f>
        <v>4405042027</v>
      </c>
      <c r="P998" s="5" t="str">
        <f ca="1">IFERROR(__xludf.DUMMYFUNCTION("""COMPUTED_VALUE"""),"(310) 922-0817")</f>
        <v>(310) 922-0817</v>
      </c>
      <c r="Q998" s="5"/>
      <c r="R998" s="5"/>
      <c r="S998" s="5"/>
      <c r="T998" s="18">
        <f ca="1">IFERROR(__xludf.DUMMYFUNCTION("""COMPUTED_VALUE"""),45328)</f>
        <v>45328</v>
      </c>
    </row>
    <row r="999" spans="1:20" ht="12.75">
      <c r="A999" s="24">
        <f ca="1">IFERROR(__xludf.DUMMYFUNCTION("""COMPUTED_VALUE"""),45672.3613418981)</f>
        <v>45672.361341898097</v>
      </c>
      <c r="B999" s="5" t="str">
        <f ca="1">IFERROR(__xludf.DUMMYFUNCTION("""COMPUTED_VALUE"""),"262 Jaxine Drive ")</f>
        <v xml:space="preserve">262 Jaxine Drive </v>
      </c>
      <c r="C999" s="5" t="str">
        <f ca="1">IFERROR(__xludf.DUMMYFUNCTION("""COMPUTED_VALUE"""),"Altadena")</f>
        <v>Altadena</v>
      </c>
      <c r="D999" s="5" t="str">
        <f ca="1">IFERROR(__xludf.DUMMYFUNCTION("""COMPUTED_VALUE"""),"CA")</f>
        <v>CA</v>
      </c>
      <c r="E999" s="5">
        <f ca="1">IFERROR(__xludf.DUMMYFUNCTION("""COMPUTED_VALUE"""),91001)</f>
        <v>91001</v>
      </c>
      <c r="F999" s="19">
        <f ca="1">IFERROR(__xludf.DUMMYFUNCTION("""COMPUTED_VALUE"""),12000)</f>
        <v>12000</v>
      </c>
      <c r="G999" s="19">
        <f ca="1">IFERROR(__xludf.DUMMYFUNCTION("""COMPUTED_VALUE"""),16000)</f>
        <v>16000</v>
      </c>
      <c r="H999" s="18">
        <f ca="1">IFERROR(__xludf.DUMMYFUNCTION("""COMPUTED_VALUE"""),45667)</f>
        <v>45667</v>
      </c>
      <c r="I999" s="5" t="str">
        <f ca="1">IFERROR(__xludf.DUMMYFUNCTION("""COMPUTED_VALUE"""),"Zillow")</f>
        <v>Zillow</v>
      </c>
      <c r="J999" s="25" t="str">
        <f ca="1">IFERROR(__xludf.DUMMYFUNCTION("""COMPUTED_VALUE"""),"https://www.zillow.com/homedetails/800-Canon-Dr-Pasadena-CA-91106/20700154_zpid/")</f>
        <v>https://www.zillow.com/homedetails/800-Canon-Dr-Pasadena-CA-91106/20700154_zpid/</v>
      </c>
      <c r="K999" s="5" t="str">
        <f ca="1">IFERROR(__xludf.DUMMYFUNCTION("""COMPUTED_VALUE"""),"Ted Clark - Compass")</f>
        <v>Ted Clark - Compass</v>
      </c>
      <c r="L999" s="5"/>
      <c r="M999" s="5" t="str">
        <f ca="1">IFERROR(__xludf.DUMMYFUNCTION("""COMPUTED_VALUE"""),"Wrote down the 12k listing price on 1/10/25 in my own notes (did not take screengrab but did type the amount 12k on my rental application). Toured and submitted application 1/11/25 without knowing the price jumped from 12k to 16k overnight.")</f>
        <v>Wrote down the 12k listing price on 1/10/25 in my own notes (did not take screengrab but did type the amount 12k on my rental application). Toured and submitted application 1/11/25 without knowing the price jumped from 12k to 16k overnight.</v>
      </c>
      <c r="N999" s="26" t="str">
        <f ca="1">IFERROR(__xludf.DUMMYFUNCTION("""COMPUTED_VALUE"""),"https://drive.google.com/open?id=1Ew1ZJjusm-2jw__tzsTfbuhEPOz4mOGQ")</f>
        <v>https://drive.google.com/open?id=1Ew1ZJjusm-2jw__tzsTfbuhEPOz4mOGQ</v>
      </c>
      <c r="O999" s="5">
        <f ca="1">IFERROR(__xludf.DUMMYFUNCTION("""COMPUTED_VALUE"""),5325024014)</f>
        <v>5325024014</v>
      </c>
      <c r="P999" s="5" t="str">
        <f ca="1">IFERROR(__xludf.DUMMYFUNCTION("""COMPUTED_VALUE"""),"626-627-7867")</f>
        <v>626-627-7867</v>
      </c>
      <c r="Q999" s="5" t="str">
        <f ca="1">IFERROR(__xludf.DUMMYFUNCTION("""COMPUTED_VALUE"""),"tedclarkandpartners@gmail.com")</f>
        <v>tedclarkandpartners@gmail.com</v>
      </c>
      <c r="R999" s="5"/>
      <c r="S999" s="5"/>
      <c r="T999" s="18">
        <f ca="1">IFERROR(__xludf.DUMMYFUNCTION("""COMPUTED_VALUE"""),45667)</f>
        <v>45667</v>
      </c>
    </row>
    <row r="1000" spans="1:20" ht="12.75">
      <c r="A1000" s="24">
        <f ca="1">IFERROR(__xludf.DUMMYFUNCTION("""COMPUTED_VALUE"""),45672.361556493)</f>
        <v>45672.361556493001</v>
      </c>
      <c r="B1000" s="5" t="str">
        <f ca="1">IFERROR(__xludf.DUMMYFUNCTION("""COMPUTED_VALUE"""),"627 N Kilkea Dr")</f>
        <v>627 N Kilkea Dr</v>
      </c>
      <c r="C1000" s="5" t="str">
        <f ca="1">IFERROR(__xludf.DUMMYFUNCTION("""COMPUTED_VALUE"""),"Los Angeles")</f>
        <v>Los Angeles</v>
      </c>
      <c r="D1000" s="5" t="str">
        <f ca="1">IFERROR(__xludf.DUMMYFUNCTION("""COMPUTED_VALUE"""),"CA")</f>
        <v>CA</v>
      </c>
      <c r="E1000" s="5">
        <f ca="1">IFERROR(__xludf.DUMMYFUNCTION("""COMPUTED_VALUE"""),90048)</f>
        <v>90048</v>
      </c>
      <c r="F1000" s="19">
        <f ca="1">IFERROR(__xludf.DUMMYFUNCTION("""COMPUTED_VALUE"""),8900)</f>
        <v>8900</v>
      </c>
      <c r="G1000" s="19">
        <f ca="1">IFERROR(__xludf.DUMMYFUNCTION("""COMPUTED_VALUE"""),10100)</f>
        <v>10100</v>
      </c>
      <c r="H1000" s="18">
        <f ca="1">IFERROR(__xludf.DUMMYFUNCTION("""COMPUTED_VALUE"""),45671)</f>
        <v>45671</v>
      </c>
      <c r="I1000" s="5" t="str">
        <f ca="1">IFERROR(__xludf.DUMMYFUNCTION("""COMPUTED_VALUE"""),"Zillow")</f>
        <v>Zillow</v>
      </c>
      <c r="J1000" s="25" t="str">
        <f ca="1">IFERROR(__xludf.DUMMYFUNCTION("""COMPUTED_VALUE"""),"https://www.zillow.com/homedetails/627-N-Kilkea-Dr-Los-Angeles-CA-90048/20786878_zpid/")</f>
        <v>https://www.zillow.com/homedetails/627-N-Kilkea-Dr-Los-Angeles-CA-90048/20786878_zpid/</v>
      </c>
      <c r="K1000" s="5"/>
      <c r="L1000" s="5" t="str">
        <f ca="1">IFERROR(__xludf.DUMMYFUNCTION("""COMPUTED_VALUE"""),"Maytal Dahan")</f>
        <v>Maytal Dahan</v>
      </c>
      <c r="M1000" s="5"/>
      <c r="N1000" s="26" t="str">
        <f ca="1">IFERROR(__xludf.DUMMYFUNCTION("""COMPUTED_VALUE"""),"https://drive.google.com/open?id=15cg--HtLcnRUayIq9VvOFV1p3xXerzmo")</f>
        <v>https://drive.google.com/open?id=15cg--HtLcnRUayIq9VvOFV1p3xXerzmo</v>
      </c>
      <c r="O1000" s="5">
        <f ca="1">IFERROR(__xludf.DUMMYFUNCTION("""COMPUTED_VALUE"""),5528011026)</f>
        <v>5528011026</v>
      </c>
      <c r="P1000" s="5"/>
      <c r="Q1000" s="5"/>
      <c r="R1000" s="5"/>
      <c r="S1000" s="5"/>
      <c r="T1000" s="18">
        <f ca="1">IFERROR(__xludf.DUMMYFUNCTION("""COMPUTED_VALUE"""),45196)</f>
        <v>45196</v>
      </c>
    </row>
    <row r="1001" spans="1:20" ht="12.75">
      <c r="A1001" s="24">
        <f ca="1">IFERROR(__xludf.DUMMYFUNCTION("""COMPUTED_VALUE"""),45672.3642908101)</f>
        <v>45672.364290810103</v>
      </c>
      <c r="B1001" s="5" t="str">
        <f ca="1">IFERROR(__xludf.DUMMYFUNCTION("""COMPUTED_VALUE"""),"641 N Fuller Ave")</f>
        <v>641 N Fuller Ave</v>
      </c>
      <c r="C1001" s="5" t="str">
        <f ca="1">IFERROR(__xludf.DUMMYFUNCTION("""COMPUTED_VALUE"""),"Los Angeles")</f>
        <v>Los Angeles</v>
      </c>
      <c r="D1001" s="5" t="str">
        <f ca="1">IFERROR(__xludf.DUMMYFUNCTION("""COMPUTED_VALUE"""),"CA")</f>
        <v>CA</v>
      </c>
      <c r="E1001" s="5">
        <f ca="1">IFERROR(__xludf.DUMMYFUNCTION("""COMPUTED_VALUE"""),90036)</f>
        <v>90036</v>
      </c>
      <c r="F1001" s="19">
        <f ca="1">IFERROR(__xludf.DUMMYFUNCTION("""COMPUTED_VALUE"""),7000)</f>
        <v>7000</v>
      </c>
      <c r="G1001" s="19">
        <f ca="1">IFERROR(__xludf.DUMMYFUNCTION("""COMPUTED_VALUE"""),8525)</f>
        <v>8525</v>
      </c>
      <c r="H1001" s="18">
        <f ca="1">IFERROR(__xludf.DUMMYFUNCTION("""COMPUTED_VALUE"""),45671)</f>
        <v>45671</v>
      </c>
      <c r="I1001" s="5" t="str">
        <f ca="1">IFERROR(__xludf.DUMMYFUNCTION("""COMPUTED_VALUE"""),"Zillow")</f>
        <v>Zillow</v>
      </c>
      <c r="J1001" s="25" t="str">
        <f ca="1">IFERROR(__xludf.DUMMYFUNCTION("""COMPUTED_VALUE"""),"https://www.zillow.com/homedetails/641-N-Fuller-Ave-Los-Angeles-CA-90036/20785325_zpid/")</f>
        <v>https://www.zillow.com/homedetails/641-N-Fuller-Ave-Los-Angeles-CA-90036/20785325_zpid/</v>
      </c>
      <c r="K1001" s="5"/>
      <c r="L1001" s="5"/>
      <c r="M1001" s="5" t="str">
        <f ca="1">IFERROR(__xludf.DUMMYFUNCTION("""COMPUTED_VALUE"""),"Listing has since been removed")</f>
        <v>Listing has since been removed</v>
      </c>
      <c r="N1001" s="26" t="str">
        <f ca="1">IFERROR(__xludf.DUMMYFUNCTION("""COMPUTED_VALUE"""),"https://drive.google.com/open?id=1e_KVH6RsFL6yNWeWM5xabpd3IWLaBeYR")</f>
        <v>https://drive.google.com/open?id=1e_KVH6RsFL6yNWeWM5xabpd3IWLaBeYR</v>
      </c>
      <c r="O1001" s="5">
        <f ca="1">IFERROR(__xludf.DUMMYFUNCTION("""COMPUTED_VALUE"""),5526020005)</f>
        <v>5526020005</v>
      </c>
      <c r="P1001" s="5"/>
      <c r="Q1001" s="5"/>
      <c r="R1001" s="5"/>
      <c r="S1001" s="5"/>
      <c r="T1001" s="18">
        <f ca="1">IFERROR(__xludf.DUMMYFUNCTION("""COMPUTED_VALUE"""),45333)</f>
        <v>45333</v>
      </c>
    </row>
    <row r="1002" spans="1:20" ht="12.75">
      <c r="A1002" s="24">
        <f ca="1">IFERROR(__xludf.DUMMYFUNCTION("""COMPUTED_VALUE"""),45672.3659231134)</f>
        <v>45672.365923113401</v>
      </c>
      <c r="B1002" s="5" t="str">
        <f ca="1">IFERROR(__xludf.DUMMYFUNCTION("""COMPUTED_VALUE"""),"6213 S Budlong Ave")</f>
        <v>6213 S Budlong Ave</v>
      </c>
      <c r="C1002" s="5" t="str">
        <f ca="1">IFERROR(__xludf.DUMMYFUNCTION("""COMPUTED_VALUE"""),"Los Angeles")</f>
        <v>Los Angeles</v>
      </c>
      <c r="D1002" s="5" t="str">
        <f ca="1">IFERROR(__xludf.DUMMYFUNCTION("""COMPUTED_VALUE"""),"CA")</f>
        <v>CA</v>
      </c>
      <c r="E1002" s="5">
        <f ca="1">IFERROR(__xludf.DUMMYFUNCTION("""COMPUTED_VALUE"""),90044)</f>
        <v>90044</v>
      </c>
      <c r="F1002" s="19">
        <f ca="1">IFERROR(__xludf.DUMMYFUNCTION("""COMPUTED_VALUE"""),1700)</f>
        <v>1700</v>
      </c>
      <c r="G1002" s="19">
        <f ca="1">IFERROR(__xludf.DUMMYFUNCTION("""COMPUTED_VALUE"""),1950)</f>
        <v>1950</v>
      </c>
      <c r="H1002" s="18">
        <f ca="1">IFERROR(__xludf.DUMMYFUNCTION("""COMPUTED_VALUE"""),45664)</f>
        <v>45664</v>
      </c>
      <c r="I1002" s="5" t="str">
        <f ca="1">IFERROR(__xludf.DUMMYFUNCTION("""COMPUTED_VALUE"""),"Zillow")</f>
        <v>Zillow</v>
      </c>
      <c r="J1002" s="25" t="str">
        <f ca="1">IFERROR(__xludf.DUMMYFUNCTION("""COMPUTED_VALUE"""),"https://www.zillow.com/homedetails/6213-S-Budlong-Ave-Los-Angeles-CA-90044/443691128_zpid/")</f>
        <v>https://www.zillow.com/homedetails/6213-S-Budlong-Ave-Los-Angeles-CA-90044/443691128_zpid/</v>
      </c>
      <c r="K1002" s="5" t="str">
        <f ca="1">IFERROR(__xludf.DUMMYFUNCTION("""COMPUTED_VALUE"""),"Affordable Housing")</f>
        <v>Affordable Housing</v>
      </c>
      <c r="L1002" s="5"/>
      <c r="M1002" s="5"/>
      <c r="N1002" s="26" t="str">
        <f ca="1">IFERROR(__xludf.DUMMYFUNCTION("""COMPUTED_VALUE"""),"https://drive.google.com/open?id=1pCpmFXrpAHCmAX3rnKApi4H20L65gVnq")</f>
        <v>https://drive.google.com/open?id=1pCpmFXrpAHCmAX3rnKApi4H20L65gVnq</v>
      </c>
      <c r="O1002" s="5" t="str">
        <f ca="1">IFERROR(__xludf.DUMMYFUNCTION("""COMPUTED_VALUE"""),"n/a")</f>
        <v>n/a</v>
      </c>
      <c r="P1002" s="5" t="str">
        <f ca="1">IFERROR(__xludf.DUMMYFUNCTION("""COMPUTED_VALUE"""),"(562) 334-5113")</f>
        <v>(562) 334-5113</v>
      </c>
      <c r="Q1002" s="5"/>
      <c r="R1002" s="5"/>
      <c r="S1002" s="5"/>
      <c r="T1002" s="18">
        <f ca="1">IFERROR(__xludf.DUMMYFUNCTION("""COMPUTED_VALUE"""),45657)</f>
        <v>45657</v>
      </c>
    </row>
    <row r="1003" spans="1:20" ht="12.75">
      <c r="A1003" s="24">
        <f ca="1">IFERROR(__xludf.DUMMYFUNCTION("""COMPUTED_VALUE"""),45672.3684863078)</f>
        <v>45672.368486307802</v>
      </c>
      <c r="B1003" s="5" t="str">
        <f ca="1">IFERROR(__xludf.DUMMYFUNCTION("""COMPUTED_VALUE"""),"3759 S Canfield Ave #204A")</f>
        <v>3759 S Canfield Ave #204A</v>
      </c>
      <c r="C1003" s="5" t="str">
        <f ca="1">IFERROR(__xludf.DUMMYFUNCTION("""COMPUTED_VALUE"""),"Los Angeles")</f>
        <v>Los Angeles</v>
      </c>
      <c r="D1003" s="5" t="str">
        <f ca="1">IFERROR(__xludf.DUMMYFUNCTION("""COMPUTED_VALUE"""),"CA")</f>
        <v>CA</v>
      </c>
      <c r="E1003" s="5">
        <f ca="1">IFERROR(__xludf.DUMMYFUNCTION("""COMPUTED_VALUE"""),90034)</f>
        <v>90034</v>
      </c>
      <c r="F1003" s="19">
        <f ca="1">IFERROR(__xludf.DUMMYFUNCTION("""COMPUTED_VALUE"""),1910)</f>
        <v>1910</v>
      </c>
      <c r="G1003" s="19">
        <f ca="1">IFERROR(__xludf.DUMMYFUNCTION("""COMPUTED_VALUE"""),2150)</f>
        <v>2150</v>
      </c>
      <c r="H1003" s="18">
        <f ca="1">IFERROR(__xludf.DUMMYFUNCTION("""COMPUTED_VALUE"""),45667)</f>
        <v>45667</v>
      </c>
      <c r="I1003" s="5" t="str">
        <f ca="1">IFERROR(__xludf.DUMMYFUNCTION("""COMPUTED_VALUE"""),"Zillow")</f>
        <v>Zillow</v>
      </c>
      <c r="J1003" s="25" t="str">
        <f ca="1">IFERROR(__xludf.DUMMYFUNCTION("""COMPUTED_VALUE"""),"https://www.zillow.com/homedetails/3759-S-Canfield-Ave-204A-Los-Angeles-CA-90034/443801052_zpid/")</f>
        <v>https://www.zillow.com/homedetails/3759-S-Canfield-Ave-204A-Los-Angeles-CA-90034/443801052_zpid/</v>
      </c>
      <c r="K1003" s="5" t="str">
        <f ca="1">IFERROR(__xludf.DUMMYFUNCTION("""COMPUTED_VALUE"""),"Mikey (listed by mgmt company)")</f>
        <v>Mikey (listed by mgmt company)</v>
      </c>
      <c r="L1003" s="5"/>
      <c r="M1003" s="5"/>
      <c r="N1003" s="26" t="str">
        <f ca="1">IFERROR(__xludf.DUMMYFUNCTION("""COMPUTED_VALUE"""),"https://drive.google.com/open?id=16NLqvB28nY21hixUG0r34JKLvDrTKJeB")</f>
        <v>https://drive.google.com/open?id=16NLqvB28nY21hixUG0r34JKLvDrTKJeB</v>
      </c>
      <c r="O1003" s="5" t="str">
        <f ca="1">IFERROR(__xludf.DUMMYFUNCTION("""COMPUTED_VALUE"""),"n/a")</f>
        <v>n/a</v>
      </c>
      <c r="P1003" s="5" t="str">
        <f ca="1">IFERROR(__xludf.DUMMYFUNCTION("""COMPUTED_VALUE"""),"(213) 642-3299")</f>
        <v>(213) 642-3299</v>
      </c>
      <c r="Q1003" s="5"/>
      <c r="R1003" s="5"/>
      <c r="S1003" s="5"/>
      <c r="T1003" s="18">
        <f ca="1">IFERROR(__xludf.DUMMYFUNCTION("""COMPUTED_VALUE"""),45512)</f>
        <v>45512</v>
      </c>
    </row>
    <row r="1004" spans="1:20" ht="12.75">
      <c r="A1004" s="24">
        <f ca="1">IFERROR(__xludf.DUMMYFUNCTION("""COMPUTED_VALUE"""),45672.3707077314)</f>
        <v>45672.370707731403</v>
      </c>
      <c r="B1004" s="5" t="str">
        <f ca="1">IFERROR(__xludf.DUMMYFUNCTION("""COMPUTED_VALUE"""),"1821 W 25th St")</f>
        <v>1821 W 25th St</v>
      </c>
      <c r="C1004" s="5" t="str">
        <f ca="1">IFERROR(__xludf.DUMMYFUNCTION("""COMPUTED_VALUE"""),"Los Angeles")</f>
        <v>Los Angeles</v>
      </c>
      <c r="D1004" s="5" t="str">
        <f ca="1">IFERROR(__xludf.DUMMYFUNCTION("""COMPUTED_VALUE"""),"CA")</f>
        <v>CA</v>
      </c>
      <c r="E1004" s="5">
        <f ca="1">IFERROR(__xludf.DUMMYFUNCTION("""COMPUTED_VALUE"""),90018)</f>
        <v>90018</v>
      </c>
      <c r="F1004" s="19">
        <f ca="1">IFERROR(__xludf.DUMMYFUNCTION("""COMPUTED_VALUE"""),900)</f>
        <v>900</v>
      </c>
      <c r="G1004" s="19">
        <f ca="1">IFERROR(__xludf.DUMMYFUNCTION("""COMPUTED_VALUE"""),2300)</f>
        <v>2300</v>
      </c>
      <c r="H1004" s="18">
        <f ca="1">IFERROR(__xludf.DUMMYFUNCTION("""COMPUTED_VALUE"""),45667)</f>
        <v>45667</v>
      </c>
      <c r="I1004" s="5" t="str">
        <f ca="1">IFERROR(__xludf.DUMMYFUNCTION("""COMPUTED_VALUE"""),"Zillow")</f>
        <v>Zillow</v>
      </c>
      <c r="J1004" s="25" t="str">
        <f ca="1">IFERROR(__xludf.DUMMYFUNCTION("""COMPUTED_VALUE"""),"https://www.zillow.com/homedetails/1821-W-25th-St-Los-Angeles-CA-90018/2054605304_zpid/")</f>
        <v>https://www.zillow.com/homedetails/1821-W-25th-St-Los-Angeles-CA-90018/2054605304_zpid/</v>
      </c>
      <c r="K1004" s="5" t="str">
        <f ca="1">IFERROR(__xludf.DUMMYFUNCTION("""COMPUTED_VALUE"""),"Affordable Housing")</f>
        <v>Affordable Housing</v>
      </c>
      <c r="L1004" s="5"/>
      <c r="M1004" s="5"/>
      <c r="N1004" s="26" t="str">
        <f ca="1">IFERROR(__xludf.DUMMYFUNCTION("""COMPUTED_VALUE"""),"https://drive.google.com/open?id=1XLJYHQYLmA7oezTd7aaYKAKK5QsVuXDQ")</f>
        <v>https://drive.google.com/open?id=1XLJYHQYLmA7oezTd7aaYKAKK5QsVuXDQ</v>
      </c>
      <c r="O1004" s="5" t="str">
        <f ca="1">IFERROR(__xludf.DUMMYFUNCTION("""COMPUTED_VALUE"""),"n/a")</f>
        <v>n/a</v>
      </c>
      <c r="P1004" s="5" t="str">
        <f ca="1">IFERROR(__xludf.DUMMYFUNCTION("""COMPUTED_VALUE"""),"(323) 772-9180")</f>
        <v>(323) 772-9180</v>
      </c>
      <c r="Q1004" s="5"/>
      <c r="R1004" s="5"/>
      <c r="S1004" s="5"/>
      <c r="T1004" s="18">
        <f ca="1">IFERROR(__xludf.DUMMYFUNCTION("""COMPUTED_VALUE"""),45228)</f>
        <v>45228</v>
      </c>
    </row>
    <row r="1005" spans="1:20" ht="12.75">
      <c r="A1005" s="24">
        <f ca="1">IFERROR(__xludf.DUMMYFUNCTION("""COMPUTED_VALUE"""),45672.3733077314)</f>
        <v>45672.373307731403</v>
      </c>
      <c r="B1005" s="5" t="str">
        <f ca="1">IFERROR(__xludf.DUMMYFUNCTION("""COMPUTED_VALUE"""),"10982 Roebling Ave Apt. 565")</f>
        <v>10982 Roebling Ave Apt. 565</v>
      </c>
      <c r="C1005" s="5" t="str">
        <f ca="1">IFERROR(__xludf.DUMMYFUNCTION("""COMPUTED_VALUE"""),"Los Angeles")</f>
        <v>Los Angeles</v>
      </c>
      <c r="D1005" s="5" t="str">
        <f ca="1">IFERROR(__xludf.DUMMYFUNCTION("""COMPUTED_VALUE"""),"CA")</f>
        <v>CA</v>
      </c>
      <c r="E1005" s="5">
        <f ca="1">IFERROR(__xludf.DUMMYFUNCTION("""COMPUTED_VALUE"""),90024)</f>
        <v>90024</v>
      </c>
      <c r="F1005" s="19">
        <f ca="1">IFERROR(__xludf.DUMMYFUNCTION("""COMPUTED_VALUE"""),3900)</f>
        <v>3900</v>
      </c>
      <c r="G1005" s="19">
        <f ca="1">IFERROR(__xludf.DUMMYFUNCTION("""COMPUTED_VALUE"""),4900)</f>
        <v>4900</v>
      </c>
      <c r="H1005" s="18">
        <f ca="1">IFERROR(__xludf.DUMMYFUNCTION("""COMPUTED_VALUE"""),45668)</f>
        <v>45668</v>
      </c>
      <c r="I1005" s="5" t="str">
        <f ca="1">IFERROR(__xludf.DUMMYFUNCTION("""COMPUTED_VALUE"""),"Zillow")</f>
        <v>Zillow</v>
      </c>
      <c r="J1005" s="25" t="str">
        <f ca="1">IFERROR(__xludf.DUMMYFUNCTION("""COMPUTED_VALUE"""),"https://www.zillow.com/homedetails/10982-Roebling-Ave-APT-565-Los-Angeles-CA-90024/51582844_zpid/")</f>
        <v>https://www.zillow.com/homedetails/10982-Roebling-Ave-APT-565-Los-Angeles-CA-90024/51582844_zpid/</v>
      </c>
      <c r="K1005" s="5" t="str">
        <f ca="1">IFERROR(__xludf.DUMMYFUNCTION("""COMPUTED_VALUE""")," Yulia Spiridonova")</f>
        <v xml:space="preserve"> Yulia Spiridonova</v>
      </c>
      <c r="L1005" s="5"/>
      <c r="M1005" s="5"/>
      <c r="N1005" s="26" t="str">
        <f ca="1">IFERROR(__xludf.DUMMYFUNCTION("""COMPUTED_VALUE"""),"https://drive.google.com/open?id=1-QHUCZcHDOC7c-Mw-m89Msc9aX6yXakq")</f>
        <v>https://drive.google.com/open?id=1-QHUCZcHDOC7c-Mw-m89Msc9aX6yXakq</v>
      </c>
      <c r="O1005" s="5">
        <f ca="1">IFERROR(__xludf.DUMMYFUNCTION("""COMPUTED_VALUE"""),4363007242)</f>
        <v>4363007242</v>
      </c>
      <c r="P1005" s="5" t="str">
        <f ca="1">IFERROR(__xludf.DUMMYFUNCTION("""COMPUTED_VALUE"""),"(949) 637-9016")</f>
        <v>(949) 637-9016</v>
      </c>
      <c r="Q1005" s="5"/>
      <c r="R1005" s="5"/>
      <c r="S1005" s="5"/>
      <c r="T1005" s="18">
        <f ca="1">IFERROR(__xludf.DUMMYFUNCTION("""COMPUTED_VALUE"""),45582)</f>
        <v>45582</v>
      </c>
    </row>
    <row r="1006" spans="1:20" ht="12.75">
      <c r="A1006" s="24">
        <f ca="1">IFERROR(__xludf.DUMMYFUNCTION("""COMPUTED_VALUE"""),45672.3748201273)</f>
        <v>45672.374820127297</v>
      </c>
      <c r="B1006" s="5" t="str">
        <f ca="1">IFERROR(__xludf.DUMMYFUNCTION("""COMPUTED_VALUE"""),"8326 Blackburn Ave Unit 404")</f>
        <v>8326 Blackburn Ave Unit 404</v>
      </c>
      <c r="C1006" s="5" t="str">
        <f ca="1">IFERROR(__xludf.DUMMYFUNCTION("""COMPUTED_VALUE"""),"Los Angeles")</f>
        <v>Los Angeles</v>
      </c>
      <c r="D1006" s="5" t="str">
        <f ca="1">IFERROR(__xludf.DUMMYFUNCTION("""COMPUTED_VALUE"""),"CA")</f>
        <v>CA</v>
      </c>
      <c r="E1006" s="5">
        <f ca="1">IFERROR(__xludf.DUMMYFUNCTION("""COMPUTED_VALUE"""),90048)</f>
        <v>90048</v>
      </c>
      <c r="F1006" s="19">
        <f ca="1">IFERROR(__xludf.DUMMYFUNCTION("""COMPUTED_VALUE"""),6200)</f>
        <v>6200</v>
      </c>
      <c r="G1006" s="19">
        <f ca="1">IFERROR(__xludf.DUMMYFUNCTION("""COMPUTED_VALUE"""),7000)</f>
        <v>7000</v>
      </c>
      <c r="H1006" s="18">
        <f ca="1">IFERROR(__xludf.DUMMYFUNCTION("""COMPUTED_VALUE"""),45671)</f>
        <v>45671</v>
      </c>
      <c r="I1006" s="5" t="str">
        <f ca="1">IFERROR(__xludf.DUMMYFUNCTION("""COMPUTED_VALUE"""),"Zillow")</f>
        <v>Zillow</v>
      </c>
      <c r="J1006" s="25" t="str">
        <f ca="1">IFERROR(__xludf.DUMMYFUNCTION("""COMPUTED_VALUE"""),"https://www.zillow.com/homedetails/8326-Blackburn-Ave-UNIT-404-Los-Angeles-CA-90048/440713381_zpid/")</f>
        <v>https://www.zillow.com/homedetails/8326-Blackburn-Ave-UNIT-404-Los-Angeles-CA-90048/440713381_zpid/</v>
      </c>
      <c r="K1006" s="5" t="str">
        <f ca="1">IFERROR(__xludf.DUMMYFUNCTION("""COMPUTED_VALUE"""),"Yael Davoudpour - Compass")</f>
        <v>Yael Davoudpour - Compass</v>
      </c>
      <c r="L1006" s="5"/>
      <c r="M1006" s="5"/>
      <c r="N1006" s="26" t="str">
        <f ca="1">IFERROR(__xludf.DUMMYFUNCTION("""COMPUTED_VALUE"""),"https://drive.google.com/open?id=1bxkCEmXGy_TDWorR6qSsk-rM4tCxatTK")</f>
        <v>https://drive.google.com/open?id=1bxkCEmXGy_TDWorR6qSsk-rM4tCxatTK</v>
      </c>
      <c r="O1006" s="5" t="str">
        <f ca="1">IFERROR(__xludf.DUMMYFUNCTION("""COMPUTED_VALUE"""),"n/a")</f>
        <v>n/a</v>
      </c>
      <c r="P1006" s="5" t="str">
        <f ca="1">IFERROR(__xludf.DUMMYFUNCTION("""COMPUTED_VALUE"""),"(310) 652-6285")</f>
        <v>(310) 652-6285</v>
      </c>
      <c r="Q1006" s="5"/>
      <c r="R1006" s="5"/>
      <c r="S1006" s="5"/>
      <c r="T1006" s="18">
        <f ca="1">IFERROR(__xludf.DUMMYFUNCTION("""COMPUTED_VALUE"""),45555)</f>
        <v>45555</v>
      </c>
    </row>
    <row r="1007" spans="1:20" ht="12.75">
      <c r="A1007" s="24">
        <f ca="1">IFERROR(__xludf.DUMMYFUNCTION("""COMPUTED_VALUE"""),45672.3763370138)</f>
        <v>45672.376337013797</v>
      </c>
      <c r="B1007" s="5" t="str">
        <f ca="1">IFERROR(__xludf.DUMMYFUNCTION("""COMPUTED_VALUE"""),"2025 S Sherbourne Dr")</f>
        <v>2025 S Sherbourne Dr</v>
      </c>
      <c r="C1007" s="5" t="str">
        <f ca="1">IFERROR(__xludf.DUMMYFUNCTION("""COMPUTED_VALUE"""),"Los Angeles")</f>
        <v>Los Angeles</v>
      </c>
      <c r="D1007" s="5" t="str">
        <f ca="1">IFERROR(__xludf.DUMMYFUNCTION("""COMPUTED_VALUE"""),"CA")</f>
        <v>CA</v>
      </c>
      <c r="E1007" s="5">
        <f ca="1">IFERROR(__xludf.DUMMYFUNCTION("""COMPUTED_VALUE"""),90034)</f>
        <v>90034</v>
      </c>
      <c r="F1007" s="19">
        <f ca="1">IFERROR(__xludf.DUMMYFUNCTION("""COMPUTED_VALUE"""),2750)</f>
        <v>2750</v>
      </c>
      <c r="G1007" s="19">
        <f ca="1">IFERROR(__xludf.DUMMYFUNCTION("""COMPUTED_VALUE"""),3200)</f>
        <v>3200</v>
      </c>
      <c r="H1007" s="18">
        <f ca="1">IFERROR(__xludf.DUMMYFUNCTION("""COMPUTED_VALUE"""),45667)</f>
        <v>45667</v>
      </c>
      <c r="I1007" s="5" t="str">
        <f ca="1">IFERROR(__xludf.DUMMYFUNCTION("""COMPUTED_VALUE"""),"Zillow")</f>
        <v>Zillow</v>
      </c>
      <c r="J1007" s="25" t="str">
        <f ca="1">IFERROR(__xludf.DUMMYFUNCTION("""COMPUTED_VALUE"""),"https://www.zillow.com/homedetails/2025-S-Sherbourne-Dr-Los-Angeles-CA-90034/2128304469_zpid/")</f>
        <v>https://www.zillow.com/homedetails/2025-S-Sherbourne-Dr-Los-Angeles-CA-90034/2128304469_zpid/</v>
      </c>
      <c r="K1007" s="5" t="str">
        <f ca="1">IFERROR(__xludf.DUMMYFUNCTION("""COMPUTED_VALUE"""),"Ray (listed by mgmt company)")</f>
        <v>Ray (listed by mgmt company)</v>
      </c>
      <c r="L1007" s="5"/>
      <c r="M1007" s="5"/>
      <c r="N1007" s="26" t="str">
        <f ca="1">IFERROR(__xludf.DUMMYFUNCTION("""COMPUTED_VALUE"""),"https://drive.google.com/open?id=13DrVI0o4wNhm-RGydB7fZYm3MOFWeqSA")</f>
        <v>https://drive.google.com/open?id=13DrVI0o4wNhm-RGydB7fZYm3MOFWeqSA</v>
      </c>
      <c r="O1007" s="5" t="str">
        <f ca="1">IFERROR(__xludf.DUMMYFUNCTION("""COMPUTED_VALUE"""),"n/a")</f>
        <v>n/a</v>
      </c>
      <c r="P1007" s="5" t="str">
        <f ca="1">IFERROR(__xludf.DUMMYFUNCTION("""COMPUTED_VALUE"""),"(213) 698-5490")</f>
        <v>(213) 698-5490</v>
      </c>
      <c r="Q1007" s="5"/>
      <c r="R1007" s="5"/>
      <c r="S1007" s="5"/>
      <c r="T1007" s="18">
        <f ca="1">IFERROR(__xludf.DUMMYFUNCTION("""COMPUTED_VALUE"""),45603)</f>
        <v>45603</v>
      </c>
    </row>
    <row r="1008" spans="1:20" ht="12.75">
      <c r="A1008" s="24">
        <f ca="1">IFERROR(__xludf.DUMMYFUNCTION("""COMPUTED_VALUE"""),45672.3777368402)</f>
        <v>45672.377736840201</v>
      </c>
      <c r="B1008" s="5" t="str">
        <f ca="1">IFERROR(__xludf.DUMMYFUNCTION("""COMPUTED_VALUE"""),"1508 S Beverly Glen Blvd")</f>
        <v>1508 S Beverly Glen Blvd</v>
      </c>
      <c r="C1008" s="5" t="str">
        <f ca="1">IFERROR(__xludf.DUMMYFUNCTION("""COMPUTED_VALUE"""),"Los Angeles")</f>
        <v>Los Angeles</v>
      </c>
      <c r="D1008" s="5" t="str">
        <f ca="1">IFERROR(__xludf.DUMMYFUNCTION("""COMPUTED_VALUE"""),"CA")</f>
        <v>CA</v>
      </c>
      <c r="E1008" s="5">
        <f ca="1">IFERROR(__xludf.DUMMYFUNCTION("""COMPUTED_VALUE"""),90024)</f>
        <v>90024</v>
      </c>
      <c r="F1008" s="19">
        <f ca="1">IFERROR(__xludf.DUMMYFUNCTION("""COMPUTED_VALUE"""),2550)</f>
        <v>2550</v>
      </c>
      <c r="G1008" s="19">
        <f ca="1">IFERROR(__xludf.DUMMYFUNCTION("""COMPUTED_VALUE"""),2850)</f>
        <v>2850</v>
      </c>
      <c r="H1008" s="18">
        <f ca="1">IFERROR(__xludf.DUMMYFUNCTION("""COMPUTED_VALUE"""),45667)</f>
        <v>45667</v>
      </c>
      <c r="I1008" s="5" t="str">
        <f ca="1">IFERROR(__xludf.DUMMYFUNCTION("""COMPUTED_VALUE"""),"Zillow")</f>
        <v>Zillow</v>
      </c>
      <c r="J1008" s="25" t="str">
        <f ca="1">IFERROR(__xludf.DUMMYFUNCTION("""COMPUTED_VALUE"""),"https://www.zillow.com/homedetails/1508-S-Beverly-Glen-Blvd-Los-Angeles-CA-90024/402072336_zpid/")</f>
        <v>https://www.zillow.com/homedetails/1508-S-Beverly-Glen-Blvd-Los-Angeles-CA-90024/402072336_zpid/</v>
      </c>
      <c r="K1008" s="5" t="str">
        <f ca="1">IFERROR(__xludf.DUMMYFUNCTION("""COMPUTED_VALUE"""),"Amanda - STLiving")</f>
        <v>Amanda - STLiving</v>
      </c>
      <c r="L1008" s="5"/>
      <c r="M1008" s="5"/>
      <c r="N1008" s="26" t="str">
        <f ca="1">IFERROR(__xludf.DUMMYFUNCTION("""COMPUTED_VALUE"""),"https://drive.google.com/open?id=1Xt7Vjk7jNojpOFhAmEEdTuEjj__J1ebT")</f>
        <v>https://drive.google.com/open?id=1Xt7Vjk7jNojpOFhAmEEdTuEjj__J1ebT</v>
      </c>
      <c r="O1008" s="5" t="str">
        <f ca="1">IFERROR(__xludf.DUMMYFUNCTION("""COMPUTED_VALUE"""),"n/a")</f>
        <v>n/a</v>
      </c>
      <c r="P1008" s="5" t="str">
        <f ca="1">IFERROR(__xludf.DUMMYFUNCTION("""COMPUTED_VALUE"""),"(424) 213-0010")</f>
        <v>(424) 213-0010</v>
      </c>
      <c r="Q1008" s="5"/>
      <c r="R1008" s="5"/>
      <c r="S1008" s="5"/>
      <c r="T1008" s="18">
        <f ca="1">IFERROR(__xludf.DUMMYFUNCTION("""COMPUTED_VALUE"""),45582)</f>
        <v>45582</v>
      </c>
    </row>
    <row r="1009" spans="1:20" ht="12.75">
      <c r="A1009" s="24">
        <f ca="1">IFERROR(__xludf.DUMMYFUNCTION("""COMPUTED_VALUE"""),45672.3798385763)</f>
        <v>45672.3798385763</v>
      </c>
      <c r="B1009" s="5" t="str">
        <f ca="1">IFERROR(__xludf.DUMMYFUNCTION("""COMPUTED_VALUE"""),"22015 Mulholland Way")</f>
        <v>22015 Mulholland Way</v>
      </c>
      <c r="C1009" s="5" t="str">
        <f ca="1">IFERROR(__xludf.DUMMYFUNCTION("""COMPUTED_VALUE"""),"Woodland Hills")</f>
        <v>Woodland Hills</v>
      </c>
      <c r="D1009" s="5" t="str">
        <f ca="1">IFERROR(__xludf.DUMMYFUNCTION("""COMPUTED_VALUE"""),"CA")</f>
        <v>CA</v>
      </c>
      <c r="E1009" s="5">
        <f ca="1">IFERROR(__xludf.DUMMYFUNCTION("""COMPUTED_VALUE"""),91364)</f>
        <v>91364</v>
      </c>
      <c r="F1009" s="19">
        <f ca="1">IFERROR(__xludf.DUMMYFUNCTION("""COMPUTED_VALUE"""),6500)</f>
        <v>6500</v>
      </c>
      <c r="G1009" s="19">
        <f ca="1">IFERROR(__xludf.DUMMYFUNCTION("""COMPUTED_VALUE"""),7500)</f>
        <v>7500</v>
      </c>
      <c r="H1009" s="18">
        <f ca="1">IFERROR(__xludf.DUMMYFUNCTION("""COMPUTED_VALUE"""),45672)</f>
        <v>45672</v>
      </c>
      <c r="I1009" s="5" t="str">
        <f ca="1">IFERROR(__xludf.DUMMYFUNCTION("""COMPUTED_VALUE"""),"Zillow")</f>
        <v>Zillow</v>
      </c>
      <c r="J1009" s="25" t="str">
        <f ca="1">IFERROR(__xludf.DUMMYFUNCTION("""COMPUTED_VALUE"""),"https://www.zillow.com/homedetails/22015-Mulholland-Way-Woodland-Hills-CA-91364/19943854_zpid/")</f>
        <v>https://www.zillow.com/homedetails/22015-Mulholland-Way-Woodland-Hills-CA-91364/19943854_zpid/</v>
      </c>
      <c r="K1009" s="5" t="str">
        <f ca="1">IFERROR(__xludf.DUMMYFUNCTION("""COMPUTED_VALUE"""),"Lee")</f>
        <v>Lee</v>
      </c>
      <c r="L1009" s="5"/>
      <c r="M1009" s="5"/>
      <c r="N1009" s="26" t="str">
        <f ca="1">IFERROR(__xludf.DUMMYFUNCTION("""COMPUTED_VALUE"""),"https://drive.google.com/open?id=1d0u-DIGnY6vu0mgt9TbtmkrTmI7kFC0U")</f>
        <v>https://drive.google.com/open?id=1d0u-DIGnY6vu0mgt9TbtmkrTmI7kFC0U</v>
      </c>
      <c r="O1009" s="5">
        <f ca="1">IFERROR(__xludf.DUMMYFUNCTION("""COMPUTED_VALUE"""),2170009029)</f>
        <v>2170009029</v>
      </c>
      <c r="P1009" s="5" t="str">
        <f ca="1">IFERROR(__xludf.DUMMYFUNCTION("""COMPUTED_VALUE"""),"(917) 727-3623")</f>
        <v>(917) 727-3623</v>
      </c>
      <c r="Q1009" s="5"/>
      <c r="R1009" s="5"/>
      <c r="S1009" s="5"/>
      <c r="T1009" s="18">
        <f ca="1">IFERROR(__xludf.DUMMYFUNCTION("""COMPUTED_VALUE"""),45626)</f>
        <v>45626</v>
      </c>
    </row>
    <row r="1010" spans="1:20" ht="12.75">
      <c r="A1010" s="24">
        <f ca="1">IFERROR(__xludf.DUMMYFUNCTION("""COMPUTED_VALUE"""),45672.3813559027)</f>
        <v>45672.381355902697</v>
      </c>
      <c r="B1010" s="5" t="str">
        <f ca="1">IFERROR(__xludf.DUMMYFUNCTION("""COMPUTED_VALUE"""),"6927 Lindley Ave")</f>
        <v>6927 Lindley Ave</v>
      </c>
      <c r="C1010" s="5" t="str">
        <f ca="1">IFERROR(__xludf.DUMMYFUNCTION("""COMPUTED_VALUE"""),"Reseda")</f>
        <v>Reseda</v>
      </c>
      <c r="D1010" s="5" t="str">
        <f ca="1">IFERROR(__xludf.DUMMYFUNCTION("""COMPUTED_VALUE"""),"CA")</f>
        <v>CA</v>
      </c>
      <c r="E1010" s="5">
        <f ca="1">IFERROR(__xludf.DUMMYFUNCTION("""COMPUTED_VALUE"""),91335)</f>
        <v>91335</v>
      </c>
      <c r="F1010" s="19">
        <f ca="1">IFERROR(__xludf.DUMMYFUNCTION("""COMPUTED_VALUE"""),3850)</f>
        <v>3850</v>
      </c>
      <c r="G1010" s="19">
        <f ca="1">IFERROR(__xludf.DUMMYFUNCTION("""COMPUTED_VALUE"""),6400)</f>
        <v>6400</v>
      </c>
      <c r="H1010" s="18">
        <f ca="1">IFERROR(__xludf.DUMMYFUNCTION("""COMPUTED_VALUE"""),45672)</f>
        <v>45672</v>
      </c>
      <c r="I1010" s="5" t="str">
        <f ca="1">IFERROR(__xludf.DUMMYFUNCTION("""COMPUTED_VALUE"""),"Zillow")</f>
        <v>Zillow</v>
      </c>
      <c r="J1010" s="25" t="str">
        <f ca="1">IFERROR(__xludf.DUMMYFUNCTION("""COMPUTED_VALUE"""),"https://www.zillow.com/homedetails/6927-Lindley-Ave-Reseda-CA-91335/19919445_zpid/")</f>
        <v>https://www.zillow.com/homedetails/6927-Lindley-Ave-Reseda-CA-91335/19919445_zpid/</v>
      </c>
      <c r="K1010" s="5" t="str">
        <f ca="1">IFERROR(__xludf.DUMMYFUNCTION("""COMPUTED_VALUE"""),"Shahla Solouki - RE/MAX ONE")</f>
        <v>Shahla Solouki - RE/MAX ONE</v>
      </c>
      <c r="L1010" s="5"/>
      <c r="M1010" s="5"/>
      <c r="N1010" s="26" t="str">
        <f ca="1">IFERROR(__xludf.DUMMYFUNCTION("""COMPUTED_VALUE"""),"https://drive.google.com/open?id=12bUy7kXhMtl1s5G-iGGcSB5i3My0QIHK")</f>
        <v>https://drive.google.com/open?id=12bUy7kXhMtl1s5G-iGGcSB5i3My0QIHK</v>
      </c>
      <c r="O1010" s="5">
        <f ca="1">IFERROR(__xludf.DUMMYFUNCTION("""COMPUTED_VALUE"""),2125027020)</f>
        <v>2125027020</v>
      </c>
      <c r="P1010" s="5" t="str">
        <f ca="1">IFERROR(__xludf.DUMMYFUNCTION("""COMPUTED_VALUE"""),"(818) 523-6338")</f>
        <v>(818) 523-6338</v>
      </c>
      <c r="Q1010" s="5"/>
      <c r="R1010" s="5"/>
      <c r="S1010" s="5"/>
      <c r="T1010" s="18">
        <f ca="1">IFERROR(__xludf.DUMMYFUNCTION("""COMPUTED_VALUE"""),45655)</f>
        <v>45655</v>
      </c>
    </row>
    <row r="1011" spans="1:20" ht="12.75">
      <c r="A1011" s="24">
        <f ca="1">IFERROR(__xludf.DUMMYFUNCTION("""COMPUTED_VALUE"""),45672.383751574)</f>
        <v>45672.383751574002</v>
      </c>
      <c r="B1011" s="5" t="str">
        <f ca="1">IFERROR(__xludf.DUMMYFUNCTION("""COMPUTED_VALUE"""),"18804 Nordhoff St")</f>
        <v>18804 Nordhoff St</v>
      </c>
      <c r="C1011" s="5" t="str">
        <f ca="1">IFERROR(__xludf.DUMMYFUNCTION("""COMPUTED_VALUE"""),"Northridge")</f>
        <v>Northridge</v>
      </c>
      <c r="D1011" s="5" t="str">
        <f ca="1">IFERROR(__xludf.DUMMYFUNCTION("""COMPUTED_VALUE"""),"CA")</f>
        <v>CA</v>
      </c>
      <c r="E1011" s="5">
        <f ca="1">IFERROR(__xludf.DUMMYFUNCTION("""COMPUTED_VALUE"""),91324)</f>
        <v>91324</v>
      </c>
      <c r="F1011" s="19">
        <f ca="1">IFERROR(__xludf.DUMMYFUNCTION("""COMPUTED_VALUE"""),3500)</f>
        <v>3500</v>
      </c>
      <c r="G1011" s="19">
        <f ca="1">IFERROR(__xludf.DUMMYFUNCTION("""COMPUTED_VALUE"""),4000)</f>
        <v>4000</v>
      </c>
      <c r="H1011" s="18">
        <f ca="1">IFERROR(__xludf.DUMMYFUNCTION("""COMPUTED_VALUE"""),45672)</f>
        <v>45672</v>
      </c>
      <c r="I1011" s="5" t="str">
        <f ca="1">IFERROR(__xludf.DUMMYFUNCTION("""COMPUTED_VALUE"""),"Zillow")</f>
        <v>Zillow</v>
      </c>
      <c r="J1011" s="25" t="str">
        <f ca="1">IFERROR(__xludf.DUMMYFUNCTION("""COMPUTED_VALUE"""),"https://www.zillow.com/homedetails/18804-Nordhoff-St-Northridge-CA-91324/20178103_zpid/")</f>
        <v>https://www.zillow.com/homedetails/18804-Nordhoff-St-Northridge-CA-91324/20178103_zpid/</v>
      </c>
      <c r="K1011" s="5" t="str">
        <f ca="1">IFERROR(__xludf.DUMMYFUNCTION("""COMPUTED_VALUE"""),"Edward Hernandez (Landlord Assistant)")</f>
        <v>Edward Hernandez (Landlord Assistant)</v>
      </c>
      <c r="L1011" s="5"/>
      <c r="M1011" s="5"/>
      <c r="N1011" s="26" t="str">
        <f ca="1">IFERROR(__xludf.DUMMYFUNCTION("""COMPUTED_VALUE"""),"https://drive.google.com/open?id=13lY1Ej-0bKXYxGVdR_zMtVGayH8mU28S")</f>
        <v>https://drive.google.com/open?id=13lY1Ej-0bKXYxGVdR_zMtVGayH8mU28S</v>
      </c>
      <c r="O1011" s="5">
        <f ca="1">IFERROR(__xludf.DUMMYFUNCTION("""COMPUTED_VALUE"""),2770002012)</f>
        <v>2770002012</v>
      </c>
      <c r="P1011" s="5" t="str">
        <f ca="1">IFERROR(__xludf.DUMMYFUNCTION("""COMPUTED_VALUE"""),"(661) 341-0475")</f>
        <v>(661) 341-0475</v>
      </c>
      <c r="Q1011" s="5"/>
      <c r="R1011" s="5"/>
      <c r="S1011" s="5"/>
      <c r="T1011" s="18">
        <f ca="1">IFERROR(__xludf.DUMMYFUNCTION("""COMPUTED_VALUE"""),45585)</f>
        <v>45585</v>
      </c>
    </row>
    <row r="1012" spans="1:20" ht="12.75">
      <c r="A1012" s="24">
        <f ca="1">IFERROR(__xludf.DUMMYFUNCTION("""COMPUTED_VALUE"""),45672.3850314236)</f>
        <v>45672.385031423597</v>
      </c>
      <c r="B1012" s="5" t="str">
        <f ca="1">IFERROR(__xludf.DUMMYFUNCTION("""COMPUTED_VALUE"""),"10780 Andora Ave")</f>
        <v>10780 Andora Ave</v>
      </c>
      <c r="C1012" s="5" t="str">
        <f ca="1">IFERROR(__xludf.DUMMYFUNCTION("""COMPUTED_VALUE"""),"Chatsworth")</f>
        <v>Chatsworth</v>
      </c>
      <c r="D1012" s="5" t="str">
        <f ca="1">IFERROR(__xludf.DUMMYFUNCTION("""COMPUTED_VALUE"""),"CA")</f>
        <v>CA</v>
      </c>
      <c r="E1012" s="5">
        <f ca="1">IFERROR(__xludf.DUMMYFUNCTION("""COMPUTED_VALUE"""),91311)</f>
        <v>91311</v>
      </c>
      <c r="F1012" s="19">
        <f ca="1">IFERROR(__xludf.DUMMYFUNCTION("""COMPUTED_VALUE"""),3995)</f>
        <v>3995</v>
      </c>
      <c r="G1012" s="19">
        <f ca="1">IFERROR(__xludf.DUMMYFUNCTION("""COMPUTED_VALUE"""),4800)</f>
        <v>4800</v>
      </c>
      <c r="H1012" s="18">
        <f ca="1">IFERROR(__xludf.DUMMYFUNCTION("""COMPUTED_VALUE"""),45672)</f>
        <v>45672</v>
      </c>
      <c r="I1012" s="5" t="str">
        <f ca="1">IFERROR(__xludf.DUMMYFUNCTION("""COMPUTED_VALUE"""),"Zillow")</f>
        <v>Zillow</v>
      </c>
      <c r="J1012" s="25" t="str">
        <f ca="1">IFERROR(__xludf.DUMMYFUNCTION("""COMPUTED_VALUE"""),"https://www.zillow.com/homedetails/10780-Andora-Ave-Chatsworth-CA-91311/2068802822_zpid/")</f>
        <v>https://www.zillow.com/homedetails/10780-Andora-Ave-Chatsworth-CA-91311/2068802822_zpid/</v>
      </c>
      <c r="K1012" s="5"/>
      <c r="L1012" s="5" t="str">
        <f ca="1">IFERROR(__xludf.DUMMYFUNCTION("""COMPUTED_VALUE"""),"Mark and Tatiana Nayfeld")</f>
        <v>Mark and Tatiana Nayfeld</v>
      </c>
      <c r="M1012" s="5"/>
      <c r="N1012" s="26" t="str">
        <f ca="1">IFERROR(__xludf.DUMMYFUNCTION("""COMPUTED_VALUE"""),"https://drive.google.com/open?id=1ATSbae9VoQkvV40ZdnEVS1cFHVeZQV2A")</f>
        <v>https://drive.google.com/open?id=1ATSbae9VoQkvV40ZdnEVS1cFHVeZQV2A</v>
      </c>
      <c r="O1012" s="5" t="str">
        <f ca="1">IFERROR(__xludf.DUMMYFUNCTION("""COMPUTED_VALUE"""),"n/a")</f>
        <v>n/a</v>
      </c>
      <c r="P1012" s="5"/>
      <c r="Q1012" s="5"/>
      <c r="R1012" s="5" t="str">
        <f ca="1">IFERROR(__xludf.DUMMYFUNCTION("""COMPUTED_VALUE"""),"(628) 265-3277")</f>
        <v>(628) 265-3277</v>
      </c>
      <c r="S1012" s="5"/>
      <c r="T1012" s="18">
        <f ca="1">IFERROR(__xludf.DUMMYFUNCTION("""COMPUTED_VALUE"""),45566)</f>
        <v>45566</v>
      </c>
    </row>
    <row r="1013" spans="1:20" ht="12.75">
      <c r="A1013" s="24">
        <f ca="1">IFERROR(__xludf.DUMMYFUNCTION("""COMPUTED_VALUE"""),45672.3894061805)</f>
        <v>45672.389406180497</v>
      </c>
      <c r="B1013" s="5" t="str">
        <f ca="1">IFERROR(__xludf.DUMMYFUNCTION("""COMPUTED_VALUE"""),"5704 La Mirada Ave #6A")</f>
        <v>5704 La Mirada Ave #6A</v>
      </c>
      <c r="C1013" s="5" t="str">
        <f ca="1">IFERROR(__xludf.DUMMYFUNCTION("""COMPUTED_VALUE"""),"Los Angeles")</f>
        <v>Los Angeles</v>
      </c>
      <c r="D1013" s="5" t="str">
        <f ca="1">IFERROR(__xludf.DUMMYFUNCTION("""COMPUTED_VALUE"""),"CA")</f>
        <v>CA</v>
      </c>
      <c r="E1013" s="5">
        <f ca="1">IFERROR(__xludf.DUMMYFUNCTION("""COMPUTED_VALUE"""),90038)</f>
        <v>90038</v>
      </c>
      <c r="F1013" s="19">
        <f ca="1">IFERROR(__xludf.DUMMYFUNCTION("""COMPUTED_VALUE"""),1450)</f>
        <v>1450</v>
      </c>
      <c r="G1013" s="19">
        <f ca="1">IFERROR(__xludf.DUMMYFUNCTION("""COMPUTED_VALUE"""),2095)</f>
        <v>2095</v>
      </c>
      <c r="H1013" s="18">
        <f ca="1">IFERROR(__xludf.DUMMYFUNCTION("""COMPUTED_VALUE"""),45672)</f>
        <v>45672</v>
      </c>
      <c r="I1013" s="5" t="str">
        <f ca="1">IFERROR(__xludf.DUMMYFUNCTION("""COMPUTED_VALUE"""),"Zillow")</f>
        <v>Zillow</v>
      </c>
      <c r="J1013" s="25" t="str">
        <f ca="1">IFERROR(__xludf.DUMMYFUNCTION("""COMPUTED_VALUE"""),"https://www.zillow.com/homedetails/5704-La-Mirada-Ave-6A-Los-Angeles-CA-90038/444191530_zpid/")</f>
        <v>https://www.zillow.com/homedetails/5704-La-Mirada-Ave-6A-Los-Angeles-CA-90038/444191530_zpid/</v>
      </c>
      <c r="K1013" s="5" t="str">
        <f ca="1">IFERROR(__xludf.DUMMYFUNCTION("""COMPUTED_VALUE"""),"Ari Hoffman (listed by mgmt company)")</f>
        <v>Ari Hoffman (listed by mgmt company)</v>
      </c>
      <c r="L1013" s="5"/>
      <c r="M1013" s="5"/>
      <c r="N1013" s="26" t="str">
        <f ca="1">IFERROR(__xludf.DUMMYFUNCTION("""COMPUTED_VALUE"""),"https://drive.google.com/open?id=1rdpk5RDSYqz0IIFE2DYYpDwVCAnVT9Af")</f>
        <v>https://drive.google.com/open?id=1rdpk5RDSYqz0IIFE2DYYpDwVCAnVT9Af</v>
      </c>
      <c r="O1013" s="5" t="str">
        <f ca="1">IFERROR(__xludf.DUMMYFUNCTION("""COMPUTED_VALUE"""),"n/a")</f>
        <v>n/a</v>
      </c>
      <c r="P1013" s="5" t="str">
        <f ca="1">IFERROR(__xludf.DUMMYFUNCTION("""COMPUTED_VALUE"""),"(323) 649-8640")</f>
        <v>(323) 649-8640</v>
      </c>
      <c r="Q1013" s="5"/>
      <c r="R1013" s="5"/>
      <c r="S1013" s="5"/>
      <c r="T1013" s="18">
        <f ca="1">IFERROR(__xludf.DUMMYFUNCTION("""COMPUTED_VALUE"""),45464)</f>
        <v>45464</v>
      </c>
    </row>
    <row r="1014" spans="1:20" ht="12.75">
      <c r="A1014" s="24">
        <f ca="1">IFERROR(__xludf.DUMMYFUNCTION("""COMPUTED_VALUE"""),45672.390699699)</f>
        <v>45672.390699698997</v>
      </c>
      <c r="B1014" s="5" t="str">
        <f ca="1">IFERROR(__xludf.DUMMYFUNCTION("""COMPUTED_VALUE"""),"22028 Covello St")</f>
        <v>22028 Covello St</v>
      </c>
      <c r="C1014" s="5" t="str">
        <f ca="1">IFERROR(__xludf.DUMMYFUNCTION("""COMPUTED_VALUE"""),"Canoga Park")</f>
        <v>Canoga Park</v>
      </c>
      <c r="D1014" s="5" t="str">
        <f ca="1">IFERROR(__xludf.DUMMYFUNCTION("""COMPUTED_VALUE"""),"CA")</f>
        <v>CA</v>
      </c>
      <c r="E1014" s="5">
        <f ca="1">IFERROR(__xludf.DUMMYFUNCTION("""COMPUTED_VALUE"""),91303)</f>
        <v>91303</v>
      </c>
      <c r="F1014" s="19">
        <f ca="1">IFERROR(__xludf.DUMMYFUNCTION("""COMPUTED_VALUE"""),2550)</f>
        <v>2550</v>
      </c>
      <c r="G1014" s="19">
        <f ca="1">IFERROR(__xludf.DUMMYFUNCTION("""COMPUTED_VALUE"""),5500)</f>
        <v>5500</v>
      </c>
      <c r="H1014" s="18">
        <f ca="1">IFERROR(__xludf.DUMMYFUNCTION("""COMPUTED_VALUE"""),45672)</f>
        <v>45672</v>
      </c>
      <c r="I1014" s="5" t="str">
        <f ca="1">IFERROR(__xludf.DUMMYFUNCTION("""COMPUTED_VALUE"""),"Zillow")</f>
        <v>Zillow</v>
      </c>
      <c r="J1014" s="25" t="str">
        <f ca="1">IFERROR(__xludf.DUMMYFUNCTION("""COMPUTED_VALUE"""),"https://www.zillow.com/homedetails/22028-Covello-St-Canoga-Park-CA-91303/19867043_zpid/")</f>
        <v>https://www.zillow.com/homedetails/22028-Covello-St-Canoga-Park-CA-91303/19867043_zpid/</v>
      </c>
      <c r="K1014" s="5" t="str">
        <f ca="1">IFERROR(__xludf.DUMMYFUNCTION("""COMPUTED_VALUE"""),"Carey LaSalle - Keller Williams Realty Calabasas")</f>
        <v>Carey LaSalle - Keller Williams Realty Calabasas</v>
      </c>
      <c r="L1014" s="5"/>
      <c r="M1014" s="5"/>
      <c r="N1014" s="26" t="str">
        <f ca="1">IFERROR(__xludf.DUMMYFUNCTION("""COMPUTED_VALUE"""),"https://drive.google.com/open?id=1yx8Qaf2cGDDW6D1NwkYo91rIuPtULFLc")</f>
        <v>https://drive.google.com/open?id=1yx8Qaf2cGDDW6D1NwkYo91rIuPtULFLc</v>
      </c>
      <c r="O1014" s="5">
        <f ca="1">IFERROR(__xludf.DUMMYFUNCTION("""COMPUTED_VALUE"""),2023002025)</f>
        <v>2023002025</v>
      </c>
      <c r="P1014" s="5" t="str">
        <f ca="1">IFERROR(__xludf.DUMMYFUNCTION("""COMPUTED_VALUE"""),"(818) 917-4730")</f>
        <v>(818) 917-4730</v>
      </c>
      <c r="Q1014" s="5"/>
      <c r="R1014" s="5"/>
      <c r="S1014" s="5"/>
      <c r="T1014" s="18">
        <f ca="1">IFERROR(__xludf.DUMMYFUNCTION("""COMPUTED_VALUE"""),45567)</f>
        <v>45567</v>
      </c>
    </row>
    <row r="1015" spans="1:20" ht="12.75">
      <c r="A1015" s="24">
        <f ca="1">IFERROR(__xludf.DUMMYFUNCTION("""COMPUTED_VALUE"""),45672.4006713078)</f>
        <v>45672.400671307798</v>
      </c>
      <c r="B1015" s="5" t="str">
        <f ca="1">IFERROR(__xludf.DUMMYFUNCTION("""COMPUTED_VALUE"""),"15 Outrigger St APT 102")</f>
        <v>15 Outrigger St APT 102</v>
      </c>
      <c r="C1015" s="5" t="str">
        <f ca="1">IFERROR(__xludf.DUMMYFUNCTION("""COMPUTED_VALUE"""),"Marina Del Rey")</f>
        <v>Marina Del Rey</v>
      </c>
      <c r="D1015" s="5" t="str">
        <f ca="1">IFERROR(__xludf.DUMMYFUNCTION("""COMPUTED_VALUE"""),"CA")</f>
        <v>CA</v>
      </c>
      <c r="E1015" s="5">
        <f ca="1">IFERROR(__xludf.DUMMYFUNCTION("""COMPUTED_VALUE"""),90292)</f>
        <v>90292</v>
      </c>
      <c r="F1015" s="19">
        <f ca="1">IFERROR(__xludf.DUMMYFUNCTION("""COMPUTED_VALUE"""),3800)</f>
        <v>3800</v>
      </c>
      <c r="G1015" s="19">
        <f ca="1">IFERROR(__xludf.DUMMYFUNCTION("""COMPUTED_VALUE"""),4300)</f>
        <v>4300</v>
      </c>
      <c r="H1015" s="18">
        <f ca="1">IFERROR(__xludf.DUMMYFUNCTION("""COMPUTED_VALUE"""),45667)</f>
        <v>45667</v>
      </c>
      <c r="I1015" s="5" t="str">
        <f ca="1">IFERROR(__xludf.DUMMYFUNCTION("""COMPUTED_VALUE"""),"Zillow")</f>
        <v>Zillow</v>
      </c>
      <c r="J1015" s="25" t="str">
        <f ca="1">IFERROR(__xludf.DUMMYFUNCTION("""COMPUTED_VALUE"""),"https://www.zillow.com/homedetails/15-Outrigger-St-APT-102-Marina-Del-Rey-CA-90292/2091349239_zpid/")</f>
        <v>https://www.zillow.com/homedetails/15-Outrigger-St-APT-102-Marina-Del-Rey-CA-90292/2091349239_zpid/</v>
      </c>
      <c r="K1015" s="5" t="str">
        <f ca="1">IFERROR(__xludf.DUMMYFUNCTION("""COMPUTED_VALUE"""),"Paola Mireles")</f>
        <v>Paola Mireles</v>
      </c>
      <c r="L1015" s="5"/>
      <c r="M1015" s="5"/>
      <c r="N1015" s="26" t="str">
        <f ca="1">IFERROR(__xludf.DUMMYFUNCTION("""COMPUTED_VALUE"""),"https://drive.google.com/open?id=13OMhN2abmYJ-LrYjTZKPmqAR13Pr3cCX")</f>
        <v>https://drive.google.com/open?id=13OMhN2abmYJ-LrYjTZKPmqAR13Pr3cCX</v>
      </c>
      <c r="O1015" s="5" t="str">
        <f ca="1">IFERROR(__xludf.DUMMYFUNCTION("""COMPUTED_VALUE"""),"NA")</f>
        <v>NA</v>
      </c>
      <c r="P1015" s="5" t="str">
        <f ca="1">IFERROR(__xludf.DUMMYFUNCTION("""COMPUTED_VALUE"""),"213-277-2614")</f>
        <v>213-277-2614</v>
      </c>
      <c r="Q1015" s="5"/>
      <c r="R1015" s="5"/>
      <c r="S1015" s="5"/>
      <c r="T1015" s="18">
        <f ca="1">IFERROR(__xludf.DUMMYFUNCTION("""COMPUTED_VALUE"""),45666)</f>
        <v>45666</v>
      </c>
    </row>
    <row r="1016" spans="1:20" ht="12.75">
      <c r="A1016" s="24">
        <f ca="1">IFERROR(__xludf.DUMMYFUNCTION("""COMPUTED_VALUE"""),45672.4006959259)</f>
        <v>45672.400695925899</v>
      </c>
      <c r="B1016" s="5" t="str">
        <f ca="1">IFERROR(__xludf.DUMMYFUNCTION("""COMPUTED_VALUE"""),"4045 Jackson Ave, Culver City, CA 90232")</f>
        <v>4045 Jackson Ave, Culver City, CA 90232</v>
      </c>
      <c r="C1016" s="5" t="str">
        <f ca="1">IFERROR(__xludf.DUMMYFUNCTION("""COMPUTED_VALUE"""),"Culver City")</f>
        <v>Culver City</v>
      </c>
      <c r="D1016" s="5" t="str">
        <f ca="1">IFERROR(__xludf.DUMMYFUNCTION("""COMPUTED_VALUE"""),"CA")</f>
        <v>CA</v>
      </c>
      <c r="E1016" s="5">
        <f ca="1">IFERROR(__xludf.DUMMYFUNCTION("""COMPUTED_VALUE"""),90232)</f>
        <v>90232</v>
      </c>
      <c r="F1016" s="19">
        <f ca="1">IFERROR(__xludf.DUMMYFUNCTION("""COMPUTED_VALUE"""),7450)</f>
        <v>7450</v>
      </c>
      <c r="G1016" s="19">
        <f ca="1">IFERROR(__xludf.DUMMYFUNCTION("""COMPUTED_VALUE"""),14500)</f>
        <v>14500</v>
      </c>
      <c r="H1016" s="18">
        <f ca="1">IFERROR(__xludf.DUMMYFUNCTION("""COMPUTED_VALUE"""),45669)</f>
        <v>45669</v>
      </c>
      <c r="I1016" s="5" t="str">
        <f ca="1">IFERROR(__xludf.DUMMYFUNCTION("""COMPUTED_VALUE"""),"Zillow")</f>
        <v>Zillow</v>
      </c>
      <c r="J1016" s="25" t="str">
        <f ca="1">IFERROR(__xludf.DUMMYFUNCTION("""COMPUTED_VALUE"""),"https://www.zillow.com/homedetails/4045-Jackson-Ave-Culver-City-CA-90232/20433150_zpid/")</f>
        <v>https://www.zillow.com/homedetails/4045-Jackson-Ave-Culver-City-CA-90232/20433150_zpid/</v>
      </c>
      <c r="K1016" s="5" t="str">
        <f ca="1">IFERROR(__xludf.DUMMYFUNCTION("""COMPUTED_VALUE"""),"Hamid Reza Dehghan")</f>
        <v>Hamid Reza Dehghan</v>
      </c>
      <c r="L1016" s="5"/>
      <c r="M1016" s="5" t="str">
        <f ca="1">IFERROR(__xludf.DUMMYFUNCTION("""COMPUTED_VALUE"""),"$14,500 monthly for a 2 bedroom 1 bath in Culver City does not reflect market value ")</f>
        <v xml:space="preserve">$14,500 monthly for a 2 bedroom 1 bath in Culver City does not reflect market value </v>
      </c>
      <c r="N1016" s="26" t="str">
        <f ca="1">IFERROR(__xludf.DUMMYFUNCTION("""COMPUTED_VALUE"""),"https://drive.google.com/open?id=1QOimACWu0prpPFVPkCKiHAM71QDLs2pU")</f>
        <v>https://drive.google.com/open?id=1QOimACWu0prpPFVPkCKiHAM71QDLs2pU</v>
      </c>
      <c r="O1016" s="5">
        <f ca="1">IFERROR(__xludf.DUMMYFUNCTION("""COMPUTED_VALUE"""),4209001009)</f>
        <v>4209001009</v>
      </c>
      <c r="P1016" s="5" t="str">
        <f ca="1">IFERROR(__xludf.DUMMYFUNCTION("""COMPUTED_VALUE"""),"(424) 333-0389")</f>
        <v>(424) 333-0389</v>
      </c>
      <c r="Q1016" s="5"/>
      <c r="R1016" s="5"/>
      <c r="S1016" s="5"/>
      <c r="T1016" s="18">
        <f ca="1">IFERROR(__xludf.DUMMYFUNCTION("""COMPUTED_VALUE"""),44923)</f>
        <v>44923</v>
      </c>
    </row>
    <row r="1017" spans="1:20" ht="12.75">
      <c r="A1017" s="24">
        <f ca="1">IFERROR(__xludf.DUMMYFUNCTION("""COMPUTED_VALUE"""),45672.4173404513)</f>
        <v>45672.417340451299</v>
      </c>
      <c r="B1017" s="5" t="str">
        <f ca="1">IFERROR(__xludf.DUMMYFUNCTION("""COMPUTED_VALUE"""),"9243 Cordell Dr")</f>
        <v>9243 Cordell Dr</v>
      </c>
      <c r="C1017" s="5" t="str">
        <f ca="1">IFERROR(__xludf.DUMMYFUNCTION("""COMPUTED_VALUE"""),"Los Angeles")</f>
        <v>Los Angeles</v>
      </c>
      <c r="D1017" s="5" t="str">
        <f ca="1">IFERROR(__xludf.DUMMYFUNCTION("""COMPUTED_VALUE"""),"CA")</f>
        <v>CA</v>
      </c>
      <c r="E1017" s="5">
        <f ca="1">IFERROR(__xludf.DUMMYFUNCTION("""COMPUTED_VALUE"""),90069)</f>
        <v>90069</v>
      </c>
      <c r="F1017" s="19">
        <f ca="1">IFERROR(__xludf.DUMMYFUNCTION("""COMPUTED_VALUE"""),16000)</f>
        <v>16000</v>
      </c>
      <c r="G1017" s="19">
        <f ca="1">IFERROR(__xludf.DUMMYFUNCTION("""COMPUTED_VALUE"""),29000)</f>
        <v>29000</v>
      </c>
      <c r="H1017" s="18">
        <f ca="1">IFERROR(__xludf.DUMMYFUNCTION("""COMPUTED_VALUE"""),45671)</f>
        <v>45671</v>
      </c>
      <c r="I1017" s="5" t="str">
        <f ca="1">IFERROR(__xludf.DUMMYFUNCTION("""COMPUTED_VALUE"""),"Zillow")</f>
        <v>Zillow</v>
      </c>
      <c r="J1017" s="25" t="str">
        <f ca="1">IFERROR(__xludf.DUMMYFUNCTION("""COMPUTED_VALUE"""),"https://www.zillow.com/homedetails/9243-Cordell-Dr-Los-Angeles-CA-90069/20534852_zpid/")</f>
        <v>https://www.zillow.com/homedetails/9243-Cordell-Dr-Los-Angeles-CA-90069/20534852_zpid/</v>
      </c>
      <c r="K1017" s="5" t="str">
        <f ca="1">IFERROR(__xludf.DUMMYFUNCTION("""COMPUTED_VALUE"""),"Oraklus Rental Properties")</f>
        <v>Oraklus Rental Properties</v>
      </c>
      <c r="L1017" s="5" t="str">
        <f ca="1">IFERROR(__xludf.DUMMYFUNCTION("""COMPUTED_VALUE"""),"Ivan Brescic")</f>
        <v>Ivan Brescic</v>
      </c>
      <c r="M1017" s="5"/>
      <c r="N1017" s="26" t="str">
        <f ca="1">IFERROR(__xludf.DUMMYFUNCTION("""COMPUTED_VALUE"""),"https://drive.google.com/open?id=15ot-CeGjI8bSR-3LdO1f5BvLbiQGh92w")</f>
        <v>https://drive.google.com/open?id=15ot-CeGjI8bSR-3LdO1f5BvLbiQGh92w</v>
      </c>
      <c r="O1017" s="5" t="str">
        <f ca="1">IFERROR(__xludf.DUMMYFUNCTION("""COMPUTED_VALUE"""),"4392-009-014")</f>
        <v>4392-009-014</v>
      </c>
      <c r="P1017" s="5">
        <f ca="1">IFERROR(__xludf.DUMMYFUNCTION("""COMPUTED_VALUE"""),4243889703)</f>
        <v>4243889703</v>
      </c>
      <c r="Q1017" s="5"/>
      <c r="R1017" s="5"/>
      <c r="S1017" s="5"/>
      <c r="T1017" s="18">
        <f ca="1">IFERROR(__xludf.DUMMYFUNCTION("""COMPUTED_VALUE"""),45553)</f>
        <v>45553</v>
      </c>
    </row>
    <row r="1018" spans="1:20" ht="12.75">
      <c r="A1018" s="24">
        <f ca="1">IFERROR(__xludf.DUMMYFUNCTION("""COMPUTED_VALUE"""),45672.4191974074)</f>
        <v>45672.419197407398</v>
      </c>
      <c r="B1018" s="5" t="str">
        <f ca="1">IFERROR(__xludf.DUMMYFUNCTION("""COMPUTED_VALUE"""),"2523 Abbot Kinney Blvd")</f>
        <v>2523 Abbot Kinney Blvd</v>
      </c>
      <c r="C1018" s="5" t="str">
        <f ca="1">IFERROR(__xludf.DUMMYFUNCTION("""COMPUTED_VALUE"""),"Venice")</f>
        <v>Venice</v>
      </c>
      <c r="D1018" s="5" t="str">
        <f ca="1">IFERROR(__xludf.DUMMYFUNCTION("""COMPUTED_VALUE"""),"CA")</f>
        <v>CA</v>
      </c>
      <c r="E1018" s="5">
        <f ca="1">IFERROR(__xludf.DUMMYFUNCTION("""COMPUTED_VALUE"""),90291)</f>
        <v>90291</v>
      </c>
      <c r="F1018" s="19">
        <f ca="1">IFERROR(__xludf.DUMMYFUNCTION("""COMPUTED_VALUE"""),4500)</f>
        <v>4500</v>
      </c>
      <c r="G1018" s="19">
        <f ca="1">IFERROR(__xludf.DUMMYFUNCTION("""COMPUTED_VALUE"""),5500)</f>
        <v>5500</v>
      </c>
      <c r="H1018" s="18">
        <f ca="1">IFERROR(__xludf.DUMMYFUNCTION("""COMPUTED_VALUE"""),45672)</f>
        <v>45672</v>
      </c>
      <c r="I1018" s="5" t="str">
        <f ca="1">IFERROR(__xludf.DUMMYFUNCTION("""COMPUTED_VALUE"""),"Zillow")</f>
        <v>Zillow</v>
      </c>
      <c r="J1018" s="25" t="str">
        <f ca="1">IFERROR(__xludf.DUMMYFUNCTION("""COMPUTED_VALUE"""),"https://www.zillow.com/homedetails/2523-Abbot-Kinney-Blvd-Venice-CA-90291/20445225_zpid/?rtoken=53d8c654-19a9-498d-bbf8-8e5f8253d4dd~X1-ZUs4lk5b6omoeh_8gte6&amp;utm_campaign=emo-instant_home_recs_email_rent&amp;utm_source=email&amp;utm_term=urn:msg:20250115165744d8ac"&amp;"9a0f48e09222&amp;utm_medium=email&amp;utm_content=forrentimage-_rid-ksszT6ZZDDPbkg4vhZQCYo_")</f>
        <v>https://www.zillow.com/homedetails/2523-Abbot-Kinney-Blvd-Venice-CA-90291/20445225_zpid/?rtoken=53d8c654-19a9-498d-bbf8-8e5f8253d4dd~X1-ZUs4lk5b6omoeh_8gte6&amp;utm_campaign=emo-instant_home_recs_email_rent&amp;utm_source=email&amp;utm_term=urn:msg:20250115165744d8ac9a0f48e09222&amp;utm_medium=email&amp;utm_content=forrentimage-_rid-ksszT6ZZDDPbkg4vhZQCYo_</v>
      </c>
      <c r="K1018" s="5" t="str">
        <f ca="1">IFERROR(__xludf.DUMMYFUNCTION("""COMPUTED_VALUE"""),"Brian Ades")</f>
        <v>Brian Ades</v>
      </c>
      <c r="L1018" s="5"/>
      <c r="M1018" s="5" t="str">
        <f ca="1">IFERROR(__xludf.DUMMYFUNCTION("""COMPUTED_VALUE"""),"Listing was posted on 12/7/24 at $4500 a month on Zillow. Listing was removed on 1/14/25 and reposted (the next day) on 1/15/25 at $5500 a month. ")</f>
        <v xml:space="preserve">Listing was posted on 12/7/24 at $4500 a month on Zillow. Listing was removed on 1/14/25 and reposted (the next day) on 1/15/25 at $5500 a month. </v>
      </c>
      <c r="N1018" s="5" t="str">
        <f ca="1">IFERROR(__xludf.DUMMYFUNCTION("""COMPUTED_VALUE"""),"https://drive.google.com/open?id=1HGCC06jJTrfIlW3euFG3bW4Zo3Yq0AVP, https://drive.google.com/open?id=1snRPY5lL494KVDITPW9N58Kdme3neDs2")</f>
        <v>https://drive.google.com/open?id=1HGCC06jJTrfIlW3euFG3bW4Zo3Yq0AVP, https://drive.google.com/open?id=1snRPY5lL494KVDITPW9N58Kdme3neDs2</v>
      </c>
      <c r="O1018" s="5">
        <f ca="1">IFERROR(__xludf.DUMMYFUNCTION("""COMPUTED_VALUE"""),4229013009)</f>
        <v>4229013009</v>
      </c>
      <c r="P1018" s="5" t="str">
        <f ca="1">IFERROR(__xludf.DUMMYFUNCTION("""COMPUTED_VALUE"""),"(310) 503-8080")</f>
        <v>(310) 503-8080</v>
      </c>
      <c r="Q1018" s="5"/>
      <c r="R1018" s="5"/>
      <c r="S1018" s="5"/>
      <c r="T1018" s="18">
        <f ca="1">IFERROR(__xludf.DUMMYFUNCTION("""COMPUTED_VALUE"""),45633)</f>
        <v>45633</v>
      </c>
    </row>
    <row r="1019" spans="1:20" ht="12.75">
      <c r="A1019" s="24">
        <f ca="1">IFERROR(__xludf.DUMMYFUNCTION("""COMPUTED_VALUE"""),45672.4237799074)</f>
        <v>45672.423779907404</v>
      </c>
      <c r="B1019" s="5" t="str">
        <f ca="1">IFERROR(__xludf.DUMMYFUNCTION("""COMPUTED_VALUE"""),"3323 N Knoll Dr")</f>
        <v>3323 N Knoll Dr</v>
      </c>
      <c r="C1019" s="5" t="str">
        <f ca="1">IFERROR(__xludf.DUMMYFUNCTION("""COMPUTED_VALUE"""),"Los Angeles,")</f>
        <v>Los Angeles,</v>
      </c>
      <c r="D1019" s="5" t="str">
        <f ca="1">IFERROR(__xludf.DUMMYFUNCTION("""COMPUTED_VALUE"""),"CA")</f>
        <v>CA</v>
      </c>
      <c r="E1019" s="5">
        <f ca="1">IFERROR(__xludf.DUMMYFUNCTION("""COMPUTED_VALUE"""),90068)</f>
        <v>90068</v>
      </c>
      <c r="F1019" s="19">
        <f ca="1">IFERROR(__xludf.DUMMYFUNCTION("""COMPUTED_VALUE"""),6495)</f>
        <v>6495</v>
      </c>
      <c r="G1019" s="19">
        <f ca="1">IFERROR(__xludf.DUMMYFUNCTION("""COMPUTED_VALUE"""),12000)</f>
        <v>12000</v>
      </c>
      <c r="H1019" s="18">
        <f ca="1">IFERROR(__xludf.DUMMYFUNCTION("""COMPUTED_VALUE"""),45666)</f>
        <v>45666</v>
      </c>
      <c r="I1019" s="5" t="str">
        <f ca="1">IFERROR(__xludf.DUMMYFUNCTION("""COMPUTED_VALUE"""),"Zillow")</f>
        <v>Zillow</v>
      </c>
      <c r="J1019" s="25" t="str">
        <f ca="1">IFERROR(__xludf.DUMMYFUNCTION("""COMPUTED_VALUE"""),"https://www.zillow.com/homedetails/3323-N-Knoll-Dr-Los-Angeles-CA-90068/20805677_zpid/")</f>
        <v>https://www.zillow.com/homedetails/3323-N-Knoll-Dr-Los-Angeles-CA-90068/20805677_zpid/</v>
      </c>
      <c r="K1019" s="5" t="str">
        <f ca="1">IFERROR(__xludf.DUMMYFUNCTION("""COMPUTED_VALUE"""),"Peter Kinnaird")</f>
        <v>Peter Kinnaird</v>
      </c>
      <c r="L1019" s="5"/>
      <c r="M1019" s="5"/>
      <c r="N1019" s="5" t="str">
        <f ca="1">IFERROR(__xludf.DUMMYFUNCTION("""COMPUTED_VALUE"""),"https://drive.google.com/open?id=1zpDnXGdf3YF8ZXAhRXD7Mepf5v7qgidc, https://drive.google.com/open?id=1uM-cjshtNRfzzl9GPLFnMhYrzmAdas1N")</f>
        <v>https://drive.google.com/open?id=1zpDnXGdf3YF8ZXAhRXD7Mepf5v7qgidc, https://drive.google.com/open?id=1uM-cjshtNRfzzl9GPLFnMhYrzmAdas1N</v>
      </c>
      <c r="O1019" s="5">
        <f ca="1">IFERROR(__xludf.DUMMYFUNCTION("""COMPUTED_VALUE"""),5579038006)</f>
        <v>5579038006</v>
      </c>
      <c r="P1019" s="5" t="str">
        <f ca="1">IFERROR(__xludf.DUMMYFUNCTION("""COMPUTED_VALUE"""),"(323) 309-1582")</f>
        <v>(323) 309-1582</v>
      </c>
      <c r="Q1019" s="5"/>
      <c r="R1019" s="5"/>
      <c r="S1019" s="5"/>
      <c r="T1019" s="18">
        <f ca="1">IFERROR(__xludf.DUMMYFUNCTION("""COMPUTED_VALUE"""),45607)</f>
        <v>45607</v>
      </c>
    </row>
    <row r="1020" spans="1:20" ht="12.75">
      <c r="A1020" s="24">
        <f ca="1">IFERROR(__xludf.DUMMYFUNCTION("""COMPUTED_VALUE"""),45672.43346228)</f>
        <v>45672.433462280002</v>
      </c>
      <c r="B1020" s="5" t="str">
        <f ca="1">IFERROR(__xludf.DUMMYFUNCTION("""COMPUTED_VALUE"""),"8590 Hollywood Blvd")</f>
        <v>8590 Hollywood Blvd</v>
      </c>
      <c r="C1020" s="5" t="str">
        <f ca="1">IFERROR(__xludf.DUMMYFUNCTION("""COMPUTED_VALUE"""),"Los Angeles")</f>
        <v>Los Angeles</v>
      </c>
      <c r="D1020" s="5" t="str">
        <f ca="1">IFERROR(__xludf.DUMMYFUNCTION("""COMPUTED_VALUE"""),"CA")</f>
        <v>CA</v>
      </c>
      <c r="E1020" s="5">
        <f ca="1">IFERROR(__xludf.DUMMYFUNCTION("""COMPUTED_VALUE"""),90069)</f>
        <v>90069</v>
      </c>
      <c r="F1020" s="19">
        <f ca="1">IFERROR(__xludf.DUMMYFUNCTION("""COMPUTED_VALUE"""),25000)</f>
        <v>25000</v>
      </c>
      <c r="G1020" s="19">
        <f ca="1">IFERROR(__xludf.DUMMYFUNCTION("""COMPUTED_VALUE"""),55000)</f>
        <v>55000</v>
      </c>
      <c r="H1020" s="18">
        <f ca="1">IFERROR(__xludf.DUMMYFUNCTION("""COMPUTED_VALUE"""),45671)</f>
        <v>45671</v>
      </c>
      <c r="I1020" s="5" t="str">
        <f ca="1">IFERROR(__xludf.DUMMYFUNCTION("""COMPUTED_VALUE"""),"Zillow")</f>
        <v>Zillow</v>
      </c>
      <c r="J1020" s="25" t="str">
        <f ca="1">IFERROR(__xludf.DUMMYFUNCTION("""COMPUTED_VALUE"""),"https://www.zillow.com/homedetails/8590-Hollywood-Blvd-Los-Angeles-CA-90069/20797372_zpid/")</f>
        <v>https://www.zillow.com/homedetails/8590-Hollywood-Blvd-Los-Angeles-CA-90069/20797372_zpid/</v>
      </c>
      <c r="K1020" s="5" t="str">
        <f ca="1">IFERROR(__xludf.DUMMYFUNCTION("""COMPUTED_VALUE"""),"Charla Nielsen")</f>
        <v>Charla Nielsen</v>
      </c>
      <c r="L1020" s="5"/>
      <c r="M1020" s="5" t="str">
        <f ca="1">IFERROR(__xludf.DUMMYFUNCTION("""COMPUTED_VALUE"""),"I sent them a message telling them shame on them for price gouging during this tragic time. It had been listed for rent 10/29/2024 at 25,000/month and now up for rent 1/14/2025 at 55,000/month. It looks like the owner or realtor took it off the market. ")</f>
        <v xml:space="preserve">I sent them a message telling them shame on them for price gouging during this tragic time. It had been listed for rent 10/29/2024 at 25,000/month and now up for rent 1/14/2025 at 55,000/month. It looks like the owner or realtor took it off the market. </v>
      </c>
      <c r="N1020" s="5" t="str">
        <f ca="1">IFERROR(__xludf.DUMMYFUNCTION("""COMPUTED_VALUE"""),"https://drive.google.com/open?id=1Iq2vBzo-l3WMJ2tufXGFJmatCAUTCxHv, https://drive.google.com/open?id=1-ySHiojG-kHq16imtHs3P9aVE7bI9p-9")</f>
        <v>https://drive.google.com/open?id=1Iq2vBzo-l3WMJ2tufXGFJmatCAUTCxHv, https://drive.google.com/open?id=1-ySHiojG-kHq16imtHs3P9aVE7bI9p-9</v>
      </c>
      <c r="O1020" s="5">
        <f ca="1">IFERROR(__xludf.DUMMYFUNCTION("""COMPUTED_VALUE"""),5555016012)</f>
        <v>5555016012</v>
      </c>
      <c r="P1020" s="5" t="str">
        <f ca="1">IFERROR(__xludf.DUMMYFUNCTION("""COMPUTED_VALUE"""),"559-269-2900")</f>
        <v>559-269-2900</v>
      </c>
      <c r="Q1020" s="5"/>
      <c r="R1020" s="5"/>
      <c r="S1020" s="5"/>
      <c r="T1020" s="18">
        <f ca="1">IFERROR(__xludf.DUMMYFUNCTION("""COMPUTED_VALUE"""),45594)</f>
        <v>45594</v>
      </c>
    </row>
    <row r="1021" spans="1:20" ht="12.75">
      <c r="A1021" s="24">
        <f ca="1">IFERROR(__xludf.DUMMYFUNCTION("""COMPUTED_VALUE"""),45672.4391318402)</f>
        <v>45672.439131840198</v>
      </c>
      <c r="B1021" s="5" t="str">
        <f ca="1">IFERROR(__xludf.DUMMYFUNCTION("""COMPUTED_VALUE"""),"114 N Doheny Drive (multiple)")</f>
        <v>114 N Doheny Drive (multiple)</v>
      </c>
      <c r="C1021" s="5" t="str">
        <f ca="1">IFERROR(__xludf.DUMMYFUNCTION("""COMPUTED_VALUE"""),"West Hollywood")</f>
        <v>West Hollywood</v>
      </c>
      <c r="D1021" s="5" t="str">
        <f ca="1">IFERROR(__xludf.DUMMYFUNCTION("""COMPUTED_VALUE"""),"CA")</f>
        <v>CA</v>
      </c>
      <c r="E1021" s="5">
        <f ca="1">IFERROR(__xludf.DUMMYFUNCTION("""COMPUTED_VALUE"""),90048)</f>
        <v>90048</v>
      </c>
      <c r="F1021" s="19">
        <f ca="1">IFERROR(__xludf.DUMMYFUNCTION("""COMPUTED_VALUE"""),3798)</f>
        <v>3798</v>
      </c>
      <c r="G1021" s="19">
        <f ca="1">IFERROR(__xludf.DUMMYFUNCTION("""COMPUTED_VALUE"""),4498)</f>
        <v>4498</v>
      </c>
      <c r="H1021" s="18">
        <f ca="1">IFERROR(__xludf.DUMMYFUNCTION("""COMPUTED_VALUE"""),45670)</f>
        <v>45670</v>
      </c>
      <c r="I1021" s="5" t="str">
        <f ca="1">IFERROR(__xludf.DUMMYFUNCTION("""COMPUTED_VALUE"""),"Zillow")</f>
        <v>Zillow</v>
      </c>
      <c r="J1021" s="25" t="str">
        <f ca="1">IFERROR(__xludf.DUMMYFUNCTION("""COMPUTED_VALUE"""),"https://www.zillow.com/homedetails/114-N-Doheny-Dr-APT-402-West-Hollywood-CA-90048/2103862435_zpid/")</f>
        <v>https://www.zillow.com/homedetails/114-N-Doheny-Dr-APT-402-West-Hollywood-CA-90048/2103862435_zpid/</v>
      </c>
      <c r="K1021" s="5"/>
      <c r="L1021" s="5"/>
      <c r="M1021" s="5" t="str">
        <f ca="1">IFERROR(__xludf.DUMMYFUNCTION("""COMPUTED_VALUE"""),"There are ~10 open units in this building, many had been on the market &gt;30 days, prices all went up on 1/13/25")</f>
        <v>There are ~10 open units in this building, many had been on the market &gt;30 days, prices all went up on 1/13/25</v>
      </c>
      <c r="N1021" s="5" t="str">
        <f ca="1">IFERROR(__xludf.DUMMYFUNCTION("""COMPUTED_VALUE"""),"https://drive.google.com/open?id=1qIGFzYmz4sqb8fO8a0J8vjJMvoseJU_O, https://drive.google.com/open?id=1Ik-8gty09Od2fxlCHgTJF4QoKYDlena0, https://drive.google.com/open?id=13xD1JcqqFtnwxJJkZtUk-mxIPdJoNpbE")</f>
        <v>https://drive.google.com/open?id=1qIGFzYmz4sqb8fO8a0J8vjJMvoseJU_O, https://drive.google.com/open?id=1Ik-8gty09Od2fxlCHgTJF4QoKYDlena0, https://drive.google.com/open?id=13xD1JcqqFtnwxJJkZtUk-mxIPdJoNpbE</v>
      </c>
      <c r="O1021" s="5" t="str">
        <f ca="1">IFERROR(__xludf.DUMMYFUNCTION("""COMPUTED_VALUE"""),"NA")</f>
        <v>NA</v>
      </c>
      <c r="P1021" s="5"/>
      <c r="Q1021" s="5"/>
      <c r="R1021" s="5"/>
      <c r="S1021" s="5"/>
      <c r="T1021" s="18">
        <f ca="1">IFERROR(__xludf.DUMMYFUNCTION("""COMPUTED_VALUE"""),45637)</f>
        <v>45637</v>
      </c>
    </row>
    <row r="1022" spans="1:20" ht="12.75">
      <c r="A1022" s="24">
        <f ca="1">IFERROR(__xludf.DUMMYFUNCTION("""COMPUTED_VALUE"""),45672.4397422569)</f>
        <v>45672.439742256902</v>
      </c>
      <c r="B1022" s="5" t="str">
        <f ca="1">IFERROR(__xludf.DUMMYFUNCTION("""COMPUTED_VALUE"""),"3623 Saint Elizabeth")</f>
        <v>3623 Saint Elizabeth</v>
      </c>
      <c r="C1022" s="5" t="str">
        <f ca="1">IFERROR(__xludf.DUMMYFUNCTION("""COMPUTED_VALUE"""),"Glendale")</f>
        <v>Glendale</v>
      </c>
      <c r="D1022" s="5" t="str">
        <f ca="1">IFERROR(__xludf.DUMMYFUNCTION("""COMPUTED_VALUE"""),"CA")</f>
        <v>CA</v>
      </c>
      <c r="E1022" s="5">
        <f ca="1">IFERROR(__xludf.DUMMYFUNCTION("""COMPUTED_VALUE"""),91206)</f>
        <v>91206</v>
      </c>
      <c r="F1022" s="19">
        <f ca="1">IFERROR(__xludf.DUMMYFUNCTION("""COMPUTED_VALUE"""),3500)</f>
        <v>3500</v>
      </c>
      <c r="G1022" s="19">
        <f ca="1">IFERROR(__xludf.DUMMYFUNCTION("""COMPUTED_VALUE"""),7995)</f>
        <v>7995</v>
      </c>
      <c r="H1022" s="18">
        <f ca="1">IFERROR(__xludf.DUMMYFUNCTION("""COMPUTED_VALUE"""),45672)</f>
        <v>45672</v>
      </c>
      <c r="I1022" s="5" t="str">
        <f ca="1">IFERROR(__xludf.DUMMYFUNCTION("""COMPUTED_VALUE"""),"Zillow")</f>
        <v>Zillow</v>
      </c>
      <c r="J1022" s="25" t="str">
        <f ca="1">IFERROR(__xludf.DUMMYFUNCTION("""COMPUTED_VALUE"""),"https://www.zillow.com/homedetails/3623-Saint-Elizabeth-Rd-Glendale-CA-91206/20841809_zpid/")</f>
        <v>https://www.zillow.com/homedetails/3623-Saint-Elizabeth-Rd-Glendale-CA-91206/20841809_zpid/</v>
      </c>
      <c r="K1022" s="5" t="str">
        <f ca="1">IFERROR(__xludf.DUMMYFUNCTION("""COMPUTED_VALUE"""),"Thomas Atamian")</f>
        <v>Thomas Atamian</v>
      </c>
      <c r="L1022" s="5"/>
      <c r="M1022" s="5"/>
      <c r="N1022" s="26" t="str">
        <f ca="1">IFERROR(__xludf.DUMMYFUNCTION("""COMPUTED_VALUE"""),"https://drive.google.com/open?id=1okbG18zF-qhzQlfLlFIajvhbJbmn5rUN")</f>
        <v>https://drive.google.com/open?id=1okbG18zF-qhzQlfLlFIajvhbJbmn5rUN</v>
      </c>
      <c r="O1022" s="5">
        <f ca="1">IFERROR(__xludf.DUMMYFUNCTION("""COMPUTED_VALUE"""),5660002009)</f>
        <v>5660002009</v>
      </c>
      <c r="P1022" s="5"/>
      <c r="Q1022" s="5"/>
      <c r="R1022" s="5"/>
      <c r="S1022" s="5"/>
      <c r="T1022" s="18">
        <f ca="1">IFERROR(__xludf.DUMMYFUNCTION("""COMPUTED_VALUE"""),43079)</f>
        <v>43079</v>
      </c>
    </row>
    <row r="1023" spans="1:20" ht="12.75">
      <c r="A1023" s="24">
        <f ca="1">IFERROR(__xludf.DUMMYFUNCTION("""COMPUTED_VALUE"""),45672.44118353)</f>
        <v>45672.441183529998</v>
      </c>
      <c r="B1023" s="5" t="str">
        <f ca="1">IFERROR(__xludf.DUMMYFUNCTION("""COMPUTED_VALUE"""),"254 Detroit St ")</f>
        <v xml:space="preserve">254 Detroit St </v>
      </c>
      <c r="C1023" s="5" t="str">
        <f ca="1">IFERROR(__xludf.DUMMYFUNCTION("""COMPUTED_VALUE"""),"Los Angeles")</f>
        <v>Los Angeles</v>
      </c>
      <c r="D1023" s="5" t="str">
        <f ca="1">IFERROR(__xludf.DUMMYFUNCTION("""COMPUTED_VALUE"""),"CA")</f>
        <v>CA</v>
      </c>
      <c r="E1023" s="5">
        <f ca="1">IFERROR(__xludf.DUMMYFUNCTION("""COMPUTED_VALUE"""),90036)</f>
        <v>90036</v>
      </c>
      <c r="F1023" s="19">
        <f ca="1">IFERROR(__xludf.DUMMYFUNCTION("""COMPUTED_VALUE"""),6600)</f>
        <v>6600</v>
      </c>
      <c r="G1023" s="19">
        <f ca="1">IFERROR(__xludf.DUMMYFUNCTION("""COMPUTED_VALUE"""),9500)</f>
        <v>9500</v>
      </c>
      <c r="H1023" s="18">
        <f ca="1">IFERROR(__xludf.DUMMYFUNCTION("""COMPUTED_VALUE"""),45672)</f>
        <v>45672</v>
      </c>
      <c r="I1023" s="5" t="str">
        <f ca="1">IFERROR(__xludf.DUMMYFUNCTION("""COMPUTED_VALUE"""),"Zillow")</f>
        <v>Zillow</v>
      </c>
      <c r="J1023" s="25" t="str">
        <f ca="1">IFERROR(__xludf.DUMMYFUNCTION("""COMPUTED_VALUE"""),"https://www.zillow.com/homedetails/254-S-Detroit-St-Los-Angeles-CA-90036/2086454063_zpid/")</f>
        <v>https://www.zillow.com/homedetails/254-S-Detroit-St-Los-Angeles-CA-90036/2086454063_zpid/</v>
      </c>
      <c r="K1023" s="5" t="str">
        <f ca="1">IFERROR(__xludf.DUMMYFUNCTION("""COMPUTED_VALUE"""),"David")</f>
        <v>David</v>
      </c>
      <c r="L1023" s="5"/>
      <c r="M1023" s="5"/>
      <c r="N1023" s="26" t="str">
        <f ca="1">IFERROR(__xludf.DUMMYFUNCTION("""COMPUTED_VALUE"""),"https://drive.google.com/open?id=1SOH5KkyJH_bkEiLn_q45T1HDjBsAzA9I")</f>
        <v>https://drive.google.com/open?id=1SOH5KkyJH_bkEiLn_q45T1HDjBsAzA9I</v>
      </c>
      <c r="O1023" s="5" t="str">
        <f ca="1">IFERROR(__xludf.DUMMYFUNCTION("""COMPUTED_VALUE"""),"NA")</f>
        <v>NA</v>
      </c>
      <c r="P1023" s="5" t="str">
        <f ca="1">IFERROR(__xludf.DUMMYFUNCTION("""COMPUTED_VALUE"""),"310-774-7499")</f>
        <v>310-774-7499</v>
      </c>
      <c r="Q1023" s="5"/>
      <c r="R1023" s="5"/>
      <c r="S1023" s="5"/>
      <c r="T1023" s="18">
        <f ca="1">IFERROR(__xludf.DUMMYFUNCTION("""COMPUTED_VALUE"""),44593)</f>
        <v>44593</v>
      </c>
    </row>
    <row r="1024" spans="1:20" ht="12.75">
      <c r="A1024" s="24">
        <f ca="1">IFERROR(__xludf.DUMMYFUNCTION("""COMPUTED_VALUE"""),45672.4426499884)</f>
        <v>45672.442649988399</v>
      </c>
      <c r="B1024" s="5" t="str">
        <f ca="1">IFERROR(__xludf.DUMMYFUNCTION("""COMPUTED_VALUE"""),"2243 Century Hl")</f>
        <v>2243 Century Hl</v>
      </c>
      <c r="C1024" s="5" t="str">
        <f ca="1">IFERROR(__xludf.DUMMYFUNCTION("""COMPUTED_VALUE"""),"Los Angeles")</f>
        <v>Los Angeles</v>
      </c>
      <c r="D1024" s="5" t="str">
        <f ca="1">IFERROR(__xludf.DUMMYFUNCTION("""COMPUTED_VALUE"""),"CA")</f>
        <v>CA</v>
      </c>
      <c r="E1024" s="5">
        <f ca="1">IFERROR(__xludf.DUMMYFUNCTION("""COMPUTED_VALUE"""),90067)</f>
        <v>90067</v>
      </c>
      <c r="F1024" s="19">
        <f ca="1">IFERROR(__xludf.DUMMYFUNCTION("""COMPUTED_VALUE"""),8500)</f>
        <v>8500</v>
      </c>
      <c r="G1024" s="19">
        <f ca="1">IFERROR(__xludf.DUMMYFUNCTION("""COMPUTED_VALUE"""),9400)</f>
        <v>9400</v>
      </c>
      <c r="H1024" s="18">
        <f ca="1">IFERROR(__xludf.DUMMYFUNCTION("""COMPUTED_VALUE"""),45672)</f>
        <v>45672</v>
      </c>
      <c r="I1024" s="5" t="str">
        <f ca="1">IFERROR(__xludf.DUMMYFUNCTION("""COMPUTED_VALUE"""),"Zillow")</f>
        <v>Zillow</v>
      </c>
      <c r="J1024" s="25" t="str">
        <f ca="1">IFERROR(__xludf.DUMMYFUNCTION("""COMPUTED_VALUE"""),"https://www.zillow.com/homedetails/2243-Century-Hl-Los-Angeles-CA-90067/20510481_zpid/")</f>
        <v>https://www.zillow.com/homedetails/2243-Century-Hl-Los-Angeles-CA-90067/20510481_zpid/</v>
      </c>
      <c r="K1024" s="5" t="str">
        <f ca="1">IFERROR(__xludf.DUMMYFUNCTION("""COMPUTED_VALUE"""),"Alison Winston")</f>
        <v>Alison Winston</v>
      </c>
      <c r="L1024" s="5"/>
      <c r="M1024" s="5"/>
      <c r="N1024" s="5" t="str">
        <f ca="1">IFERROR(__xludf.DUMMYFUNCTION("""COMPUTED_VALUE"""),"https://drive.google.com/open?id=1YJX2Y2OqIr8jJCJwEeO18vvM6ZHsWS_y, https://drive.google.com/open?id=1edppbENEdnu5SdZkioOKYLth5nAMY2_1")</f>
        <v>https://drive.google.com/open?id=1YJX2Y2OqIr8jJCJwEeO18vvM6ZHsWS_y, https://drive.google.com/open?id=1edppbENEdnu5SdZkioOKYLth5nAMY2_1</v>
      </c>
      <c r="O1024" s="5">
        <f ca="1">IFERROR(__xludf.DUMMYFUNCTION("""COMPUTED_VALUE"""),4329008163)</f>
        <v>4329008163</v>
      </c>
      <c r="P1024" s="5" t="str">
        <f ca="1">IFERROR(__xludf.DUMMYFUNCTION("""COMPUTED_VALUE"""),"(310) 651-0336")</f>
        <v>(310) 651-0336</v>
      </c>
      <c r="Q1024" s="5"/>
      <c r="R1024" s="5"/>
      <c r="S1024" s="5"/>
      <c r="T1024" s="18">
        <f ca="1">IFERROR(__xludf.DUMMYFUNCTION("""COMPUTED_VALUE"""),45665)</f>
        <v>45665</v>
      </c>
    </row>
    <row r="1025" spans="1:20" ht="12.75">
      <c r="A1025" s="24">
        <f ca="1">IFERROR(__xludf.DUMMYFUNCTION("""COMPUTED_VALUE"""),45672.4512431944)</f>
        <v>45672.451243194402</v>
      </c>
      <c r="B1025" s="5" t="str">
        <f ca="1">IFERROR(__xludf.DUMMYFUNCTION("""COMPUTED_VALUE"""),"1239 Rossmoyne Ave")</f>
        <v>1239 Rossmoyne Ave</v>
      </c>
      <c r="C1025" s="5" t="str">
        <f ca="1">IFERROR(__xludf.DUMMYFUNCTION("""COMPUTED_VALUE"""),"Glendale ")</f>
        <v xml:space="preserve">Glendale </v>
      </c>
      <c r="D1025" s="5" t="str">
        <f ca="1">IFERROR(__xludf.DUMMYFUNCTION("""COMPUTED_VALUE"""),"CA")</f>
        <v>CA</v>
      </c>
      <c r="E1025" s="5">
        <f ca="1">IFERROR(__xludf.DUMMYFUNCTION("""COMPUTED_VALUE"""),91207)</f>
        <v>91207</v>
      </c>
      <c r="F1025" s="19">
        <f ca="1">IFERROR(__xludf.DUMMYFUNCTION("""COMPUTED_VALUE"""),7500)</f>
        <v>7500</v>
      </c>
      <c r="G1025" s="19">
        <f ca="1">IFERROR(__xludf.DUMMYFUNCTION("""COMPUTED_VALUE"""),10000)</f>
        <v>10000</v>
      </c>
      <c r="H1025" s="18">
        <f ca="1">IFERROR(__xludf.DUMMYFUNCTION("""COMPUTED_VALUE"""),45668)</f>
        <v>45668</v>
      </c>
      <c r="I1025" s="5" t="str">
        <f ca="1">IFERROR(__xludf.DUMMYFUNCTION("""COMPUTED_VALUE"""),"Zillow")</f>
        <v>Zillow</v>
      </c>
      <c r="J1025" s="25" t="str">
        <f ca="1">IFERROR(__xludf.DUMMYFUNCTION("""COMPUTED_VALUE"""),"https://www.realtor.com/realestateandhomes-detail/1239-Rossmoyne-Ave_Glendale_CA_91207_M26149-24118")</f>
        <v>https://www.realtor.com/realestateandhomes-detail/1239-Rossmoyne-Ave_Glendale_CA_91207_M26149-24118</v>
      </c>
      <c r="K1025" s="5" t="str">
        <f ca="1">IFERROR(__xludf.DUMMYFUNCTION("""COMPUTED_VALUE"""),"Owner, Larry Akopyan")</f>
        <v>Owner, Larry Akopyan</v>
      </c>
      <c r="L1025" s="5" t="str">
        <f ca="1">IFERROR(__xludf.DUMMYFUNCTION("""COMPUTED_VALUE"""),"Owner, Larry Akopyan")</f>
        <v>Owner, Larry Akopyan</v>
      </c>
      <c r="M1025" s="5" t="str">
        <f ca="1">IFERROR(__xludf.DUMMYFUNCTION("""COMPUTED_VALUE"""),"(Taken Down - Possibly Rented)")</f>
        <v>(Taken Down - Possibly Rented)</v>
      </c>
      <c r="N1025" s="5" t="str">
        <f ca="1">IFERROR(__xludf.DUMMYFUNCTION("""COMPUTED_VALUE"""),"https://drive.google.com/open?id=13G_rURV1I8Gk-0fK3xRNGcV7y1dA3CHn, https://drive.google.com/open?id=1s2BvNbzxNfHFByWCaFJEfa1gSaGBhmHT")</f>
        <v>https://drive.google.com/open?id=13G_rURV1I8Gk-0fK3xRNGcV7y1dA3CHn, https://drive.google.com/open?id=1s2BvNbzxNfHFByWCaFJEfa1gSaGBhmHT</v>
      </c>
      <c r="O1025" s="5" t="str">
        <f ca="1">IFERROR(__xludf.DUMMYFUNCTION("""COMPUTED_VALUE"""),"NA")</f>
        <v>NA</v>
      </c>
      <c r="P1025" s="5">
        <f ca="1">IFERROR(__xludf.DUMMYFUNCTION("""COMPUTED_VALUE"""),2136604144)</f>
        <v>2136604144</v>
      </c>
      <c r="Q1025" s="5" t="str">
        <f ca="1">IFERROR(__xludf.DUMMYFUNCTION("""COMPUTED_VALUE"""),"larry@visclaims.com")</f>
        <v>larry@visclaims.com</v>
      </c>
      <c r="R1025" s="5">
        <f ca="1">IFERROR(__xludf.DUMMYFUNCTION("""COMPUTED_VALUE"""),2136604144)</f>
        <v>2136604144</v>
      </c>
      <c r="S1025" s="5" t="str">
        <f ca="1">IFERROR(__xludf.DUMMYFUNCTION("""COMPUTED_VALUE"""),"larry@visclaims.com")</f>
        <v>larry@visclaims.com</v>
      </c>
      <c r="T1025" s="18">
        <f ca="1">IFERROR(__xludf.DUMMYFUNCTION("""COMPUTED_VALUE"""),45609)</f>
        <v>45609</v>
      </c>
    </row>
    <row r="1026" spans="1:20" ht="12.75">
      <c r="A1026" s="24">
        <f ca="1">IFERROR(__xludf.DUMMYFUNCTION("""COMPUTED_VALUE"""),45672.4565600925)</f>
        <v>45672.456560092498</v>
      </c>
      <c r="B1026" s="5" t="str">
        <f ca="1">IFERROR(__xludf.DUMMYFUNCTION("""COMPUTED_VALUE"""),"2243 Century HI")</f>
        <v>2243 Century HI</v>
      </c>
      <c r="C1026" s="5" t="str">
        <f ca="1">IFERROR(__xludf.DUMMYFUNCTION("""COMPUTED_VALUE"""),"Century Hill")</f>
        <v>Century Hill</v>
      </c>
      <c r="D1026" s="5" t="str">
        <f ca="1">IFERROR(__xludf.DUMMYFUNCTION("""COMPUTED_VALUE"""),"CA")</f>
        <v>CA</v>
      </c>
      <c r="E1026" s="5">
        <f ca="1">IFERROR(__xludf.DUMMYFUNCTION("""COMPUTED_VALUE"""),90067)</f>
        <v>90067</v>
      </c>
      <c r="F1026" s="19">
        <f ca="1">IFERROR(__xludf.DUMMYFUNCTION("""COMPUTED_VALUE"""),8500)</f>
        <v>8500</v>
      </c>
      <c r="G1026" s="19">
        <f ca="1">IFERROR(__xludf.DUMMYFUNCTION("""COMPUTED_VALUE"""),9400)</f>
        <v>9400</v>
      </c>
      <c r="H1026" s="18">
        <f ca="1">IFERROR(__xludf.DUMMYFUNCTION("""COMPUTED_VALUE"""),45672)</f>
        <v>45672</v>
      </c>
      <c r="I1026" s="5" t="str">
        <f ca="1">IFERROR(__xludf.DUMMYFUNCTION("""COMPUTED_VALUE"""),"Redfin")</f>
        <v>Redfin</v>
      </c>
      <c r="J1026" s="25" t="str">
        <f ca="1">IFERROR(__xludf.DUMMYFUNCTION("""COMPUTED_VALUE"""),"https://www.redfin.com/CA/Los-Angeles/2243-Century-Hl-90067/home/6809489#property-history")</f>
        <v>https://www.redfin.com/CA/Los-Angeles/2243-Century-Hl-90067/home/6809489#property-history</v>
      </c>
      <c r="K1026" s="5" t="str">
        <f ca="1">IFERROR(__xludf.DUMMYFUNCTION("""COMPUTED_VALUE"""),"Alison Winston")</f>
        <v>Alison Winston</v>
      </c>
      <c r="L1026" s="5"/>
      <c r="M1026" s="5"/>
      <c r="N1026" s="26" t="str">
        <f ca="1">IFERROR(__xludf.DUMMYFUNCTION("""COMPUTED_VALUE"""),"https://drive.google.com/open?id=1RWT_ow_qKPi8ow8GwLfXfvJo4Xa46cQ6")</f>
        <v>https://drive.google.com/open?id=1RWT_ow_qKPi8ow8GwLfXfvJo4Xa46cQ6</v>
      </c>
      <c r="O1026" s="5" t="str">
        <f ca="1">IFERROR(__xludf.DUMMYFUNCTION("""COMPUTED_VALUE"""),"NA")</f>
        <v>NA</v>
      </c>
      <c r="P1026" s="5" t="str">
        <f ca="1">IFERROR(__xludf.DUMMYFUNCTION("""COMPUTED_VALUE"""),"310-651-0336")</f>
        <v>310-651-0336</v>
      </c>
      <c r="Q1026" s="5" t="str">
        <f ca="1">IFERROR(__xludf.DUMMYFUNCTION("""COMPUTED_VALUE"""),"Alison@AlisonWinstonRE.com")</f>
        <v>Alison@AlisonWinstonRE.com</v>
      </c>
      <c r="R1026" s="5"/>
      <c r="S1026" s="5"/>
      <c r="T1026" s="5"/>
    </row>
    <row r="1027" spans="1:20" ht="12.75">
      <c r="A1027" s="24">
        <f ca="1">IFERROR(__xludf.DUMMYFUNCTION("""COMPUTED_VALUE"""),45672.4644583796)</f>
        <v>45672.464458379603</v>
      </c>
      <c r="B1027" s="5" t="str">
        <f ca="1">IFERROR(__xludf.DUMMYFUNCTION("""COMPUTED_VALUE"""),"1038 25th Street")</f>
        <v>1038 25th Street</v>
      </c>
      <c r="C1027" s="5" t="str">
        <f ca="1">IFERROR(__xludf.DUMMYFUNCTION("""COMPUTED_VALUE"""),"Santa Monica")</f>
        <v>Santa Monica</v>
      </c>
      <c r="D1027" s="5" t="str">
        <f ca="1">IFERROR(__xludf.DUMMYFUNCTION("""COMPUTED_VALUE"""),"CA")</f>
        <v>CA</v>
      </c>
      <c r="E1027" s="5">
        <f ca="1">IFERROR(__xludf.DUMMYFUNCTION("""COMPUTED_VALUE"""),90403)</f>
        <v>90403</v>
      </c>
      <c r="F1027" s="19">
        <f ca="1">IFERROR(__xludf.DUMMYFUNCTION("""COMPUTED_VALUE"""),8000)</f>
        <v>8000</v>
      </c>
      <c r="G1027" s="19">
        <f ca="1">IFERROR(__xludf.DUMMYFUNCTION("""COMPUTED_VALUE"""),15000)</f>
        <v>15000</v>
      </c>
      <c r="H1027" s="18">
        <f ca="1">IFERROR(__xludf.DUMMYFUNCTION("""COMPUTED_VALUE"""),45670)</f>
        <v>45670</v>
      </c>
      <c r="I1027" s="5" t="str">
        <f ca="1">IFERROR(__xludf.DUMMYFUNCTION("""COMPUTED_VALUE"""),"C.L.A.W MLS #25-477907")</f>
        <v>C.L.A.W MLS #25-477907</v>
      </c>
      <c r="J1027" s="25" t="str">
        <f ca="1">IFERROR(__xludf.DUMMYFUNCTION("""COMPUTED_VALUE"""),"https://www.compass.com/listing/1038-25th-street-santa-monica-ca-90403/1748792031428379673/")</f>
        <v>https://www.compass.com/listing/1038-25th-street-santa-monica-ca-90403/1748792031428379673/</v>
      </c>
      <c r="K1027" s="5" t="str">
        <f ca="1">IFERROR(__xludf.DUMMYFUNCTION("""COMPUTED_VALUE"""),"Felix Wong")</f>
        <v>Felix Wong</v>
      </c>
      <c r="L1027" s="5" t="str">
        <f ca="1">IFERROR(__xludf.DUMMYFUNCTION("""COMPUTED_VALUE"""),"Sean Wu")</f>
        <v>Sean Wu</v>
      </c>
      <c r="M1027" s="5" t="str">
        <f ca="1">IFERROR(__xludf.DUMMYFUNCTION("""COMPUTED_VALUE"""),"It was listed at $8,000 on 01/07/2025. It was an active lease before it was listed. So, not a new lease. It is non-owner occupied.")</f>
        <v>It was listed at $8,000 on 01/07/2025. It was an active lease before it was listed. So, not a new lease. It is non-owner occupied.</v>
      </c>
      <c r="N1027" s="26" t="str">
        <f ca="1">IFERROR(__xludf.DUMMYFUNCTION("""COMPUTED_VALUE"""),"https://drive.google.com/open?id=1ePbJiapPlUUCa0l7N4iCSkBombGnQE5T")</f>
        <v>https://drive.google.com/open?id=1ePbJiapPlUUCa0l7N4iCSkBombGnQE5T</v>
      </c>
      <c r="O1027" s="5" t="str">
        <f ca="1">IFERROR(__xludf.DUMMYFUNCTION("""COMPUTED_VALUE"""),"4277-019-009")</f>
        <v>4277-019-009</v>
      </c>
      <c r="P1027" s="5" t="str">
        <f ca="1">IFERROR(__xludf.DUMMYFUNCTION("""COMPUTED_VALUE"""),"310-795-9988")</f>
        <v>310-795-9988</v>
      </c>
      <c r="Q1027" s="5" t="str">
        <f ca="1">IFERROR(__xludf.DUMMYFUNCTION("""COMPUTED_VALUE"""),"fewong989@gmail.com")</f>
        <v>fewong989@gmail.com</v>
      </c>
      <c r="R1027" s="5"/>
      <c r="S1027" s="5"/>
      <c r="T1027" s="18">
        <f ca="1">IFERROR(__xludf.DUMMYFUNCTION("""COMPUTED_VALUE"""),45664)</f>
        <v>45664</v>
      </c>
    </row>
    <row r="1028" spans="1:20" ht="12.75">
      <c r="A1028" s="24">
        <f ca="1">IFERROR(__xludf.DUMMYFUNCTION("""COMPUTED_VALUE"""),45672.4679543055)</f>
        <v>45672.467954305503</v>
      </c>
      <c r="B1028" s="5" t="str">
        <f ca="1">IFERROR(__xludf.DUMMYFUNCTION("""COMPUTED_VALUE"""),"405 E Claremont St")</f>
        <v>405 E Claremont St</v>
      </c>
      <c r="C1028" s="5" t="str">
        <f ca="1">IFERROR(__xludf.DUMMYFUNCTION("""COMPUTED_VALUE"""),"Pasadena")</f>
        <v>Pasadena</v>
      </c>
      <c r="D1028" s="5" t="str">
        <f ca="1">IFERROR(__xludf.DUMMYFUNCTION("""COMPUTED_VALUE"""),"CA")</f>
        <v>CA</v>
      </c>
      <c r="E1028" s="5">
        <f ca="1">IFERROR(__xludf.DUMMYFUNCTION("""COMPUTED_VALUE"""),91104)</f>
        <v>91104</v>
      </c>
      <c r="F1028" s="19">
        <f ca="1">IFERROR(__xludf.DUMMYFUNCTION("""COMPUTED_VALUE"""),6500)</f>
        <v>6500</v>
      </c>
      <c r="G1028" s="19">
        <f ca="1">IFERROR(__xludf.DUMMYFUNCTION("""COMPUTED_VALUE"""),15000)</f>
        <v>15000</v>
      </c>
      <c r="H1028" s="18">
        <f ca="1">IFERROR(__xludf.DUMMYFUNCTION("""COMPUTED_VALUE"""),45664)</f>
        <v>45664</v>
      </c>
      <c r="I1028" s="5" t="str">
        <f ca="1">IFERROR(__xludf.DUMMYFUNCTION("""COMPUTED_VALUE"""),"Zillow")</f>
        <v>Zillow</v>
      </c>
      <c r="J1028" s="25" t="str">
        <f ca="1">IFERROR(__xludf.DUMMYFUNCTION("""COMPUTED_VALUE"""),"https://www.zillow.com/homedetails/405-E-Claremont-St-Pasadena-CA-91104/20865548_zpid/")</f>
        <v>https://www.zillow.com/homedetails/405-E-Claremont-St-Pasadena-CA-91104/20865548_zpid/</v>
      </c>
      <c r="K1028" s="5" t="str">
        <f ca="1">IFERROR(__xludf.DUMMYFUNCTION("""COMPUTED_VALUE"""),"Steven Jiang KW Executive")</f>
        <v>Steven Jiang KW Executive</v>
      </c>
      <c r="L1028" s="5"/>
      <c r="M1028" s="5" t="str">
        <f ca="1">IFERROR(__xludf.DUMMYFUNCTION("""COMPUTED_VALUE"""),"This price far exceeds the fair market value by more than 160%")</f>
        <v>This price far exceeds the fair market value by more than 160%</v>
      </c>
      <c r="N1028" s="26" t="str">
        <f ca="1">IFERROR(__xludf.DUMMYFUNCTION("""COMPUTED_VALUE"""),"https://drive.google.com/open?id=1RRPBCfjawiWT38mpmtKbnJ1SreZqfGeW")</f>
        <v>https://drive.google.com/open?id=1RRPBCfjawiWT38mpmtKbnJ1SreZqfGeW</v>
      </c>
      <c r="O1028" s="5">
        <f ca="1">IFERROR(__xludf.DUMMYFUNCTION("""COMPUTED_VALUE"""),5729028001)</f>
        <v>5729028001</v>
      </c>
      <c r="P1028" s="5" t="str">
        <f ca="1">IFERROR(__xludf.DUMMYFUNCTION("""COMPUTED_VALUE"""),"626-551-1332")</f>
        <v>626-551-1332</v>
      </c>
      <c r="Q1028" s="5"/>
      <c r="R1028" s="5"/>
      <c r="S1028" s="5"/>
      <c r="T1028" s="18">
        <f ca="1">IFERROR(__xludf.DUMMYFUNCTION("""COMPUTED_VALUE"""),45440)</f>
        <v>45440</v>
      </c>
    </row>
    <row r="1029" spans="1:20" ht="12.75">
      <c r="A1029" s="24">
        <f ca="1">IFERROR(__xludf.DUMMYFUNCTION("""COMPUTED_VALUE"""),45672.4700797338)</f>
        <v>45672.470079733801</v>
      </c>
      <c r="B1029" s="5" t="str">
        <f ca="1">IFERROR(__xludf.DUMMYFUNCTION("""COMPUTED_VALUE"""),"10856 Plainview Ave")</f>
        <v>10856 Plainview Ave</v>
      </c>
      <c r="C1029" s="5" t="str">
        <f ca="1">IFERROR(__xludf.DUMMYFUNCTION("""COMPUTED_VALUE"""),"Tujunga")</f>
        <v>Tujunga</v>
      </c>
      <c r="D1029" s="5" t="str">
        <f ca="1">IFERROR(__xludf.DUMMYFUNCTION("""COMPUTED_VALUE"""),"CA")</f>
        <v>CA</v>
      </c>
      <c r="E1029" s="5">
        <f ca="1">IFERROR(__xludf.DUMMYFUNCTION("""COMPUTED_VALUE"""),91042)</f>
        <v>91042</v>
      </c>
      <c r="F1029" s="19">
        <f ca="1">IFERROR(__xludf.DUMMYFUNCTION("""COMPUTED_VALUE"""),4100)</f>
        <v>4100</v>
      </c>
      <c r="G1029" s="19">
        <f ca="1">IFERROR(__xludf.DUMMYFUNCTION("""COMPUTED_VALUE"""),8500)</f>
        <v>8500</v>
      </c>
      <c r="H1029" s="18">
        <f ca="1">IFERROR(__xludf.DUMMYFUNCTION("""COMPUTED_VALUE"""),45664)</f>
        <v>45664</v>
      </c>
      <c r="I1029" s="5" t="str">
        <f ca="1">IFERROR(__xludf.DUMMYFUNCTION("""COMPUTED_VALUE"""),"Trulia")</f>
        <v>Trulia</v>
      </c>
      <c r="J1029" s="25" t="str">
        <f ca="1">IFERROR(__xludf.DUMMYFUNCTION("""COMPUTED_VALUE"""),"https://www.trulia.com/home/10856-plainview-ave-tujunga-ca-91042-2054676045")</f>
        <v>https://www.trulia.com/home/10856-plainview-ave-tujunga-ca-91042-2054676045</v>
      </c>
      <c r="K1029" s="5" t="str">
        <f ca="1">IFERROR(__xludf.DUMMYFUNCTION("""COMPUTED_VALUE"""),"Andy Terteryan")</f>
        <v>Andy Terteryan</v>
      </c>
      <c r="L1029" s="5"/>
      <c r="M1029" s="5"/>
      <c r="N1029" s="26" t="str">
        <f ca="1">IFERROR(__xludf.DUMMYFUNCTION("""COMPUTED_VALUE"""),"https://drive.google.com/open?id=1u6mD0eAYi3PQbTXjz42e9AGTsYfuz-qy")</f>
        <v>https://drive.google.com/open?id=1u6mD0eAYi3PQbTXjz42e9AGTsYfuz-qy</v>
      </c>
      <c r="O1029" s="5" t="str">
        <f ca="1">IFERROR(__xludf.DUMMYFUNCTION("""COMPUTED_VALUE"""),"NA")</f>
        <v>NA</v>
      </c>
      <c r="P1029" s="5" t="str">
        <f ca="1">IFERROR(__xludf.DUMMYFUNCTION("""COMPUTED_VALUE""")," 323-828-2833")</f>
        <v xml:space="preserve"> 323-828-2833</v>
      </c>
      <c r="Q1029" s="5"/>
      <c r="R1029" s="5"/>
      <c r="S1029" s="5"/>
      <c r="T1029" s="18">
        <f ca="1">IFERROR(__xludf.DUMMYFUNCTION("""COMPUTED_VALUE"""),45654)</f>
        <v>45654</v>
      </c>
    </row>
    <row r="1030" spans="1:20" ht="12.75">
      <c r="A1030" s="24">
        <f ca="1">IFERROR(__xludf.DUMMYFUNCTION("""COMPUTED_VALUE"""),45672.4715006481)</f>
        <v>45672.471500648098</v>
      </c>
      <c r="B1030" s="5" t="str">
        <f ca="1">IFERROR(__xludf.DUMMYFUNCTION("""COMPUTED_VALUE"""),"3247B N Big Dalton Ave")</f>
        <v>3247B N Big Dalton Ave</v>
      </c>
      <c r="C1030" s="5" t="str">
        <f ca="1">IFERROR(__xludf.DUMMYFUNCTION("""COMPUTED_VALUE"""),"Baldwin Park")</f>
        <v>Baldwin Park</v>
      </c>
      <c r="D1030" s="5" t="str">
        <f ca="1">IFERROR(__xludf.DUMMYFUNCTION("""COMPUTED_VALUE"""),"CA")</f>
        <v>CA</v>
      </c>
      <c r="E1030" s="5">
        <f ca="1">IFERROR(__xludf.DUMMYFUNCTION("""COMPUTED_VALUE"""),91706)</f>
        <v>91706</v>
      </c>
      <c r="F1030" s="19">
        <f ca="1">IFERROR(__xludf.DUMMYFUNCTION("""COMPUTED_VALUE"""),3800)</f>
        <v>3800</v>
      </c>
      <c r="G1030" s="19">
        <f ca="1">IFERROR(__xludf.DUMMYFUNCTION("""COMPUTED_VALUE"""),4200)</f>
        <v>4200</v>
      </c>
      <c r="H1030" s="18">
        <f ca="1">IFERROR(__xludf.DUMMYFUNCTION("""COMPUTED_VALUE"""),45670)</f>
        <v>45670</v>
      </c>
      <c r="I1030" s="5" t="str">
        <f ca="1">IFERROR(__xludf.DUMMYFUNCTION("""COMPUTED_VALUE"""),"Trulia")</f>
        <v>Trulia</v>
      </c>
      <c r="J1030" s="25" t="str">
        <f ca="1">IFERROR(__xludf.DUMMYFUNCTION("""COMPUTED_VALUE"""),"https://www.trulia.com/home/3247b-n-big-dalton-ave-baldwin-park-ca-91706-2062218854")</f>
        <v>https://www.trulia.com/home/3247b-n-big-dalton-ave-baldwin-park-ca-91706-2062218854</v>
      </c>
      <c r="K1030" s="5" t="str">
        <f ca="1">IFERROR(__xludf.DUMMYFUNCTION("""COMPUTED_VALUE"""),"kevin")</f>
        <v>kevin</v>
      </c>
      <c r="L1030" s="5"/>
      <c r="M1030" s="5"/>
      <c r="N1030" s="26" t="str">
        <f ca="1">IFERROR(__xludf.DUMMYFUNCTION("""COMPUTED_VALUE"""),"https://drive.google.com/open?id=1kr9rZYXX5IWeNjXuoaGjHWBF8UbvreE1")</f>
        <v>https://drive.google.com/open?id=1kr9rZYXX5IWeNjXuoaGjHWBF8UbvreE1</v>
      </c>
      <c r="O1030" s="5" t="str">
        <f ca="1">IFERROR(__xludf.DUMMYFUNCTION("""COMPUTED_VALUE"""),"NA")</f>
        <v>NA</v>
      </c>
      <c r="P1030" s="5" t="str">
        <f ca="1">IFERROR(__xludf.DUMMYFUNCTION("""COMPUTED_VALUE"""),"(805) 556-5137")</f>
        <v>(805) 556-5137</v>
      </c>
      <c r="Q1030" s="5"/>
      <c r="R1030" s="5"/>
      <c r="S1030" s="5"/>
      <c r="T1030" s="18">
        <f ca="1">IFERROR(__xludf.DUMMYFUNCTION("""COMPUTED_VALUE"""),45640)</f>
        <v>45640</v>
      </c>
    </row>
    <row r="1031" spans="1:20" ht="12.75">
      <c r="A1031" s="24">
        <f ca="1">IFERROR(__xludf.DUMMYFUNCTION("""COMPUTED_VALUE"""),45672.4715037615)</f>
        <v>45672.471503761502</v>
      </c>
      <c r="B1031" s="5" t="str">
        <f ca="1">IFERROR(__xludf.DUMMYFUNCTION("""COMPUTED_VALUE"""),"4800 Zelzah Ave")</f>
        <v>4800 Zelzah Ave</v>
      </c>
      <c r="C1031" s="5" t="str">
        <f ca="1">IFERROR(__xludf.DUMMYFUNCTION("""COMPUTED_VALUE"""),"Encino")</f>
        <v>Encino</v>
      </c>
      <c r="D1031" s="5" t="str">
        <f ca="1">IFERROR(__xludf.DUMMYFUNCTION("""COMPUTED_VALUE"""),"CA")</f>
        <v>CA</v>
      </c>
      <c r="E1031" s="5">
        <f ca="1">IFERROR(__xludf.DUMMYFUNCTION("""COMPUTED_VALUE"""),91316)</f>
        <v>91316</v>
      </c>
      <c r="F1031" s="19">
        <f ca="1">IFERROR(__xludf.DUMMYFUNCTION("""COMPUTED_VALUE"""),35000)</f>
        <v>35000</v>
      </c>
      <c r="G1031" s="19">
        <f ca="1">IFERROR(__xludf.DUMMYFUNCTION("""COMPUTED_VALUE"""),49500)</f>
        <v>49500</v>
      </c>
      <c r="H1031" s="18">
        <f ca="1">IFERROR(__xludf.DUMMYFUNCTION("""COMPUTED_VALUE"""),45672)</f>
        <v>45672</v>
      </c>
      <c r="I1031" s="5" t="str">
        <f ca="1">IFERROR(__xludf.DUMMYFUNCTION("""COMPUTED_VALUE"""),"Zillow")</f>
        <v>Zillow</v>
      </c>
      <c r="J1031" s="25" t="str">
        <f ca="1">IFERROR(__xludf.DUMMYFUNCTION("""COMPUTED_VALUE"""),"https://www.zillow.com/homedetails/4800-Zelzah-Ave-Encino-CA-91316/19950258_zpid/")</f>
        <v>https://www.zillow.com/homedetails/4800-Zelzah-Ave-Encino-CA-91316/19950258_zpid/</v>
      </c>
      <c r="K1031" s="5" t="str">
        <f ca="1">IFERROR(__xludf.DUMMYFUNCTION("""COMPUTED_VALUE"""),"Roger Perry")</f>
        <v>Roger Perry</v>
      </c>
      <c r="L1031" s="5"/>
      <c r="M1031" s="5"/>
      <c r="N1031" s="5" t="str">
        <f ca="1">IFERROR(__xludf.DUMMYFUNCTION("""COMPUTED_VALUE"""),"https://drive.google.com/open?id=1GQj5sDZSaIwv0VVsVqHArHGqczkf9GSv, https://drive.google.com/open?id=1mtmqdDbTyO8DBQCZjuFkcECCOJDFS21r")</f>
        <v>https://drive.google.com/open?id=1GQj5sDZSaIwv0VVsVqHArHGqczkf9GSv, https://drive.google.com/open?id=1mtmqdDbTyO8DBQCZjuFkcECCOJDFS21r</v>
      </c>
      <c r="O1031" s="5">
        <f ca="1">IFERROR(__xludf.DUMMYFUNCTION("""COMPUTED_VALUE"""),2182016006)</f>
        <v>2182016006</v>
      </c>
      <c r="P1031" s="5" t="str">
        <f ca="1">IFERROR(__xludf.DUMMYFUNCTION("""COMPUTED_VALUE"""),"(310) 740-4029")</f>
        <v>(310) 740-4029</v>
      </c>
      <c r="Q1031" s="5"/>
      <c r="R1031" s="5"/>
      <c r="S1031" s="5"/>
      <c r="T1031" s="18">
        <f ca="1">IFERROR(__xludf.DUMMYFUNCTION("""COMPUTED_VALUE"""),45645)</f>
        <v>45645</v>
      </c>
    </row>
    <row r="1032" spans="1:20" ht="12.75">
      <c r="A1032" s="24">
        <f ca="1">IFERROR(__xludf.DUMMYFUNCTION("""COMPUTED_VALUE"""),45672.4727036111)</f>
        <v>45672.4727036111</v>
      </c>
      <c r="B1032" s="5" t="str">
        <f ca="1">IFERROR(__xludf.DUMMYFUNCTION("""COMPUTED_VALUE"""),"705 W Hollyvale St")</f>
        <v>705 W Hollyvale St</v>
      </c>
      <c r="C1032" s="5" t="str">
        <f ca="1">IFERROR(__xludf.DUMMYFUNCTION("""COMPUTED_VALUE"""),"Azusa")</f>
        <v>Azusa</v>
      </c>
      <c r="D1032" s="5" t="str">
        <f ca="1">IFERROR(__xludf.DUMMYFUNCTION("""COMPUTED_VALUE"""),"CA")</f>
        <v>CA</v>
      </c>
      <c r="E1032" s="5">
        <f ca="1">IFERROR(__xludf.DUMMYFUNCTION("""COMPUTED_VALUE"""),91702)</f>
        <v>91702</v>
      </c>
      <c r="F1032" s="19">
        <f ca="1">IFERROR(__xludf.DUMMYFUNCTION("""COMPUTED_VALUE"""),4950)</f>
        <v>4950</v>
      </c>
      <c r="G1032" s="19">
        <f ca="1">IFERROR(__xludf.DUMMYFUNCTION("""COMPUTED_VALUE"""),5950)</f>
        <v>5950</v>
      </c>
      <c r="H1032" s="18">
        <f ca="1">IFERROR(__xludf.DUMMYFUNCTION("""COMPUTED_VALUE"""),45665)</f>
        <v>45665</v>
      </c>
      <c r="I1032" s="5" t="str">
        <f ca="1">IFERROR(__xludf.DUMMYFUNCTION("""COMPUTED_VALUE"""),"Trulia")</f>
        <v>Trulia</v>
      </c>
      <c r="J1032" s="25" t="str">
        <f ca="1">IFERROR(__xludf.DUMMYFUNCTION("""COMPUTED_VALUE"""),"https://www.trulia.com/home/705-w-hollyvale-st-azusa-ca-91702-21629171")</f>
        <v>https://www.trulia.com/home/705-w-hollyvale-st-azusa-ca-91702-21629171</v>
      </c>
      <c r="K1032" s="5" t="str">
        <f ca="1">IFERROR(__xludf.DUMMYFUNCTION("""COMPUTED_VALUE"""),"Montana Travel")</f>
        <v>Montana Travel</v>
      </c>
      <c r="L1032" s="5"/>
      <c r="M1032" s="5"/>
      <c r="N1032" s="26" t="str">
        <f ca="1">IFERROR(__xludf.DUMMYFUNCTION("""COMPUTED_VALUE"""),"https://drive.google.com/open?id=1YB4-d5iKzalu6BY8SQnp_3lrgfBx03Mb")</f>
        <v>https://drive.google.com/open?id=1YB4-d5iKzalu6BY8SQnp_3lrgfBx03Mb</v>
      </c>
      <c r="O1032" s="5">
        <f ca="1">IFERROR(__xludf.DUMMYFUNCTION("""COMPUTED_VALUE"""),8616018034)</f>
        <v>8616018034</v>
      </c>
      <c r="P1032" s="5" t="str">
        <f ca="1">IFERROR(__xludf.DUMMYFUNCTION("""COMPUTED_VALUE"""),"(626) 554-6956")</f>
        <v>(626) 554-6956</v>
      </c>
      <c r="Q1032" s="5"/>
      <c r="R1032" s="5"/>
      <c r="S1032" s="5"/>
      <c r="T1032" s="18">
        <f ca="1">IFERROR(__xludf.DUMMYFUNCTION("""COMPUTED_VALUE"""),45658)</f>
        <v>45658</v>
      </c>
    </row>
    <row r="1033" spans="1:20" ht="12.75">
      <c r="A1033" s="24">
        <f ca="1">IFERROR(__xludf.DUMMYFUNCTION("""COMPUTED_VALUE"""),45672.473052662)</f>
        <v>45672.473052661997</v>
      </c>
      <c r="B1033" s="5" t="str">
        <f ca="1">IFERROR(__xludf.DUMMYFUNCTION("""COMPUTED_VALUE"""),"305 Venice Way")</f>
        <v>305 Venice Way</v>
      </c>
      <c r="C1033" s="5" t="str">
        <f ca="1">IFERROR(__xludf.DUMMYFUNCTION("""COMPUTED_VALUE"""),"Venice")</f>
        <v>Venice</v>
      </c>
      <c r="D1033" s="5" t="str">
        <f ca="1">IFERROR(__xludf.DUMMYFUNCTION("""COMPUTED_VALUE"""),"CA")</f>
        <v>CA</v>
      </c>
      <c r="E1033" s="5">
        <f ca="1">IFERROR(__xludf.DUMMYFUNCTION("""COMPUTED_VALUE"""),90291)</f>
        <v>90291</v>
      </c>
      <c r="F1033" s="19">
        <f ca="1">IFERROR(__xludf.DUMMYFUNCTION("""COMPUTED_VALUE"""),15000)</f>
        <v>15000</v>
      </c>
      <c r="G1033" s="19">
        <f ca="1">IFERROR(__xludf.DUMMYFUNCTION("""COMPUTED_VALUE"""),20000)</f>
        <v>20000</v>
      </c>
      <c r="H1033" s="18">
        <f ca="1">IFERROR(__xludf.DUMMYFUNCTION("""COMPUTED_VALUE"""),45672)</f>
        <v>45672</v>
      </c>
      <c r="I1033" s="5" t="str">
        <f ca="1">IFERROR(__xludf.DUMMYFUNCTION("""COMPUTED_VALUE"""),"Zillow")</f>
        <v>Zillow</v>
      </c>
      <c r="J1033" s="25" t="str">
        <f ca="1">IFERROR(__xludf.DUMMYFUNCTION("""COMPUTED_VALUE"""),"https://www.zillow.com/homedetails/305-Venice-Way-Venice-CA-90291/325799119_zpid/?utm_campaign=iosappmessage&amp;utm_medium=referral&amp;utm_source=txtshare")</f>
        <v>https://www.zillow.com/homedetails/305-Venice-Way-Venice-CA-90291/325799119_zpid/?utm_campaign=iosappmessage&amp;utm_medium=referral&amp;utm_source=txtshare</v>
      </c>
      <c r="K1033" s="5" t="str">
        <f ca="1">IFERROR(__xludf.DUMMYFUNCTION("""COMPUTED_VALUE"""),"Pardee")</f>
        <v>Pardee</v>
      </c>
      <c r="L1033" s="5"/>
      <c r="M1033" s="5" t="str">
        <f ca="1">IFERROR(__xludf.DUMMYFUNCTION("""COMPUTED_VALUE"""),"owners are loopholing by listing as a sale but backdoor renting for 33% more")</f>
        <v>owners are loopholing by listing as a sale but backdoor renting for 33% more</v>
      </c>
      <c r="N1033" s="5" t="str">
        <f ca="1">IFERROR(__xludf.DUMMYFUNCTION("""COMPUTED_VALUE"""),"https://drive.google.com/open?id=19PBGHcFd2bt0msU1PkOJH-4i1PPMGRKD, https://drive.google.com/open?id=1KwoMN2ve2X35sB4dCjKUbD_OyHiqTdCB")</f>
        <v>https://drive.google.com/open?id=19PBGHcFd2bt0msU1PkOJH-4i1PPMGRKD, https://drive.google.com/open?id=1KwoMN2ve2X35sB4dCjKUbD_OyHiqTdCB</v>
      </c>
      <c r="O1033" s="5">
        <f ca="1">IFERROR(__xludf.DUMMYFUNCTION("""COMPUTED_VALUE"""),4238021045)</f>
        <v>4238021045</v>
      </c>
      <c r="P1033" s="5"/>
      <c r="Q1033" s="5"/>
      <c r="R1033" s="5"/>
      <c r="S1033" s="5"/>
      <c r="T1033" s="18">
        <f ca="1">IFERROR(__xludf.DUMMYFUNCTION("""COMPUTED_VALUE"""),45640)</f>
        <v>45640</v>
      </c>
    </row>
    <row r="1034" spans="1:20" ht="12.75">
      <c r="A1034" s="24">
        <f ca="1">IFERROR(__xludf.DUMMYFUNCTION("""COMPUTED_VALUE"""),45672.47391728)</f>
        <v>45672.473917279996</v>
      </c>
      <c r="B1034" s="5" t="str">
        <f ca="1">IFERROR(__xludf.DUMMYFUNCTION("""COMPUTED_VALUE"""),"286 N Madison Ave")</f>
        <v>286 N Madison Ave</v>
      </c>
      <c r="C1034" s="5" t="str">
        <f ca="1">IFERROR(__xludf.DUMMYFUNCTION("""COMPUTED_VALUE"""),"Pasadena")</f>
        <v>Pasadena</v>
      </c>
      <c r="D1034" s="5" t="str">
        <f ca="1">IFERROR(__xludf.DUMMYFUNCTION("""COMPUTED_VALUE"""),"CA")</f>
        <v>CA</v>
      </c>
      <c r="E1034" s="5">
        <f ca="1">IFERROR(__xludf.DUMMYFUNCTION("""COMPUTED_VALUE"""),91101)</f>
        <v>91101</v>
      </c>
      <c r="F1034" s="19">
        <f ca="1">IFERROR(__xludf.DUMMYFUNCTION("""COMPUTED_VALUE"""),2970)</f>
        <v>2970</v>
      </c>
      <c r="G1034" s="19">
        <f ca="1">IFERROR(__xludf.DUMMYFUNCTION("""COMPUTED_VALUE"""),3470)</f>
        <v>3470</v>
      </c>
      <c r="H1034" s="18">
        <f ca="1">IFERROR(__xludf.DUMMYFUNCTION("""COMPUTED_VALUE"""),45671)</f>
        <v>45671</v>
      </c>
      <c r="I1034" s="5" t="str">
        <f ca="1">IFERROR(__xludf.DUMMYFUNCTION("""COMPUTED_VALUE"""),"Truilia")</f>
        <v>Truilia</v>
      </c>
      <c r="J1034" s="25" t="str">
        <f ca="1">IFERROR(__xludf.DUMMYFUNCTION("""COMPUTED_VALUE"""),"https://www.trulia.com/home/286-n-madison-ave-3-id1153-pasadena-ca-91101-348506118")</f>
        <v>https://www.trulia.com/home/286-n-madison-ave-3-id1153-pasadena-ca-91101-348506118</v>
      </c>
      <c r="K1034" s="5"/>
      <c r="L1034" s="5"/>
      <c r="M1034" s="5"/>
      <c r="N1034" s="26" t="str">
        <f ca="1">IFERROR(__xludf.DUMMYFUNCTION("""COMPUTED_VALUE"""),"https://drive.google.com/open?id=1ZYiZ_02AsnSNoIcSEyx9nfB3GAMmh1_5")</f>
        <v>https://drive.google.com/open?id=1ZYiZ_02AsnSNoIcSEyx9nfB3GAMmh1_5</v>
      </c>
      <c r="O1034" s="5" t="str">
        <f ca="1">IFERROR(__xludf.DUMMYFUNCTION("""COMPUTED_VALUE"""),"NA")</f>
        <v>NA</v>
      </c>
      <c r="P1034" s="5"/>
      <c r="Q1034" s="5"/>
      <c r="R1034" s="5"/>
      <c r="S1034" s="5"/>
      <c r="T1034" s="18">
        <f ca="1">IFERROR(__xludf.DUMMYFUNCTION("""COMPUTED_VALUE"""),45657)</f>
        <v>45657</v>
      </c>
    </row>
    <row r="1035" spans="1:20" ht="12.75">
      <c r="A1035" s="24">
        <f ca="1">IFERROR(__xludf.DUMMYFUNCTION("""COMPUTED_VALUE"""),45672.4751143402)</f>
        <v>45672.475114340203</v>
      </c>
      <c r="B1035" s="5" t="str">
        <f ca="1">IFERROR(__xludf.DUMMYFUNCTION("""COMPUTED_VALUE"""),"Melrose and N Harvard Blvd just below Western")</f>
        <v>Melrose and N Harvard Blvd just below Western</v>
      </c>
      <c r="C1035" s="5" t="str">
        <f ca="1">IFERROR(__xludf.DUMMYFUNCTION("""COMPUTED_VALUE"""),"Los Angeles")</f>
        <v>Los Angeles</v>
      </c>
      <c r="D1035" s="5" t="str">
        <f ca="1">IFERROR(__xludf.DUMMYFUNCTION("""COMPUTED_VALUE"""),"CA")</f>
        <v>CA</v>
      </c>
      <c r="E1035" s="5">
        <f ca="1">IFERROR(__xludf.DUMMYFUNCTION("""COMPUTED_VALUE"""),90046)</f>
        <v>90046</v>
      </c>
      <c r="F1035" s="19">
        <f ca="1">IFERROR(__xludf.DUMMYFUNCTION("""COMPUTED_VALUE"""),1999)</f>
        <v>1999</v>
      </c>
      <c r="G1035" s="19">
        <f ca="1">IFERROR(__xludf.DUMMYFUNCTION("""COMPUTED_VALUE"""),2195)</f>
        <v>2195</v>
      </c>
      <c r="H1035" s="18">
        <f ca="1">IFERROR(__xludf.DUMMYFUNCTION("""COMPUTED_VALUE"""),45672)</f>
        <v>45672</v>
      </c>
      <c r="I1035" s="5" t="str">
        <f ca="1">IFERROR(__xludf.DUMMYFUNCTION("""COMPUTED_VALUE"""),"Facebook")</f>
        <v>Facebook</v>
      </c>
      <c r="J1035" s="25" t="str">
        <f ca="1">IFERROR(__xludf.DUMMYFUNCTION("""COMPUTED_VALUE"""),"https://www.facebook.com/commerce/listing/1618477352367130/?media_id=2&amp;ref=share_attachment")</f>
        <v>https://www.facebook.com/commerce/listing/1618477352367130/?media_id=2&amp;ref=share_attachment</v>
      </c>
      <c r="K1035" s="26" t="str">
        <f ca="1">IFERROR(__xludf.DUMMYFUNCTION("""COMPUTED_VALUE"""),"https://www.facebook.com/marketplace/profile/743588758/")</f>
        <v>https://www.facebook.com/marketplace/profile/743588758/</v>
      </c>
      <c r="L1035" s="5"/>
      <c r="M1035" s="5"/>
      <c r="N1035" s="26" t="str">
        <f ca="1">IFERROR(__xludf.DUMMYFUNCTION("""COMPUTED_VALUE"""),"https://drive.google.com/open?id=1NHBaegOvnSuLpyRlzxgY_a2qz7NYnFFe")</f>
        <v>https://drive.google.com/open?id=1NHBaegOvnSuLpyRlzxgY_a2qz7NYnFFe</v>
      </c>
      <c r="O1035" s="5" t="str">
        <f ca="1">IFERROR(__xludf.DUMMYFUNCTION("""COMPUTED_VALUE"""),"NA")</f>
        <v>NA</v>
      </c>
      <c r="P1035" s="5"/>
      <c r="Q1035" s="5"/>
      <c r="R1035" s="5"/>
      <c r="S1035" s="5"/>
      <c r="T1035" s="5"/>
    </row>
    <row r="1036" spans="1:20" ht="12.75">
      <c r="A1036" s="24">
        <f ca="1">IFERROR(__xludf.DUMMYFUNCTION("""COMPUTED_VALUE"""),45672.4752875)</f>
        <v>45672.475287499998</v>
      </c>
      <c r="B1036" s="5" t="str">
        <f ca="1">IFERROR(__xludf.DUMMYFUNCTION("""COMPUTED_VALUE"""),"267 Barthe Dr #14 ")</f>
        <v xml:space="preserve">267 Barthe Dr #14 </v>
      </c>
      <c r="C1036" s="5" t="str">
        <f ca="1">IFERROR(__xludf.DUMMYFUNCTION("""COMPUTED_VALUE"""),"Pasadena")</f>
        <v>Pasadena</v>
      </c>
      <c r="D1036" s="5" t="str">
        <f ca="1">IFERROR(__xludf.DUMMYFUNCTION("""COMPUTED_VALUE"""),"CA")</f>
        <v>CA</v>
      </c>
      <c r="E1036" s="5">
        <f ca="1">IFERROR(__xludf.DUMMYFUNCTION("""COMPUTED_VALUE"""),91103)</f>
        <v>91103</v>
      </c>
      <c r="F1036" s="19">
        <f ca="1">IFERROR(__xludf.DUMMYFUNCTION("""COMPUTED_VALUE"""),2292)</f>
        <v>2292</v>
      </c>
      <c r="G1036" s="19">
        <f ca="1">IFERROR(__xludf.DUMMYFUNCTION("""COMPUTED_VALUE"""),2850)</f>
        <v>2850</v>
      </c>
      <c r="H1036" s="18">
        <f ca="1">IFERROR(__xludf.DUMMYFUNCTION("""COMPUTED_VALUE"""),45671)</f>
        <v>45671</v>
      </c>
      <c r="I1036" s="5" t="str">
        <f ca="1">IFERROR(__xludf.DUMMYFUNCTION("""COMPUTED_VALUE"""),"Trulia")</f>
        <v>Trulia</v>
      </c>
      <c r="J1036" s="25" t="str">
        <f ca="1">IFERROR(__xludf.DUMMYFUNCTION("""COMPUTED_VALUE"""),"https://www.trulia.com/home/267-barthe-dr-14-pasadena-ca-91103-441812912?fbclid=IwZXh0bgNhZW0CMTAAAR3ALF_X7FN5Q17G8XPbYt_2PaaltudkSmyL3wkPqBIH8L2bFRH5Jb_SR18_aem_aRO8OSGcyhP-YoRwoe3g3A")</f>
        <v>https://www.trulia.com/home/267-barthe-dr-14-pasadena-ca-91103-441812912?fbclid=IwZXh0bgNhZW0CMTAAAR3ALF_X7FN5Q17G8XPbYt_2PaaltudkSmyL3wkPqBIH8L2bFRH5Jb_SR18_aem_aRO8OSGcyhP-YoRwoe3g3A</v>
      </c>
      <c r="K1036" s="5"/>
      <c r="L1036" s="5"/>
      <c r="M1036" s="5"/>
      <c r="N1036" s="26" t="str">
        <f ca="1">IFERROR(__xludf.DUMMYFUNCTION("""COMPUTED_VALUE"""),"https://drive.google.com/open?id=1r9IDPodBPKZQaj37Qw706JU3lYf-oQXL")</f>
        <v>https://drive.google.com/open?id=1r9IDPodBPKZQaj37Qw706JU3lYf-oQXL</v>
      </c>
      <c r="O1036" s="5" t="str">
        <f ca="1">IFERROR(__xludf.DUMMYFUNCTION("""COMPUTED_VALUE"""),"NA")</f>
        <v>NA</v>
      </c>
      <c r="P1036" s="5"/>
      <c r="Q1036" s="5"/>
      <c r="R1036" s="5"/>
      <c r="S1036" s="5"/>
      <c r="T1036" s="18">
        <f ca="1">IFERROR(__xludf.DUMMYFUNCTION("""COMPUTED_VALUE"""),45666)</f>
        <v>45666</v>
      </c>
    </row>
    <row r="1037" spans="1:20" ht="12.75">
      <c r="A1037" s="24">
        <f ca="1">IFERROR(__xludf.DUMMYFUNCTION("""COMPUTED_VALUE"""),45672.4757896064)</f>
        <v>45672.475789606397</v>
      </c>
      <c r="B1037" s="5" t="str">
        <f ca="1">IFERROR(__xludf.DUMMYFUNCTION("""COMPUTED_VALUE"""),"11141 McVine Ave")</f>
        <v>11141 McVine Ave</v>
      </c>
      <c r="C1037" s="5" t="str">
        <f ca="1">IFERROR(__xludf.DUMMYFUNCTION("""COMPUTED_VALUE"""),"Sunland")</f>
        <v>Sunland</v>
      </c>
      <c r="D1037" s="5" t="str">
        <f ca="1">IFERROR(__xludf.DUMMYFUNCTION("""COMPUTED_VALUE"""),"CA")</f>
        <v>CA</v>
      </c>
      <c r="E1037" s="5">
        <f ca="1">IFERROR(__xludf.DUMMYFUNCTION("""COMPUTED_VALUE"""),91040)</f>
        <v>91040</v>
      </c>
      <c r="F1037" s="19">
        <f ca="1">IFERROR(__xludf.DUMMYFUNCTION("""COMPUTED_VALUE"""),6750)</f>
        <v>6750</v>
      </c>
      <c r="G1037" s="19">
        <f ca="1">IFERROR(__xludf.DUMMYFUNCTION("""COMPUTED_VALUE"""),8075)</f>
        <v>8075</v>
      </c>
      <c r="H1037" s="18">
        <f ca="1">IFERROR(__xludf.DUMMYFUNCTION("""COMPUTED_VALUE"""),45672)</f>
        <v>45672</v>
      </c>
      <c r="I1037" s="5" t="str">
        <f ca="1">IFERROR(__xludf.DUMMYFUNCTION("""COMPUTED_VALUE"""),"Trulia")</f>
        <v>Trulia</v>
      </c>
      <c r="J1037" s="25" t="str">
        <f ca="1">IFERROR(__xludf.DUMMYFUNCTION("""COMPUTED_VALUE"""),"https://www.trulia.com/home/11141-mcvine-ave-sunland-ca-91040-20092094")</f>
        <v>https://www.trulia.com/home/11141-mcvine-ave-sunland-ca-91040-20092094</v>
      </c>
      <c r="K1037" s="5" t="str">
        <f ca="1">IFERROR(__xludf.DUMMYFUNCTION("""COMPUTED_VALUE"""),"Marine Avetisian Seward")</f>
        <v>Marine Avetisian Seward</v>
      </c>
      <c r="L1037" s="5"/>
      <c r="M1037" s="5"/>
      <c r="N1037" s="26" t="str">
        <f ca="1">IFERROR(__xludf.DUMMYFUNCTION("""COMPUTED_VALUE"""),"https://drive.google.com/open?id=1Y3-Xq0ypre4qqlWKX6UpToVUmr_9-yHd")</f>
        <v>https://drive.google.com/open?id=1Y3-Xq0ypre4qqlWKX6UpToVUmr_9-yHd</v>
      </c>
      <c r="O1037" s="5">
        <f ca="1">IFERROR(__xludf.DUMMYFUNCTION("""COMPUTED_VALUE"""),2551046006)</f>
        <v>2551046006</v>
      </c>
      <c r="P1037" s="5" t="str">
        <f ca="1">IFERROR(__xludf.DUMMYFUNCTION("""COMPUTED_VALUE"""),"(818) 482-5202")</f>
        <v>(818) 482-5202</v>
      </c>
      <c r="Q1037" s="5"/>
      <c r="R1037" s="5"/>
      <c r="S1037" s="5"/>
      <c r="T1037" s="18">
        <f ca="1">IFERROR(__xludf.DUMMYFUNCTION("""COMPUTED_VALUE"""),45664)</f>
        <v>45664</v>
      </c>
    </row>
    <row r="1038" spans="1:20" ht="12.75">
      <c r="A1038" s="24">
        <f ca="1">IFERROR(__xludf.DUMMYFUNCTION("""COMPUTED_VALUE"""),45672.4817422569)</f>
        <v>45672.481742256903</v>
      </c>
      <c r="B1038" s="5" t="str">
        <f ca="1">IFERROR(__xludf.DUMMYFUNCTION("""COMPUTED_VALUE"""),"11843 Apple Grove Ln")</f>
        <v>11843 Apple Grove Ln</v>
      </c>
      <c r="C1038" s="5" t="str">
        <f ca="1">IFERROR(__xludf.DUMMYFUNCTION("""COMPUTED_VALUE"""),"Sylmar")</f>
        <v>Sylmar</v>
      </c>
      <c r="D1038" s="5" t="str">
        <f ca="1">IFERROR(__xludf.DUMMYFUNCTION("""COMPUTED_VALUE"""),"CA")</f>
        <v>CA</v>
      </c>
      <c r="E1038" s="5">
        <f ca="1">IFERROR(__xludf.DUMMYFUNCTION("""COMPUTED_VALUE"""),91342)</f>
        <v>91342</v>
      </c>
      <c r="F1038" s="19">
        <f ca="1">IFERROR(__xludf.DUMMYFUNCTION("""COMPUTED_VALUE"""),8000)</f>
        <v>8000</v>
      </c>
      <c r="G1038" s="19">
        <f ca="1">IFERROR(__xludf.DUMMYFUNCTION("""COMPUTED_VALUE"""),9546)</f>
        <v>9546</v>
      </c>
      <c r="H1038" s="18">
        <f ca="1">IFERROR(__xludf.DUMMYFUNCTION("""COMPUTED_VALUE"""),45670)</f>
        <v>45670</v>
      </c>
      <c r="I1038" s="5" t="str">
        <f ca="1">IFERROR(__xludf.DUMMYFUNCTION("""COMPUTED_VALUE"""),"Trulia")</f>
        <v>Trulia</v>
      </c>
      <c r="J1038" s="25" t="str">
        <f ca="1">IFERROR(__xludf.DUMMYFUNCTION("""COMPUTED_VALUE"""),"https://www.trulia.com/home/11843-apple-grove-ln-sylmar-ca-91342-95671061")</f>
        <v>https://www.trulia.com/home/11843-apple-grove-ln-sylmar-ca-91342-95671061</v>
      </c>
      <c r="K1038" s="5" t="str">
        <f ca="1">IFERROR(__xludf.DUMMYFUNCTION("""COMPUTED_VALUE"""),"Month2Month")</f>
        <v>Month2Month</v>
      </c>
      <c r="L1038" s="5"/>
      <c r="M1038" s="5"/>
      <c r="N1038" s="26" t="str">
        <f ca="1">IFERROR(__xludf.DUMMYFUNCTION("""COMPUTED_VALUE"""),"https://drive.google.com/open?id=18NFBcs-YOkQm9tXNGwRnZ2T4idLVIE2F")</f>
        <v>https://drive.google.com/open?id=18NFBcs-YOkQm9tXNGwRnZ2T4idLVIE2F</v>
      </c>
      <c r="O1038" s="5">
        <f ca="1">IFERROR(__xludf.DUMMYFUNCTION("""COMPUTED_VALUE"""),2531010019)</f>
        <v>2531010019</v>
      </c>
      <c r="P1038" s="5" t="str">
        <f ca="1">IFERROR(__xludf.DUMMYFUNCTION("""COMPUTED_VALUE"""),"(949) 438-0617")</f>
        <v>(949) 438-0617</v>
      </c>
      <c r="Q1038" s="5"/>
      <c r="R1038" s="5"/>
      <c r="S1038" s="5"/>
      <c r="T1038" s="18">
        <f ca="1">IFERROR(__xludf.DUMMYFUNCTION("""COMPUTED_VALUE"""),45653)</f>
        <v>45653</v>
      </c>
    </row>
    <row r="1039" spans="1:20" ht="12.75">
      <c r="A1039" s="24">
        <f ca="1">IFERROR(__xludf.DUMMYFUNCTION("""COMPUTED_VALUE"""),45672.4901919213)</f>
        <v>45672.490191921301</v>
      </c>
      <c r="B1039" s="5" t="str">
        <f ca="1">IFERROR(__xludf.DUMMYFUNCTION("""COMPUTED_VALUE"""),"438 Somerset Pl")</f>
        <v>438 Somerset Pl</v>
      </c>
      <c r="C1039" s="5" t="str">
        <f ca="1">IFERROR(__xludf.DUMMYFUNCTION("""COMPUTED_VALUE"""),"La Canada Flintridge,")</f>
        <v>La Canada Flintridge,</v>
      </c>
      <c r="D1039" s="5" t="str">
        <f ca="1">IFERROR(__xludf.DUMMYFUNCTION("""COMPUTED_VALUE"""),"CA")</f>
        <v>CA</v>
      </c>
      <c r="E1039" s="5">
        <f ca="1">IFERROR(__xludf.DUMMYFUNCTION("""COMPUTED_VALUE"""),91101)</f>
        <v>91101</v>
      </c>
      <c r="F1039" s="19">
        <f ca="1">IFERROR(__xludf.DUMMYFUNCTION("""COMPUTED_VALUE"""),12500)</f>
        <v>12500</v>
      </c>
      <c r="G1039" s="19">
        <f ca="1">IFERROR(__xludf.DUMMYFUNCTION("""COMPUTED_VALUE"""),16000)</f>
        <v>16000</v>
      </c>
      <c r="H1039" s="18">
        <f ca="1">IFERROR(__xludf.DUMMYFUNCTION("""COMPUTED_VALUE"""),45672)</f>
        <v>45672</v>
      </c>
      <c r="I1039" s="5" t="str">
        <f ca="1">IFERROR(__xludf.DUMMYFUNCTION("""COMPUTED_VALUE"""),"Zillow")</f>
        <v>Zillow</v>
      </c>
      <c r="J1039" s="25" t="str">
        <f ca="1">IFERROR(__xludf.DUMMYFUNCTION("""COMPUTED_VALUE"""),"https://www.zillow.com/homedetails/438-Somerset-Pl-La-Canada-Flintridge-CA-91011/20906715_zpid/")</f>
        <v>https://www.zillow.com/homedetails/438-Somerset-Pl-La-Canada-Flintridge-CA-91011/20906715_zpid/</v>
      </c>
      <c r="K1039" s="5" t="str">
        <f ca="1">IFERROR(__xludf.DUMMYFUNCTION("""COMPUTED_VALUE"""),"Mike Kobeissi")</f>
        <v>Mike Kobeissi</v>
      </c>
      <c r="L1039" s="5"/>
      <c r="M1039" s="5"/>
      <c r="N1039" s="26" t="str">
        <f ca="1">IFERROR(__xludf.DUMMYFUNCTION("""COMPUTED_VALUE"""),"https://drive.google.com/open?id=1ICzn3NVxNIk2rSvieWnVtBlXjx6oHfW4")</f>
        <v>https://drive.google.com/open?id=1ICzn3NVxNIk2rSvieWnVtBlXjx6oHfW4</v>
      </c>
      <c r="O1039" s="5">
        <f ca="1">IFERROR(__xludf.DUMMYFUNCTION("""COMPUTED_VALUE"""),5821003015)</f>
        <v>5821003015</v>
      </c>
      <c r="P1039" s="5" t="str">
        <f ca="1">IFERROR(__xludf.DUMMYFUNCTION("""COMPUTED_VALUE"""),"(818) 949-7575")</f>
        <v>(818) 949-7575</v>
      </c>
      <c r="Q1039" s="5"/>
      <c r="R1039" s="5"/>
      <c r="S1039" s="5"/>
      <c r="T1039" s="18">
        <f ca="1">IFERROR(__xludf.DUMMYFUNCTION("""COMPUTED_VALUE"""),45583)</f>
        <v>45583</v>
      </c>
    </row>
    <row r="1040" spans="1:20" ht="12.75">
      <c r="A1040" s="24">
        <f ca="1">IFERROR(__xludf.DUMMYFUNCTION("""COMPUTED_VALUE"""),45672.4917517708)</f>
        <v>45672.491751770802</v>
      </c>
      <c r="B1040" s="5" t="str">
        <f ca="1">IFERROR(__xludf.DUMMYFUNCTION("""COMPUTED_VALUE"""),"190 S Marengo Ave #12")</f>
        <v>190 S Marengo Ave #12</v>
      </c>
      <c r="C1040" s="5" t="str">
        <f ca="1">IFERROR(__xludf.DUMMYFUNCTION("""COMPUTED_VALUE"""),"Pasadena")</f>
        <v>Pasadena</v>
      </c>
      <c r="D1040" s="5" t="str">
        <f ca="1">IFERROR(__xludf.DUMMYFUNCTION("""COMPUTED_VALUE"""),"CA")</f>
        <v>CA</v>
      </c>
      <c r="E1040" s="5">
        <f ca="1">IFERROR(__xludf.DUMMYFUNCTION("""COMPUTED_VALUE"""),91101)</f>
        <v>91101</v>
      </c>
      <c r="F1040" s="19">
        <f ca="1">IFERROR(__xludf.DUMMYFUNCTION("""COMPUTED_VALUE"""),1458)</f>
        <v>1458</v>
      </c>
      <c r="G1040" s="19">
        <f ca="1">IFERROR(__xludf.DUMMYFUNCTION("""COMPUTED_VALUE"""),1850)</f>
        <v>1850</v>
      </c>
      <c r="H1040" s="18">
        <f ca="1">IFERROR(__xludf.DUMMYFUNCTION("""COMPUTED_VALUE"""),45672)</f>
        <v>45672</v>
      </c>
      <c r="I1040" s="5" t="str">
        <f ca="1">IFERROR(__xludf.DUMMYFUNCTION("""COMPUTED_VALUE"""),"Trulia")</f>
        <v>Trulia</v>
      </c>
      <c r="J1040" s="25" t="str">
        <f ca="1">IFERROR(__xludf.DUMMYFUNCTION("""COMPUTED_VALUE"""),"https://www.trulia.com/home/190-s-marengo-ave-12-pasadena-ca-91101-2055455907")</f>
        <v>https://www.trulia.com/home/190-s-marengo-ave-12-pasadena-ca-91101-2055455907</v>
      </c>
      <c r="K1040" s="5"/>
      <c r="L1040" s="5"/>
      <c r="M1040" s="5"/>
      <c r="N1040" s="26" t="str">
        <f ca="1">IFERROR(__xludf.DUMMYFUNCTION("""COMPUTED_VALUE"""),"https://drive.google.com/open?id=1saFmXdprS22kpWLigWIJuuGyN6kldKJQ")</f>
        <v>https://drive.google.com/open?id=1saFmXdprS22kpWLigWIJuuGyN6kldKJQ</v>
      </c>
      <c r="O1040" s="5" t="str">
        <f ca="1">IFERROR(__xludf.DUMMYFUNCTION("""COMPUTED_VALUE"""),"NA")</f>
        <v>NA</v>
      </c>
      <c r="P1040" s="5"/>
      <c r="Q1040" s="5"/>
      <c r="R1040" s="5"/>
      <c r="S1040" s="5"/>
      <c r="T1040" s="18">
        <f ca="1">IFERROR(__xludf.DUMMYFUNCTION("""COMPUTED_VALUE"""),45664)</f>
        <v>45664</v>
      </c>
    </row>
    <row r="1041" spans="1:20" ht="12.75">
      <c r="A1041" s="24">
        <f ca="1">IFERROR(__xludf.DUMMYFUNCTION("""COMPUTED_VALUE"""),45672.4945929398)</f>
        <v>45672.494592939802</v>
      </c>
      <c r="B1041" s="5" t="str">
        <f ca="1">IFERROR(__xludf.DUMMYFUNCTION("""COMPUTED_VALUE"""),"202 S Raymond Ave #7")</f>
        <v>202 S Raymond Ave #7</v>
      </c>
      <c r="C1041" s="5" t="str">
        <f ca="1">IFERROR(__xludf.DUMMYFUNCTION("""COMPUTED_VALUE"""),"Pasadena")</f>
        <v>Pasadena</v>
      </c>
      <c r="D1041" s="5" t="str">
        <f ca="1">IFERROR(__xludf.DUMMYFUNCTION("""COMPUTED_VALUE"""),"CA")</f>
        <v>CA</v>
      </c>
      <c r="E1041" s="5">
        <f ca="1">IFERROR(__xludf.DUMMYFUNCTION("""COMPUTED_VALUE"""),91105)</f>
        <v>91105</v>
      </c>
      <c r="F1041" s="19">
        <f ca="1">IFERROR(__xludf.DUMMYFUNCTION("""COMPUTED_VALUE"""),2020)</f>
        <v>2020</v>
      </c>
      <c r="G1041" s="19">
        <f ca="1">IFERROR(__xludf.DUMMYFUNCTION("""COMPUTED_VALUE"""),3010)</f>
        <v>3010</v>
      </c>
      <c r="H1041" s="18">
        <f ca="1">IFERROR(__xludf.DUMMYFUNCTION("""COMPUTED_VALUE"""),45671)</f>
        <v>45671</v>
      </c>
      <c r="I1041" s="5" t="str">
        <f ca="1">IFERROR(__xludf.DUMMYFUNCTION("""COMPUTED_VALUE"""),"Trulia")</f>
        <v>Trulia</v>
      </c>
      <c r="J1041" s="25" t="str">
        <f ca="1">IFERROR(__xludf.DUMMYFUNCTION("""COMPUTED_VALUE"""),"https://www.trulia.com/home/202-s-raymond-ave-7-id856-pasadena-ca-91105-2061707930")</f>
        <v>https://www.trulia.com/home/202-s-raymond-ave-7-id856-pasadena-ca-91105-2061707930</v>
      </c>
      <c r="K1041" s="5"/>
      <c r="L1041" s="5"/>
      <c r="M1041" s="5"/>
      <c r="N1041" s="26" t="str">
        <f ca="1">IFERROR(__xludf.DUMMYFUNCTION("""COMPUTED_VALUE"""),"https://drive.google.com/open?id=1oxpAfoI2c-5aELhonShyv43CB7ZcrC7f")</f>
        <v>https://drive.google.com/open?id=1oxpAfoI2c-5aELhonShyv43CB7ZcrC7f</v>
      </c>
      <c r="O1041" s="5" t="str">
        <f ca="1">IFERROR(__xludf.DUMMYFUNCTION("""COMPUTED_VALUE"""),"NA")</f>
        <v>NA</v>
      </c>
      <c r="P1041" s="5"/>
      <c r="Q1041" s="5"/>
      <c r="R1041" s="5"/>
      <c r="S1041" s="5"/>
      <c r="T1041" s="18">
        <f ca="1">IFERROR(__xludf.DUMMYFUNCTION("""COMPUTED_VALUE"""),45657)</f>
        <v>45657</v>
      </c>
    </row>
    <row r="1042" spans="1:20" ht="12.75">
      <c r="A1042" s="24">
        <f ca="1">IFERROR(__xludf.DUMMYFUNCTION("""COMPUTED_VALUE"""),45672.5161109722)</f>
        <v>45672.516110972203</v>
      </c>
      <c r="B1042" s="5" t="str">
        <f ca="1">IFERROR(__xludf.DUMMYFUNCTION("""COMPUTED_VALUE"""),"3319 Lowry Rd")</f>
        <v>3319 Lowry Rd</v>
      </c>
      <c r="C1042" s="5" t="str">
        <f ca="1">IFERROR(__xludf.DUMMYFUNCTION("""COMPUTED_VALUE"""),"Los Angeles")</f>
        <v>Los Angeles</v>
      </c>
      <c r="D1042" s="5" t="str">
        <f ca="1">IFERROR(__xludf.DUMMYFUNCTION("""COMPUTED_VALUE"""),"CA")</f>
        <v>CA</v>
      </c>
      <c r="E1042" s="5">
        <f ca="1">IFERROR(__xludf.DUMMYFUNCTION("""COMPUTED_VALUE"""),90027)</f>
        <v>90027</v>
      </c>
      <c r="F1042" s="19">
        <f ca="1">IFERROR(__xludf.DUMMYFUNCTION("""COMPUTED_VALUE"""),11500)</f>
        <v>11500</v>
      </c>
      <c r="G1042" s="19">
        <f ca="1">IFERROR(__xludf.DUMMYFUNCTION("""COMPUTED_VALUE"""),14995)</f>
        <v>14995</v>
      </c>
      <c r="H1042" s="18">
        <f ca="1">IFERROR(__xludf.DUMMYFUNCTION("""COMPUTED_VALUE"""),45672)</f>
        <v>45672</v>
      </c>
      <c r="I1042" s="5" t="str">
        <f ca="1">IFERROR(__xludf.DUMMYFUNCTION("""COMPUTED_VALUE"""),"Zillow")</f>
        <v>Zillow</v>
      </c>
      <c r="J1042" s="25" t="str">
        <f ca="1">IFERROR(__xludf.DUMMYFUNCTION("""COMPUTED_VALUE"""),"https://www.zillow.com/homedetails/3319-Lowry-Rd-Los-Angeles-CA-90027/20812073_zpid/")</f>
        <v>https://www.zillow.com/homedetails/3319-Lowry-Rd-Los-Angeles-CA-90027/20812073_zpid/</v>
      </c>
      <c r="K1042" s="5" t="str">
        <f ca="1">IFERROR(__xludf.DUMMYFUNCTION("""COMPUTED_VALUE"""),"CHBO")</f>
        <v>CHBO</v>
      </c>
      <c r="L1042" s="5"/>
      <c r="M1042" s="5"/>
      <c r="N1042" s="26" t="str">
        <f ca="1">IFERROR(__xludf.DUMMYFUNCTION("""COMPUTED_VALUE"""),"https://drive.google.com/open?id=1qy3SkBcpCVnTBztnhR4kfxf7CNJsl7Yw")</f>
        <v>https://drive.google.com/open?id=1qy3SkBcpCVnTBztnhR4kfxf7CNJsl7Yw</v>
      </c>
      <c r="O1042" s="5" t="str">
        <f ca="1">IFERROR(__xludf.DUMMYFUNCTION("""COMPUTED_VALUE"""),"NA")</f>
        <v>NA</v>
      </c>
      <c r="P1042" s="5" t="str">
        <f ca="1">IFERROR(__xludf.DUMMYFUNCTION("""COMPUTED_VALUE"""),"(678) 931-7808")</f>
        <v>(678) 931-7808</v>
      </c>
      <c r="Q1042" s="5"/>
      <c r="R1042" s="5"/>
      <c r="S1042" s="5"/>
      <c r="T1042" s="18">
        <f ca="1">IFERROR(__xludf.DUMMYFUNCTION("""COMPUTED_VALUE"""),45433)</f>
        <v>45433</v>
      </c>
    </row>
    <row r="1043" spans="1:20" ht="12.75">
      <c r="A1043" s="24">
        <f ca="1">IFERROR(__xludf.DUMMYFUNCTION("""COMPUTED_VALUE"""),45672.5175811689)</f>
        <v>45672.517581168897</v>
      </c>
      <c r="B1043" s="5" t="str">
        <f ca="1">IFERROR(__xludf.DUMMYFUNCTION("""COMPUTED_VALUE"""),"3321 E Colorado Blvd #25")</f>
        <v>3321 E Colorado Blvd #25</v>
      </c>
      <c r="C1043" s="5" t="str">
        <f ca="1">IFERROR(__xludf.DUMMYFUNCTION("""COMPUTED_VALUE"""),"Pasadena")</f>
        <v>Pasadena</v>
      </c>
      <c r="D1043" s="5" t="str">
        <f ca="1">IFERROR(__xludf.DUMMYFUNCTION("""COMPUTED_VALUE"""),"CA")</f>
        <v>CA</v>
      </c>
      <c r="E1043" s="5">
        <f ca="1">IFERROR(__xludf.DUMMYFUNCTION("""COMPUTED_VALUE"""),91107)</f>
        <v>91107</v>
      </c>
      <c r="F1043" s="19">
        <f ca="1">IFERROR(__xludf.DUMMYFUNCTION("""COMPUTED_VALUE"""),1900)</f>
        <v>1900</v>
      </c>
      <c r="G1043" s="19">
        <f ca="1">IFERROR(__xludf.DUMMYFUNCTION("""COMPUTED_VALUE"""),2300)</f>
        <v>2300</v>
      </c>
      <c r="H1043" s="18">
        <f ca="1">IFERROR(__xludf.DUMMYFUNCTION("""COMPUTED_VALUE"""),45945)</f>
        <v>45945</v>
      </c>
      <c r="I1043" s="5" t="str">
        <f ca="1">IFERROR(__xludf.DUMMYFUNCTION("""COMPUTED_VALUE"""),"Trulia")</f>
        <v>Trulia</v>
      </c>
      <c r="J1043" s="25" t="str">
        <f ca="1">IFERROR(__xludf.DUMMYFUNCTION("""COMPUTED_VALUE"""),"https://www.trulia.com/home/3321-e-colorado-blvd-25-pasadena-ca-91107-353727409")</f>
        <v>https://www.trulia.com/home/3321-e-colorado-blvd-25-pasadena-ca-91107-353727409</v>
      </c>
      <c r="K1043" s="5"/>
      <c r="L1043" s="5"/>
      <c r="M1043" s="5"/>
      <c r="N1043" s="26" t="str">
        <f ca="1">IFERROR(__xludf.DUMMYFUNCTION("""COMPUTED_VALUE"""),"https://drive.google.com/open?id=1OZH20QhF12HCnNIHU48VBhFAElfNGNOV")</f>
        <v>https://drive.google.com/open?id=1OZH20QhF12HCnNIHU48VBhFAElfNGNOV</v>
      </c>
      <c r="O1043" s="5" t="str">
        <f ca="1">IFERROR(__xludf.DUMMYFUNCTION("""COMPUTED_VALUE"""),"NA")</f>
        <v>NA</v>
      </c>
      <c r="P1043" s="5"/>
      <c r="Q1043" s="5"/>
      <c r="R1043" s="5"/>
      <c r="S1043" s="5"/>
      <c r="T1043" s="18">
        <f ca="1">IFERROR(__xludf.DUMMYFUNCTION("""COMPUTED_VALUE"""),45577)</f>
        <v>45577</v>
      </c>
    </row>
    <row r="1044" spans="1:20" ht="12.75">
      <c r="A1044" s="24">
        <f ca="1">IFERROR(__xludf.DUMMYFUNCTION("""COMPUTED_VALUE"""),45672.5223950115)</f>
        <v>45672.522395011503</v>
      </c>
      <c r="B1044" s="5" t="str">
        <f ca="1">IFERROR(__xludf.DUMMYFUNCTION("""COMPUTED_VALUE"""),"33 Sage Ln")</f>
        <v>33 Sage Ln</v>
      </c>
      <c r="C1044" s="5" t="str">
        <f ca="1">IFERROR(__xludf.DUMMYFUNCTION("""COMPUTED_VALUE"""),"Bell Canyon")</f>
        <v>Bell Canyon</v>
      </c>
      <c r="D1044" s="5" t="str">
        <f ca="1">IFERROR(__xludf.DUMMYFUNCTION("""COMPUTED_VALUE"""),"CA")</f>
        <v>CA</v>
      </c>
      <c r="E1044" s="5">
        <f ca="1">IFERROR(__xludf.DUMMYFUNCTION("""COMPUTED_VALUE"""),91307)</f>
        <v>91307</v>
      </c>
      <c r="F1044" s="19">
        <f ca="1">IFERROR(__xludf.DUMMYFUNCTION("""COMPUTED_VALUE"""),25000)</f>
        <v>25000</v>
      </c>
      <c r="G1044" s="19">
        <f ca="1">IFERROR(__xludf.DUMMYFUNCTION("""COMPUTED_VALUE"""),28000)</f>
        <v>28000</v>
      </c>
      <c r="H1044" s="18">
        <f ca="1">IFERROR(__xludf.DUMMYFUNCTION("""COMPUTED_VALUE"""),45667)</f>
        <v>45667</v>
      </c>
      <c r="I1044" s="5" t="str">
        <f ca="1">IFERROR(__xludf.DUMMYFUNCTION("""COMPUTED_VALUE"""),"Zillow")</f>
        <v>Zillow</v>
      </c>
      <c r="J1044" s="25" t="str">
        <f ca="1">IFERROR(__xludf.DUMMYFUNCTION("""COMPUTED_VALUE"""),"https://www.zillow.com/homedetails/33-Sage-Ln-Bell-Canyon-CA-91307/16497722_zpid/")</f>
        <v>https://www.zillow.com/homedetails/33-Sage-Ln-Bell-Canyon-CA-91307/16497722_zpid/</v>
      </c>
      <c r="K1044" s="5" t="str">
        <f ca="1">IFERROR(__xludf.DUMMYFUNCTION("""COMPUTED_VALUE"""),"Christos Kamar, Rodeo Realty")</f>
        <v>Christos Kamar, Rodeo Realty</v>
      </c>
      <c r="L1044" s="5"/>
      <c r="M1044" s="5"/>
      <c r="N1044" s="5" t="str">
        <f ca="1">IFERROR(__xludf.DUMMYFUNCTION("""COMPUTED_VALUE"""),"https://drive.google.com/open?id=1WN0MRhbw0Riv0o144c3PZSN8tk6JO52I, https://drive.google.com/open?id=1TA0zQ6UaO4PSexkGC_0d2wnQ85PYZKYU, https://drive.google.com/open?id=18jgepY_ohtpTija_iz5_GHijumUa9crN")</f>
        <v>https://drive.google.com/open?id=1WN0MRhbw0Riv0o144c3PZSN8tk6JO52I, https://drive.google.com/open?id=1TA0zQ6UaO4PSexkGC_0d2wnQ85PYZKYU, https://drive.google.com/open?id=18jgepY_ohtpTija_iz5_GHijumUa9crN</v>
      </c>
      <c r="O1044" s="5">
        <f ca="1">IFERROR(__xludf.DUMMYFUNCTION("""COMPUTED_VALUE"""),8500091095)</f>
        <v>8500091095</v>
      </c>
      <c r="P1044" s="5" t="str">
        <f ca="1">IFERROR(__xludf.DUMMYFUNCTION("""COMPUTED_VALUE"""),"(818) 916-0426")</f>
        <v>(818) 916-0426</v>
      </c>
      <c r="Q1044" s="5"/>
      <c r="R1044" s="5"/>
      <c r="S1044" s="5"/>
      <c r="T1044" s="18">
        <f ca="1">IFERROR(__xludf.DUMMYFUNCTION("""COMPUTED_VALUE"""),45589)</f>
        <v>45589</v>
      </c>
    </row>
    <row r="1045" spans="1:20" ht="12.75">
      <c r="A1045" s="24">
        <f ca="1">IFERROR(__xludf.DUMMYFUNCTION("""COMPUTED_VALUE"""),45672.5247488773)</f>
        <v>45672.524748877302</v>
      </c>
      <c r="B1045" s="5" t="str">
        <f ca="1">IFERROR(__xludf.DUMMYFUNCTION("""COMPUTED_VALUE"""),"1016 Balboa Blvd E")</f>
        <v>1016 Balboa Blvd E</v>
      </c>
      <c r="C1045" s="5" t="str">
        <f ca="1">IFERROR(__xludf.DUMMYFUNCTION("""COMPUTED_VALUE"""),"Newport Beach")</f>
        <v>Newport Beach</v>
      </c>
      <c r="D1045" s="5" t="str">
        <f ca="1">IFERROR(__xludf.DUMMYFUNCTION("""COMPUTED_VALUE"""),"CA")</f>
        <v>CA</v>
      </c>
      <c r="E1045" s="5">
        <f ca="1">IFERROR(__xludf.DUMMYFUNCTION("""COMPUTED_VALUE"""),92661)</f>
        <v>92661</v>
      </c>
      <c r="F1045" s="19">
        <f ca="1">IFERROR(__xludf.DUMMYFUNCTION("""COMPUTED_VALUE"""),30000)</f>
        <v>30000</v>
      </c>
      <c r="G1045" s="19">
        <f ca="1">IFERROR(__xludf.DUMMYFUNCTION("""COMPUTED_VALUE"""),35000)</f>
        <v>35000</v>
      </c>
      <c r="H1045" s="18">
        <f ca="1">IFERROR(__xludf.DUMMYFUNCTION("""COMPUTED_VALUE"""),45666)</f>
        <v>45666</v>
      </c>
      <c r="I1045" s="5" t="str">
        <f ca="1">IFERROR(__xludf.DUMMYFUNCTION("""COMPUTED_VALUE"""),"Zillow")</f>
        <v>Zillow</v>
      </c>
      <c r="J1045" s="25" t="str">
        <f ca="1">IFERROR(__xludf.DUMMYFUNCTION("""COMPUTED_VALUE"""),"https://www.zillow.com/homedetails/1016-Balboa-Blvd-E-Newport-Beach-CA-92661/2054129145_zpid/")</f>
        <v>https://www.zillow.com/homedetails/1016-Balboa-Blvd-E-Newport-Beach-CA-92661/2054129145_zpid/</v>
      </c>
      <c r="K1045" s="5" t="str">
        <f ca="1">IFERROR(__xludf.DUMMYFUNCTION("""COMPUTED_VALUE""")," Tara McNabb, Compass")</f>
        <v xml:space="preserve"> Tara McNabb, Compass</v>
      </c>
      <c r="L1045" s="5"/>
      <c r="M1045" s="5"/>
      <c r="N1045" s="5" t="str">
        <f ca="1">IFERROR(__xludf.DUMMYFUNCTION("""COMPUTED_VALUE"""),"https://drive.google.com/open?id=1uttGj53ZzlV-osv4gnw22IUJ3OvhwX60, https://drive.google.com/open?id=1iPoT-qPm7oii-BnYkzbwKkPgUl6rkb15, https://drive.google.com/open?id=1RRCW7_6BYl4N6y1qsdE5aLG8lxnFDSG2")</f>
        <v>https://drive.google.com/open?id=1uttGj53ZzlV-osv4gnw22IUJ3OvhwX60, https://drive.google.com/open?id=1iPoT-qPm7oii-BnYkzbwKkPgUl6rkb15, https://drive.google.com/open?id=1RRCW7_6BYl4N6y1qsdE5aLG8lxnFDSG2</v>
      </c>
      <c r="O1045" s="5" t="str">
        <f ca="1">IFERROR(__xludf.DUMMYFUNCTION("""COMPUTED_VALUE"""),"NA")</f>
        <v>NA</v>
      </c>
      <c r="P1045" s="5" t="str">
        <f ca="1">IFERROR(__xludf.DUMMYFUNCTION("""COMPUTED_VALUE"""),"(949) 500-3910")</f>
        <v>(949) 500-3910</v>
      </c>
      <c r="Q1045" s="5"/>
      <c r="R1045" s="5"/>
      <c r="S1045" s="5"/>
      <c r="T1045" s="18">
        <f ca="1">IFERROR(__xludf.DUMMYFUNCTION("""COMPUTED_VALUE"""),45484)</f>
        <v>45484</v>
      </c>
    </row>
    <row r="1046" spans="1:20" ht="12.75">
      <c r="A1046" s="24">
        <f ca="1">IFERROR(__xludf.DUMMYFUNCTION("""COMPUTED_VALUE"""),45672.5254758333)</f>
        <v>45672.525475833303</v>
      </c>
      <c r="B1046" s="5" t="str">
        <f ca="1">IFERROR(__xludf.DUMMYFUNCTION("""COMPUTED_VALUE"""),"4504 Cedros Ave")</f>
        <v>4504 Cedros Ave</v>
      </c>
      <c r="C1046" s="5" t="str">
        <f ca="1">IFERROR(__xludf.DUMMYFUNCTION("""COMPUTED_VALUE"""),"Sherman Oaks")</f>
        <v>Sherman Oaks</v>
      </c>
      <c r="D1046" s="5" t="str">
        <f ca="1">IFERROR(__xludf.DUMMYFUNCTION("""COMPUTED_VALUE"""),"CA")</f>
        <v>CA</v>
      </c>
      <c r="E1046" s="5">
        <f ca="1">IFERROR(__xludf.DUMMYFUNCTION("""COMPUTED_VALUE"""),91403)</f>
        <v>91403</v>
      </c>
      <c r="F1046" s="19">
        <f ca="1">IFERROR(__xludf.DUMMYFUNCTION("""COMPUTED_VALUE"""),18000)</f>
        <v>18000</v>
      </c>
      <c r="G1046" s="19">
        <f ca="1">IFERROR(__xludf.DUMMYFUNCTION("""COMPUTED_VALUE"""),25000)</f>
        <v>25000</v>
      </c>
      <c r="H1046" s="18">
        <f ca="1">IFERROR(__xludf.DUMMYFUNCTION("""COMPUTED_VALUE"""),45671)</f>
        <v>45671</v>
      </c>
      <c r="I1046" s="5" t="str">
        <f ca="1">IFERROR(__xludf.DUMMYFUNCTION("""COMPUTED_VALUE"""),"Zillow")</f>
        <v>Zillow</v>
      </c>
      <c r="J1046" s="25" t="str">
        <f ca="1">IFERROR(__xludf.DUMMYFUNCTION("""COMPUTED_VALUE"""),"https://www.zillow.com/homedetails/4504-Cedros-Ave-Sherman-Oaks-CA-91403/19983993_zpid/")</f>
        <v>https://www.zillow.com/homedetails/4504-Cedros-Ave-Sherman-Oaks-CA-91403/19983993_zpid/</v>
      </c>
      <c r="K1046" s="5" t="str">
        <f ca="1">IFERROR(__xludf.DUMMYFUNCTION("""COMPUTED_VALUE"""),"Michael Azran")</f>
        <v>Michael Azran</v>
      </c>
      <c r="L1046" s="5"/>
      <c r="M1046" s="5"/>
      <c r="N1046" s="26" t="str">
        <f ca="1">IFERROR(__xludf.DUMMYFUNCTION("""COMPUTED_VALUE"""),"https://drive.google.com/open?id=1SI6qP1Fyv4he6-LiUz6MTeeOnxDkiPf8")</f>
        <v>https://drive.google.com/open?id=1SI6qP1Fyv4he6-LiUz6MTeeOnxDkiPf8</v>
      </c>
      <c r="O1046" s="5">
        <f ca="1">IFERROR(__xludf.DUMMYFUNCTION("""COMPUTED_VALUE"""),2265004009)</f>
        <v>2265004009</v>
      </c>
      <c r="P1046" s="5" t="str">
        <f ca="1">IFERROR(__xludf.DUMMYFUNCTION("""COMPUTED_VALUE"""),"(323) 474-8338")</f>
        <v>(323) 474-8338</v>
      </c>
      <c r="Q1046" s="5"/>
      <c r="R1046" s="5"/>
      <c r="S1046" s="5"/>
      <c r="T1046" s="18">
        <f ca="1">IFERROR(__xludf.DUMMYFUNCTION("""COMPUTED_VALUE"""),45206)</f>
        <v>45206</v>
      </c>
    </row>
    <row r="1047" spans="1:20" ht="12.75">
      <c r="A1047" s="24">
        <f ca="1">IFERROR(__xludf.DUMMYFUNCTION("""COMPUTED_VALUE"""),45672.5259808564)</f>
        <v>45672.525980856401</v>
      </c>
      <c r="B1047" s="5" t="str">
        <f ca="1">IFERROR(__xludf.DUMMYFUNCTION("""COMPUTED_VALUE"""),"415 W. Lemon Ave.")</f>
        <v>415 W. Lemon Ave.</v>
      </c>
      <c r="C1047" s="5" t="str">
        <f ca="1">IFERROR(__xludf.DUMMYFUNCTION("""COMPUTED_VALUE"""),"Monrovia")</f>
        <v>Monrovia</v>
      </c>
      <c r="D1047" s="5" t="str">
        <f ca="1">IFERROR(__xludf.DUMMYFUNCTION("""COMPUTED_VALUE"""),"CA")</f>
        <v>CA</v>
      </c>
      <c r="E1047" s="5">
        <f ca="1">IFERROR(__xludf.DUMMYFUNCTION("""COMPUTED_VALUE"""),91016)</f>
        <v>91016</v>
      </c>
      <c r="F1047" s="19">
        <f ca="1">IFERROR(__xludf.DUMMYFUNCTION("""COMPUTED_VALUE"""),2950)</f>
        <v>2950</v>
      </c>
      <c r="G1047" s="19">
        <f ca="1">IFERROR(__xludf.DUMMYFUNCTION("""COMPUTED_VALUE"""),8700)</f>
        <v>8700</v>
      </c>
      <c r="H1047" s="18">
        <f ca="1">IFERROR(__xludf.DUMMYFUNCTION("""COMPUTED_VALUE"""),45670)</f>
        <v>45670</v>
      </c>
      <c r="I1047" s="5" t="str">
        <f ca="1">IFERROR(__xludf.DUMMYFUNCTION("""COMPUTED_VALUE"""),"Zillow")</f>
        <v>Zillow</v>
      </c>
      <c r="J1047" s="25" t="str">
        <f ca="1">IFERROR(__xludf.DUMMYFUNCTION("""COMPUTED_VALUE"""),"https://www.zillow.com/homedetails/Monrovia-CA-91016/21577579_zpid/")</f>
        <v>https://www.zillow.com/homedetails/Monrovia-CA-91016/21577579_zpid/</v>
      </c>
      <c r="K1047" s="5" t="str">
        <f ca="1">IFERROR(__xludf.DUMMYFUNCTION("""COMPUTED_VALUE"""),"Jack Yang")</f>
        <v>Jack Yang</v>
      </c>
      <c r="L1047" s="5" t="str">
        <f ca="1">IFERROR(__xludf.DUMMYFUNCTION("""COMPUTED_VALUE"""),"Wesley and Mary Tate")</f>
        <v>Wesley and Mary Tate</v>
      </c>
      <c r="M1047" s="5" t="str">
        <f ca="1">IFERROR(__xludf.DUMMYFUNCTION("""COMPUTED_VALUE"""),"They have hidden the address since being called out on price gouging in a local facebook group. The rental rate is 3x the average here in Mornovia. ")</f>
        <v xml:space="preserve">They have hidden the address since being called out on price gouging in a local facebook group. The rental rate is 3x the average here in Mornovia. </v>
      </c>
      <c r="N1047" s="26" t="str">
        <f ca="1">IFERROR(__xludf.DUMMYFUNCTION("""COMPUTED_VALUE"""),"https://drive.google.com/open?id=16EFgLyPhwTGdV9J585RCpFcb_aSlRGtP")</f>
        <v>https://drive.google.com/open?id=16EFgLyPhwTGdV9J585RCpFcb_aSlRGtP</v>
      </c>
      <c r="O1047" s="5" t="str">
        <f ca="1">IFERROR(__xludf.DUMMYFUNCTION("""COMPUTED_VALUE"""),"NA")</f>
        <v>NA</v>
      </c>
      <c r="P1047" s="5" t="str">
        <f ca="1">IFERROR(__xludf.DUMMYFUNCTION("""COMPUTED_VALUE"""),"(626) 734-7020")</f>
        <v>(626) 734-7020</v>
      </c>
      <c r="Q1047" s="5" t="str">
        <f ca="1">IFERROR(__xludf.DUMMYFUNCTION("""COMPUTED_VALUE"""),"jackre888@gmail.com")</f>
        <v>jackre888@gmail.com</v>
      </c>
      <c r="R1047" s="5" t="str">
        <f ca="1">IFERROR(__xludf.DUMMYFUNCTION("""COMPUTED_VALUE"""),"(626) 244-4805")</f>
        <v>(626) 244-4805</v>
      </c>
      <c r="S1047" s="5" t="str">
        <f ca="1">IFERROR(__xludf.DUMMYFUNCTION("""COMPUTED_VALUE"""),"wesleynmaryann@gmail.com")</f>
        <v>wesleynmaryann@gmail.com</v>
      </c>
      <c r="T1047" s="18">
        <f ca="1">IFERROR(__xludf.DUMMYFUNCTION("""COMPUTED_VALUE"""),43452)</f>
        <v>43452</v>
      </c>
    </row>
    <row r="1048" spans="1:20" ht="12.75">
      <c r="A1048" s="24">
        <f ca="1">IFERROR(__xludf.DUMMYFUNCTION("""COMPUTED_VALUE"""),45672.5287806018)</f>
        <v>45672.528780601802</v>
      </c>
      <c r="B1048" s="5" t="str">
        <f ca="1">IFERROR(__xludf.DUMMYFUNCTION("""COMPUTED_VALUE"""),"202 S Sierra Vista St ")</f>
        <v xml:space="preserve">202 S Sierra Vista St </v>
      </c>
      <c r="C1048" s="5" t="str">
        <f ca="1">IFERROR(__xludf.DUMMYFUNCTION("""COMPUTED_VALUE"""),"Monterey Park")</f>
        <v>Monterey Park</v>
      </c>
      <c r="D1048" s="5" t="str">
        <f ca="1">IFERROR(__xludf.DUMMYFUNCTION("""COMPUTED_VALUE"""),"CA")</f>
        <v>CA</v>
      </c>
      <c r="E1048" s="5">
        <f ca="1">IFERROR(__xludf.DUMMYFUNCTION("""COMPUTED_VALUE"""),91755)</f>
        <v>91755</v>
      </c>
      <c r="F1048" s="19">
        <f ca="1">IFERROR(__xludf.DUMMYFUNCTION("""COMPUTED_VALUE"""),4500)</f>
        <v>4500</v>
      </c>
      <c r="G1048" s="19">
        <f ca="1">IFERROR(__xludf.DUMMYFUNCTION("""COMPUTED_VALUE"""),4800)</f>
        <v>4800</v>
      </c>
      <c r="H1048" s="18">
        <f ca="1">IFERROR(__xludf.DUMMYFUNCTION("""COMPUTED_VALUE"""),45672)</f>
        <v>45672</v>
      </c>
      <c r="I1048" s="5" t="str">
        <f ca="1">IFERROR(__xludf.DUMMYFUNCTION("""COMPUTED_VALUE"""),"Zillow")</f>
        <v>Zillow</v>
      </c>
      <c r="J1048" s="25" t="str">
        <f ca="1">IFERROR(__xludf.DUMMYFUNCTION("""COMPUTED_VALUE"""),"https://www.zillow.com/homedetails/202-S-Sierra-Vista-St-Monterey-Park-CA-91755/20664584_zpid/")</f>
        <v>https://www.zillow.com/homedetails/202-S-Sierra-Vista-St-Monterey-Park-CA-91755/20664584_zpid/</v>
      </c>
      <c r="K1048" s="5" t="str">
        <f ca="1">IFERROR(__xludf.DUMMYFUNCTION("""COMPUTED_VALUE"""),"Skyway Investment Corp.")</f>
        <v>Skyway Investment Corp.</v>
      </c>
      <c r="L1048" s="5"/>
      <c r="M1048" s="5" t="str">
        <f ca="1">IFERROR(__xludf.DUMMYFUNCTION("""COMPUTED_VALUE"""),"we've been looking for homes unrelated to the fires. this home was of interest and we have an ongoing spreadsheet with information on the listings. When I went back to check on this property I noticed that the price increased. there is no price history on"&amp;" homes.com, this information is only through my personal data. ")</f>
        <v xml:space="preserve">we've been looking for homes unrelated to the fires. this home was of interest and we have an ongoing spreadsheet with information on the listings. When I went back to check on this property I noticed that the price increased. there is no price history on homes.com, this information is only through my personal data. </v>
      </c>
      <c r="N1048" s="5" t="str">
        <f ca="1">IFERROR(__xludf.DUMMYFUNCTION("""COMPUTED_VALUE"""),"https://drive.google.com/open?id=1QjAdkpHw_L1ARpIls4RzAZObH9_CdiKP, https://drive.google.com/open?id=1UYVt7dWFjDtwpe_ob-0TyD0fI2IFprUh, https://drive.google.com/open?id=1OwbemvrXxJrQUiUH4I9KyoQfnGqn0bSW")</f>
        <v>https://drive.google.com/open?id=1QjAdkpHw_L1ARpIls4RzAZObH9_CdiKP, https://drive.google.com/open?id=1UYVt7dWFjDtwpe_ob-0TyD0fI2IFprUh, https://drive.google.com/open?id=1OwbemvrXxJrQUiUH4I9KyoQfnGqn0bSW</v>
      </c>
      <c r="O1048" s="5">
        <f ca="1">IFERROR(__xludf.DUMMYFUNCTION("""COMPUTED_VALUE"""),5259015008)</f>
        <v>5259015008</v>
      </c>
      <c r="P1048" s="5" t="str">
        <f ca="1">IFERROR(__xludf.DUMMYFUNCTION("""COMPUTED_VALUE"""),"(626) 669-3643")</f>
        <v>(626) 669-3643</v>
      </c>
      <c r="Q1048" s="5"/>
      <c r="R1048" s="5"/>
      <c r="S1048" s="5"/>
      <c r="T1048" s="18">
        <f ca="1">IFERROR(__xludf.DUMMYFUNCTION("""COMPUTED_VALUE"""),45663)</f>
        <v>45663</v>
      </c>
    </row>
    <row r="1049" spans="1:20" ht="12.75">
      <c r="A1049" s="24">
        <f ca="1">IFERROR(__xludf.DUMMYFUNCTION("""COMPUTED_VALUE"""),45672.528876655)</f>
        <v>45672.528876655</v>
      </c>
      <c r="B1049" s="5" t="str">
        <f ca="1">IFERROR(__xludf.DUMMYFUNCTION("""COMPUTED_VALUE"""),"716 Rochedale Way")</f>
        <v>716 Rochedale Way</v>
      </c>
      <c r="C1049" s="5" t="str">
        <f ca="1">IFERROR(__xludf.DUMMYFUNCTION("""COMPUTED_VALUE"""),"Los Angeles")</f>
        <v>Los Angeles</v>
      </c>
      <c r="D1049" s="5" t="str">
        <f ca="1">IFERROR(__xludf.DUMMYFUNCTION("""COMPUTED_VALUE"""),"CA")</f>
        <v>CA</v>
      </c>
      <c r="E1049" s="5">
        <f ca="1">IFERROR(__xludf.DUMMYFUNCTION("""COMPUTED_VALUE"""),90049)</f>
        <v>90049</v>
      </c>
      <c r="F1049" s="19">
        <f ca="1">IFERROR(__xludf.DUMMYFUNCTION("""COMPUTED_VALUE"""),8995)</f>
        <v>8995</v>
      </c>
      <c r="G1049" s="19">
        <f ca="1">IFERROR(__xludf.DUMMYFUNCTION("""COMPUTED_VALUE"""),12000)</f>
        <v>12000</v>
      </c>
      <c r="H1049" s="18">
        <f ca="1">IFERROR(__xludf.DUMMYFUNCTION("""COMPUTED_VALUE"""),45667)</f>
        <v>45667</v>
      </c>
      <c r="I1049" s="5" t="str">
        <f ca="1">IFERROR(__xludf.DUMMYFUNCTION("""COMPUTED_VALUE"""),"Zillow")</f>
        <v>Zillow</v>
      </c>
      <c r="J1049" s="25" t="str">
        <f ca="1">IFERROR(__xludf.DUMMYFUNCTION("""COMPUTED_VALUE"""),"https://www.zillow.com/homedetails/716-Rochedale-Way-Los-Angeles-CA-90049/20560159_zpid/")</f>
        <v>https://www.zillow.com/homedetails/716-Rochedale-Way-Los-Angeles-CA-90049/20560159_zpid/</v>
      </c>
      <c r="K1049" s="5"/>
      <c r="L1049" s="5"/>
      <c r="M1049" s="5"/>
      <c r="N1049" s="26" t="str">
        <f ca="1">IFERROR(__xludf.DUMMYFUNCTION("""COMPUTED_VALUE"""),"https://drive.google.com/open?id=12q5BaF0ouf7Zd_N_X1LWJoH0r38Adm4p")</f>
        <v>https://drive.google.com/open?id=12q5BaF0ouf7Zd_N_X1LWJoH0r38Adm4p</v>
      </c>
      <c r="O1049" s="5">
        <f ca="1">IFERROR(__xludf.DUMMYFUNCTION("""COMPUTED_VALUE"""),4494010023)</f>
        <v>4494010023</v>
      </c>
      <c r="P1049" s="5"/>
      <c r="Q1049" s="5"/>
      <c r="R1049" s="5"/>
      <c r="S1049" s="5"/>
      <c r="T1049" s="18">
        <f ca="1">IFERROR(__xludf.DUMMYFUNCTION("""COMPUTED_VALUE"""),45632)</f>
        <v>45632</v>
      </c>
    </row>
    <row r="1050" spans="1:20" ht="12.75">
      <c r="A1050" s="24">
        <f ca="1">IFERROR(__xludf.DUMMYFUNCTION("""COMPUTED_VALUE"""),45672.5302275578)</f>
        <v>45672.5302275578</v>
      </c>
      <c r="B1050" s="5" t="str">
        <f ca="1">IFERROR(__xludf.DUMMYFUNCTION("""COMPUTED_VALUE"""),"4800 Zelzah Ave")</f>
        <v>4800 Zelzah Ave</v>
      </c>
      <c r="C1050" s="5" t="str">
        <f ca="1">IFERROR(__xludf.DUMMYFUNCTION("""COMPUTED_VALUE"""),"Encino")</f>
        <v>Encino</v>
      </c>
      <c r="D1050" s="5" t="str">
        <f ca="1">IFERROR(__xludf.DUMMYFUNCTION("""COMPUTED_VALUE"""),"CA")</f>
        <v>CA</v>
      </c>
      <c r="E1050" s="5">
        <f ca="1">IFERROR(__xludf.DUMMYFUNCTION("""COMPUTED_VALUE"""),91316)</f>
        <v>91316</v>
      </c>
      <c r="F1050" s="19">
        <f ca="1">IFERROR(__xludf.DUMMYFUNCTION("""COMPUTED_VALUE"""),35000)</f>
        <v>35000</v>
      </c>
      <c r="G1050" s="19">
        <f ca="1">IFERROR(__xludf.DUMMYFUNCTION("""COMPUTED_VALUE"""),49500)</f>
        <v>49500</v>
      </c>
      <c r="H1050" s="18">
        <f ca="1">IFERROR(__xludf.DUMMYFUNCTION("""COMPUTED_VALUE"""),45672)</f>
        <v>45672</v>
      </c>
      <c r="I1050" s="5" t="str">
        <f ca="1">IFERROR(__xludf.DUMMYFUNCTION("""COMPUTED_VALUE"""),"Zillow")</f>
        <v>Zillow</v>
      </c>
      <c r="J1050" s="25" t="str">
        <f ca="1">IFERROR(__xludf.DUMMYFUNCTION("""COMPUTED_VALUE"""),"https://www.zillow.com/homedetails/4800-Zelzah-Ave-Encino-CA-91316/19950258_zpid/")</f>
        <v>https://www.zillow.com/homedetails/4800-Zelzah-Ave-Encino-CA-91316/19950258_zpid/</v>
      </c>
      <c r="K1050" s="5" t="str">
        <f ca="1">IFERROR(__xludf.DUMMYFUNCTION("""COMPUTED_VALUE"""),"Roger Perry")</f>
        <v>Roger Perry</v>
      </c>
      <c r="L1050" s="5"/>
      <c r="M1050" s="5"/>
      <c r="N1050" s="26" t="str">
        <f ca="1">IFERROR(__xludf.DUMMYFUNCTION("""COMPUTED_VALUE"""),"https://drive.google.com/open?id=1SSkCiF0cYVnwFuj0srSbLzED6d_XV0ja")</f>
        <v>https://drive.google.com/open?id=1SSkCiF0cYVnwFuj0srSbLzED6d_XV0ja</v>
      </c>
      <c r="O1050" s="5">
        <f ca="1">IFERROR(__xludf.DUMMYFUNCTION("""COMPUTED_VALUE"""),2182016006)</f>
        <v>2182016006</v>
      </c>
      <c r="P1050" s="5" t="str">
        <f ca="1">IFERROR(__xludf.DUMMYFUNCTION("""COMPUTED_VALUE"""),"(310) 740-4029")</f>
        <v>(310) 740-4029</v>
      </c>
      <c r="Q1050" s="5"/>
      <c r="R1050" s="5"/>
      <c r="S1050" s="5"/>
      <c r="T1050" s="18">
        <f ca="1">IFERROR(__xludf.DUMMYFUNCTION("""COMPUTED_VALUE"""),45557)</f>
        <v>45557</v>
      </c>
    </row>
    <row r="1051" spans="1:20" ht="12.75">
      <c r="A1051" s="24">
        <f ca="1">IFERROR(__xludf.DUMMYFUNCTION("""COMPUTED_VALUE"""),45672.5304036805)</f>
        <v>45672.530403680503</v>
      </c>
      <c r="B1051" s="5" t="str">
        <f ca="1">IFERROR(__xludf.DUMMYFUNCTION("""COMPUTED_VALUE"""),"1829 Coldwater Canyon Dr")</f>
        <v>1829 Coldwater Canyon Dr</v>
      </c>
      <c r="C1051" s="5" t="str">
        <f ca="1">IFERROR(__xludf.DUMMYFUNCTION("""COMPUTED_VALUE"""),"Beverly Hills")</f>
        <v>Beverly Hills</v>
      </c>
      <c r="D1051" s="5" t="str">
        <f ca="1">IFERROR(__xludf.DUMMYFUNCTION("""COMPUTED_VALUE"""),"CA")</f>
        <v>CA</v>
      </c>
      <c r="E1051" s="5">
        <f ca="1">IFERROR(__xludf.DUMMYFUNCTION("""COMPUTED_VALUE"""),90210)</f>
        <v>90210</v>
      </c>
      <c r="F1051" s="19">
        <f ca="1">IFERROR(__xludf.DUMMYFUNCTION("""COMPUTED_VALUE"""),34950)</f>
        <v>34950</v>
      </c>
      <c r="G1051" s="19">
        <f ca="1">IFERROR(__xludf.DUMMYFUNCTION("""COMPUTED_VALUE"""),44000)</f>
        <v>44000</v>
      </c>
      <c r="H1051" s="18">
        <f ca="1">IFERROR(__xludf.DUMMYFUNCTION("""COMPUTED_VALUE"""),45671)</f>
        <v>45671</v>
      </c>
      <c r="I1051" s="5" t="str">
        <f ca="1">IFERROR(__xludf.DUMMYFUNCTION("""COMPUTED_VALUE"""),"Zillow")</f>
        <v>Zillow</v>
      </c>
      <c r="J1051" s="25" t="str">
        <f ca="1">IFERROR(__xludf.DUMMYFUNCTION("""COMPUTED_VALUE"""),"https://www.zillow.com/homedetails/1829-Coldwater-Canyon-Dr-Beverly-Hills-CA-90210/20522744_zpid/")</f>
        <v>https://www.zillow.com/homedetails/1829-Coldwater-Canyon-Dr-Beverly-Hills-CA-90210/20522744_zpid/</v>
      </c>
      <c r="K1051" s="5" t="str">
        <f ca="1">IFERROR(__xludf.DUMMYFUNCTION("""COMPUTED_VALUE"""),"Stay Awhile Villas")</f>
        <v>Stay Awhile Villas</v>
      </c>
      <c r="L1051" s="5"/>
      <c r="M1051" s="5"/>
      <c r="N1051" s="5" t="str">
        <f ca="1">IFERROR(__xludf.DUMMYFUNCTION("""COMPUTED_VALUE"""),"https://drive.google.com/open?id=1PxqMue4LaiC4dgk3PrXmyWzJMcj0paC6, https://drive.google.com/open?id=1cA2Ermexyvk9Y0T11GoNhO0BkJ-mnyhl, https://drive.google.com/open?id=1uhqZxKU8cjx6yWN59wABopNUkk9EziQ6")</f>
        <v>https://drive.google.com/open?id=1PxqMue4LaiC4dgk3PrXmyWzJMcj0paC6, https://drive.google.com/open?id=1cA2Ermexyvk9Y0T11GoNhO0BkJ-mnyhl, https://drive.google.com/open?id=1uhqZxKU8cjx6yWN59wABopNUkk9EziQ6</v>
      </c>
      <c r="O1051" s="5">
        <f ca="1">IFERROR(__xludf.DUMMYFUNCTION("""COMPUTED_VALUE"""),4352001008)</f>
        <v>4352001008</v>
      </c>
      <c r="P1051" s="5" t="str">
        <f ca="1">IFERROR(__xludf.DUMMYFUNCTION("""COMPUTED_VALUE"""),"(310) 310-2711")</f>
        <v>(310) 310-2711</v>
      </c>
      <c r="Q1051" s="5"/>
      <c r="R1051" s="5"/>
      <c r="S1051" s="5"/>
      <c r="T1051" s="18">
        <f ca="1">IFERROR(__xludf.DUMMYFUNCTION("""COMPUTED_VALUE"""),45670)</f>
        <v>45670</v>
      </c>
    </row>
    <row r="1052" spans="1:20" ht="12.75">
      <c r="A1052" s="24">
        <f ca="1">IFERROR(__xludf.DUMMYFUNCTION("""COMPUTED_VALUE"""),45672.5306857175)</f>
        <v>45672.530685717502</v>
      </c>
      <c r="B1052" s="5" t="str">
        <f ca="1">IFERROR(__xludf.DUMMYFUNCTION("""COMPUTED_VALUE"""),"80 Virginia Ave")</f>
        <v>80 Virginia Ave</v>
      </c>
      <c r="C1052" s="5" t="str">
        <f ca="1">IFERROR(__xludf.DUMMYFUNCTION("""COMPUTED_VALUE"""),"Pasadena")</f>
        <v>Pasadena</v>
      </c>
      <c r="D1052" s="5" t="str">
        <f ca="1">IFERROR(__xludf.DUMMYFUNCTION("""COMPUTED_VALUE"""),"CA")</f>
        <v>CA</v>
      </c>
      <c r="E1052" s="5">
        <f ca="1">IFERROR(__xludf.DUMMYFUNCTION("""COMPUTED_VALUE"""),91107)</f>
        <v>91107</v>
      </c>
      <c r="F1052" s="19">
        <f ca="1">IFERROR(__xludf.DUMMYFUNCTION("""COMPUTED_VALUE"""),4150)</f>
        <v>4150</v>
      </c>
      <c r="G1052" s="19">
        <f ca="1">IFERROR(__xludf.DUMMYFUNCTION("""COMPUTED_VALUE"""),8700)</f>
        <v>8700</v>
      </c>
      <c r="H1052" s="18">
        <f ca="1">IFERROR(__xludf.DUMMYFUNCTION("""COMPUTED_VALUE"""),45670)</f>
        <v>45670</v>
      </c>
      <c r="I1052" s="5" t="str">
        <f ca="1">IFERROR(__xludf.DUMMYFUNCTION("""COMPUTED_VALUE"""),"Zillow")</f>
        <v>Zillow</v>
      </c>
      <c r="J1052" s="25" t="str">
        <f ca="1">IFERROR(__xludf.DUMMYFUNCTION("""COMPUTED_VALUE"""),"https://www.zillow.com/homedetails/80-Virginia-Ave-Pasadena-CA-91107/443940697_zpid/")</f>
        <v>https://www.zillow.com/homedetails/80-Virginia-Ave-Pasadena-CA-91107/443940697_zpid/</v>
      </c>
      <c r="K1052" s="5" t="str">
        <f ca="1">IFERROR(__xludf.DUMMYFUNCTION("""COMPUTED_VALUE"""),"Jack Yang")</f>
        <v>Jack Yang</v>
      </c>
      <c r="L1052" s="5"/>
      <c r="M1052" s="5" t="str">
        <f ca="1">IFERROR(__xludf.DUMMYFUNCTION("""COMPUTED_VALUE"""),"Another unit in this complex is $4150 per month and is also 1800 square feet, identical in size to this one. (please see these listings' rent estimate: https://www.redfin.com/CA/Pasadena/82-Virginia-Ave-91107/unit-8/home/17233862, https://www.redfin.com/C"&amp;"A/Pasadena/80-Virginia-Ave-91107/unit-3/home/17235874)")</f>
        <v>Another unit in this complex is $4150 per month and is also 1800 square feet, identical in size to this one. (please see these listings' rent estimate: https://www.redfin.com/CA/Pasadena/82-Virginia-Ave-91107/unit-8/home/17233862, https://www.redfin.com/CA/Pasadena/80-Virginia-Ave-91107/unit-3/home/17235874)</v>
      </c>
      <c r="N1052" s="5" t="str">
        <f ca="1">IFERROR(__xludf.DUMMYFUNCTION("""COMPUTED_VALUE"""),"https://drive.google.com/open?id=1o1teQDljDsJs8b5xtYjptifyceL1d8_M, https://drive.google.com/open?id=1p0OXKx4fTJvBISGk8N-_sTCSU5_PPNmK, https://drive.google.com/open?id=1KXH6_oNM6fYXRzr6kZaIkeDjJqy4wCzf, https://drive.google.com/open?id=1msr2Ootpyqou_Kn5D"&amp;"FUpUQz5cvfMNIIP, https://drive.google.com/open?id=16K6X-UulZrCiFZlYGKDwvlKWQ2t8bkTt")</f>
        <v>https://drive.google.com/open?id=1o1teQDljDsJs8b5xtYjptifyceL1d8_M, https://drive.google.com/open?id=1p0OXKx4fTJvBISGk8N-_sTCSU5_PPNmK, https://drive.google.com/open?id=1KXH6_oNM6fYXRzr6kZaIkeDjJqy4wCzf, https://drive.google.com/open?id=1msr2Ootpyqou_Kn5DFUpUQz5cvfMNIIP, https://drive.google.com/open?id=16K6X-UulZrCiFZlYGKDwvlKWQ2t8bkTt</v>
      </c>
      <c r="O1052" s="5" t="str">
        <f ca="1">IFERROR(__xludf.DUMMYFUNCTION("""COMPUTED_VALUE"""),"NA")</f>
        <v>NA</v>
      </c>
      <c r="P1052" s="5" t="str">
        <f ca="1">IFERROR(__xludf.DUMMYFUNCTION("""COMPUTED_VALUE"""),"(626) 323-9658")</f>
        <v>(626) 323-9658</v>
      </c>
      <c r="Q1052" s="5"/>
      <c r="R1052" s="5"/>
      <c r="S1052" s="5"/>
      <c r="T1052" s="18">
        <f ca="1">IFERROR(__xludf.DUMMYFUNCTION("""COMPUTED_VALUE"""),45670)</f>
        <v>45670</v>
      </c>
    </row>
    <row r="1053" spans="1:20" ht="12.75">
      <c r="A1053" s="24">
        <f ca="1">IFERROR(__xludf.DUMMYFUNCTION("""COMPUTED_VALUE"""),45672.5320550462)</f>
        <v>45672.532055046198</v>
      </c>
      <c r="B1053" s="5" t="str">
        <f ca="1">IFERROR(__xludf.DUMMYFUNCTION("""COMPUTED_VALUE"""),"MW Lofts - 218 N El Molino Ave ")</f>
        <v xml:space="preserve">MW Lofts - 218 N El Molino Ave </v>
      </c>
      <c r="C1053" s="5" t="str">
        <f ca="1">IFERROR(__xludf.DUMMYFUNCTION("""COMPUTED_VALUE"""),"Pasadena")</f>
        <v>Pasadena</v>
      </c>
      <c r="D1053" s="5" t="str">
        <f ca="1">IFERROR(__xludf.DUMMYFUNCTION("""COMPUTED_VALUE"""),"CA")</f>
        <v>CA</v>
      </c>
      <c r="E1053" s="5">
        <f ca="1">IFERROR(__xludf.DUMMYFUNCTION("""COMPUTED_VALUE"""),91101)</f>
        <v>91101</v>
      </c>
      <c r="F1053" s="19">
        <f ca="1">IFERROR(__xludf.DUMMYFUNCTION("""COMPUTED_VALUE"""),4949)</f>
        <v>4949</v>
      </c>
      <c r="G1053" s="19">
        <f ca="1">IFERROR(__xludf.DUMMYFUNCTION("""COMPUTED_VALUE"""),5240)</f>
        <v>5240</v>
      </c>
      <c r="H1053" s="18">
        <f ca="1">IFERROR(__xludf.DUMMYFUNCTION("""COMPUTED_VALUE"""),45670)</f>
        <v>45670</v>
      </c>
      <c r="I1053" s="26" t="str">
        <f ca="1">IFERROR(__xludf.DUMMYFUNCTION("""COMPUTED_VALUE"""),"https://livemwlofts.com/floorplans/")</f>
        <v>https://livemwlofts.com/floorplans/</v>
      </c>
      <c r="J1053" s="25" t="str">
        <f ca="1">IFERROR(__xludf.DUMMYFUNCTION("""COMPUTED_VALUE"""),"https://livemwlofts.com/floorplans/")</f>
        <v>https://livemwlofts.com/floorplans/</v>
      </c>
      <c r="K1053" s="5"/>
      <c r="L1053" s="5" t="str">
        <f ca="1">IFERROR(__xludf.DUMMYFUNCTION("""COMPUTED_VALUE"""),"Greystar")</f>
        <v>Greystar</v>
      </c>
      <c r="M1053" s="5" t="str">
        <f ca="1">IFERROR(__xludf.DUMMYFUNCTION("""COMPUTED_VALUE"""),"I am attaching screenshots of the price fluctuation. This apartment building is right next to the evacuation zone in Pasadena. Shortly after the fire i saw rent prices almost double, and then keep fluctuating early this week. Today, the building lowered t"&amp;"he rent. Every other day the rents keep changing. I dont think this is legal. ")</f>
        <v xml:space="preserve">I am attaching screenshots of the price fluctuation. This apartment building is right next to the evacuation zone in Pasadena. Shortly after the fire i saw rent prices almost double, and then keep fluctuating early this week. Today, the building lowered the rent. Every other day the rents keep changing. I dont think this is legal. </v>
      </c>
      <c r="N1053" s="5" t="str">
        <f ca="1">IFERROR(__xludf.DUMMYFUNCTION("""COMPUTED_VALUE"""),"https://drive.google.com/open?id=1NbfrGYK5wfTQPUk4KENFVKQI1427VL61, https://drive.google.com/open?id=12LFnx1abjBvoveA23TMSr8_3Maynyv7b, https://drive.google.com/open?id=1TKMqQjDgRC-jmjTXRVjDuo2ZfO7GaCeZ, https://drive.google.com/open?id=1CMA5uIKR96C6L5dg8"&amp;"zbBCLZmTIrzTkr1")</f>
        <v>https://drive.google.com/open?id=1NbfrGYK5wfTQPUk4KENFVKQI1427VL61, https://drive.google.com/open?id=12LFnx1abjBvoveA23TMSr8_3Maynyv7b, https://drive.google.com/open?id=1TKMqQjDgRC-jmjTXRVjDuo2ZfO7GaCeZ, https://drive.google.com/open?id=1CMA5uIKR96C6L5dg8zbBCLZmTIrzTkr1</v>
      </c>
      <c r="O1053" s="5" t="str">
        <f ca="1">IFERROR(__xludf.DUMMYFUNCTION("""COMPUTED_VALUE"""),"N/A")</f>
        <v>N/A</v>
      </c>
      <c r="P1053" s="5"/>
      <c r="Q1053" s="5"/>
      <c r="R1053" s="5" t="str">
        <f ca="1">IFERROR(__xludf.DUMMYFUNCTION("""COMPUTED_VALUE"""),"833 923-0477")</f>
        <v>833 923-0477</v>
      </c>
      <c r="S1053" s="5" t="str">
        <f ca="1">IFERROR(__xludf.DUMMYFUNCTION("""COMPUTED_VALUE"""),"MWLofts.PropertyWebsite.GreystarRE@aptleasing.info")</f>
        <v>MWLofts.PropertyWebsite.GreystarRE@aptleasing.info</v>
      </c>
      <c r="T1053" s="18">
        <f ca="1">IFERROR(__xludf.DUMMYFUNCTION("""COMPUTED_VALUE"""),45667)</f>
        <v>45667</v>
      </c>
    </row>
    <row r="1054" spans="1:20" ht="12.75">
      <c r="A1054" s="24">
        <f ca="1">IFERROR(__xludf.DUMMYFUNCTION("""COMPUTED_VALUE"""),45672.5320904513)</f>
        <v>45672.532090451299</v>
      </c>
      <c r="B1054" s="5" t="str">
        <f ca="1">IFERROR(__xludf.DUMMYFUNCTION("""COMPUTED_VALUE"""),"3298 Sunset Hills Blvd")</f>
        <v>3298 Sunset Hills Blvd</v>
      </c>
      <c r="C1054" s="5" t="str">
        <f ca="1">IFERROR(__xludf.DUMMYFUNCTION("""COMPUTED_VALUE"""),"Thousand Oaks")</f>
        <v>Thousand Oaks</v>
      </c>
      <c r="D1054" s="5" t="str">
        <f ca="1">IFERROR(__xludf.DUMMYFUNCTION("""COMPUTED_VALUE"""),"CA")</f>
        <v>CA</v>
      </c>
      <c r="E1054" s="5">
        <f ca="1">IFERROR(__xludf.DUMMYFUNCTION("""COMPUTED_VALUE"""),91362)</f>
        <v>91362</v>
      </c>
      <c r="F1054" s="19">
        <f ca="1">IFERROR(__xludf.DUMMYFUNCTION("""COMPUTED_VALUE"""),5900)</f>
        <v>5900</v>
      </c>
      <c r="G1054" s="19">
        <f ca="1">IFERROR(__xludf.DUMMYFUNCTION("""COMPUTED_VALUE"""),13500)</f>
        <v>13500</v>
      </c>
      <c r="H1054" s="18">
        <f ca="1">IFERROR(__xludf.DUMMYFUNCTION("""COMPUTED_VALUE"""),45672)</f>
        <v>45672</v>
      </c>
      <c r="I1054" s="5" t="str">
        <f ca="1">IFERROR(__xludf.DUMMYFUNCTION("""COMPUTED_VALUE"""),"Zillow")</f>
        <v>Zillow</v>
      </c>
      <c r="J1054" s="25" t="str">
        <f ca="1">IFERROR(__xludf.DUMMYFUNCTION("""COMPUTED_VALUE"""),"https://www.zillow.com/homedetails/3298-Sunset-Hills-Blvd-Thousand-Oaks-CA-91362/52466191_zpid/")</f>
        <v>https://www.zillow.com/homedetails/3298-Sunset-Hills-Blvd-Thousand-Oaks-CA-91362/52466191_zpid/</v>
      </c>
      <c r="K1054" s="5"/>
      <c r="L1054" s="5"/>
      <c r="M1054" s="5"/>
      <c r="N1054" s="26" t="str">
        <f ca="1">IFERROR(__xludf.DUMMYFUNCTION("""COMPUTED_VALUE"""),"https://drive.google.com/open?id=1T7mfEo8ckGaBgfXy1PjWryDLio8TBdYy")</f>
        <v>https://drive.google.com/open?id=1T7mfEo8ckGaBgfXy1PjWryDLio8TBdYy</v>
      </c>
      <c r="O1054" s="5">
        <f ca="1">IFERROR(__xludf.DUMMYFUNCTION("""COMPUTED_VALUE"""),5970060115)</f>
        <v>5970060115</v>
      </c>
      <c r="P1054" s="5"/>
      <c r="Q1054" s="5"/>
      <c r="R1054" s="5"/>
      <c r="S1054" s="5"/>
      <c r="T1054" s="18">
        <f ca="1">IFERROR(__xludf.DUMMYFUNCTION("""COMPUTED_VALUE"""),44006)</f>
        <v>44006</v>
      </c>
    </row>
    <row r="1055" spans="1:20" ht="12.75">
      <c r="A1055" s="24">
        <f ca="1">IFERROR(__xludf.DUMMYFUNCTION("""COMPUTED_VALUE"""),45672.5358576736)</f>
        <v>45672.535857673603</v>
      </c>
      <c r="B1055" s="5" t="str">
        <f ca="1">IFERROR(__xludf.DUMMYFUNCTION("""COMPUTED_VALUE"""),"3420 Manhattan Ave")</f>
        <v>3420 Manhattan Ave</v>
      </c>
      <c r="C1055" s="5" t="str">
        <f ca="1">IFERROR(__xludf.DUMMYFUNCTION("""COMPUTED_VALUE"""),"Manhattan Beach")</f>
        <v>Manhattan Beach</v>
      </c>
      <c r="D1055" s="5" t="str">
        <f ca="1">IFERROR(__xludf.DUMMYFUNCTION("""COMPUTED_VALUE"""),"CA")</f>
        <v>CA</v>
      </c>
      <c r="E1055" s="5">
        <f ca="1">IFERROR(__xludf.DUMMYFUNCTION("""COMPUTED_VALUE"""),90266)</f>
        <v>90266</v>
      </c>
      <c r="F1055" s="19">
        <f ca="1">IFERROR(__xludf.DUMMYFUNCTION("""COMPUTED_VALUE"""),13000)</f>
        <v>13000</v>
      </c>
      <c r="G1055" s="19">
        <f ca="1">IFERROR(__xludf.DUMMYFUNCTION("""COMPUTED_VALUE"""),39000)</f>
        <v>39000</v>
      </c>
      <c r="H1055" s="18">
        <f ca="1">IFERROR(__xludf.DUMMYFUNCTION("""COMPUTED_VALUE"""),45672)</f>
        <v>45672</v>
      </c>
      <c r="I1055" s="5" t="str">
        <f ca="1">IFERROR(__xludf.DUMMYFUNCTION("""COMPUTED_VALUE"""),"Zillow")</f>
        <v>Zillow</v>
      </c>
      <c r="J1055" s="25" t="str">
        <f ca="1">IFERROR(__xludf.DUMMYFUNCTION("""COMPUTED_VALUE"""),"https://www.zillow.com/homedetails/3420-Manhattan-Ave-Manhattan-Beach-CA-90266/2129343585_zpid/")</f>
        <v>https://www.zillow.com/homedetails/3420-Manhattan-Ave-Manhattan-Beach-CA-90266/2129343585_zpid/</v>
      </c>
      <c r="K1055" s="5" t="str">
        <f ca="1">IFERROR(__xludf.DUMMYFUNCTION("""COMPUTED_VALUE"""),"raisa howard")</f>
        <v>raisa howard</v>
      </c>
      <c r="L1055" s="5"/>
      <c r="M1055" s="5"/>
      <c r="N1055" s="26" t="str">
        <f ca="1">IFERROR(__xludf.DUMMYFUNCTION("""COMPUTED_VALUE"""),"https://drive.google.com/open?id=1lnAGfsPVkRVogb4kVOBKD8Hm0HacQFDx")</f>
        <v>https://drive.google.com/open?id=1lnAGfsPVkRVogb4kVOBKD8Hm0HacQFDx</v>
      </c>
      <c r="O1055" s="5" t="str">
        <f ca="1">IFERROR(__xludf.DUMMYFUNCTION("""COMPUTED_VALUE""")," NA")</f>
        <v xml:space="preserve"> NA</v>
      </c>
      <c r="P1055" s="5" t="str">
        <f ca="1">IFERROR(__xludf.DUMMYFUNCTION("""COMPUTED_VALUE"""),"(310) 963-9791")</f>
        <v>(310) 963-9791</v>
      </c>
      <c r="Q1055" s="5"/>
      <c r="R1055" s="5"/>
      <c r="S1055" s="5"/>
      <c r="T1055" s="18">
        <f ca="1">IFERROR(__xludf.DUMMYFUNCTION("""COMPUTED_VALUE"""),42927)</f>
        <v>42927</v>
      </c>
    </row>
    <row r="1056" spans="1:20" ht="12.75">
      <c r="A1056" s="24">
        <f ca="1">IFERROR(__xludf.DUMMYFUNCTION("""COMPUTED_VALUE"""),45672.5369140625)</f>
        <v>45672.536914062497</v>
      </c>
      <c r="B1056" s="5" t="str">
        <f ca="1">IFERROR(__xludf.DUMMYFUNCTION("""COMPUTED_VALUE"""),"1220 Cabrillo Ave, Venice, CA 90291")</f>
        <v>1220 Cabrillo Ave, Venice, CA 90291</v>
      </c>
      <c r="C1056" s="5" t="str">
        <f ca="1">IFERROR(__xludf.DUMMYFUNCTION("""COMPUTED_VALUE"""),"Venice")</f>
        <v>Venice</v>
      </c>
      <c r="D1056" s="5" t="str">
        <f ca="1">IFERROR(__xludf.DUMMYFUNCTION("""COMPUTED_VALUE"""),"CA")</f>
        <v>CA</v>
      </c>
      <c r="E1056" s="5">
        <f ca="1">IFERROR(__xludf.DUMMYFUNCTION("""COMPUTED_VALUE"""),90291)</f>
        <v>90291</v>
      </c>
      <c r="F1056" s="19">
        <f ca="1">IFERROR(__xludf.DUMMYFUNCTION("""COMPUTED_VALUE"""),19975)</f>
        <v>19975</v>
      </c>
      <c r="G1056" s="19">
        <f ca="1">IFERROR(__xludf.DUMMYFUNCTION("""COMPUTED_VALUE"""),27450)</f>
        <v>27450</v>
      </c>
      <c r="H1056" s="18">
        <f ca="1">IFERROR(__xludf.DUMMYFUNCTION("""COMPUTED_VALUE"""),45672)</f>
        <v>45672</v>
      </c>
      <c r="I1056" s="5" t="str">
        <f ca="1">IFERROR(__xludf.DUMMYFUNCTION("""COMPUTED_VALUE"""),"Zillow")</f>
        <v>Zillow</v>
      </c>
      <c r="J1056" s="25" t="str">
        <f ca="1">IFERROR(__xludf.DUMMYFUNCTION("""COMPUTED_VALUE"""),"https://click.mail.zillow.com/f/a/odLqG4NE7X4Cb46In8K9cA~~/AAAAAQA~/RgRpaporP0UvZW1vLWluc3RhbnRfaG9tZV9yZWNzX2VtYWlsX3JlbnQtZm9ycmVudGFkZHJlc3MEVwZ6aWxsb3dCCmd_KxWIZ-sjLYNSEXNhbXBvc2FAZ21haWwuY29tWAQAAAAA?target=https%3A%2F%2Fwww.zillow.com%2Fhomedetails%"&amp;"2F20450263_zpid%2F%3Frtoken%3D660516b1-d98a-4554-a551-af76cd91551e%257EX1-ZU17mgwnrvpqosp_8fetp%26utm_campaign%3Demo-instant_home_recs_email_rent%26utm_source%3Demail%26utm_term%3Durn%3Amsg%3A202501152006016717aa3d998816a2%26utm_medium%3Demail%26utm_conte"&amp;"nt%3Dforrentaddress-_rid-ekjPd6ZndbHWNy3d9oyKg6_")</f>
        <v>https://click.mail.zillow.com/f/a/odLqG4NE7X4Cb46In8K9cA~~/AAAAAQA~/RgRpaporP0UvZW1vLWluc3RhbnRfaG9tZV9yZWNzX2VtYWlsX3JlbnQtZm9ycmVudGFkZHJlc3MEVwZ6aWxsb3dCCmd_KxWIZ-sjLYNSEXNhbXBvc2FAZ21haWwuY29tWAQAAAAA?target=https%3A%2F%2Fwww.zillow.com%2Fhomedetails%2F20450263_zpid%2F%3Frtoken%3D660516b1-d98a-4554-a551-af76cd91551e%257EX1-ZU17mgwnrvpqosp_8fetp%26utm_campaign%3Demo-instant_home_recs_email_rent%26utm_source%3Demail%26utm_term%3Durn%3Amsg%3A202501152006016717aa3d998816a2%26utm_medium%3Demail%26utm_content%3Dforrentaddress-_rid-ekjPd6ZndbHWNy3d9oyKg6_</v>
      </c>
      <c r="K1056" s="5" t="str">
        <f ca="1">IFERROR(__xludf.DUMMYFUNCTION("""COMPUTED_VALUE"""),"Jason/Owner")</f>
        <v>Jason/Owner</v>
      </c>
      <c r="L1056" s="5" t="str">
        <f ca="1">IFERROR(__xludf.DUMMYFUNCTION("""COMPUTED_VALUE"""),"Jason")</f>
        <v>Jason</v>
      </c>
      <c r="M1056" s="5"/>
      <c r="N1056" s="5" t="str">
        <f ca="1">IFERROR(__xludf.DUMMYFUNCTION("""COMPUTED_VALUE"""),"https://drive.google.com/open?id=1k5kK4_Snm6LU71TGQn5fQNevgbVU8OWf, https://drive.google.com/open?id=1fGWJHkQkBAI6z535ZM13cUE6xwmaX8vm, https://drive.google.com/open?id=1RROhsvGaGzGq-Laj7lBfpH5AaYM0HtPZ, https://drive.google.com/open?id=1fyaZ6s8k9rnDY735B"&amp;"6y1ppaXPXb8YlCz")</f>
        <v>https://drive.google.com/open?id=1k5kK4_Snm6LU71TGQn5fQNevgbVU8OWf, https://drive.google.com/open?id=1fGWJHkQkBAI6z535ZM13cUE6xwmaX8vm, https://drive.google.com/open?id=1RROhsvGaGzGq-Laj7lBfpH5AaYM0HtPZ, https://drive.google.com/open?id=1fyaZ6s8k9rnDY735B6y1ppaXPXb8YlCz</v>
      </c>
      <c r="O1056" s="5">
        <f ca="1">IFERROR(__xludf.DUMMYFUNCTION("""COMPUTED_VALUE"""),4238009015)</f>
        <v>4238009015</v>
      </c>
      <c r="P1056" s="5" t="str">
        <f ca="1">IFERROR(__xludf.DUMMYFUNCTION("""COMPUTED_VALUE"""),"332-242-2835")</f>
        <v>332-242-2835</v>
      </c>
      <c r="Q1056" s="5" t="str">
        <f ca="1">IFERROR(__xludf.DUMMYFUNCTION("""COMPUTED_VALUE"""),"none@this.time")</f>
        <v>none@this.time</v>
      </c>
      <c r="R1056" s="5" t="str">
        <f ca="1">IFERROR(__xludf.DUMMYFUNCTION("""COMPUTED_VALUE"""),"332-242-2835")</f>
        <v>332-242-2835</v>
      </c>
      <c r="S1056" s="5" t="str">
        <f ca="1">IFERROR(__xludf.DUMMYFUNCTION("""COMPUTED_VALUE"""),"none@this.time")</f>
        <v>none@this.time</v>
      </c>
      <c r="T1056" s="18">
        <f ca="1">IFERROR(__xludf.DUMMYFUNCTION("""COMPUTED_VALUE"""),45617)</f>
        <v>45617</v>
      </c>
    </row>
    <row r="1057" spans="1:20" ht="12.75">
      <c r="A1057" s="24">
        <f ca="1">IFERROR(__xludf.DUMMYFUNCTION("""COMPUTED_VALUE"""),45672.5386232523)</f>
        <v>45672.538623252301</v>
      </c>
      <c r="B1057" s="5" t="str">
        <f ca="1">IFERROR(__xludf.DUMMYFUNCTION("""COMPUTED_VALUE"""),"22548 Pacific Coast Hwy UNIT 408")</f>
        <v>22548 Pacific Coast Hwy UNIT 408</v>
      </c>
      <c r="C1057" s="5" t="str">
        <f ca="1">IFERROR(__xludf.DUMMYFUNCTION("""COMPUTED_VALUE"""),"Malibu")</f>
        <v>Malibu</v>
      </c>
      <c r="D1057" s="5" t="str">
        <f ca="1">IFERROR(__xludf.DUMMYFUNCTION("""COMPUTED_VALUE"""),"CA")</f>
        <v>CA</v>
      </c>
      <c r="E1057" s="5">
        <f ca="1">IFERROR(__xludf.DUMMYFUNCTION("""COMPUTED_VALUE"""),90265)</f>
        <v>90265</v>
      </c>
      <c r="F1057" s="19">
        <f ca="1">IFERROR(__xludf.DUMMYFUNCTION("""COMPUTED_VALUE"""),11500)</f>
        <v>11500</v>
      </c>
      <c r="G1057" s="19">
        <f ca="1">IFERROR(__xludf.DUMMYFUNCTION("""COMPUTED_VALUE"""),15000)</f>
        <v>15000</v>
      </c>
      <c r="H1057" s="18">
        <f ca="1">IFERROR(__xludf.DUMMYFUNCTION("""COMPUTED_VALUE"""),45671)</f>
        <v>45671</v>
      </c>
      <c r="I1057" s="5" t="str">
        <f ca="1">IFERROR(__xludf.DUMMYFUNCTION("""COMPUTED_VALUE"""),"Zillow")</f>
        <v>Zillow</v>
      </c>
      <c r="J1057" s="25" t="str">
        <f ca="1">IFERROR(__xludf.DUMMYFUNCTION("""COMPUTED_VALUE"""),"https://www.zillow.com/homedetails/22548-Pacific-Coast-Hwy-UNIT-408-Malibu-CA-90265/20552514_zpid/")</f>
        <v>https://www.zillow.com/homedetails/22548-Pacific-Coast-Hwy-UNIT-408-Malibu-CA-90265/20552514_zpid/</v>
      </c>
      <c r="K1057" s="5" t="str">
        <f ca="1">IFERROR(__xludf.DUMMYFUNCTION("""COMPUTED_VALUE"""),"Stay Awhile Villas")</f>
        <v>Stay Awhile Villas</v>
      </c>
      <c r="L1057" s="5"/>
      <c r="M1057" s="5"/>
      <c r="N1057" s="5" t="str">
        <f ca="1">IFERROR(__xludf.DUMMYFUNCTION("""COMPUTED_VALUE"""),"https://drive.google.com/open?id=1biQhnAqN_oIXiEZSJwcJQQXqL7ln2Vtn, https://drive.google.com/open?id=18aYWwG1W-EXKesHq4CDLCvnf2mGUJXs0, https://drive.google.com/open?id=1CPg2mdeQS9ZioeI8reah1CQ6uaDHtxjQ")</f>
        <v>https://drive.google.com/open?id=1biQhnAqN_oIXiEZSJwcJQQXqL7ln2Vtn, https://drive.google.com/open?id=18aYWwG1W-EXKesHq4CDLCvnf2mGUJXs0, https://drive.google.com/open?id=1CPg2mdeQS9ZioeI8reah1CQ6uaDHtxjQ</v>
      </c>
      <c r="O1057" s="5">
        <f ca="1">IFERROR(__xludf.DUMMYFUNCTION("""COMPUTED_VALUE"""),4452003071)</f>
        <v>4452003071</v>
      </c>
      <c r="P1057" s="5" t="str">
        <f ca="1">IFERROR(__xludf.DUMMYFUNCTION("""COMPUTED_VALUE"""),"(310) 310-2711")</f>
        <v>(310) 310-2711</v>
      </c>
      <c r="Q1057" s="5"/>
      <c r="R1057" s="5"/>
      <c r="S1057" s="5"/>
      <c r="T1057" s="18">
        <f ca="1">IFERROR(__xludf.DUMMYFUNCTION("""COMPUTED_VALUE"""),45670)</f>
        <v>45670</v>
      </c>
    </row>
    <row r="1058" spans="1:20" ht="12.75">
      <c r="A1058" s="24">
        <f ca="1">IFERROR(__xludf.DUMMYFUNCTION("""COMPUTED_VALUE"""),45672.5410048726)</f>
        <v>45672.541004872597</v>
      </c>
      <c r="B1058" s="5" t="str">
        <f ca="1">IFERROR(__xludf.DUMMYFUNCTION("""COMPUTED_VALUE"""),"23625 Summit Dr")</f>
        <v>23625 Summit Dr</v>
      </c>
      <c r="C1058" s="5" t="str">
        <f ca="1">IFERROR(__xludf.DUMMYFUNCTION("""COMPUTED_VALUE"""),"Calabasas")</f>
        <v>Calabasas</v>
      </c>
      <c r="D1058" s="5" t="str">
        <f ca="1">IFERROR(__xludf.DUMMYFUNCTION("""COMPUTED_VALUE"""),"CA")</f>
        <v>CA</v>
      </c>
      <c r="E1058" s="5">
        <f ca="1">IFERROR(__xludf.DUMMYFUNCTION("""COMPUTED_VALUE"""),91302)</f>
        <v>91302</v>
      </c>
      <c r="F1058" s="19">
        <f ca="1">IFERROR(__xludf.DUMMYFUNCTION("""COMPUTED_VALUE"""),7500)</f>
        <v>7500</v>
      </c>
      <c r="G1058" s="19">
        <f ca="1">IFERROR(__xludf.DUMMYFUNCTION("""COMPUTED_VALUE"""),12000)</f>
        <v>12000</v>
      </c>
      <c r="H1058" s="18">
        <f ca="1">IFERROR(__xludf.DUMMYFUNCTION("""COMPUTED_VALUE"""),45666)</f>
        <v>45666</v>
      </c>
      <c r="I1058" s="5" t="str">
        <f ca="1">IFERROR(__xludf.DUMMYFUNCTION("""COMPUTED_VALUE"""),"Zillow")</f>
        <v>Zillow</v>
      </c>
      <c r="J1058" s="25" t="str">
        <f ca="1">IFERROR(__xludf.DUMMYFUNCTION("""COMPUTED_VALUE"""),"https://www.zillow.com/homedetails/23625-Summit-Dr-Calabasas-CA-91302/19898520_zpid/")</f>
        <v>https://www.zillow.com/homedetails/23625-Summit-Dr-Calabasas-CA-91302/19898520_zpid/</v>
      </c>
      <c r="K1058" s="5" t="str">
        <f ca="1">IFERROR(__xludf.DUMMYFUNCTION("""COMPUTED_VALUE"""),"Ralph Norton, Rodeo Realty, Inc")</f>
        <v>Ralph Norton, Rodeo Realty, Inc</v>
      </c>
      <c r="L1058" s="5"/>
      <c r="M1058" s="5"/>
      <c r="N1058" s="5" t="str">
        <f ca="1">IFERROR(__xludf.DUMMYFUNCTION("""COMPUTED_VALUE"""),"https://drive.google.com/open?id=1Mzt7UlztN2M9QQ8E9AaKnTNKZT4TBkz3, https://drive.google.com/open?id=1xPPgG_NfsWgtRsYYlceeazSMdTwOoVxR, https://drive.google.com/open?id=1g9-8jKjwyHaY9WDoHGAhK9MwHE4Mgc3r")</f>
        <v>https://drive.google.com/open?id=1Mzt7UlztN2M9QQ8E9AaKnTNKZT4TBkz3, https://drive.google.com/open?id=1xPPgG_NfsWgtRsYYlceeazSMdTwOoVxR, https://drive.google.com/open?id=1g9-8jKjwyHaY9WDoHGAhK9MwHE4Mgc3r</v>
      </c>
      <c r="O1058" s="5">
        <f ca="1">IFERROR(__xludf.DUMMYFUNCTION("""COMPUTED_VALUE"""),2072013006)</f>
        <v>2072013006</v>
      </c>
      <c r="P1058" s="5" t="str">
        <f ca="1">IFERROR(__xludf.DUMMYFUNCTION("""COMPUTED_VALUE"""),"(818) 349-9997")</f>
        <v>(818) 349-9997</v>
      </c>
      <c r="Q1058" s="5"/>
      <c r="R1058" s="5"/>
      <c r="S1058" s="5"/>
      <c r="T1058" s="18">
        <f ca="1">IFERROR(__xludf.DUMMYFUNCTION("""COMPUTED_VALUE"""),45505)</f>
        <v>45505</v>
      </c>
    </row>
    <row r="1059" spans="1:20" ht="12.75">
      <c r="A1059" s="24">
        <f ca="1">IFERROR(__xludf.DUMMYFUNCTION("""COMPUTED_VALUE"""),45672.5436132523)</f>
        <v>45672.543613252303</v>
      </c>
      <c r="B1059" s="5" t="str">
        <f ca="1">IFERROR(__xludf.DUMMYFUNCTION("""COMPUTED_VALUE"""),"222 Evening Star Ln")</f>
        <v>222 Evening Star Ln</v>
      </c>
      <c r="C1059" s="5" t="str">
        <f ca="1">IFERROR(__xludf.DUMMYFUNCTION("""COMPUTED_VALUE"""),"Newport Beach")</f>
        <v>Newport Beach</v>
      </c>
      <c r="D1059" s="5" t="str">
        <f ca="1">IFERROR(__xludf.DUMMYFUNCTION("""COMPUTED_VALUE"""),"CA")</f>
        <v>CA</v>
      </c>
      <c r="E1059" s="5">
        <f ca="1">IFERROR(__xludf.DUMMYFUNCTION("""COMPUTED_VALUE"""),92660)</f>
        <v>92660</v>
      </c>
      <c r="F1059" s="19">
        <f ca="1">IFERROR(__xludf.DUMMYFUNCTION("""COMPUTED_VALUE"""),18900)</f>
        <v>18900</v>
      </c>
      <c r="G1059" s="19">
        <f ca="1">IFERROR(__xludf.DUMMYFUNCTION("""COMPUTED_VALUE"""),25000)</f>
        <v>25000</v>
      </c>
      <c r="H1059" s="18">
        <f ca="1">IFERROR(__xludf.DUMMYFUNCTION("""COMPUTED_VALUE"""),45666)</f>
        <v>45666</v>
      </c>
      <c r="I1059" s="5" t="str">
        <f ca="1">IFERROR(__xludf.DUMMYFUNCTION("""COMPUTED_VALUE"""),"Zillow")</f>
        <v>Zillow</v>
      </c>
      <c r="J1059" s="25" t="str">
        <f ca="1">IFERROR(__xludf.DUMMYFUNCTION("""COMPUTED_VALUE"""),"https://www.zillow.com/homedetails/222-Evening-Star-Ln-Newport-Beach-CA-92660/25214115_zpid/")</f>
        <v>https://www.zillow.com/homedetails/222-Evening-Star-Ln-Newport-Beach-CA-92660/25214115_zpid/</v>
      </c>
      <c r="K1059" s="5" t="str">
        <f ca="1">IFERROR(__xludf.DUMMYFUNCTION("""COMPUTED_VALUE"""),"Ali Jahangiri, JV Group Inc")</f>
        <v>Ali Jahangiri, JV Group Inc</v>
      </c>
      <c r="L1059" s="5"/>
      <c r="M1059" s="5"/>
      <c r="N1059" s="5" t="str">
        <f ca="1">IFERROR(__xludf.DUMMYFUNCTION("""COMPUTED_VALUE"""),"https://drive.google.com/open?id=1BlazLv7_n3pwweYpvvjzF79ZYG8rgyKT, https://drive.google.com/open?id=1XhvZmftXrpSl-lxNuOETuAQpLZmofGf7, https://drive.google.com/open?id=1RJTqdO3gc5yFY3UHTH706lRQ2mUYIMRM")</f>
        <v>https://drive.google.com/open?id=1BlazLv7_n3pwweYpvvjzF79ZYG8rgyKT, https://drive.google.com/open?id=1XhvZmftXrpSl-lxNuOETuAQpLZmofGf7, https://drive.google.com/open?id=1RJTqdO3gc5yFY3UHTH706lRQ2mUYIMRM</v>
      </c>
      <c r="O1059" s="5">
        <f ca="1">IFERROR(__xludf.DUMMYFUNCTION("""COMPUTED_VALUE"""),11771130)</f>
        <v>11771130</v>
      </c>
      <c r="P1059" s="5" t="str">
        <f ca="1">IFERROR(__xludf.DUMMYFUNCTION("""COMPUTED_VALUE"""),"(949) 441-3142")</f>
        <v>(949) 441-3142</v>
      </c>
      <c r="Q1059" s="5"/>
      <c r="R1059" s="5"/>
      <c r="S1059" s="5"/>
      <c r="T1059" s="18">
        <f ca="1">IFERROR(__xludf.DUMMYFUNCTION("""COMPUTED_VALUE"""),45603)</f>
        <v>45603</v>
      </c>
    </row>
    <row r="1060" spans="1:20" ht="12.75">
      <c r="A1060" s="24">
        <f ca="1">IFERROR(__xludf.DUMMYFUNCTION("""COMPUTED_VALUE"""),45672.552593368)</f>
        <v>45672.552593367996</v>
      </c>
      <c r="B1060" s="5" t="str">
        <f ca="1">IFERROR(__xludf.DUMMYFUNCTION("""COMPUTED_VALUE"""),"1366 Palisades Beach Rd")</f>
        <v>1366 Palisades Beach Rd</v>
      </c>
      <c r="C1060" s="5" t="str">
        <f ca="1">IFERROR(__xludf.DUMMYFUNCTION("""COMPUTED_VALUE"""),"Santa Monica")</f>
        <v>Santa Monica</v>
      </c>
      <c r="D1060" s="5" t="str">
        <f ca="1">IFERROR(__xludf.DUMMYFUNCTION("""COMPUTED_VALUE"""),"CA")</f>
        <v>CA</v>
      </c>
      <c r="E1060" s="5">
        <f ca="1">IFERROR(__xludf.DUMMYFUNCTION("""COMPUTED_VALUE"""),90401)</f>
        <v>90401</v>
      </c>
      <c r="F1060" s="19">
        <f ca="1">IFERROR(__xludf.DUMMYFUNCTION("""COMPUTED_VALUE"""),12500)</f>
        <v>12500</v>
      </c>
      <c r="G1060" s="19">
        <f ca="1">IFERROR(__xludf.DUMMYFUNCTION("""COMPUTED_VALUE"""),19750)</f>
        <v>19750</v>
      </c>
      <c r="H1060" s="18">
        <f ca="1">IFERROR(__xludf.DUMMYFUNCTION("""COMPUTED_VALUE"""),45669)</f>
        <v>45669</v>
      </c>
      <c r="I1060" s="5" t="str">
        <f ca="1">IFERROR(__xludf.DUMMYFUNCTION("""COMPUTED_VALUE"""),"Zillow")</f>
        <v>Zillow</v>
      </c>
      <c r="J1060" s="25" t="str">
        <f ca="1">IFERROR(__xludf.DUMMYFUNCTION("""COMPUTED_VALUE"""),"https://www.zillow.com/homedetails/1366-Palisades-Beach-Rd-Santa-Monica-CA-90401/20484769_zpid/")</f>
        <v>https://www.zillow.com/homedetails/1366-Palisades-Beach-Rd-Santa-Monica-CA-90401/20484769_zpid/</v>
      </c>
      <c r="K1060" s="5"/>
      <c r="L1060" s="5" t="str">
        <f ca="1">IFERROR(__xludf.DUMMYFUNCTION("""COMPUTED_VALUE"""),"Ronald Miller")</f>
        <v>Ronald Miller</v>
      </c>
      <c r="M1060" s="5"/>
      <c r="N1060" s="5" t="str">
        <f ca="1">IFERROR(__xludf.DUMMYFUNCTION("""COMPUTED_VALUE"""),"https://drive.google.com/open?id=1sPkaaQWuHpigNVeNB742VTiDkG-Gj0Wa, https://drive.google.com/open?id=1yYHXrnZ3AeHDlR8CXX17zXbD6WaRfkOt, https://drive.google.com/open?id=1J5MEmgx4GFRpRmz5OteZ_w-KjvzLEeZi")</f>
        <v>https://drive.google.com/open?id=1sPkaaQWuHpigNVeNB742VTiDkG-Gj0Wa, https://drive.google.com/open?id=1yYHXrnZ3AeHDlR8CXX17zXbD6WaRfkOt, https://drive.google.com/open?id=1J5MEmgx4GFRpRmz5OteZ_w-KjvzLEeZi</v>
      </c>
      <c r="O1060" s="5">
        <f ca="1">IFERROR(__xludf.DUMMYFUNCTION("""COMPUTED_VALUE"""),4291031036)</f>
        <v>4291031036</v>
      </c>
      <c r="P1060" s="5"/>
      <c r="Q1060" s="5"/>
      <c r="R1060" s="5"/>
      <c r="S1060" s="5"/>
      <c r="T1060" s="18">
        <f ca="1">IFERROR(__xludf.DUMMYFUNCTION("""COMPUTED_VALUE"""),45313)</f>
        <v>45313</v>
      </c>
    </row>
    <row r="1061" spans="1:20" ht="12.75">
      <c r="A1061" s="24">
        <f ca="1">IFERROR(__xludf.DUMMYFUNCTION("""COMPUTED_VALUE"""),45672.5569012152)</f>
        <v>45672.556901215197</v>
      </c>
      <c r="B1061" s="5" t="str">
        <f ca="1">IFERROR(__xludf.DUMMYFUNCTION("""COMPUTED_VALUE"""),"3900 Hilton Head Way")</f>
        <v>3900 Hilton Head Way</v>
      </c>
      <c r="C1061" s="5" t="str">
        <f ca="1">IFERROR(__xludf.DUMMYFUNCTION("""COMPUTED_VALUE"""),"Tarzana")</f>
        <v>Tarzana</v>
      </c>
      <c r="D1061" s="5" t="str">
        <f ca="1">IFERROR(__xludf.DUMMYFUNCTION("""COMPUTED_VALUE"""),"CA")</f>
        <v>CA</v>
      </c>
      <c r="E1061" s="5">
        <f ca="1">IFERROR(__xludf.DUMMYFUNCTION("""COMPUTED_VALUE"""),91356)</f>
        <v>91356</v>
      </c>
      <c r="F1061" s="19">
        <f ca="1">IFERROR(__xludf.DUMMYFUNCTION("""COMPUTED_VALUE"""),14500)</f>
        <v>14500</v>
      </c>
      <c r="G1061" s="19">
        <f ca="1">IFERROR(__xludf.DUMMYFUNCTION("""COMPUTED_VALUE"""),16900)</f>
        <v>16900</v>
      </c>
      <c r="H1061" s="18">
        <f ca="1">IFERROR(__xludf.DUMMYFUNCTION("""COMPUTED_VALUE"""),45666)</f>
        <v>45666</v>
      </c>
      <c r="I1061" s="5" t="str">
        <f ca="1">IFERROR(__xludf.DUMMYFUNCTION("""COMPUTED_VALUE"""),"Zillow")</f>
        <v>Zillow</v>
      </c>
      <c r="J1061" s="25" t="str">
        <f ca="1">IFERROR(__xludf.DUMMYFUNCTION("""COMPUTED_VALUE"""),"https://www.zillow.com/homedetails/3900-Hilton-Head-Way-Tarzana-CA-91356/19951258_zpid/")</f>
        <v>https://www.zillow.com/homedetails/3900-Hilton-Head-Way-Tarzana-CA-91356/19951258_zpid/</v>
      </c>
      <c r="K1061" s="5" t="str">
        <f ca="1">IFERROR(__xludf.DUMMYFUNCTION("""COMPUTED_VALUE"""),"Melissa Zee, Keller Williams Beverly Hills")</f>
        <v>Melissa Zee, Keller Williams Beverly Hills</v>
      </c>
      <c r="L1061" s="5"/>
      <c r="M1061" s="5"/>
      <c r="N1061" s="5" t="str">
        <f ca="1">IFERROR(__xludf.DUMMYFUNCTION("""COMPUTED_VALUE"""),"https://drive.google.com/open?id=1DZznQ9gi3cIMfqk3235XW8Z8heS9IwnX, https://drive.google.com/open?id=1uXdoGLUy7PTxjC-YAHNAYtAPol82_O2_, https://drive.google.com/open?id=17HclQ4MRvrBSKj540k2gzeDpPYxqz1we")</f>
        <v>https://drive.google.com/open?id=1DZznQ9gi3cIMfqk3235XW8Z8heS9IwnX, https://drive.google.com/open?id=1uXdoGLUy7PTxjC-YAHNAYtAPol82_O2_, https://drive.google.com/open?id=17HclQ4MRvrBSKj540k2gzeDpPYxqz1we</v>
      </c>
      <c r="O1061" s="5">
        <f ca="1">IFERROR(__xludf.DUMMYFUNCTION("""COMPUTED_VALUE"""),2184057001)</f>
        <v>2184057001</v>
      </c>
      <c r="P1061" s="5" t="str">
        <f ca="1">IFERROR(__xludf.DUMMYFUNCTION("""COMPUTED_VALUE"""),"(310) 361-9130")</f>
        <v>(310) 361-9130</v>
      </c>
      <c r="Q1061" s="5"/>
      <c r="R1061" s="5"/>
      <c r="S1061" s="5"/>
      <c r="T1061" s="18">
        <f ca="1">IFERROR(__xludf.DUMMYFUNCTION("""COMPUTED_VALUE"""),45651)</f>
        <v>45651</v>
      </c>
    </row>
    <row r="1062" spans="1:20" ht="12.75">
      <c r="A1062" s="24">
        <f ca="1">IFERROR(__xludf.DUMMYFUNCTION("""COMPUTED_VALUE"""),45672.5609096412)</f>
        <v>45672.560909641201</v>
      </c>
      <c r="B1062" s="5" t="str">
        <f ca="1">IFERROR(__xludf.DUMMYFUNCTION("""COMPUTED_VALUE"""),"(Undisclosed Address)")</f>
        <v>(Undisclosed Address)</v>
      </c>
      <c r="C1062" s="5" t="str">
        <f ca="1">IFERROR(__xludf.DUMMYFUNCTION("""COMPUTED_VALUE"""),"Calabasas")</f>
        <v>Calabasas</v>
      </c>
      <c r="D1062" s="5" t="str">
        <f ca="1">IFERROR(__xludf.DUMMYFUNCTION("""COMPUTED_VALUE"""),"CA")</f>
        <v>CA</v>
      </c>
      <c r="E1062" s="5">
        <f ca="1">IFERROR(__xludf.DUMMYFUNCTION("""COMPUTED_VALUE"""),91302)</f>
        <v>91302</v>
      </c>
      <c r="F1062" s="19">
        <f ca="1">IFERROR(__xludf.DUMMYFUNCTION("""COMPUTED_VALUE"""),12950)</f>
        <v>12950</v>
      </c>
      <c r="G1062" s="19">
        <f ca="1">IFERROR(__xludf.DUMMYFUNCTION("""COMPUTED_VALUE"""),23500)</f>
        <v>23500</v>
      </c>
      <c r="H1062" s="18">
        <f ca="1">IFERROR(__xludf.DUMMYFUNCTION("""COMPUTED_VALUE"""),45672)</f>
        <v>45672</v>
      </c>
      <c r="I1062" s="5" t="str">
        <f ca="1">IFERROR(__xludf.DUMMYFUNCTION("""COMPUTED_VALUE"""),"Zillow")</f>
        <v>Zillow</v>
      </c>
      <c r="J1062" s="25" t="str">
        <f ca="1">IFERROR(__xludf.DUMMYFUNCTION("""COMPUTED_VALUE"""),"https://www.zillow.com/homedetails/Calabasas-CA-91302/20553413_zpid/")</f>
        <v>https://www.zillow.com/homedetails/Calabasas-CA-91302/20553413_zpid/</v>
      </c>
      <c r="K1062" s="5"/>
      <c r="L1062" s="5" t="str">
        <f ca="1">IFERROR(__xludf.DUMMYFUNCTION("""COMPUTED_VALUE"""),"Shawn Dougherty")</f>
        <v>Shawn Dougherty</v>
      </c>
      <c r="M1062" s="5"/>
      <c r="N1062" s="5" t="str">
        <f ca="1">IFERROR(__xludf.DUMMYFUNCTION("""COMPUTED_VALUE"""),"https://drive.google.com/open?id=1U0IFWy5JK_85ajmWeet5bFOv15sSYj_W, https://drive.google.com/open?id=1Yy9bW_HHNtUJaK0CRA6JkPun7rB3Qv2h, https://drive.google.com/open?id=1Lj2AJNivMjQDNTeOtTohQyFDU2Iy-r0v")</f>
        <v>https://drive.google.com/open?id=1U0IFWy5JK_85ajmWeet5bFOv15sSYj_W, https://drive.google.com/open?id=1Yy9bW_HHNtUJaK0CRA6JkPun7rB3Qv2h, https://drive.google.com/open?id=1Lj2AJNivMjQDNTeOtTohQyFDU2Iy-r0v</v>
      </c>
      <c r="O1062" s="5" t="str">
        <f ca="1">IFERROR(__xludf.DUMMYFUNCTION("""COMPUTED_VALUE"""),"NA")</f>
        <v>NA</v>
      </c>
      <c r="P1062" s="5"/>
      <c r="Q1062" s="5"/>
      <c r="R1062" s="5" t="str">
        <f ca="1">IFERROR(__xludf.DUMMYFUNCTION("""COMPUTED_VALUE"""),"(818) 224-8005")</f>
        <v>(818) 224-8005</v>
      </c>
      <c r="S1062" s="5"/>
      <c r="T1062" s="18">
        <f ca="1">IFERROR(__xludf.DUMMYFUNCTION("""COMPUTED_VALUE"""),45535)</f>
        <v>45535</v>
      </c>
    </row>
    <row r="1063" spans="1:20" ht="12.75">
      <c r="A1063" s="24">
        <f ca="1">IFERROR(__xludf.DUMMYFUNCTION("""COMPUTED_VALUE"""),45672.5629820833)</f>
        <v>45672.562982083298</v>
      </c>
      <c r="B1063" s="5" t="str">
        <f ca="1">IFERROR(__xludf.DUMMYFUNCTION("""COMPUTED_VALUE"""),"817 N Whittier Dr")</f>
        <v>817 N Whittier Dr</v>
      </c>
      <c r="C1063" s="5" t="str">
        <f ca="1">IFERROR(__xludf.DUMMYFUNCTION("""COMPUTED_VALUE"""),"Beverly Hills")</f>
        <v>Beverly Hills</v>
      </c>
      <c r="D1063" s="5" t="str">
        <f ca="1">IFERROR(__xludf.DUMMYFUNCTION("""COMPUTED_VALUE"""),"CA")</f>
        <v>CA</v>
      </c>
      <c r="E1063" s="5">
        <f ca="1">IFERROR(__xludf.DUMMYFUNCTION("""COMPUTED_VALUE"""),90210)</f>
        <v>90210</v>
      </c>
      <c r="F1063" s="19">
        <f ca="1">IFERROR(__xludf.DUMMYFUNCTION("""COMPUTED_VALUE"""),150000)</f>
        <v>150000</v>
      </c>
      <c r="G1063" s="19">
        <f ca="1">IFERROR(__xludf.DUMMYFUNCTION("""COMPUTED_VALUE"""),195000)</f>
        <v>195000</v>
      </c>
      <c r="H1063" s="18">
        <f ca="1">IFERROR(__xludf.DUMMYFUNCTION("""COMPUTED_VALUE"""),45671)</f>
        <v>45671</v>
      </c>
      <c r="I1063" s="5" t="str">
        <f ca="1">IFERROR(__xludf.DUMMYFUNCTION("""COMPUTED_VALUE"""),"Zillow")</f>
        <v>Zillow</v>
      </c>
      <c r="J1063" s="25" t="str">
        <f ca="1">IFERROR(__xludf.DUMMYFUNCTION("""COMPUTED_VALUE"""),"https://www.zillow.com/homedetails/817-N-Whittier-Dr-Beverly-Hills-CA-90210/20521923_zpid/")</f>
        <v>https://www.zillow.com/homedetails/817-N-Whittier-Dr-Beverly-Hills-CA-90210/20521923_zpid/</v>
      </c>
      <c r="K1063" s="5"/>
      <c r="L1063" s="5" t="str">
        <f ca="1">IFERROR(__xludf.DUMMYFUNCTION("""COMPUTED_VALUE"""),"Carlo Tabibi")</f>
        <v>Carlo Tabibi</v>
      </c>
      <c r="M1063" s="5"/>
      <c r="N1063" s="26" t="str">
        <f ca="1">IFERROR(__xludf.DUMMYFUNCTION("""COMPUTED_VALUE"""),"https://drive.google.com/open?id=1jK2d6Rcn1SVvpDDjv9nDZ1LVQxaA7Y9k")</f>
        <v>https://drive.google.com/open?id=1jK2d6Rcn1SVvpDDjv9nDZ1LVQxaA7Y9k</v>
      </c>
      <c r="O1063" s="5">
        <f ca="1">IFERROR(__xludf.DUMMYFUNCTION("""COMPUTED_VALUE"""),4345034006)</f>
        <v>4345034006</v>
      </c>
      <c r="P1063" s="5"/>
      <c r="Q1063" s="5"/>
      <c r="R1063" s="5" t="str">
        <f ca="1">IFERROR(__xludf.DUMMYFUNCTION("""COMPUTED_VALUE"""),"(310) 666-8884")</f>
        <v>(310) 666-8884</v>
      </c>
      <c r="S1063" s="5"/>
      <c r="T1063" s="18">
        <f ca="1">IFERROR(__xludf.DUMMYFUNCTION("""COMPUTED_VALUE"""),45619)</f>
        <v>45619</v>
      </c>
    </row>
    <row r="1064" spans="1:20" ht="12.75">
      <c r="A1064" s="24">
        <f ca="1">IFERROR(__xludf.DUMMYFUNCTION("""COMPUTED_VALUE"""),45672.5631822569)</f>
        <v>45672.563182256898</v>
      </c>
      <c r="B1064" s="5" t="str">
        <f ca="1">IFERROR(__xludf.DUMMYFUNCTION("""COMPUTED_VALUE"""),"(Undisclosed Address)")</f>
        <v>(Undisclosed Address)</v>
      </c>
      <c r="C1064" s="5" t="str">
        <f ca="1">IFERROR(__xludf.DUMMYFUNCTION("""COMPUTED_VALUE"""),"West Hills")</f>
        <v>West Hills</v>
      </c>
      <c r="D1064" s="5" t="str">
        <f ca="1">IFERROR(__xludf.DUMMYFUNCTION("""COMPUTED_VALUE"""),"CA")</f>
        <v>CA</v>
      </c>
      <c r="E1064" s="5">
        <f ca="1">IFERROR(__xludf.DUMMYFUNCTION("""COMPUTED_VALUE"""),91304)</f>
        <v>91304</v>
      </c>
      <c r="F1064" s="19">
        <f ca="1">IFERROR(__xludf.DUMMYFUNCTION("""COMPUTED_VALUE"""),12800)</f>
        <v>12800</v>
      </c>
      <c r="G1064" s="19">
        <f ca="1">IFERROR(__xludf.DUMMYFUNCTION("""COMPUTED_VALUE"""),19800)</f>
        <v>19800</v>
      </c>
      <c r="H1064" s="18">
        <f ca="1">IFERROR(__xludf.DUMMYFUNCTION("""COMPUTED_VALUE"""),45666)</f>
        <v>45666</v>
      </c>
      <c r="I1064" s="5" t="str">
        <f ca="1">IFERROR(__xludf.DUMMYFUNCTION("""COMPUTED_VALUE"""),"Zillow")</f>
        <v>Zillow</v>
      </c>
      <c r="J1064" s="25" t="str">
        <f ca="1">IFERROR(__xludf.DUMMYFUNCTION("""COMPUTED_VALUE"""),"https://www.zillow.com/homedetails/West-Hills-CA-91304/52467856_zpid/")</f>
        <v>https://www.zillow.com/homedetails/West-Hills-CA-91304/52467856_zpid/</v>
      </c>
      <c r="K1064" s="5" t="str">
        <f ca="1">IFERROR(__xludf.DUMMYFUNCTION("""COMPUTED_VALUE"""),"Edmund Hung")</f>
        <v>Edmund Hung</v>
      </c>
      <c r="L1064" s="5"/>
      <c r="M1064" s="5"/>
      <c r="N1064" s="5" t="str">
        <f ca="1">IFERROR(__xludf.DUMMYFUNCTION("""COMPUTED_VALUE"""),"https://drive.google.com/open?id=1wv-3xzGhxqxxER2hHFuqF9rENF-kJYFJ, https://drive.google.com/open?id=1MAq1Xx-4Rlhj5gi2IXp5PG9KRv4gz3R8, https://drive.google.com/open?id=14LDqgMEOMfOb5pKggWCNhudpIgK9tMwM")</f>
        <v>https://drive.google.com/open?id=1wv-3xzGhxqxxER2hHFuqF9rENF-kJYFJ, https://drive.google.com/open?id=1MAq1Xx-4Rlhj5gi2IXp5PG9KRv4gz3R8, https://drive.google.com/open?id=14LDqgMEOMfOb5pKggWCNhudpIgK9tMwM</v>
      </c>
      <c r="O1064" s="5" t="str">
        <f ca="1">IFERROR(__xludf.DUMMYFUNCTION("""COMPUTED_VALUE"""),"NA")</f>
        <v>NA</v>
      </c>
      <c r="P1064" s="5" t="str">
        <f ca="1">IFERROR(__xludf.DUMMYFUNCTION("""COMPUTED_VALUE"""),"(209) 266-2155")</f>
        <v>(209) 266-2155</v>
      </c>
      <c r="Q1064" s="5"/>
      <c r="R1064" s="5"/>
      <c r="S1064" s="5"/>
      <c r="T1064" s="18">
        <f ca="1">IFERROR(__xludf.DUMMYFUNCTION("""COMPUTED_VALUE"""),45633)</f>
        <v>45633</v>
      </c>
    </row>
    <row r="1065" spans="1:20" ht="12.75">
      <c r="A1065" s="24">
        <f ca="1">IFERROR(__xludf.DUMMYFUNCTION("""COMPUTED_VALUE"""),45672.5679772453)</f>
        <v>45672.5679772453</v>
      </c>
      <c r="B1065" s="5" t="str">
        <f ca="1">IFERROR(__xludf.DUMMYFUNCTION("""COMPUTED_VALUE"""),"2243 Century Hl")</f>
        <v>2243 Century Hl</v>
      </c>
      <c r="C1065" s="5" t="str">
        <f ca="1">IFERROR(__xludf.DUMMYFUNCTION("""COMPUTED_VALUE"""),"Los Angeles")</f>
        <v>Los Angeles</v>
      </c>
      <c r="D1065" s="5" t="str">
        <f ca="1">IFERROR(__xludf.DUMMYFUNCTION("""COMPUTED_VALUE"""),"CA")</f>
        <v>CA</v>
      </c>
      <c r="E1065" s="5">
        <f ca="1">IFERROR(__xludf.DUMMYFUNCTION("""COMPUTED_VALUE"""),90067)</f>
        <v>90067</v>
      </c>
      <c r="F1065" s="19">
        <f ca="1">IFERROR(__xludf.DUMMYFUNCTION("""COMPUTED_VALUE"""),8500)</f>
        <v>8500</v>
      </c>
      <c r="G1065" s="19">
        <f ca="1">IFERROR(__xludf.DUMMYFUNCTION("""COMPUTED_VALUE"""),9400)</f>
        <v>9400</v>
      </c>
      <c r="H1065" s="18">
        <f ca="1">IFERROR(__xludf.DUMMYFUNCTION("""COMPUTED_VALUE"""),45672)</f>
        <v>45672</v>
      </c>
      <c r="I1065" s="5" t="str">
        <f ca="1">IFERROR(__xludf.DUMMYFUNCTION("""COMPUTED_VALUE"""),"Zillow")</f>
        <v>Zillow</v>
      </c>
      <c r="J1065" s="25" t="str">
        <f ca="1">IFERROR(__xludf.DUMMYFUNCTION("""COMPUTED_VALUE"""),"https://www.zillow.com/homedetails/2243-Century-Hl-Los-Angeles-CA-90067/20510481_zpid/")</f>
        <v>https://www.zillow.com/homedetails/2243-Century-Hl-Los-Angeles-CA-90067/20510481_zpid/</v>
      </c>
      <c r="K1065" s="5" t="str">
        <f ca="1">IFERROR(__xludf.DUMMYFUNCTION("""COMPUTED_VALUE"""),"Alison Winston")</f>
        <v>Alison Winston</v>
      </c>
      <c r="L1065" s="5"/>
      <c r="M1065" s="5"/>
      <c r="N1065" s="26" t="str">
        <f ca="1">IFERROR(__xludf.DUMMYFUNCTION("""COMPUTED_VALUE"""),"https://drive.google.com/open?id=10nFyLxmdy9Fqt-dkV5R_3VvWlMjM21h4")</f>
        <v>https://drive.google.com/open?id=10nFyLxmdy9Fqt-dkV5R_3VvWlMjM21h4</v>
      </c>
      <c r="O1065" s="5">
        <f ca="1">IFERROR(__xludf.DUMMYFUNCTION("""COMPUTED_VALUE"""),4329008163)</f>
        <v>4329008163</v>
      </c>
      <c r="P1065" s="5" t="str">
        <f ca="1">IFERROR(__xludf.DUMMYFUNCTION("""COMPUTED_VALUE"""),"(310) 651-0336")</f>
        <v>(310) 651-0336</v>
      </c>
      <c r="Q1065" s="5"/>
      <c r="R1065" s="5"/>
      <c r="S1065" s="5"/>
      <c r="T1065" s="18">
        <f ca="1">IFERROR(__xludf.DUMMYFUNCTION("""COMPUTED_VALUE"""),45665)</f>
        <v>45665</v>
      </c>
    </row>
    <row r="1066" spans="1:20" ht="12.75">
      <c r="A1066" s="24">
        <f ca="1">IFERROR(__xludf.DUMMYFUNCTION("""COMPUTED_VALUE"""),45672.5687737384)</f>
        <v>45672.5687737384</v>
      </c>
      <c r="B1066" s="5" t="str">
        <f ca="1">IFERROR(__xludf.DUMMYFUNCTION("""COMPUTED_VALUE"""),"25736 Punto De Vista Dr")</f>
        <v>25736 Punto De Vista Dr</v>
      </c>
      <c r="C1066" s="5" t="str">
        <f ca="1">IFERROR(__xludf.DUMMYFUNCTION("""COMPUTED_VALUE"""),"Calabasas")</f>
        <v>Calabasas</v>
      </c>
      <c r="D1066" s="5" t="str">
        <f ca="1">IFERROR(__xludf.DUMMYFUNCTION("""COMPUTED_VALUE"""),"CA")</f>
        <v>CA</v>
      </c>
      <c r="E1066" s="5">
        <f ca="1">IFERROR(__xludf.DUMMYFUNCTION("""COMPUTED_VALUE"""),91302)</f>
        <v>91302</v>
      </c>
      <c r="F1066" s="19">
        <f ca="1">IFERROR(__xludf.DUMMYFUNCTION("""COMPUTED_VALUE"""),18000)</f>
        <v>18000</v>
      </c>
      <c r="G1066" s="19">
        <f ca="1">IFERROR(__xludf.DUMMYFUNCTION("""COMPUTED_VALUE"""),35000)</f>
        <v>35000</v>
      </c>
      <c r="H1066" s="18">
        <f ca="1">IFERROR(__xludf.DUMMYFUNCTION("""COMPUTED_VALUE"""),45672)</f>
        <v>45672</v>
      </c>
      <c r="I1066" s="5" t="str">
        <f ca="1">IFERROR(__xludf.DUMMYFUNCTION("""COMPUTED_VALUE"""),"Zillow")</f>
        <v>Zillow</v>
      </c>
      <c r="J1066" s="25" t="str">
        <f ca="1">IFERROR(__xludf.DUMMYFUNCTION("""COMPUTED_VALUE"""),"https://www.zillow.com/homedetails/25736-Punto-De-Vista-Dr-Calabasas-CA-91302/20553578_zpid/")</f>
        <v>https://www.zillow.com/homedetails/25736-Punto-De-Vista-Dr-Calabasas-CA-91302/20553578_zpid/</v>
      </c>
      <c r="K1066" s="5" t="str">
        <f ca="1">IFERROR(__xludf.DUMMYFUNCTION("""COMPUTED_VALUE"""),"GP Properties")</f>
        <v>GP Properties</v>
      </c>
      <c r="L1066" s="5"/>
      <c r="M1066" s="5" t="str">
        <f ca="1">IFERROR(__xludf.DUMMYFUNCTION("""COMPUTED_VALUE"""),"""INSURANCE CLAIMS REHOUSING WELCOMED!...generator in case there is a loss of power.""")</f>
        <v>"INSURANCE CLAIMS REHOUSING WELCOMED!...generator in case there is a loss of power."</v>
      </c>
      <c r="N1066" s="5" t="str">
        <f ca="1">IFERROR(__xludf.DUMMYFUNCTION("""COMPUTED_VALUE"""),"https://drive.google.com/open?id=1h_lvwlqwf-b9NuUd2_tDXsV8qjYuB_kI, https://drive.google.com/open?id=1bPoroH3ps7H_yZv7l9Oo2tlNDqHxjFuf, https://drive.google.com/open?id=1f6Ixi0Sy87FROPNe2qWpIlFM8zdn7fAF")</f>
        <v>https://drive.google.com/open?id=1h_lvwlqwf-b9NuUd2_tDXsV8qjYuB_kI, https://drive.google.com/open?id=1bPoroH3ps7H_yZv7l9Oo2tlNDqHxjFuf, https://drive.google.com/open?id=1f6Ixi0Sy87FROPNe2qWpIlFM8zdn7fAF</v>
      </c>
      <c r="O1066" s="5">
        <f ca="1">IFERROR(__xludf.DUMMYFUNCTION("""COMPUTED_VALUE"""),4456035013)</f>
        <v>4456035013</v>
      </c>
      <c r="P1066" s="5" t="str">
        <f ca="1">IFERROR(__xludf.DUMMYFUNCTION("""COMPUTED_VALUE"""),"(818) 693-9744")</f>
        <v>(818) 693-9744</v>
      </c>
      <c r="Q1066" s="5"/>
      <c r="R1066" s="5"/>
      <c r="S1066" s="5"/>
      <c r="T1066" s="18">
        <f ca="1">IFERROR(__xludf.DUMMYFUNCTION("""COMPUTED_VALUE"""),45366)</f>
        <v>45366</v>
      </c>
    </row>
    <row r="1067" spans="1:20" ht="12.75">
      <c r="A1067" s="24">
        <f ca="1">IFERROR(__xludf.DUMMYFUNCTION("""COMPUTED_VALUE"""),45672.5927245601)</f>
        <v>45672.592724560098</v>
      </c>
      <c r="B1067" s="5" t="str">
        <f ca="1">IFERROR(__xludf.DUMMYFUNCTION("""COMPUTED_VALUE"""),"4338 Gayle Dr")</f>
        <v>4338 Gayle Dr</v>
      </c>
      <c r="C1067" s="5" t="str">
        <f ca="1">IFERROR(__xludf.DUMMYFUNCTION("""COMPUTED_VALUE"""),"Tarzana")</f>
        <v>Tarzana</v>
      </c>
      <c r="D1067" s="5" t="str">
        <f ca="1">IFERROR(__xludf.DUMMYFUNCTION("""COMPUTED_VALUE"""),"CA")</f>
        <v>CA</v>
      </c>
      <c r="E1067" s="5">
        <f ca="1">IFERROR(__xludf.DUMMYFUNCTION("""COMPUTED_VALUE"""),91356)</f>
        <v>91356</v>
      </c>
      <c r="F1067" s="19">
        <f ca="1">IFERROR(__xludf.DUMMYFUNCTION("""COMPUTED_VALUE"""),22500)</f>
        <v>22500</v>
      </c>
      <c r="G1067" s="19">
        <f ca="1">IFERROR(__xludf.DUMMYFUNCTION("""COMPUTED_VALUE"""),28000)</f>
        <v>28000</v>
      </c>
      <c r="H1067" s="18">
        <f ca="1">IFERROR(__xludf.DUMMYFUNCTION("""COMPUTED_VALUE"""),45665)</f>
        <v>45665</v>
      </c>
      <c r="I1067" s="5" t="str">
        <f ca="1">IFERROR(__xludf.DUMMYFUNCTION("""COMPUTED_VALUE"""),"Zillow")</f>
        <v>Zillow</v>
      </c>
      <c r="J1067" s="25" t="str">
        <f ca="1">IFERROR(__xludf.DUMMYFUNCTION("""COMPUTED_VALUE"""),"https://www.zillow.com/homedetails/4338-Gayle-Dr-Tarzana-CA-91356/19947698_zpid/")</f>
        <v>https://www.zillow.com/homedetails/4338-Gayle-Dr-Tarzana-CA-91356/19947698_zpid/</v>
      </c>
      <c r="K1067" s="5" t="str">
        <f ca="1">IFERROR(__xludf.DUMMYFUNCTION("""COMPUTED_VALUE"""),"Theana 'Lia' Vasdekis, Bella Estates")</f>
        <v>Theana 'Lia' Vasdekis, Bella Estates</v>
      </c>
      <c r="L1067" s="5"/>
      <c r="M1067" s="5"/>
      <c r="N1067" s="5" t="str">
        <f ca="1">IFERROR(__xludf.DUMMYFUNCTION("""COMPUTED_VALUE"""),"https://drive.google.com/open?id=1r8bZ31oUvhSMtqlp6J-pQiQszztR_x0T, https://drive.google.com/open?id=1fcLFyiD7Nw2H_pWNLkEb2E_9KXlyViWB, https://drive.google.com/open?id=191UmcjZ9Ei3LezCmZJ9RTIQ4A0EBi8YR")</f>
        <v>https://drive.google.com/open?id=1r8bZ31oUvhSMtqlp6J-pQiQszztR_x0T, https://drive.google.com/open?id=1fcLFyiD7Nw2H_pWNLkEb2E_9KXlyViWB, https://drive.google.com/open?id=191UmcjZ9Ei3LezCmZJ9RTIQ4A0EBi8YR</v>
      </c>
      <c r="O1067" s="5">
        <f ca="1">IFERROR(__xludf.DUMMYFUNCTION("""COMPUTED_VALUE"""),2177008030)</f>
        <v>2177008030</v>
      </c>
      <c r="P1067" s="5" t="str">
        <f ca="1">IFERROR(__xludf.DUMMYFUNCTION("""COMPUTED_VALUE"""),"(310) 678-8223")</f>
        <v>(310) 678-8223</v>
      </c>
      <c r="Q1067" s="5"/>
      <c r="R1067" s="5"/>
      <c r="S1067" s="5"/>
      <c r="T1067" s="18">
        <f ca="1">IFERROR(__xludf.DUMMYFUNCTION("""COMPUTED_VALUE"""),45619)</f>
        <v>45619</v>
      </c>
    </row>
    <row r="1068" spans="1:20" ht="12.75">
      <c r="A1068" s="24">
        <f ca="1">IFERROR(__xludf.DUMMYFUNCTION("""COMPUTED_VALUE"""),45672.6075638194)</f>
        <v>45672.607563819402</v>
      </c>
      <c r="B1068" s="5" t="str">
        <f ca="1">IFERROR(__xludf.DUMMYFUNCTION("""COMPUTED_VALUE"""),"1879 S Norma Ln")</f>
        <v>1879 S Norma Ln</v>
      </c>
      <c r="C1068" s="5" t="str">
        <f ca="1">IFERROR(__xludf.DUMMYFUNCTION("""COMPUTED_VALUE"""),"Anaheim")</f>
        <v>Anaheim</v>
      </c>
      <c r="D1068" s="5" t="str">
        <f ca="1">IFERROR(__xludf.DUMMYFUNCTION("""COMPUTED_VALUE"""),"CA")</f>
        <v>CA</v>
      </c>
      <c r="E1068" s="5">
        <f ca="1">IFERROR(__xludf.DUMMYFUNCTION("""COMPUTED_VALUE"""),92802)</f>
        <v>92802</v>
      </c>
      <c r="F1068" s="19">
        <f ca="1">IFERROR(__xludf.DUMMYFUNCTION("""COMPUTED_VALUE"""),11000)</f>
        <v>11000</v>
      </c>
      <c r="G1068" s="19">
        <f ca="1">IFERROR(__xludf.DUMMYFUNCTION("""COMPUTED_VALUE"""),16000)</f>
        <v>16000</v>
      </c>
      <c r="H1068" s="18">
        <f ca="1">IFERROR(__xludf.DUMMYFUNCTION("""COMPUTED_VALUE"""),45671)</f>
        <v>45671</v>
      </c>
      <c r="I1068" s="5" t="str">
        <f ca="1">IFERROR(__xludf.DUMMYFUNCTION("""COMPUTED_VALUE"""),"Zillow")</f>
        <v>Zillow</v>
      </c>
      <c r="J1068" s="25" t="str">
        <f ca="1">IFERROR(__xludf.DUMMYFUNCTION("""COMPUTED_VALUE"""),"https://www.zillow.com/homedetails/1879-S-Norma-Ln-Anaheim-CA-92802/25173483_zpid/")</f>
        <v>https://www.zillow.com/homedetails/1879-S-Norma-Ln-Anaheim-CA-92802/25173483_zpid/</v>
      </c>
      <c r="K1068" s="5"/>
      <c r="L1068" s="5" t="str">
        <f ca="1">IFERROR(__xludf.DUMMYFUNCTION("""COMPUTED_VALUE"""),"Henry Ku")</f>
        <v>Henry Ku</v>
      </c>
      <c r="M1068" s="5"/>
      <c r="N1068" s="5" t="str">
        <f ca="1">IFERROR(__xludf.DUMMYFUNCTION("""COMPUTED_VALUE"""),"https://drive.google.com/open?id=1wlFT2rSY1IidcaZwA0kD18DYpSj0Y0Hl, https://drive.google.com/open?id=1wZ2gSgQVMIiZMSopTykJCh2J7EGwM2MQ, https://drive.google.com/open?id=1Gta9IAB14YpesFChnPE9ywpZy0dMaPMj")</f>
        <v>https://drive.google.com/open?id=1wlFT2rSY1IidcaZwA0kD18DYpSj0Y0Hl, https://drive.google.com/open?id=1wZ2gSgQVMIiZMSopTykJCh2J7EGwM2MQ, https://drive.google.com/open?id=1Gta9IAB14YpesFChnPE9ywpZy0dMaPMj</v>
      </c>
      <c r="O1068" s="5" t="str">
        <f ca="1">IFERROR(__xludf.DUMMYFUNCTION("""COMPUTED_VALUE"""),"09024320")</f>
        <v>09024320</v>
      </c>
      <c r="P1068" s="5"/>
      <c r="Q1068" s="5"/>
      <c r="R1068" s="5" t="str">
        <f ca="1">IFERROR(__xludf.DUMMYFUNCTION("""COMPUTED_VALUE"""),"(949) 577-8714")</f>
        <v>(949) 577-8714</v>
      </c>
      <c r="S1068" s="5"/>
      <c r="T1068" s="18">
        <f ca="1">IFERROR(__xludf.DUMMYFUNCTION("""COMPUTED_VALUE"""),45663)</f>
        <v>45663</v>
      </c>
    </row>
    <row r="1069" spans="1:20" ht="12.75">
      <c r="A1069" s="24">
        <f ca="1">IFERROR(__xludf.DUMMYFUNCTION("""COMPUTED_VALUE"""),45672.6125831828)</f>
        <v>45672.612583182803</v>
      </c>
      <c r="B1069" s="5" t="str">
        <f ca="1">IFERROR(__xludf.DUMMYFUNCTION("""COMPUTED_VALUE"""),"9372 Nantucket Dr")</f>
        <v>9372 Nantucket Dr</v>
      </c>
      <c r="C1069" s="5" t="str">
        <f ca="1">IFERROR(__xludf.DUMMYFUNCTION("""COMPUTED_VALUE"""),"Huntington Beach")</f>
        <v>Huntington Beach</v>
      </c>
      <c r="D1069" s="5" t="str">
        <f ca="1">IFERROR(__xludf.DUMMYFUNCTION("""COMPUTED_VALUE"""),"CA")</f>
        <v>CA</v>
      </c>
      <c r="E1069" s="5">
        <f ca="1">IFERROR(__xludf.DUMMYFUNCTION("""COMPUTED_VALUE"""),92646)</f>
        <v>92646</v>
      </c>
      <c r="F1069" s="19">
        <f ca="1">IFERROR(__xludf.DUMMYFUNCTION("""COMPUTED_VALUE"""),14000)</f>
        <v>14000</v>
      </c>
      <c r="G1069" s="19">
        <f ca="1">IFERROR(__xludf.DUMMYFUNCTION("""COMPUTED_VALUE"""),22000)</f>
        <v>22000</v>
      </c>
      <c r="H1069" s="18">
        <f ca="1">IFERROR(__xludf.DUMMYFUNCTION("""COMPUTED_VALUE"""),45671)</f>
        <v>45671</v>
      </c>
      <c r="I1069" s="5" t="str">
        <f ca="1">IFERROR(__xludf.DUMMYFUNCTION("""COMPUTED_VALUE"""),"Zillow")</f>
        <v>Zillow</v>
      </c>
      <c r="J1069" s="25" t="str">
        <f ca="1">IFERROR(__xludf.DUMMYFUNCTION("""COMPUTED_VALUE"""),"https://www.zillow.com/homedetails/9372-Nantucket-Dr-Huntington-Beach-CA-92646/25277636_zpid/")</f>
        <v>https://www.zillow.com/homedetails/9372-Nantucket-Dr-Huntington-Beach-CA-92646/25277636_zpid/</v>
      </c>
      <c r="K1069" s="5"/>
      <c r="L1069" s="5" t="str">
        <f ca="1">IFERROR(__xludf.DUMMYFUNCTION("""COMPUTED_VALUE"""),"Henry Ku")</f>
        <v>Henry Ku</v>
      </c>
      <c r="M1069" s="5"/>
      <c r="N1069" s="5" t="str">
        <f ca="1">IFERROR(__xludf.DUMMYFUNCTION("""COMPUTED_VALUE"""),"https://drive.google.com/open?id=16iycVEu6b9mJ0bT7jn1S23heKLMLYHvs, https://drive.google.com/open?id=1svgief7XVILERObCy03HL_lzatNySExs, https://drive.google.com/open?id=1yz2ZDHLivTncKNR67VHLjaWVOnP2Kj6l")</f>
        <v>https://drive.google.com/open?id=16iycVEu6b9mJ0bT7jn1S23heKLMLYHvs, https://drive.google.com/open?id=1svgief7XVILERObCy03HL_lzatNySExs, https://drive.google.com/open?id=1yz2ZDHLivTncKNR67VHLjaWVOnP2Kj6l</v>
      </c>
      <c r="O1069" s="5">
        <f ca="1">IFERROR(__xludf.DUMMYFUNCTION("""COMPUTED_VALUE"""),15331311)</f>
        <v>15331311</v>
      </c>
      <c r="P1069" s="5"/>
      <c r="Q1069" s="5"/>
      <c r="R1069" s="5" t="str">
        <f ca="1">IFERROR(__xludf.DUMMYFUNCTION("""COMPUTED_VALUE"""),"(949) 577-8714")</f>
        <v>(949) 577-8714</v>
      </c>
      <c r="S1069" s="5"/>
      <c r="T1069" s="18">
        <f ca="1">IFERROR(__xludf.DUMMYFUNCTION("""COMPUTED_VALUE"""),45663)</f>
        <v>45663</v>
      </c>
    </row>
    <row r="1070" spans="1:20" ht="12.75">
      <c r="A1070" s="24">
        <f ca="1">IFERROR(__xludf.DUMMYFUNCTION("""COMPUTED_VALUE"""),45672.6140240972)</f>
        <v>45672.614024097202</v>
      </c>
      <c r="B1070" s="5" t="str">
        <f ca="1">IFERROR(__xludf.DUMMYFUNCTION("""COMPUTED_VALUE"""),"5923 Carlton Way #1B-1BA")</f>
        <v>5923 Carlton Way #1B-1BA</v>
      </c>
      <c r="C1070" s="5" t="str">
        <f ca="1">IFERROR(__xludf.DUMMYFUNCTION("""COMPUTED_VALUE"""),"Los Angeles")</f>
        <v>Los Angeles</v>
      </c>
      <c r="D1070" s="5" t="str">
        <f ca="1">IFERROR(__xludf.DUMMYFUNCTION("""COMPUTED_VALUE"""),"CA")</f>
        <v>CA</v>
      </c>
      <c r="E1070" s="5">
        <f ca="1">IFERROR(__xludf.DUMMYFUNCTION("""COMPUTED_VALUE"""),90028)</f>
        <v>90028</v>
      </c>
      <c r="F1070" s="19">
        <f ca="1">IFERROR(__xludf.DUMMYFUNCTION("""COMPUTED_VALUE"""),1650)</f>
        <v>1650</v>
      </c>
      <c r="G1070" s="19">
        <f ca="1">IFERROR(__xludf.DUMMYFUNCTION("""COMPUTED_VALUE"""),1895)</f>
        <v>1895</v>
      </c>
      <c r="H1070" s="18">
        <f ca="1">IFERROR(__xludf.DUMMYFUNCTION("""COMPUTED_VALUE"""),45671)</f>
        <v>45671</v>
      </c>
      <c r="I1070" s="5" t="str">
        <f ca="1">IFERROR(__xludf.DUMMYFUNCTION("""COMPUTED_VALUE"""),"Zillow")</f>
        <v>Zillow</v>
      </c>
      <c r="J1070" s="25" t="str">
        <f ca="1">IFERROR(__xludf.DUMMYFUNCTION("""COMPUTED_VALUE"""),"https://www.zillow.com/homedetails/5923-Carlton-Way-1B-1BA-Los-Angeles-CA-90028/402166193_zpid/")</f>
        <v>https://www.zillow.com/homedetails/5923-Carlton-Way-1B-1BA-Los-Angeles-CA-90028/402166193_zpid/</v>
      </c>
      <c r="K1070" s="5"/>
      <c r="L1070" s="5"/>
      <c r="M1070" s="5"/>
      <c r="N1070" s="26" t="str">
        <f ca="1">IFERROR(__xludf.DUMMYFUNCTION("""COMPUTED_VALUE"""),"https://drive.google.com/open?id=1KTuvRd2ZsRMa7FNvmfbjXEUcCj0S1rB_")</f>
        <v>https://drive.google.com/open?id=1KTuvRd2ZsRMa7FNvmfbjXEUcCj0S1rB_</v>
      </c>
      <c r="O1070" s="5" t="str">
        <f ca="1">IFERROR(__xludf.DUMMYFUNCTION("""COMPUTED_VALUE"""),"na")</f>
        <v>na</v>
      </c>
      <c r="P1070" s="5" t="str">
        <f ca="1">IFERROR(__xludf.DUMMYFUNCTION("""COMPUTED_VALUE"""),"(424) 380-6572")</f>
        <v>(424) 380-6572</v>
      </c>
      <c r="Q1070" s="5"/>
      <c r="R1070" s="5"/>
      <c r="S1070" s="5"/>
      <c r="T1070" s="18">
        <f ca="1">IFERROR(__xludf.DUMMYFUNCTION("""COMPUTED_VALUE"""),45497)</f>
        <v>45497</v>
      </c>
    </row>
    <row r="1071" spans="1:20" ht="12.75">
      <c r="A1071" s="24">
        <f ca="1">IFERROR(__xludf.DUMMYFUNCTION("""COMPUTED_VALUE"""),45672.6167912499)</f>
        <v>45672.6167912499</v>
      </c>
      <c r="B1071" s="5" t="str">
        <f ca="1">IFERROR(__xludf.DUMMYFUNCTION("""COMPUTED_VALUE"""),"17 Northstar St #105")</f>
        <v>17 Northstar St #105</v>
      </c>
      <c r="C1071" s="5" t="str">
        <f ca="1">IFERROR(__xludf.DUMMYFUNCTION("""COMPUTED_VALUE"""),"Marina Del Rey")</f>
        <v>Marina Del Rey</v>
      </c>
      <c r="D1071" s="5" t="str">
        <f ca="1">IFERROR(__xludf.DUMMYFUNCTION("""COMPUTED_VALUE"""),"CA")</f>
        <v>CA</v>
      </c>
      <c r="E1071" s="5">
        <f ca="1">IFERROR(__xludf.DUMMYFUNCTION("""COMPUTED_VALUE"""),90292)</f>
        <v>90292</v>
      </c>
      <c r="F1071" s="19">
        <f ca="1">IFERROR(__xludf.DUMMYFUNCTION("""COMPUTED_VALUE"""),4698)</f>
        <v>4698</v>
      </c>
      <c r="G1071" s="19">
        <f ca="1">IFERROR(__xludf.DUMMYFUNCTION("""COMPUTED_VALUE"""),5398)</f>
        <v>5398</v>
      </c>
      <c r="H1071" s="18">
        <f ca="1">IFERROR(__xludf.DUMMYFUNCTION("""COMPUTED_VALUE"""),45670)</f>
        <v>45670</v>
      </c>
      <c r="I1071" s="5" t="str">
        <f ca="1">IFERROR(__xludf.DUMMYFUNCTION("""COMPUTED_VALUE"""),"Zillow")</f>
        <v>Zillow</v>
      </c>
      <c r="J1071" s="25" t="str">
        <f ca="1">IFERROR(__xludf.DUMMYFUNCTION("""COMPUTED_VALUE"""),"https://www.zillow.com/homedetails/17-Northstar-St-105-Marina-Del-Rey-CA-90292/2058141802_zpid/")</f>
        <v>https://www.zillow.com/homedetails/17-Northstar-St-105-Marina-Del-Rey-CA-90292/2058141802_zpid/</v>
      </c>
      <c r="K1071" s="5" t="str">
        <f ca="1">IFERROR(__xludf.DUMMYFUNCTION("""COMPUTED_VALUE"""),"Westside Habitats LLC")</f>
        <v>Westside Habitats LLC</v>
      </c>
      <c r="L1071" s="5"/>
      <c r="M1071" s="5" t="str">
        <f ca="1">IFERROR(__xludf.DUMMYFUNCTION("""COMPUTED_VALUE"""),"the place was listed for even less on 1/1, they raised it 4% on 1/9 and then 14% more on the 13th. so it's even worse!")</f>
        <v>the place was listed for even less on 1/1, they raised it 4% on 1/9 and then 14% more on the 13th. so it's even worse!</v>
      </c>
      <c r="N1071" s="26" t="str">
        <f ca="1">IFERROR(__xludf.DUMMYFUNCTION("""COMPUTED_VALUE"""),"https://drive.google.com/open?id=1hHHKtHXShrg1BSxumJl-6jsAjR19qZyp")</f>
        <v>https://drive.google.com/open?id=1hHHKtHXShrg1BSxumJl-6jsAjR19qZyp</v>
      </c>
      <c r="O1071" s="5" t="str">
        <f ca="1">IFERROR(__xludf.DUMMYFUNCTION("""COMPUTED_VALUE"""),"na")</f>
        <v>na</v>
      </c>
      <c r="P1071" s="5" t="str">
        <f ca="1">IFERROR(__xludf.DUMMYFUNCTION("""COMPUTED_VALUE"""),"(424) 401-7532")</f>
        <v>(424) 401-7532</v>
      </c>
      <c r="Q1071" s="5"/>
      <c r="R1071" s="5"/>
      <c r="S1071" s="5"/>
      <c r="T1071" s="18">
        <f ca="1">IFERROR(__xludf.DUMMYFUNCTION("""COMPUTED_VALUE"""),45666)</f>
        <v>45666</v>
      </c>
    </row>
    <row r="1072" spans="1:20" ht="12.75">
      <c r="A1072" s="24">
        <f ca="1">IFERROR(__xludf.DUMMYFUNCTION("""COMPUTED_VALUE"""),45672.6237455092)</f>
        <v>45672.623745509198</v>
      </c>
      <c r="B1072" s="5" t="str">
        <f ca="1">IFERROR(__xludf.DUMMYFUNCTION("""COMPUTED_VALUE"""),"17151 Orange St")</f>
        <v>17151 Orange St</v>
      </c>
      <c r="C1072" s="5" t="str">
        <f ca="1">IFERROR(__xludf.DUMMYFUNCTION("""COMPUTED_VALUE"""),"Fountain Valley")</f>
        <v>Fountain Valley</v>
      </c>
      <c r="D1072" s="5" t="str">
        <f ca="1">IFERROR(__xludf.DUMMYFUNCTION("""COMPUTED_VALUE"""),"CA")</f>
        <v>CA</v>
      </c>
      <c r="E1072" s="5">
        <f ca="1">IFERROR(__xludf.DUMMYFUNCTION("""COMPUTED_VALUE"""),92708)</f>
        <v>92708</v>
      </c>
      <c r="F1072" s="19">
        <f ca="1">IFERROR(__xludf.DUMMYFUNCTION("""COMPUTED_VALUE"""),10000)</f>
        <v>10000</v>
      </c>
      <c r="G1072" s="19">
        <f ca="1">IFERROR(__xludf.DUMMYFUNCTION("""COMPUTED_VALUE"""),12000)</f>
        <v>12000</v>
      </c>
      <c r="H1072" s="18">
        <f ca="1">IFERROR(__xludf.DUMMYFUNCTION("""COMPUTED_VALUE"""),45671)</f>
        <v>45671</v>
      </c>
      <c r="I1072" s="5" t="str">
        <f ca="1">IFERROR(__xludf.DUMMYFUNCTION("""COMPUTED_VALUE"""),"Zillow")</f>
        <v>Zillow</v>
      </c>
      <c r="J1072" s="25" t="str">
        <f ca="1">IFERROR(__xludf.DUMMYFUNCTION("""COMPUTED_VALUE"""),"https://www.zillow.com/homedetails/17151-Orange-St-Fountain-Valley-CA-92708/25294525_zpid/")</f>
        <v>https://www.zillow.com/homedetails/17151-Orange-St-Fountain-Valley-CA-92708/25294525_zpid/</v>
      </c>
      <c r="K1072" s="5" t="str">
        <f ca="1">IFERROR(__xludf.DUMMYFUNCTION("""COMPUTED_VALUE"""),"Shiela")</f>
        <v>Shiela</v>
      </c>
      <c r="L1072" s="5"/>
      <c r="M1072" s="5"/>
      <c r="N1072" s="5" t="str">
        <f ca="1">IFERROR(__xludf.DUMMYFUNCTION("""COMPUTED_VALUE"""),"https://drive.google.com/open?id=13VbuuFGyuvTAddl6rwXpJpKxQKGpRW-i, https://drive.google.com/open?id=1NWau7CZaviBIHsoRzI2QFRx3jar84ZEK, https://drive.google.com/open?id=1k6OA5NVh-dEbwlGYKxhjwK7qPmz7c6m-")</f>
        <v>https://drive.google.com/open?id=13VbuuFGyuvTAddl6rwXpJpKxQKGpRW-i, https://drive.google.com/open?id=1NWau7CZaviBIHsoRzI2QFRx3jar84ZEK, https://drive.google.com/open?id=1k6OA5NVh-dEbwlGYKxhjwK7qPmz7c6m-</v>
      </c>
      <c r="O1072" s="5">
        <f ca="1">IFERROR(__xludf.DUMMYFUNCTION("""COMPUTED_VALUE"""),16721403)</f>
        <v>16721403</v>
      </c>
      <c r="P1072" s="5" t="str">
        <f ca="1">IFERROR(__xludf.DUMMYFUNCTION("""COMPUTED_VALUE"""),"(424) 666-8570")</f>
        <v>(424) 666-8570</v>
      </c>
      <c r="Q1072" s="5"/>
      <c r="R1072" s="5"/>
      <c r="S1072" s="5"/>
      <c r="T1072" s="18">
        <f ca="1">IFERROR(__xludf.DUMMYFUNCTION("""COMPUTED_VALUE"""),45662)</f>
        <v>45662</v>
      </c>
    </row>
    <row r="1073" spans="1:20" ht="12.75">
      <c r="A1073" s="24">
        <f ca="1">IFERROR(__xludf.DUMMYFUNCTION("""COMPUTED_VALUE"""),45672.6260242476)</f>
        <v>45672.626024247598</v>
      </c>
      <c r="B1073" s="5" t="str">
        <f ca="1">IFERROR(__xludf.DUMMYFUNCTION("""COMPUTED_VALUE"""),"4 Highpoint")</f>
        <v>4 Highpoint</v>
      </c>
      <c r="C1073" s="5" t="str">
        <f ca="1">IFERROR(__xludf.DUMMYFUNCTION("""COMPUTED_VALUE"""),"Newport Coast")</f>
        <v>Newport Coast</v>
      </c>
      <c r="D1073" s="5" t="str">
        <f ca="1">IFERROR(__xludf.DUMMYFUNCTION("""COMPUTED_VALUE"""),"CA")</f>
        <v>CA</v>
      </c>
      <c r="E1073" s="5">
        <f ca="1">IFERROR(__xludf.DUMMYFUNCTION("""COMPUTED_VALUE"""),92657)</f>
        <v>92657</v>
      </c>
      <c r="F1073" s="19">
        <f ca="1">IFERROR(__xludf.DUMMYFUNCTION("""COMPUTED_VALUE"""),25000)</f>
        <v>25000</v>
      </c>
      <c r="G1073" s="19">
        <f ca="1">IFERROR(__xludf.DUMMYFUNCTION("""COMPUTED_VALUE"""),29995)</f>
        <v>29995</v>
      </c>
      <c r="H1073" s="18">
        <f ca="1">IFERROR(__xludf.DUMMYFUNCTION("""COMPUTED_VALUE"""),45671)</f>
        <v>45671</v>
      </c>
      <c r="I1073" s="5" t="str">
        <f ca="1">IFERROR(__xludf.DUMMYFUNCTION("""COMPUTED_VALUE"""),"Zillow")</f>
        <v>Zillow</v>
      </c>
      <c r="J1073" s="25" t="str">
        <f ca="1">IFERROR(__xludf.DUMMYFUNCTION("""COMPUTED_VALUE"""),"https://www.zillow.com/homedetails/4-Highpoint-Newport-Coast-CA-92657/63113368_zpid/")</f>
        <v>https://www.zillow.com/homedetails/4-Highpoint-Newport-Coast-CA-92657/63113368_zpid/</v>
      </c>
      <c r="K1073" s="5" t="str">
        <f ca="1">IFERROR(__xludf.DUMMYFUNCTION("""COMPUTED_VALUE"""),"Eva Kmeto, REeBroker Group # 01522411")</f>
        <v>Eva Kmeto, REeBroker Group # 01522411</v>
      </c>
      <c r="L1073" s="5"/>
      <c r="M1073" s="5"/>
      <c r="N1073" s="5" t="str">
        <f ca="1">IFERROR(__xludf.DUMMYFUNCTION("""COMPUTED_VALUE"""),"https://drive.google.com/open?id=1_Wv4i9t46ySM8Q_tcSsGuTMLkpFlHUNY, https://drive.google.com/open?id=1Ur2ziOdtQdMHChB_AibQaYVDXtr_Ve_9, https://drive.google.com/open?id=10u8-5jOApjFXP_15UGa3hbmU7MuHYiBX")</f>
        <v>https://drive.google.com/open?id=1_Wv4i9t46ySM8Q_tcSsGuTMLkpFlHUNY, https://drive.google.com/open?id=1Ur2ziOdtQdMHChB_AibQaYVDXtr_Ve_9, https://drive.google.com/open?id=10u8-5jOApjFXP_15UGa3hbmU7MuHYiBX</v>
      </c>
      <c r="O1073" s="5">
        <f ca="1">IFERROR(__xludf.DUMMYFUNCTION("""COMPUTED_VALUE"""),47845217)</f>
        <v>47845217</v>
      </c>
      <c r="P1073" s="5" t="str">
        <f ca="1">IFERROR(__xludf.DUMMYFUNCTION("""COMPUTED_VALUE"""),"(949) 922-1400")</f>
        <v>(949) 922-1400</v>
      </c>
      <c r="Q1073" s="5"/>
      <c r="R1073" s="5"/>
      <c r="S1073" s="5"/>
      <c r="T1073" s="18">
        <f ca="1">IFERROR(__xludf.DUMMYFUNCTION("""COMPUTED_VALUE"""),45660)</f>
        <v>45660</v>
      </c>
    </row>
    <row r="1074" spans="1:20" ht="12.75">
      <c r="A1074" s="24">
        <f ca="1">IFERROR(__xludf.DUMMYFUNCTION("""COMPUTED_VALUE"""),45672.6267304976)</f>
        <v>45672.626730497599</v>
      </c>
      <c r="B1074" s="5" t="str">
        <f ca="1">IFERROR(__xludf.DUMMYFUNCTION("""COMPUTED_VALUE"""),"2438 Riverside Pl")</f>
        <v>2438 Riverside Pl</v>
      </c>
      <c r="C1074" s="5" t="str">
        <f ca="1">IFERROR(__xludf.DUMMYFUNCTION("""COMPUTED_VALUE"""),"Los Angeles")</f>
        <v>Los Angeles</v>
      </c>
      <c r="D1074" s="5" t="str">
        <f ca="1">IFERROR(__xludf.DUMMYFUNCTION("""COMPUTED_VALUE"""),"CA")</f>
        <v>CA</v>
      </c>
      <c r="E1074" s="5">
        <f ca="1">IFERROR(__xludf.DUMMYFUNCTION("""COMPUTED_VALUE"""),90039)</f>
        <v>90039</v>
      </c>
      <c r="F1074" s="19">
        <f ca="1">IFERROR(__xludf.DUMMYFUNCTION("""COMPUTED_VALUE"""),14000)</f>
        <v>14000</v>
      </c>
      <c r="G1074" s="19">
        <f ca="1">IFERROR(__xludf.DUMMYFUNCTION("""COMPUTED_VALUE"""),22000)</f>
        <v>22000</v>
      </c>
      <c r="H1074" s="18">
        <f ca="1">IFERROR(__xludf.DUMMYFUNCTION("""COMPUTED_VALUE"""),45672)</f>
        <v>45672</v>
      </c>
      <c r="I1074" s="5" t="str">
        <f ca="1">IFERROR(__xludf.DUMMYFUNCTION("""COMPUTED_VALUE"""),"Redfin")</f>
        <v>Redfin</v>
      </c>
      <c r="J1074" s="25" t="str">
        <f ca="1">IFERROR(__xludf.DUMMYFUNCTION("""COMPUTED_VALUE"""),"https://www.redfin.com/CA/Los-Angeles/2438-Riverside-Pl-90039/home/7067705")</f>
        <v>https://www.redfin.com/CA/Los-Angeles/2438-Riverside-Pl-90039/home/7067705</v>
      </c>
      <c r="K1074" s="5" t="str">
        <f ca="1">IFERROR(__xludf.DUMMYFUNCTION("""COMPUTED_VALUE"""),"Vlad Gold")</f>
        <v>Vlad Gold</v>
      </c>
      <c r="L1074" s="5"/>
      <c r="M1074" s="5"/>
      <c r="N1074" s="26" t="str">
        <f ca="1">IFERROR(__xludf.DUMMYFUNCTION("""COMPUTED_VALUE"""),"https://drive.google.com/open?id=1l9XPPaxac-Q809Pn--CrN4IVceVDT_xZ")</f>
        <v>https://drive.google.com/open?id=1l9XPPaxac-Q809Pn--CrN4IVceVDT_xZ</v>
      </c>
      <c r="O1074" s="5">
        <f ca="1">IFERROR(__xludf.DUMMYFUNCTION("""COMPUTED_VALUE"""),5440026026)</f>
        <v>5440026026</v>
      </c>
      <c r="P1074" s="5" t="str">
        <f ca="1">IFERROR(__xludf.DUMMYFUNCTION("""COMPUTED_VALUE"""),"310-403-3969")</f>
        <v>310-403-3969</v>
      </c>
      <c r="Q1074" s="5" t="str">
        <f ca="1">IFERROR(__xludf.DUMMYFUNCTION("""COMPUTED_VALUE"""),"vladgold37@gmail.com")</f>
        <v>vladgold37@gmail.com</v>
      </c>
      <c r="R1074" s="5"/>
      <c r="S1074" s="5"/>
      <c r="T1074" s="18">
        <f ca="1">IFERROR(__xludf.DUMMYFUNCTION("""COMPUTED_VALUE"""),45292)</f>
        <v>45292</v>
      </c>
    </row>
    <row r="1075" spans="1:20" ht="12.75">
      <c r="A1075" s="24">
        <f ca="1">IFERROR(__xludf.DUMMYFUNCTION("""COMPUTED_VALUE"""),45672.6284547453)</f>
        <v>45672.628454745303</v>
      </c>
      <c r="B1075" s="5" t="str">
        <f ca="1">IFERROR(__xludf.DUMMYFUNCTION("""COMPUTED_VALUE"""),"20305 Chapter Drive")</f>
        <v>20305 Chapter Drive</v>
      </c>
      <c r="C1075" s="5" t="str">
        <f ca="1">IFERROR(__xludf.DUMMYFUNCTION("""COMPUTED_VALUE"""),"Woodland Hills")</f>
        <v>Woodland Hills</v>
      </c>
      <c r="D1075" s="5" t="str">
        <f ca="1">IFERROR(__xludf.DUMMYFUNCTION("""COMPUTED_VALUE"""),"CA")</f>
        <v>CA</v>
      </c>
      <c r="E1075" s="5">
        <f ca="1">IFERROR(__xludf.DUMMYFUNCTION("""COMPUTED_VALUE"""),91364)</f>
        <v>91364</v>
      </c>
      <c r="F1075" s="19">
        <f ca="1">IFERROR(__xludf.DUMMYFUNCTION("""COMPUTED_VALUE"""),7700)</f>
        <v>7700</v>
      </c>
      <c r="G1075" s="19">
        <f ca="1">IFERROR(__xludf.DUMMYFUNCTION("""COMPUTED_VALUE"""),9500)</f>
        <v>9500</v>
      </c>
      <c r="H1075" s="18">
        <f ca="1">IFERROR(__xludf.DUMMYFUNCTION("""COMPUTED_VALUE"""),45672)</f>
        <v>45672</v>
      </c>
      <c r="I1075" s="5" t="str">
        <f ca="1">IFERROR(__xludf.DUMMYFUNCTION("""COMPUTED_VALUE"""),"Trulia")</f>
        <v>Trulia</v>
      </c>
      <c r="J1075" s="25" t="str">
        <f ca="1">IFERROR(__xludf.DUMMYFUNCTION("""COMPUTED_VALUE"""),"https://www.trulia.com/home/20305-chapter-dr-woodland-hills-ca-91364-19946171")</f>
        <v>https://www.trulia.com/home/20305-chapter-dr-woodland-hills-ca-91364-19946171</v>
      </c>
      <c r="K1075" s="5" t="str">
        <f ca="1">IFERROR(__xludf.DUMMYFUNCTION("""COMPUTED_VALUE"""),"Max Sidelnik - The Agency")</f>
        <v>Max Sidelnik - The Agency</v>
      </c>
      <c r="L1075" s="5"/>
      <c r="M1075" s="5"/>
      <c r="N1075" s="26" t="str">
        <f ca="1">IFERROR(__xludf.DUMMYFUNCTION("""COMPUTED_VALUE"""),"https://drive.google.com/open?id=1zr1hIsVj2Bpsljn7maT5DSq_pux-KJDi")</f>
        <v>https://drive.google.com/open?id=1zr1hIsVj2Bpsljn7maT5DSq_pux-KJDi</v>
      </c>
      <c r="O1075" s="5" t="str">
        <f ca="1">IFERROR(__xludf.DUMMYFUNCTION("""COMPUTED_VALUE"""),"NA")</f>
        <v>NA</v>
      </c>
      <c r="P1075" s="5" t="str">
        <f ca="1">IFERROR(__xludf.DUMMYFUNCTION("""COMPUTED_VALUE"""),"818-212-9863")</f>
        <v>818-212-9863</v>
      </c>
      <c r="Q1075" s="5"/>
      <c r="R1075" s="5"/>
      <c r="S1075" s="5"/>
      <c r="T1075" s="18">
        <f ca="1">IFERROR(__xludf.DUMMYFUNCTION("""COMPUTED_VALUE"""),45379)</f>
        <v>45379</v>
      </c>
    </row>
    <row r="1076" spans="1:20" ht="12.75">
      <c r="A1076" s="24">
        <f ca="1">IFERROR(__xludf.DUMMYFUNCTION("""COMPUTED_VALUE"""),45672.6436648726)</f>
        <v>45672.643664872601</v>
      </c>
      <c r="B1076" s="5" t="str">
        <f ca="1">IFERROR(__xludf.DUMMYFUNCTION("""COMPUTED_VALUE"""),"380 Trousdale Pl")</f>
        <v>380 Trousdale Pl</v>
      </c>
      <c r="C1076" s="5" t="str">
        <f ca="1">IFERROR(__xludf.DUMMYFUNCTION("""COMPUTED_VALUE"""),"Beverly Hills")</f>
        <v>Beverly Hills</v>
      </c>
      <c r="D1076" s="5" t="str">
        <f ca="1">IFERROR(__xludf.DUMMYFUNCTION("""COMPUTED_VALUE"""),"CA")</f>
        <v>CA</v>
      </c>
      <c r="E1076" s="5">
        <f ca="1">IFERROR(__xludf.DUMMYFUNCTION("""COMPUTED_VALUE"""),90210)</f>
        <v>90210</v>
      </c>
      <c r="F1076" s="19">
        <f ca="1">IFERROR(__xludf.DUMMYFUNCTION("""COMPUTED_VALUE"""),50000)</f>
        <v>50000</v>
      </c>
      <c r="G1076" s="19">
        <f ca="1">IFERROR(__xludf.DUMMYFUNCTION("""COMPUTED_VALUE"""),88000)</f>
        <v>88000</v>
      </c>
      <c r="H1076" s="18">
        <f ca="1">IFERROR(__xludf.DUMMYFUNCTION("""COMPUTED_VALUE"""),45665)</f>
        <v>45665</v>
      </c>
      <c r="I1076" s="5" t="str">
        <f ca="1">IFERROR(__xludf.DUMMYFUNCTION("""COMPUTED_VALUE"""),"Zillow")</f>
        <v>Zillow</v>
      </c>
      <c r="J1076" s="25" t="str">
        <f ca="1">IFERROR(__xludf.DUMMYFUNCTION("""COMPUTED_VALUE"""),"https://www.zillow.com/homedetails/380-Trousdale-Pl-Beverly-Hills-CA-90210/20534471_zpid/")</f>
        <v>https://www.zillow.com/homedetails/380-Trousdale-Pl-Beverly-Hills-CA-90210/20534471_zpid/</v>
      </c>
      <c r="K1076" s="5" t="str">
        <f ca="1">IFERROR(__xludf.DUMMYFUNCTION("""COMPUTED_VALUE"""),"Safir Shamsi")</f>
        <v>Safir Shamsi</v>
      </c>
      <c r="L1076" s="5"/>
      <c r="M1076" s="5"/>
      <c r="N1076" s="26" t="str">
        <f ca="1">IFERROR(__xludf.DUMMYFUNCTION("""COMPUTED_VALUE"""),"https://drive.google.com/open?id=1iSXeJt-VLpo3KsqcKRctBxVgfN_f5hjZ")</f>
        <v>https://drive.google.com/open?id=1iSXeJt-VLpo3KsqcKRctBxVgfN_f5hjZ</v>
      </c>
      <c r="O1076" s="5" t="str">
        <f ca="1">IFERROR(__xludf.DUMMYFUNCTION("""COMPUTED_VALUE"""),"4391-016-004")</f>
        <v>4391-016-004</v>
      </c>
      <c r="P1076" s="5" t="str">
        <f ca="1">IFERROR(__xludf.DUMMYFUNCTION("""COMPUTED_VALUE"""),"310-400-2046")</f>
        <v>310-400-2046</v>
      </c>
      <c r="Q1076" s="5"/>
      <c r="R1076" s="5"/>
      <c r="S1076" s="5"/>
      <c r="T1076" s="18">
        <f ca="1">IFERROR(__xludf.DUMMYFUNCTION("""COMPUTED_VALUE"""),45582)</f>
        <v>45582</v>
      </c>
    </row>
    <row r="1077" spans="1:20" ht="12.75">
      <c r="A1077" s="24">
        <f ca="1">IFERROR(__xludf.DUMMYFUNCTION("""COMPUTED_VALUE"""),45672.6472967708)</f>
        <v>45672.647296770803</v>
      </c>
      <c r="B1077" s="5" t="str">
        <f ca="1">IFERROR(__xludf.DUMMYFUNCTION("""COMPUTED_VALUE"""),"9982 Beverly Grove")</f>
        <v>9982 Beverly Grove</v>
      </c>
      <c r="C1077" s="5" t="str">
        <f ca="1">IFERROR(__xludf.DUMMYFUNCTION("""COMPUTED_VALUE"""),"Beverly Hills")</f>
        <v>Beverly Hills</v>
      </c>
      <c r="D1077" s="5" t="str">
        <f ca="1">IFERROR(__xludf.DUMMYFUNCTION("""COMPUTED_VALUE"""),"CA")</f>
        <v>CA</v>
      </c>
      <c r="E1077" s="5">
        <f ca="1">IFERROR(__xludf.DUMMYFUNCTION("""COMPUTED_VALUE"""),90210)</f>
        <v>90210</v>
      </c>
      <c r="F1077" s="19">
        <f ca="1">IFERROR(__xludf.DUMMYFUNCTION("""COMPUTED_VALUE"""),65000)</f>
        <v>65000</v>
      </c>
      <c r="G1077" s="19">
        <f ca="1">IFERROR(__xludf.DUMMYFUNCTION("""COMPUTED_VALUE"""),85000)</f>
        <v>85000</v>
      </c>
      <c r="H1077" s="18">
        <f ca="1">IFERROR(__xludf.DUMMYFUNCTION("""COMPUTED_VALUE"""),45669)</f>
        <v>45669</v>
      </c>
      <c r="I1077" s="5" t="str">
        <f ca="1">IFERROR(__xludf.DUMMYFUNCTION("""COMPUTED_VALUE"""),"Zillow")</f>
        <v>Zillow</v>
      </c>
      <c r="J1077" s="25" t="str">
        <f ca="1">IFERROR(__xludf.DUMMYFUNCTION("""COMPUTED_VALUE"""),"https://www.zillow.com/homedetails/9982-Beverly-Grove-Dr-Beverly-Hills-CA-90210/250218875_zpid/")</f>
        <v>https://www.zillow.com/homedetails/9982-Beverly-Grove-Dr-Beverly-Hills-CA-90210/250218875_zpid/</v>
      </c>
      <c r="K1077" s="5" t="str">
        <f ca="1">IFERROR(__xludf.DUMMYFUNCTION("""COMPUTED_VALUE"""),"Jordan Pollack")</f>
        <v>Jordan Pollack</v>
      </c>
      <c r="L1077" s="5"/>
      <c r="M1077" s="5"/>
      <c r="N1077" s="26" t="str">
        <f ca="1">IFERROR(__xludf.DUMMYFUNCTION("""COMPUTED_VALUE"""),"https://drive.google.com/open?id=16NEcVCFACU4RoRKztFijkyzu0aRrpxrv")</f>
        <v>https://drive.google.com/open?id=16NEcVCFACU4RoRKztFijkyzu0aRrpxrv</v>
      </c>
      <c r="O1077" s="5" t="str">
        <f ca="1">IFERROR(__xludf.DUMMYFUNCTION("""COMPUTED_VALUE"""),"4356-014-022")</f>
        <v>4356-014-022</v>
      </c>
      <c r="P1077" s="5" t="str">
        <f ca="1">IFERROR(__xludf.DUMMYFUNCTION("""COMPUTED_VALUE"""),"310-666-5736")</f>
        <v>310-666-5736</v>
      </c>
      <c r="Q1077" s="5"/>
      <c r="R1077" s="5"/>
      <c r="S1077" s="5"/>
      <c r="T1077" s="18">
        <f ca="1">IFERROR(__xludf.DUMMYFUNCTION("""COMPUTED_VALUE"""),45656)</f>
        <v>45656</v>
      </c>
    </row>
    <row r="1078" spans="1:20" ht="12.75">
      <c r="A1078" s="24">
        <f ca="1">IFERROR(__xludf.DUMMYFUNCTION("""COMPUTED_VALUE"""),45672.6513125925)</f>
        <v>45672.651312592498</v>
      </c>
      <c r="B1078" s="5" t="str">
        <f ca="1">IFERROR(__xludf.DUMMYFUNCTION("""COMPUTED_VALUE"""),"1124 Marilyn Dr")</f>
        <v>1124 Marilyn Dr</v>
      </c>
      <c r="C1078" s="5" t="str">
        <f ca="1">IFERROR(__xludf.DUMMYFUNCTION("""COMPUTED_VALUE"""),"Beverly Hills")</f>
        <v>Beverly Hills</v>
      </c>
      <c r="D1078" s="5" t="str">
        <f ca="1">IFERROR(__xludf.DUMMYFUNCTION("""COMPUTED_VALUE"""),"CA")</f>
        <v>CA</v>
      </c>
      <c r="E1078" s="5">
        <f ca="1">IFERROR(__xludf.DUMMYFUNCTION("""COMPUTED_VALUE"""),90210)</f>
        <v>90210</v>
      </c>
      <c r="F1078" s="19">
        <f ca="1">IFERROR(__xludf.DUMMYFUNCTION("""COMPUTED_VALUE"""),65000)</f>
        <v>65000</v>
      </c>
      <c r="G1078" s="19">
        <f ca="1">IFERROR(__xludf.DUMMYFUNCTION("""COMPUTED_VALUE"""),75000)</f>
        <v>75000</v>
      </c>
      <c r="H1078" s="18">
        <f ca="1">IFERROR(__xludf.DUMMYFUNCTION("""COMPUTED_VALUE"""),45665)</f>
        <v>45665</v>
      </c>
      <c r="I1078" s="5" t="str">
        <f ca="1">IFERROR(__xludf.DUMMYFUNCTION("""COMPUTED_VALUE"""),"Zillow")</f>
        <v>Zillow</v>
      </c>
      <c r="J1078" s="25" t="str">
        <f ca="1">IFERROR(__xludf.DUMMYFUNCTION("""COMPUTED_VALUE"""),"https://www.zillow.com/homedetails/1124-Marilyn-Dr-Beverly-Hills-CA-90210/20522013_zpid/")</f>
        <v>https://www.zillow.com/homedetails/1124-Marilyn-Dr-Beverly-Hills-CA-90210/20522013_zpid/</v>
      </c>
      <c r="K1078" s="5" t="str">
        <f ca="1">IFERROR(__xludf.DUMMYFUNCTION("""COMPUTED_VALUE"""),"Shauna Walters")</f>
        <v>Shauna Walters</v>
      </c>
      <c r="L1078" s="5"/>
      <c r="M1078" s="5"/>
      <c r="N1078" s="26" t="str">
        <f ca="1">IFERROR(__xludf.DUMMYFUNCTION("""COMPUTED_VALUE"""),"https://drive.google.com/open?id=1OqVE97wue_Ih3ahuTnzXapbTt1klDBvq")</f>
        <v>https://drive.google.com/open?id=1OqVE97wue_Ih3ahuTnzXapbTt1klDBvq</v>
      </c>
      <c r="O1078" s="5" t="str">
        <f ca="1">IFERROR(__xludf.DUMMYFUNCTION("""COMPUTED_VALUE"""),"4348-003-014")</f>
        <v>4348-003-014</v>
      </c>
      <c r="P1078" s="5" t="str">
        <f ca="1">IFERROR(__xludf.DUMMYFUNCTION("""COMPUTED_VALUE"""),"310-775-1106")</f>
        <v>310-775-1106</v>
      </c>
      <c r="Q1078" s="5"/>
      <c r="R1078" s="5"/>
      <c r="S1078" s="5"/>
      <c r="T1078" s="18">
        <f ca="1">IFERROR(__xludf.DUMMYFUNCTION("""COMPUTED_VALUE"""),45553)</f>
        <v>45553</v>
      </c>
    </row>
    <row r="1079" spans="1:20" ht="12.75">
      <c r="A1079" s="24">
        <f ca="1">IFERROR(__xludf.DUMMYFUNCTION("""COMPUTED_VALUE"""),45672.6513873148)</f>
        <v>45672.6513873148</v>
      </c>
      <c r="B1079" s="5" t="str">
        <f ca="1">IFERROR(__xludf.DUMMYFUNCTION("""COMPUTED_VALUE"""),"1104 Casiano Road")</f>
        <v>1104 Casiano Road</v>
      </c>
      <c r="C1079" s="5" t="str">
        <f ca="1">IFERROR(__xludf.DUMMYFUNCTION("""COMPUTED_VALUE"""),"Los Angeles")</f>
        <v>Los Angeles</v>
      </c>
      <c r="D1079" s="5" t="str">
        <f ca="1">IFERROR(__xludf.DUMMYFUNCTION("""COMPUTED_VALUE"""),"CA")</f>
        <v>CA</v>
      </c>
      <c r="E1079" s="5">
        <f ca="1">IFERROR(__xludf.DUMMYFUNCTION("""COMPUTED_VALUE"""),90049)</f>
        <v>90049</v>
      </c>
      <c r="F1079" s="19">
        <f ca="1">IFERROR(__xludf.DUMMYFUNCTION("""COMPUTED_VALUE"""),8950)</f>
        <v>8950</v>
      </c>
      <c r="G1079" s="19">
        <f ca="1">IFERROR(__xludf.DUMMYFUNCTION("""COMPUTED_VALUE"""),12900)</f>
        <v>12900</v>
      </c>
      <c r="H1079" s="18">
        <f ca="1">IFERROR(__xludf.DUMMYFUNCTION("""COMPUTED_VALUE"""),45672)</f>
        <v>45672</v>
      </c>
      <c r="I1079" s="5" t="str">
        <f ca="1">IFERROR(__xludf.DUMMYFUNCTION("""COMPUTED_VALUE"""),"Trulia")</f>
        <v>Trulia</v>
      </c>
      <c r="J1079" s="25" t="str">
        <f ca="1">IFERROR(__xludf.DUMMYFUNCTION("""COMPUTED_VALUE"""),"https://www.trulia.com/home/1104-casiano-rd-los-angeles-ca-90049-20528677")</f>
        <v>https://www.trulia.com/home/1104-casiano-rd-los-angeles-ca-90049-20528677</v>
      </c>
      <c r="K1079" s="5" t="str">
        <f ca="1">IFERROR(__xludf.DUMMYFUNCTION("""COMPUTED_VALUE"""),"Dina Goldstein")</f>
        <v>Dina Goldstein</v>
      </c>
      <c r="L1079" s="5"/>
      <c r="M1079" s="5"/>
      <c r="N1079" s="26" t="str">
        <f ca="1">IFERROR(__xludf.DUMMYFUNCTION("""COMPUTED_VALUE"""),"https://drive.google.com/open?id=1mYHBjyyeMhkIXnoFTs_7cr_BNrjfLcqN")</f>
        <v>https://drive.google.com/open?id=1mYHBjyyeMhkIXnoFTs_7cr_BNrjfLcqN</v>
      </c>
      <c r="O1079" s="5" t="str">
        <f ca="1">IFERROR(__xludf.DUMMYFUNCTION("""COMPUTED_VALUE"""),"NA")</f>
        <v>NA</v>
      </c>
      <c r="P1079" s="5" t="str">
        <f ca="1">IFERROR(__xludf.DUMMYFUNCTION("""COMPUTED_VALUE"""),"213-772-5631")</f>
        <v>213-772-5631</v>
      </c>
      <c r="Q1079" s="5"/>
      <c r="R1079" s="5"/>
      <c r="S1079" s="5"/>
      <c r="T1079" s="18">
        <f ca="1">IFERROR(__xludf.DUMMYFUNCTION("""COMPUTED_VALUE"""),45598)</f>
        <v>45598</v>
      </c>
    </row>
    <row r="1080" spans="1:20" ht="12.75">
      <c r="A1080" s="24">
        <f ca="1">IFERROR(__xludf.DUMMYFUNCTION("""COMPUTED_VALUE"""),45672.6518624074)</f>
        <v>45672.651862407401</v>
      </c>
      <c r="B1080" s="5" t="str">
        <f ca="1">IFERROR(__xludf.DUMMYFUNCTION("""COMPUTED_VALUE"""),"204 N Woodland Ct")</f>
        <v>204 N Woodland Ct</v>
      </c>
      <c r="C1080" s="5" t="str">
        <f ca="1">IFERROR(__xludf.DUMMYFUNCTION("""COMPUTED_VALUE"""),"Montebello")</f>
        <v>Montebello</v>
      </c>
      <c r="D1080" s="5" t="str">
        <f ca="1">IFERROR(__xludf.DUMMYFUNCTION("""COMPUTED_VALUE"""),"CA")</f>
        <v>CA</v>
      </c>
      <c r="E1080" s="5">
        <f ca="1">IFERROR(__xludf.DUMMYFUNCTION("""COMPUTED_VALUE"""),90640)</f>
        <v>90640</v>
      </c>
      <c r="F1080" s="19">
        <f ca="1">IFERROR(__xludf.DUMMYFUNCTION("""COMPUTED_VALUE"""),3500)</f>
        <v>3500</v>
      </c>
      <c r="G1080" s="19">
        <f ca="1">IFERROR(__xludf.DUMMYFUNCTION("""COMPUTED_VALUE"""),7500)</f>
        <v>7500</v>
      </c>
      <c r="H1080" s="18">
        <f ca="1">IFERROR(__xludf.DUMMYFUNCTION("""COMPUTED_VALUE"""),45666)</f>
        <v>45666</v>
      </c>
      <c r="I1080" s="5" t="str">
        <f ca="1">IFERROR(__xludf.DUMMYFUNCTION("""COMPUTED_VALUE"""),"Zillow")</f>
        <v>Zillow</v>
      </c>
      <c r="J1080" s="25" t="str">
        <f ca="1">IFERROR(__xludf.DUMMYFUNCTION("""COMPUTED_VALUE"""),"https://www.zillow.com/homedetails/204-N-Woodland-Ct-Montebello-CA-90640/21084634_zpid/")</f>
        <v>https://www.zillow.com/homedetails/204-N-Woodland-Ct-Montebello-CA-90640/21084634_zpid/</v>
      </c>
      <c r="K1080" s="5" t="str">
        <f ca="1">IFERROR(__xludf.DUMMYFUNCTION("""COMPUTED_VALUE"""),"J GONZALEZ")</f>
        <v>J GONZALEZ</v>
      </c>
      <c r="L1080" s="5"/>
      <c r="M1080" s="5"/>
      <c r="N1080" s="26" t="str">
        <f ca="1">IFERROR(__xludf.DUMMYFUNCTION("""COMPUTED_VALUE"""),"https://drive.google.com/open?id=1k_ma6Gda-nBDFW9vc7UFi3rizsrZDvJw")</f>
        <v>https://drive.google.com/open?id=1k_ma6Gda-nBDFW9vc7UFi3rizsrZDvJw</v>
      </c>
      <c r="O1080" s="5">
        <f ca="1">IFERROR(__xludf.DUMMYFUNCTION("""COMPUTED_VALUE"""),6345016043)</f>
        <v>6345016043</v>
      </c>
      <c r="P1080" s="5" t="str">
        <f ca="1">IFERROR(__xludf.DUMMYFUNCTION("""COMPUTED_VALUE"""),"(323) 574-5322")</f>
        <v>(323) 574-5322</v>
      </c>
      <c r="Q1080" s="5"/>
      <c r="R1080" s="5"/>
      <c r="S1080" s="5"/>
      <c r="T1080" s="18">
        <f ca="1">IFERROR(__xludf.DUMMYFUNCTION("""COMPUTED_VALUE"""),43532)</f>
        <v>43532</v>
      </c>
    </row>
    <row r="1081" spans="1:20" ht="12.75">
      <c r="A1081" s="24">
        <f ca="1">IFERROR(__xludf.DUMMYFUNCTION("""COMPUTED_VALUE"""),45672.6542125347)</f>
        <v>45672.654212534697</v>
      </c>
      <c r="B1081" s="5" t="str">
        <f ca="1">IFERROR(__xludf.DUMMYFUNCTION("""COMPUTED_VALUE"""),"2189 Sunset Plaza Dr")</f>
        <v>2189 Sunset Plaza Dr</v>
      </c>
      <c r="C1081" s="5" t="str">
        <f ca="1">IFERROR(__xludf.DUMMYFUNCTION("""COMPUTED_VALUE"""),"Los Angeles")</f>
        <v>Los Angeles</v>
      </c>
      <c r="D1081" s="5" t="str">
        <f ca="1">IFERROR(__xludf.DUMMYFUNCTION("""COMPUTED_VALUE"""),"CA")</f>
        <v>CA</v>
      </c>
      <c r="E1081" s="5">
        <f ca="1">IFERROR(__xludf.DUMMYFUNCTION("""COMPUTED_VALUE"""),90069)</f>
        <v>90069</v>
      </c>
      <c r="F1081" s="19">
        <f ca="1">IFERROR(__xludf.DUMMYFUNCTION("""COMPUTED_VALUE"""),35000)</f>
        <v>35000</v>
      </c>
      <c r="G1081" s="19">
        <f ca="1">IFERROR(__xludf.DUMMYFUNCTION("""COMPUTED_VALUE"""),45000)</f>
        <v>45000</v>
      </c>
      <c r="H1081" s="18">
        <f ca="1">IFERROR(__xludf.DUMMYFUNCTION("""COMPUTED_VALUE"""),45668)</f>
        <v>45668</v>
      </c>
      <c r="I1081" s="5" t="str">
        <f ca="1">IFERROR(__xludf.DUMMYFUNCTION("""COMPUTED_VALUE"""),"Zillow")</f>
        <v>Zillow</v>
      </c>
      <c r="J1081" s="25" t="str">
        <f ca="1">IFERROR(__xludf.DUMMYFUNCTION("""COMPUTED_VALUE"""),"https://www.zillow.com/homedetails/2189-Sunset-Plaza-Dr-Los-Angeles-CA-90069/20800086_zpid/")</f>
        <v>https://www.zillow.com/homedetails/2189-Sunset-Plaza-Dr-Los-Angeles-CA-90069/20800086_zpid/</v>
      </c>
      <c r="K1081" s="5" t="str">
        <f ca="1">IFERROR(__xludf.DUMMYFUNCTION("""COMPUTED_VALUE"""),"Luis Pezzini")</f>
        <v>Luis Pezzini</v>
      </c>
      <c r="L1081" s="5"/>
      <c r="M1081" s="5"/>
      <c r="N1081" s="26" t="str">
        <f ca="1">IFERROR(__xludf.DUMMYFUNCTION("""COMPUTED_VALUE"""),"https://drive.google.com/open?id=13oGol5JAIYsprYrqsunEo5rg-_06HAM6")</f>
        <v>https://drive.google.com/open?id=13oGol5JAIYsprYrqsunEo5rg-_06HAM6</v>
      </c>
      <c r="O1081" s="5" t="str">
        <f ca="1">IFERROR(__xludf.DUMMYFUNCTION("""COMPUTED_VALUE"""),"5562-019-012")</f>
        <v>5562-019-012</v>
      </c>
      <c r="P1081" s="5" t="str">
        <f ca="1">IFERROR(__xludf.DUMMYFUNCTION("""COMPUTED_VALUE"""),"818-445-9557")</f>
        <v>818-445-9557</v>
      </c>
      <c r="Q1081" s="5"/>
      <c r="R1081" s="5"/>
      <c r="S1081" s="5"/>
      <c r="T1081" s="18">
        <f ca="1">IFERROR(__xludf.DUMMYFUNCTION("""COMPUTED_VALUE"""),45657)</f>
        <v>45657</v>
      </c>
    </row>
    <row r="1082" spans="1:20" ht="12.75">
      <c r="A1082" s="24">
        <f ca="1">IFERROR(__xludf.DUMMYFUNCTION("""COMPUTED_VALUE"""),45672.6567712615)</f>
        <v>45672.6567712615</v>
      </c>
      <c r="B1082" s="5" t="str">
        <f ca="1">IFERROR(__xludf.DUMMYFUNCTION("""COMPUTED_VALUE"""),"16308 Mountain Ln")</f>
        <v>16308 Mountain Ln</v>
      </c>
      <c r="C1082" s="5" t="str">
        <f ca="1">IFERROR(__xludf.DUMMYFUNCTION("""COMPUTED_VALUE"""),"Santa Clarita")</f>
        <v>Santa Clarita</v>
      </c>
      <c r="D1082" s="5" t="str">
        <f ca="1">IFERROR(__xludf.DUMMYFUNCTION("""COMPUTED_VALUE"""),"CA")</f>
        <v>CA</v>
      </c>
      <c r="E1082" s="5">
        <f ca="1">IFERROR(__xludf.DUMMYFUNCTION("""COMPUTED_VALUE"""),91387)</f>
        <v>91387</v>
      </c>
      <c r="F1082" s="19">
        <f ca="1">IFERROR(__xludf.DUMMYFUNCTION("""COMPUTED_VALUE"""),12350)</f>
        <v>12350</v>
      </c>
      <c r="G1082" s="19">
        <f ca="1">IFERROR(__xludf.DUMMYFUNCTION("""COMPUTED_VALUE"""),13950)</f>
        <v>13950</v>
      </c>
      <c r="H1082" s="18">
        <f ca="1">IFERROR(__xludf.DUMMYFUNCTION("""COMPUTED_VALUE"""),45671)</f>
        <v>45671</v>
      </c>
      <c r="I1082" s="5" t="str">
        <f ca="1">IFERROR(__xludf.DUMMYFUNCTION("""COMPUTED_VALUE"""),"Zillow")</f>
        <v>Zillow</v>
      </c>
      <c r="J1082" s="25" t="str">
        <f ca="1">IFERROR(__xludf.DUMMYFUNCTION("""COMPUTED_VALUE"""),"https://www.zillow.com/homedetails/16308-Mountain-Ln-Santa-Clarita-CA-91387/63088618_zpid/")</f>
        <v>https://www.zillow.com/homedetails/16308-Mountain-Ln-Santa-Clarita-CA-91387/63088618_zpid/</v>
      </c>
      <c r="K1082" s="5" t="str">
        <f ca="1">IFERROR(__xludf.DUMMYFUNCTION("""COMPUTED_VALUE"""),"Katy, Temporary Housing Inc")</f>
        <v>Katy, Temporary Housing Inc</v>
      </c>
      <c r="L1082" s="5"/>
      <c r="M1082" s="5"/>
      <c r="N1082" s="5" t="str">
        <f ca="1">IFERROR(__xludf.DUMMYFUNCTION("""COMPUTED_VALUE"""),"https://drive.google.com/open?id=14EnYTNrWR3F0Cu2oxGYjt2f13xz1jilu, https://drive.google.com/open?id=1d9_vT1BEFY54GLMAnMHZCW6zp11FIFrV, https://drive.google.com/open?id=1ao-kbMvWW1FexpxmtUSa26rxjYwLb0cG")</f>
        <v>https://drive.google.com/open?id=14EnYTNrWR3F0Cu2oxGYjt2f13xz1jilu, https://drive.google.com/open?id=1d9_vT1BEFY54GLMAnMHZCW6zp11FIFrV, https://drive.google.com/open?id=1ao-kbMvWW1FexpxmtUSa26rxjYwLb0cG</v>
      </c>
      <c r="O1082" s="5">
        <f ca="1">IFERROR(__xludf.DUMMYFUNCTION("""COMPUTED_VALUE"""),2839054022)</f>
        <v>2839054022</v>
      </c>
      <c r="P1082" s="5" t="str">
        <f ca="1">IFERROR(__xludf.DUMMYFUNCTION("""COMPUTED_VALUE"""),"(310) 938-8723")</f>
        <v>(310) 938-8723</v>
      </c>
      <c r="Q1082" s="5"/>
      <c r="R1082" s="5"/>
      <c r="S1082" s="5"/>
      <c r="T1082" s="18">
        <f ca="1">IFERROR(__xludf.DUMMYFUNCTION("""COMPUTED_VALUE"""),45656)</f>
        <v>45656</v>
      </c>
    </row>
    <row r="1083" spans="1:20" ht="12.75">
      <c r="A1083" s="24">
        <f ca="1">IFERROR(__xludf.DUMMYFUNCTION("""COMPUTED_VALUE"""),45672.6570246643)</f>
        <v>45672.657024664302</v>
      </c>
      <c r="B1083" s="5" t="str">
        <f ca="1">IFERROR(__xludf.DUMMYFUNCTION("""COMPUTED_VALUE"""),"813 N Doheny Dr ")</f>
        <v xml:space="preserve">813 N Doheny Dr </v>
      </c>
      <c r="C1083" s="5" t="str">
        <f ca="1">IFERROR(__xludf.DUMMYFUNCTION("""COMPUTED_VALUE"""),"Beverly Hills")</f>
        <v>Beverly Hills</v>
      </c>
      <c r="D1083" s="5" t="str">
        <f ca="1">IFERROR(__xludf.DUMMYFUNCTION("""COMPUTED_VALUE"""),"CA")</f>
        <v>CA</v>
      </c>
      <c r="E1083" s="5">
        <f ca="1">IFERROR(__xludf.DUMMYFUNCTION("""COMPUTED_VALUE"""),90210)</f>
        <v>90210</v>
      </c>
      <c r="F1083" s="19">
        <f ca="1">IFERROR(__xludf.DUMMYFUNCTION("""COMPUTED_VALUE"""),22975)</f>
        <v>22975</v>
      </c>
      <c r="G1083" s="19">
        <f ca="1">IFERROR(__xludf.DUMMYFUNCTION("""COMPUTED_VALUE"""),39975)</f>
        <v>39975</v>
      </c>
      <c r="H1083" s="18">
        <f ca="1">IFERROR(__xludf.DUMMYFUNCTION("""COMPUTED_VALUE"""),45665)</f>
        <v>45665</v>
      </c>
      <c r="I1083" s="5" t="str">
        <f ca="1">IFERROR(__xludf.DUMMYFUNCTION("""COMPUTED_VALUE"""),"Zillow")</f>
        <v>Zillow</v>
      </c>
      <c r="J1083" s="25" t="str">
        <f ca="1">IFERROR(__xludf.DUMMYFUNCTION("""COMPUTED_VALUE"""),"https://www.zillow.com/homedetails/813-N-Doheny-Dr-Beverly-Hills-CA-90210/20520038_zpid/")</f>
        <v>https://www.zillow.com/homedetails/813-N-Doheny-Dr-Beverly-Hills-CA-90210/20520038_zpid/</v>
      </c>
      <c r="K1083" s="5" t="str">
        <f ca="1">IFERROR(__xludf.DUMMYFUNCTION("""COMPUTED_VALUE"""),"David Akhtarzad")</f>
        <v>David Akhtarzad</v>
      </c>
      <c r="L1083" s="5"/>
      <c r="M1083" s="5" t="str">
        <f ca="1">IFERROR(__xludf.DUMMYFUNCTION("""COMPUTED_VALUE"""),"This agent raised the prices on all his listings. Multiple violations")</f>
        <v>This agent raised the prices on all his listings. Multiple violations</v>
      </c>
      <c r="N1083" s="26" t="str">
        <f ca="1">IFERROR(__xludf.DUMMYFUNCTION("""COMPUTED_VALUE"""),"https://drive.google.com/open?id=1Ri-6Ng7o5CFSYNdqxj9_CaAh8p5chmA5")</f>
        <v>https://drive.google.com/open?id=1Ri-6Ng7o5CFSYNdqxj9_CaAh8p5chmA5</v>
      </c>
      <c r="O1083" s="5" t="str">
        <f ca="1">IFERROR(__xludf.DUMMYFUNCTION("""COMPUTED_VALUE"""),"4341-036-014")</f>
        <v>4341-036-014</v>
      </c>
      <c r="P1083" s="5" t="str">
        <f ca="1">IFERROR(__xludf.DUMMYFUNCTION("""COMPUTED_VALUE"""),"310-801-6632")</f>
        <v>310-801-6632</v>
      </c>
      <c r="Q1083" s="5"/>
      <c r="R1083" s="5"/>
      <c r="S1083" s="5"/>
      <c r="T1083" s="18">
        <f ca="1">IFERROR(__xludf.DUMMYFUNCTION("""COMPUTED_VALUE"""),45580)</f>
        <v>45580</v>
      </c>
    </row>
    <row r="1084" spans="1:20" ht="12.75">
      <c r="A1084" s="24">
        <f ca="1">IFERROR(__xludf.DUMMYFUNCTION("""COMPUTED_VALUE"""),45672.6589700347)</f>
        <v>45672.658970034703</v>
      </c>
      <c r="B1084" s="5" t="str">
        <f ca="1">IFERROR(__xludf.DUMMYFUNCTION("""COMPUTED_VALUE"""),"26172 Pacific Coast Hwy")</f>
        <v>26172 Pacific Coast Hwy</v>
      </c>
      <c r="C1084" s="5" t="str">
        <f ca="1">IFERROR(__xludf.DUMMYFUNCTION("""COMPUTED_VALUE"""),"Malibu")</f>
        <v>Malibu</v>
      </c>
      <c r="D1084" s="5" t="str">
        <f ca="1">IFERROR(__xludf.DUMMYFUNCTION("""COMPUTED_VALUE"""),"CA")</f>
        <v>CA</v>
      </c>
      <c r="E1084" s="5">
        <f ca="1">IFERROR(__xludf.DUMMYFUNCTION("""COMPUTED_VALUE"""),90265)</f>
        <v>90265</v>
      </c>
      <c r="F1084" s="19">
        <f ca="1">IFERROR(__xludf.DUMMYFUNCTION("""COMPUTED_VALUE"""),16500)</f>
        <v>16500</v>
      </c>
      <c r="G1084" s="19">
        <f ca="1">IFERROR(__xludf.DUMMYFUNCTION("""COMPUTED_VALUE"""),19500)</f>
        <v>19500</v>
      </c>
      <c r="H1084" s="18">
        <f ca="1">IFERROR(__xludf.DUMMYFUNCTION("""COMPUTED_VALUE"""),45665)</f>
        <v>45665</v>
      </c>
      <c r="I1084" s="5" t="str">
        <f ca="1">IFERROR(__xludf.DUMMYFUNCTION("""COMPUTED_VALUE"""),"Zillow")</f>
        <v>Zillow</v>
      </c>
      <c r="J1084" s="25" t="str">
        <f ca="1">IFERROR(__xludf.DUMMYFUNCTION("""COMPUTED_VALUE"""),"https://www.zillow.com/homedetails/26172-Pacific-Coast-Hwy-Malibu-CA-90265/20554582_zpid/")</f>
        <v>https://www.zillow.com/homedetails/26172-Pacific-Coast-Hwy-Malibu-CA-90265/20554582_zpid/</v>
      </c>
      <c r="K1084" s="5" t="str">
        <f ca="1">IFERROR(__xludf.DUMMYFUNCTION("""COMPUTED_VALUE"""),"Nathan Bauer")</f>
        <v>Nathan Bauer</v>
      </c>
      <c r="L1084" s="5"/>
      <c r="M1084" s="5"/>
      <c r="N1084" s="5" t="str">
        <f ca="1">IFERROR(__xludf.DUMMYFUNCTION("""COMPUTED_VALUE"""),"https://drive.google.com/open?id=1d7j42UZLS9FaiF3QIOVyrH8REpWeEK-Z, https://drive.google.com/open?id=1Y-NWta6RMhKIUA2CulMVpCnSeiJneJ61, https://drive.google.com/open?id=1puECWZBClJYslP3aJoHQQCOjN8TVfGDu")</f>
        <v>https://drive.google.com/open?id=1d7j42UZLS9FaiF3QIOVyrH8REpWeEK-Z, https://drive.google.com/open?id=1Y-NWta6RMhKIUA2CulMVpCnSeiJneJ61, https://drive.google.com/open?id=1puECWZBClJYslP3aJoHQQCOjN8TVfGDu</v>
      </c>
      <c r="O1084" s="5">
        <f ca="1">IFERROR(__xludf.DUMMYFUNCTION("""COMPUTED_VALUE"""),4459021017)</f>
        <v>4459021017</v>
      </c>
      <c r="P1084" s="5" t="str">
        <f ca="1">IFERROR(__xludf.DUMMYFUNCTION("""COMPUTED_VALUE"""),"(213) 772-4126")</f>
        <v>(213) 772-4126</v>
      </c>
      <c r="Q1084" s="5"/>
      <c r="R1084" s="5"/>
      <c r="S1084" s="5"/>
      <c r="T1084" s="18">
        <f ca="1">IFERROR(__xludf.DUMMYFUNCTION("""COMPUTED_VALUE"""),45607)</f>
        <v>45607</v>
      </c>
    </row>
    <row r="1085" spans="1:20" ht="12.75">
      <c r="A1085" s="24">
        <f ca="1">IFERROR(__xludf.DUMMYFUNCTION("""COMPUTED_VALUE"""),45672.6603095486)</f>
        <v>45672.660309548599</v>
      </c>
      <c r="B1085" s="5" t="str">
        <f ca="1">IFERROR(__xludf.DUMMYFUNCTION("""COMPUTED_VALUE"""),"832 N Sierra Bonita Ave ")</f>
        <v xml:space="preserve">832 N Sierra Bonita Ave </v>
      </c>
      <c r="C1085" s="5" t="str">
        <f ca="1">IFERROR(__xludf.DUMMYFUNCTION("""COMPUTED_VALUE"""),"Los Angeles")</f>
        <v>Los Angeles</v>
      </c>
      <c r="D1085" s="5" t="str">
        <f ca="1">IFERROR(__xludf.DUMMYFUNCTION("""COMPUTED_VALUE"""),"CA")</f>
        <v>CA</v>
      </c>
      <c r="E1085" s="5">
        <f ca="1">IFERROR(__xludf.DUMMYFUNCTION("""COMPUTED_VALUE"""),90046)</f>
        <v>90046</v>
      </c>
      <c r="F1085" s="19">
        <f ca="1">IFERROR(__xludf.DUMMYFUNCTION("""COMPUTED_VALUE"""),20950)</f>
        <v>20950</v>
      </c>
      <c r="G1085" s="19">
        <f ca="1">IFERROR(__xludf.DUMMYFUNCTION("""COMPUTED_VALUE"""),27950)</f>
        <v>27950</v>
      </c>
      <c r="H1085" s="18">
        <f ca="1">IFERROR(__xludf.DUMMYFUNCTION("""COMPUTED_VALUE"""),45666)</f>
        <v>45666</v>
      </c>
      <c r="I1085" s="5" t="str">
        <f ca="1">IFERROR(__xludf.DUMMYFUNCTION("""COMPUTED_VALUE"""),"Zillow")</f>
        <v>Zillow</v>
      </c>
      <c r="J1085" s="25" t="str">
        <f ca="1">IFERROR(__xludf.DUMMYFUNCTION("""COMPUTED_VALUE"""),"https://www.zillow.com/homedetails/832-N-Sierra-Bonita-Ave-Los-Angeles-CA-90046/20784976_zpid/")</f>
        <v>https://www.zillow.com/homedetails/832-N-Sierra-Bonita-Ave-Los-Angeles-CA-90046/20784976_zpid/</v>
      </c>
      <c r="K1085" s="5" t="str">
        <f ca="1">IFERROR(__xludf.DUMMYFUNCTION("""COMPUTED_VALUE"""),"David Akhtarzad")</f>
        <v>David Akhtarzad</v>
      </c>
      <c r="L1085" s="5"/>
      <c r="M1085" s="5"/>
      <c r="N1085" s="26" t="str">
        <f ca="1">IFERROR(__xludf.DUMMYFUNCTION("""COMPUTED_VALUE"""),"https://drive.google.com/open?id=12r0HV77k6avO5cuH771HrfUp3p1vPbZG")</f>
        <v>https://drive.google.com/open?id=12r0HV77k6avO5cuH771HrfUp3p1vPbZG</v>
      </c>
      <c r="O1085" s="5" t="str">
        <f ca="1">IFERROR(__xludf.DUMMYFUNCTION("""COMPUTED_VALUE"""),"5526-003-019")</f>
        <v>5526-003-019</v>
      </c>
      <c r="P1085" s="5" t="str">
        <f ca="1">IFERROR(__xludf.DUMMYFUNCTION("""COMPUTED_VALUE"""),"310-801-6632")</f>
        <v>310-801-6632</v>
      </c>
      <c r="Q1085" s="5"/>
      <c r="R1085" s="5"/>
      <c r="S1085" s="5"/>
      <c r="T1085" s="18">
        <f ca="1">IFERROR(__xludf.DUMMYFUNCTION("""COMPUTED_VALUE"""),45511)</f>
        <v>45511</v>
      </c>
    </row>
    <row r="1086" spans="1:20" ht="12.75">
      <c r="A1086" s="24">
        <f ca="1">IFERROR(__xludf.DUMMYFUNCTION("""COMPUTED_VALUE"""),45672.6613144097)</f>
        <v>45672.661314409699</v>
      </c>
      <c r="B1086" s="5" t="str">
        <f ca="1">IFERROR(__xludf.DUMMYFUNCTION("""COMPUTED_VALUE"""),"10660 W Wilshire Blvd #309")</f>
        <v>10660 W Wilshire Blvd #309</v>
      </c>
      <c r="C1086" s="5" t="str">
        <f ca="1">IFERROR(__xludf.DUMMYFUNCTION("""COMPUTED_VALUE"""),"los angeles")</f>
        <v>los angeles</v>
      </c>
      <c r="D1086" s="5" t="str">
        <f ca="1">IFERROR(__xludf.DUMMYFUNCTION("""COMPUTED_VALUE"""),"CA")</f>
        <v>CA</v>
      </c>
      <c r="E1086" s="5">
        <f ca="1">IFERROR(__xludf.DUMMYFUNCTION("""COMPUTED_VALUE"""),90024)</f>
        <v>90024</v>
      </c>
      <c r="F1086" s="19">
        <f ca="1">IFERROR(__xludf.DUMMYFUNCTION("""COMPUTED_VALUE"""),7700)</f>
        <v>7700</v>
      </c>
      <c r="G1086" s="19">
        <f ca="1">IFERROR(__xludf.DUMMYFUNCTION("""COMPUTED_VALUE"""),9000)</f>
        <v>9000</v>
      </c>
      <c r="H1086" s="18">
        <f ca="1">IFERROR(__xludf.DUMMYFUNCTION("""COMPUTED_VALUE"""),45671)</f>
        <v>45671</v>
      </c>
      <c r="I1086" s="5" t="str">
        <f ca="1">IFERROR(__xludf.DUMMYFUNCTION("""COMPUTED_VALUE"""),"Zillow")</f>
        <v>Zillow</v>
      </c>
      <c r="J1086" s="25" t="str">
        <f ca="1">IFERROR(__xludf.DUMMYFUNCTION("""COMPUTED_VALUE"""),"https://www.zillow.com/homedetails/10660-W-Wilshire-Blvd-309-Los-Angeles-CA-90024/444004097_zpid/?utm_campaign=iosappmessage&amp;utm_medium=referral&amp;utm_source=txtshare")</f>
        <v>https://www.zillow.com/homedetails/10660-W-Wilshire-Blvd-309-Los-Angeles-CA-90024/444004097_zpid/?utm_campaign=iosappmessage&amp;utm_medium=referral&amp;utm_source=txtshare</v>
      </c>
      <c r="K1086" s="5" t="str">
        <f ca="1">IFERROR(__xludf.DUMMYFUNCTION("""COMPUTED_VALUE"""),"brian tanenbaum federal financial")</f>
        <v>brian tanenbaum federal financial</v>
      </c>
      <c r="L1086" s="5"/>
      <c r="M1086" s="5"/>
      <c r="N1086" s="5" t="str">
        <f ca="1">IFERROR(__xludf.DUMMYFUNCTION("""COMPUTED_VALUE"""),"https://drive.google.com/open?id=1uUpQYlUpqSssJ8iK_nKuBsawze8twhIC, https://drive.google.com/open?id=1qth4DK02YQHPg4vwabTe3_yDw96FkqY1")</f>
        <v>https://drive.google.com/open?id=1uUpQYlUpqSssJ8iK_nKuBsawze8twhIC, https://drive.google.com/open?id=1qth4DK02YQHPg4vwabTe3_yDw96FkqY1</v>
      </c>
      <c r="O1086" s="5" t="str">
        <f ca="1">IFERROR(__xludf.DUMMYFUNCTION("""COMPUTED_VALUE"""),"na")</f>
        <v>na</v>
      </c>
      <c r="P1086" s="5" t="str">
        <f ca="1">IFERROR(__xludf.DUMMYFUNCTION("""COMPUTED_VALUE"""),"310 980-2261")</f>
        <v>310 980-2261</v>
      </c>
      <c r="Q1086" s="5"/>
      <c r="R1086" s="5"/>
      <c r="S1086" s="5"/>
      <c r="T1086" s="18">
        <f ca="1">IFERROR(__xludf.DUMMYFUNCTION("""COMPUTED_VALUE"""),45599)</f>
        <v>45599</v>
      </c>
    </row>
    <row r="1087" spans="1:20" ht="12.75">
      <c r="A1087" s="24">
        <f ca="1">IFERROR(__xludf.DUMMYFUNCTION("""COMPUTED_VALUE"""),45672.6613631365)</f>
        <v>45672.661363136503</v>
      </c>
      <c r="B1087" s="5" t="str">
        <f ca="1">IFERROR(__xludf.DUMMYFUNCTION("""COMPUTED_VALUE"""),"22008 Gresham St")</f>
        <v>22008 Gresham St</v>
      </c>
      <c r="C1087" s="5" t="str">
        <f ca="1">IFERROR(__xludf.DUMMYFUNCTION("""COMPUTED_VALUE"""),"Canoga Park")</f>
        <v>Canoga Park</v>
      </c>
      <c r="D1087" s="5" t="str">
        <f ca="1">IFERROR(__xludf.DUMMYFUNCTION("""COMPUTED_VALUE"""),"CA")</f>
        <v>CA</v>
      </c>
      <c r="E1087" s="5">
        <f ca="1">IFERROR(__xludf.DUMMYFUNCTION("""COMPUTED_VALUE"""),91304)</f>
        <v>91304</v>
      </c>
      <c r="F1087" s="19">
        <f ca="1">IFERROR(__xludf.DUMMYFUNCTION("""COMPUTED_VALUE"""),12000)</f>
        <v>12000</v>
      </c>
      <c r="G1087" s="19">
        <f ca="1">IFERROR(__xludf.DUMMYFUNCTION("""COMPUTED_VALUE"""),14000)</f>
        <v>14000</v>
      </c>
      <c r="H1087" s="18">
        <f ca="1">IFERROR(__xludf.DUMMYFUNCTION("""COMPUTED_VALUE"""),45670)</f>
        <v>45670</v>
      </c>
      <c r="I1087" s="5" t="str">
        <f ca="1">IFERROR(__xludf.DUMMYFUNCTION("""COMPUTED_VALUE"""),"Zillow")</f>
        <v>Zillow</v>
      </c>
      <c r="J1087" s="25" t="str">
        <f ca="1">IFERROR(__xludf.DUMMYFUNCTION("""COMPUTED_VALUE"""),"https://www.zillow.com/homedetails/22008-Gresham-St-Canoga-Park-CA-91304/51576782_zpid/")</f>
        <v>https://www.zillow.com/homedetails/22008-Gresham-St-Canoga-Park-CA-91304/51576782_zpid/</v>
      </c>
      <c r="K1087" s="5"/>
      <c r="L1087" s="5" t="str">
        <f ca="1">IFERROR(__xludf.DUMMYFUNCTION("""COMPUTED_VALUE"""),"Nischay Kumar")</f>
        <v>Nischay Kumar</v>
      </c>
      <c r="M1087" s="5"/>
      <c r="N1087" s="5" t="str">
        <f ca="1">IFERROR(__xludf.DUMMYFUNCTION("""COMPUTED_VALUE"""),"https://drive.google.com/open?id=1MX1sDDoTHO5zAmj1XPcwZ-Q1IIZhdXG0, https://drive.google.com/open?id=1CGgMJKtz49VLt3jdBUWScswlBFwd3y9J, https://drive.google.com/open?id=1WW1BEznjAa52yD4vrlGyLjijFQfhjUGo")</f>
        <v>https://drive.google.com/open?id=1MX1sDDoTHO5zAmj1XPcwZ-Q1IIZhdXG0, https://drive.google.com/open?id=1CGgMJKtz49VLt3jdBUWScswlBFwd3y9J, https://drive.google.com/open?id=1WW1BEznjAa52yD4vrlGyLjijFQfhjUGo</v>
      </c>
      <c r="O1087" s="5">
        <f ca="1">IFERROR(__xludf.DUMMYFUNCTION("""COMPUTED_VALUE"""),2010008004)</f>
        <v>2010008004</v>
      </c>
      <c r="P1087" s="5"/>
      <c r="Q1087" s="5"/>
      <c r="R1087" s="5" t="str">
        <f ca="1">IFERROR(__xludf.DUMMYFUNCTION("""COMPUTED_VALUE"""),"(818) 877-3276")</f>
        <v>(818) 877-3276</v>
      </c>
      <c r="S1087" s="5"/>
      <c r="T1087" s="18">
        <f ca="1">IFERROR(__xludf.DUMMYFUNCTION("""COMPUTED_VALUE"""),45617)</f>
        <v>45617</v>
      </c>
    </row>
    <row r="1088" spans="1:20" ht="12.75">
      <c r="A1088" s="24">
        <f ca="1">IFERROR(__xludf.DUMMYFUNCTION("""COMPUTED_VALUE"""),45672.6646420486)</f>
        <v>45672.664642048599</v>
      </c>
      <c r="B1088" s="5" t="str">
        <f ca="1">IFERROR(__xludf.DUMMYFUNCTION("""COMPUTED_VALUE"""),"1849 Coldwater Canyon Dr")</f>
        <v>1849 Coldwater Canyon Dr</v>
      </c>
      <c r="C1088" s="5" t="str">
        <f ca="1">IFERROR(__xludf.DUMMYFUNCTION("""COMPUTED_VALUE"""),"Beverly Hills")</f>
        <v>Beverly Hills</v>
      </c>
      <c r="D1088" s="5" t="str">
        <f ca="1">IFERROR(__xludf.DUMMYFUNCTION("""COMPUTED_VALUE"""),"CA")</f>
        <v>CA</v>
      </c>
      <c r="E1088" s="5">
        <f ca="1">IFERROR(__xludf.DUMMYFUNCTION("""COMPUTED_VALUE"""),90210)</f>
        <v>90210</v>
      </c>
      <c r="F1088" s="19">
        <f ca="1">IFERROR(__xludf.DUMMYFUNCTION("""COMPUTED_VALUE"""),24000)</f>
        <v>24000</v>
      </c>
      <c r="G1088" s="19">
        <f ca="1">IFERROR(__xludf.DUMMYFUNCTION("""COMPUTED_VALUE"""),35000)</f>
        <v>35000</v>
      </c>
      <c r="H1088" s="18">
        <f ca="1">IFERROR(__xludf.DUMMYFUNCTION("""COMPUTED_VALUE"""),45666)</f>
        <v>45666</v>
      </c>
      <c r="I1088" s="5" t="str">
        <f ca="1">IFERROR(__xludf.DUMMYFUNCTION("""COMPUTED_VALUE"""),"Zillow")</f>
        <v>Zillow</v>
      </c>
      <c r="J1088" s="25" t="str">
        <f ca="1">IFERROR(__xludf.DUMMYFUNCTION("""COMPUTED_VALUE"""),"https://www.zillow.com/homedetails/1849-N-Coldwater-Canyon-Dr-Beverly-Hills-CA-90210/125270046_zpid/")</f>
        <v>https://www.zillow.com/homedetails/1849-N-Coldwater-Canyon-Dr-Beverly-Hills-CA-90210/125270046_zpid/</v>
      </c>
      <c r="K1088" s="5" t="str">
        <f ca="1">IFERROR(__xludf.DUMMYFUNCTION("""COMPUTED_VALUE"""),"Kai Cohen")</f>
        <v>Kai Cohen</v>
      </c>
      <c r="L1088" s="5"/>
      <c r="M1088" s="5" t="str">
        <f ca="1">IFERROR(__xludf.DUMMYFUNCTION("""COMPUTED_VALUE"""),"This agent dramatically raised the prices of at least 4 listings")</f>
        <v>This agent dramatically raised the prices of at least 4 listings</v>
      </c>
      <c r="N1088" s="26" t="str">
        <f ca="1">IFERROR(__xludf.DUMMYFUNCTION("""COMPUTED_VALUE"""),"https://drive.google.com/open?id=1G29eSZ9CSo7KlAjkIaYIuuqtPxcUUARy")</f>
        <v>https://drive.google.com/open?id=1G29eSZ9CSo7KlAjkIaYIuuqtPxcUUARy</v>
      </c>
      <c r="O1088" s="5" t="str">
        <f ca="1">IFERROR(__xludf.DUMMYFUNCTION("""COMPUTED_VALUE"""),"4352-001-053")</f>
        <v>4352-001-053</v>
      </c>
      <c r="P1088" s="5" t="str">
        <f ca="1">IFERROR(__xludf.DUMMYFUNCTION("""COMPUTED_VALUE"""),"818-274-1710")</f>
        <v>818-274-1710</v>
      </c>
      <c r="Q1088" s="5"/>
      <c r="R1088" s="5"/>
      <c r="S1088" s="5"/>
      <c r="T1088" s="18">
        <f ca="1">IFERROR(__xludf.DUMMYFUNCTION("""COMPUTED_VALUE"""),45642)</f>
        <v>45642</v>
      </c>
    </row>
    <row r="1089" spans="1:20" ht="12.75">
      <c r="A1089" s="24">
        <f ca="1">IFERROR(__xludf.DUMMYFUNCTION("""COMPUTED_VALUE"""),45672.665746493)</f>
        <v>45672.665746493003</v>
      </c>
      <c r="B1089" s="5" t="str">
        <f ca="1">IFERROR(__xludf.DUMMYFUNCTION("""COMPUTED_VALUE"""),"17025 Labrador St")</f>
        <v>17025 Labrador St</v>
      </c>
      <c r="C1089" s="5" t="str">
        <f ca="1">IFERROR(__xludf.DUMMYFUNCTION("""COMPUTED_VALUE"""),"Northridge")</f>
        <v>Northridge</v>
      </c>
      <c r="D1089" s="5" t="str">
        <f ca="1">IFERROR(__xludf.DUMMYFUNCTION("""COMPUTED_VALUE"""),"CA")</f>
        <v>CA</v>
      </c>
      <c r="E1089" s="5">
        <f ca="1">IFERROR(__xludf.DUMMYFUNCTION("""COMPUTED_VALUE"""),91325)</f>
        <v>91325</v>
      </c>
      <c r="F1089" s="19">
        <f ca="1">IFERROR(__xludf.DUMMYFUNCTION("""COMPUTED_VALUE"""),6800)</f>
        <v>6800</v>
      </c>
      <c r="G1089" s="19">
        <f ca="1">IFERROR(__xludf.DUMMYFUNCTION("""COMPUTED_VALUE"""),8500)</f>
        <v>8500</v>
      </c>
      <c r="H1089" s="18">
        <f ca="1">IFERROR(__xludf.DUMMYFUNCTION("""COMPUTED_VALUE"""),45672)</f>
        <v>45672</v>
      </c>
      <c r="I1089" s="5" t="str">
        <f ca="1">IFERROR(__xludf.DUMMYFUNCTION("""COMPUTED_VALUE"""),"Zillow")</f>
        <v>Zillow</v>
      </c>
      <c r="J1089" s="25" t="str">
        <f ca="1">IFERROR(__xludf.DUMMYFUNCTION("""COMPUTED_VALUE"""),"https://www.zillow.com/homedetails/17025-Labrador-St-Northridge-CA-91325/20152369_zpid/")</f>
        <v>https://www.zillow.com/homedetails/17025-Labrador-St-Northridge-CA-91325/20152369_zpid/</v>
      </c>
      <c r="K1089" s="5" t="str">
        <f ca="1">IFERROR(__xludf.DUMMYFUNCTION("""COMPUTED_VALUE"""),"Cyrene Dellinger, Cyrene Dellinger’s Team - Keller Williams Encino")</f>
        <v>Cyrene Dellinger, Cyrene Dellinger’s Team - Keller Williams Encino</v>
      </c>
      <c r="L1089" s="5"/>
      <c r="M1089" s="5"/>
      <c r="N1089" s="5" t="str">
        <f ca="1">IFERROR(__xludf.DUMMYFUNCTION("""COMPUTED_VALUE"""),"https://drive.google.com/open?id=1o2okTM0Fz2gQXLvitjcgA-SkC5awukoj, https://drive.google.com/open?id=1Sl0yxJty8WhjJNkxtBl6FNzDEeVZ4wSV, https://drive.google.com/open?id=1Vu0JmgIOYCm0wqedNoDeAmQ2pT7X_EbP")</f>
        <v>https://drive.google.com/open?id=1o2okTM0Fz2gQXLvitjcgA-SkC5awukoj, https://drive.google.com/open?id=1Sl0yxJty8WhjJNkxtBl6FNzDEeVZ4wSV, https://drive.google.com/open?id=1Vu0JmgIOYCm0wqedNoDeAmQ2pT7X_EbP</v>
      </c>
      <c r="O1089" s="5">
        <f ca="1">IFERROR(__xludf.DUMMYFUNCTION("""COMPUTED_VALUE"""),2692012005)</f>
        <v>2692012005</v>
      </c>
      <c r="P1089" s="5" t="str">
        <f ca="1">IFERROR(__xludf.DUMMYFUNCTION("""COMPUTED_VALUE"""),"(818) 645-0845")</f>
        <v>(818) 645-0845</v>
      </c>
      <c r="Q1089" s="5"/>
      <c r="R1089" s="5"/>
      <c r="S1089" s="5"/>
      <c r="T1089" s="18">
        <f ca="1">IFERROR(__xludf.DUMMYFUNCTION("""COMPUTED_VALUE"""),45645)</f>
        <v>45645</v>
      </c>
    </row>
    <row r="1090" spans="1:20" ht="12.75">
      <c r="A1090" s="24">
        <f ca="1">IFERROR(__xludf.DUMMYFUNCTION("""COMPUTED_VALUE"""),45672.6658169791)</f>
        <v>45672.665816979097</v>
      </c>
      <c r="B1090" s="5" t="str">
        <f ca="1">IFERROR(__xludf.DUMMYFUNCTION("""COMPUTED_VALUE"""),"5902 fallbrook Ave")</f>
        <v>5902 fallbrook Ave</v>
      </c>
      <c r="C1090" s="5" t="str">
        <f ca="1">IFERROR(__xludf.DUMMYFUNCTION("""COMPUTED_VALUE"""),"woodland hills")</f>
        <v>woodland hills</v>
      </c>
      <c r="D1090" s="5" t="str">
        <f ca="1">IFERROR(__xludf.DUMMYFUNCTION("""COMPUTED_VALUE"""),"CA")</f>
        <v>CA</v>
      </c>
      <c r="E1090" s="5">
        <f ca="1">IFERROR(__xludf.DUMMYFUNCTION("""COMPUTED_VALUE"""),91367)</f>
        <v>91367</v>
      </c>
      <c r="F1090" s="19">
        <f ca="1">IFERROR(__xludf.DUMMYFUNCTION("""COMPUTED_VALUE"""),4300)</f>
        <v>4300</v>
      </c>
      <c r="G1090" s="19">
        <f ca="1">IFERROR(__xludf.DUMMYFUNCTION("""COMPUTED_VALUE"""),7500)</f>
        <v>7500</v>
      </c>
      <c r="H1090" s="18">
        <f ca="1">IFERROR(__xludf.DUMMYFUNCTION("""COMPUTED_VALUE"""),45672)</f>
        <v>45672</v>
      </c>
      <c r="I1090" s="5" t="str">
        <f ca="1">IFERROR(__xludf.DUMMYFUNCTION("""COMPUTED_VALUE"""),"Zillow")</f>
        <v>Zillow</v>
      </c>
      <c r="J1090" s="25" t="str">
        <f ca="1">IFERROR(__xludf.DUMMYFUNCTION("""COMPUTED_VALUE"""),"https://www.zillow.com/homedetails/5902-Fallbrook-Ave-Woodland-Hills-CA-91367/19877809_zpid/")</f>
        <v>https://www.zillow.com/homedetails/5902-Fallbrook-Ave-Woodland-Hills-CA-91367/19877809_zpid/</v>
      </c>
      <c r="K1090" s="5"/>
      <c r="L1090" s="5"/>
      <c r="M1090" s="5"/>
      <c r="N1090" s="26" t="str">
        <f ca="1">IFERROR(__xludf.DUMMYFUNCTION("""COMPUTED_VALUE"""),"https://drive.google.com/open?id=1l5zKByWrrDALI0Ej9asPtZx9wvmkG58r")</f>
        <v>https://drive.google.com/open?id=1l5zKByWrrDALI0Ej9asPtZx9wvmkG58r</v>
      </c>
      <c r="O1090" s="5">
        <f ca="1">IFERROR(__xludf.DUMMYFUNCTION("""COMPUTED_VALUE"""),2040003013)</f>
        <v>2040003013</v>
      </c>
      <c r="P1090" s="5"/>
      <c r="Q1090" s="5"/>
      <c r="R1090" s="5"/>
      <c r="S1090" s="5"/>
      <c r="T1090" s="18">
        <f ca="1">IFERROR(__xludf.DUMMYFUNCTION("""COMPUTED_VALUE"""),44806)</f>
        <v>44806</v>
      </c>
    </row>
    <row r="1091" spans="1:20" ht="12.75">
      <c r="A1091" s="24">
        <f ca="1">IFERROR(__xludf.DUMMYFUNCTION("""COMPUTED_VALUE"""),45672.66956603)</f>
        <v>45672.669566030003</v>
      </c>
      <c r="B1091" s="5" t="str">
        <f ca="1">IFERROR(__xludf.DUMMYFUNCTION("""COMPUTED_VALUE"""),"721 N Spaulding Ave")</f>
        <v>721 N Spaulding Ave</v>
      </c>
      <c r="C1091" s="5" t="str">
        <f ca="1">IFERROR(__xludf.DUMMYFUNCTION("""COMPUTED_VALUE"""),"Los Angeles")</f>
        <v>Los Angeles</v>
      </c>
      <c r="D1091" s="5" t="str">
        <f ca="1">IFERROR(__xludf.DUMMYFUNCTION("""COMPUTED_VALUE"""),"CA")</f>
        <v>CA</v>
      </c>
      <c r="E1091" s="5">
        <f ca="1">IFERROR(__xludf.DUMMYFUNCTION("""COMPUTED_VALUE"""),90046)</f>
        <v>90046</v>
      </c>
      <c r="F1091" s="19">
        <f ca="1">IFERROR(__xludf.DUMMYFUNCTION("""COMPUTED_VALUE"""),20000)</f>
        <v>20000</v>
      </c>
      <c r="G1091" s="19">
        <f ca="1">IFERROR(__xludf.DUMMYFUNCTION("""COMPUTED_VALUE"""),30000)</f>
        <v>30000</v>
      </c>
      <c r="H1091" s="18">
        <f ca="1">IFERROR(__xludf.DUMMYFUNCTION("""COMPUTED_VALUE"""),45666)</f>
        <v>45666</v>
      </c>
      <c r="I1091" s="5" t="str">
        <f ca="1">IFERROR(__xludf.DUMMYFUNCTION("""COMPUTED_VALUE"""),"Zillow")</f>
        <v>Zillow</v>
      </c>
      <c r="J1091" s="25" t="str">
        <f ca="1">IFERROR(__xludf.DUMMYFUNCTION("""COMPUTED_VALUE"""),"https://www.zillow.com/homedetails/721-N-Spaulding-Ave-Los-Angeles-CA-90046/20785966_zpid/")</f>
        <v>https://www.zillow.com/homedetails/721-N-Spaulding-Ave-Los-Angeles-CA-90046/20785966_zpid/</v>
      </c>
      <c r="K1091" s="5" t="str">
        <f ca="1">IFERROR(__xludf.DUMMYFUNCTION("""COMPUTED_VALUE"""),"Kai Cohen")</f>
        <v>Kai Cohen</v>
      </c>
      <c r="L1091" s="5" t="str">
        <f ca="1">IFERROR(__xludf.DUMMYFUNCTION("""COMPUTED_VALUE"""),"Siminou Babak")</f>
        <v>Siminou Babak</v>
      </c>
      <c r="M1091" s="5" t="str">
        <f ca="1">IFERROR(__xludf.DUMMYFUNCTION("""COMPUTED_VALUE"""),"Agent repeat offender")</f>
        <v>Agent repeat offender</v>
      </c>
      <c r="N1091" s="26" t="str">
        <f ca="1">IFERROR(__xludf.DUMMYFUNCTION("""COMPUTED_VALUE"""),"https://drive.google.com/open?id=1yFxYui4zmb88uFSP3f6Pw7zhXb2cTFok")</f>
        <v>https://drive.google.com/open?id=1yFxYui4zmb88uFSP3f6Pw7zhXb2cTFok</v>
      </c>
      <c r="O1091" s="5" t="str">
        <f ca="1">IFERROR(__xludf.DUMMYFUNCTION("""COMPUTED_VALUE"""),"5527-008-016")</f>
        <v>5527-008-016</v>
      </c>
      <c r="P1091" s="5" t="str">
        <f ca="1">IFERROR(__xludf.DUMMYFUNCTION("""COMPUTED_VALUE"""),"818-274-1710")</f>
        <v>818-274-1710</v>
      </c>
      <c r="Q1091" s="5"/>
      <c r="R1091" s="5"/>
      <c r="S1091" s="5"/>
      <c r="T1091" s="18">
        <f ca="1">IFERROR(__xludf.DUMMYFUNCTION("""COMPUTED_VALUE"""),45642)</f>
        <v>45642</v>
      </c>
    </row>
    <row r="1092" spans="1:20" ht="12.75">
      <c r="A1092" s="24">
        <f ca="1">IFERROR(__xludf.DUMMYFUNCTION("""COMPUTED_VALUE"""),45672.671571493)</f>
        <v>45672.671571493003</v>
      </c>
      <c r="B1092" s="5" t="str">
        <f ca="1">IFERROR(__xludf.DUMMYFUNCTION("""COMPUTED_VALUE"""),"5450 Oakdale Ave")</f>
        <v>5450 Oakdale Ave</v>
      </c>
      <c r="C1092" s="5" t="str">
        <f ca="1">IFERROR(__xludf.DUMMYFUNCTION("""COMPUTED_VALUE"""),"Woodland Hills")</f>
        <v>Woodland Hills</v>
      </c>
      <c r="D1092" s="5" t="str">
        <f ca="1">IFERROR(__xludf.DUMMYFUNCTION("""COMPUTED_VALUE"""),"CA")</f>
        <v>CA</v>
      </c>
      <c r="E1092" s="5">
        <f ca="1">IFERROR(__xludf.DUMMYFUNCTION("""COMPUTED_VALUE"""),91364)</f>
        <v>91364</v>
      </c>
      <c r="F1092" s="19">
        <f ca="1">IFERROR(__xludf.DUMMYFUNCTION("""COMPUTED_VALUE"""),6900)</f>
        <v>6900</v>
      </c>
      <c r="G1092" s="19">
        <f ca="1">IFERROR(__xludf.DUMMYFUNCTION("""COMPUTED_VALUE"""),8000)</f>
        <v>8000</v>
      </c>
      <c r="H1092" s="18">
        <f ca="1">IFERROR(__xludf.DUMMYFUNCTION("""COMPUTED_VALUE"""),45672)</f>
        <v>45672</v>
      </c>
      <c r="I1092" s="5" t="str">
        <f ca="1">IFERROR(__xludf.DUMMYFUNCTION("""COMPUTED_VALUE"""),"Zillow")</f>
        <v>Zillow</v>
      </c>
      <c r="J1092" s="25" t="str">
        <f ca="1">IFERROR(__xludf.DUMMYFUNCTION("""COMPUTED_VALUE"""),"https://www.zillow.com/homedetails/5450-Oakdale-Ave-Woodland-Hills-CA-91364/2058831328_zpid/")</f>
        <v>https://www.zillow.com/homedetails/5450-Oakdale-Ave-Woodland-Hills-CA-91364/2058831328_zpid/</v>
      </c>
      <c r="K1092" s="5" t="str">
        <f ca="1">IFERROR(__xludf.DUMMYFUNCTION("""COMPUTED_VALUE"""),"AOR Properties")</f>
        <v>AOR Properties</v>
      </c>
      <c r="L1092" s="5"/>
      <c r="M1092" s="5"/>
      <c r="N1092" s="5" t="str">
        <f ca="1">IFERROR(__xludf.DUMMYFUNCTION("""COMPUTED_VALUE"""),"https://drive.google.com/open?id=1DLn4IpTJGnJ5zqqpnKmNhrCTJXS9Z_Cj, https://drive.google.com/open?id=1eNtEeducwecb59cxFXC3VhDbxBhJaG58, https://drive.google.com/open?id=1L31S4VJAPHuV9lOd0_njihmGbR-G48gk")</f>
        <v>https://drive.google.com/open?id=1DLn4IpTJGnJ5zqqpnKmNhrCTJXS9Z_Cj, https://drive.google.com/open?id=1eNtEeducwecb59cxFXC3VhDbxBhJaG58, https://drive.google.com/open?id=1L31S4VJAPHuV9lOd0_njihmGbR-G48gk</v>
      </c>
      <c r="O1092" s="5" t="str">
        <f ca="1">IFERROR(__xludf.DUMMYFUNCTION("""COMPUTED_VALUE"""),"NA")</f>
        <v>NA</v>
      </c>
      <c r="P1092" s="5" t="str">
        <f ca="1">IFERROR(__xludf.DUMMYFUNCTION("""COMPUTED_VALUE"""),"(747) 235-6517")</f>
        <v>(747) 235-6517</v>
      </c>
      <c r="Q1092" s="5"/>
      <c r="R1092" s="5"/>
      <c r="S1092" s="5"/>
      <c r="T1092" s="18">
        <f ca="1">IFERROR(__xludf.DUMMYFUNCTION("""COMPUTED_VALUE"""),45643)</f>
        <v>45643</v>
      </c>
    </row>
    <row r="1093" spans="1:20" ht="12.75">
      <c r="A1093" s="24">
        <f ca="1">IFERROR(__xludf.DUMMYFUNCTION("""COMPUTED_VALUE"""),45672.6717140856)</f>
        <v>45672.671714085598</v>
      </c>
      <c r="B1093" s="5" t="str">
        <f ca="1">IFERROR(__xludf.DUMMYFUNCTION("""COMPUTED_VALUE"""),"5735 Melvin Ave")</f>
        <v>5735 Melvin Ave</v>
      </c>
      <c r="C1093" s="5" t="str">
        <f ca="1">IFERROR(__xludf.DUMMYFUNCTION("""COMPUTED_VALUE"""),"Tarzana")</f>
        <v>Tarzana</v>
      </c>
      <c r="D1093" s="5" t="str">
        <f ca="1">IFERROR(__xludf.DUMMYFUNCTION("""COMPUTED_VALUE"""),"CA")</f>
        <v>CA</v>
      </c>
      <c r="E1093" s="5">
        <f ca="1">IFERROR(__xludf.DUMMYFUNCTION("""COMPUTED_VALUE"""),91356)</f>
        <v>91356</v>
      </c>
      <c r="F1093" s="19">
        <f ca="1">IFERROR(__xludf.DUMMYFUNCTION("""COMPUTED_VALUE"""),12000)</f>
        <v>12000</v>
      </c>
      <c r="G1093" s="19">
        <f ca="1">IFERROR(__xludf.DUMMYFUNCTION("""COMPUTED_VALUE"""),15000)</f>
        <v>15000</v>
      </c>
      <c r="H1093" s="18">
        <f ca="1">IFERROR(__xludf.DUMMYFUNCTION("""COMPUTED_VALUE"""),45672)</f>
        <v>45672</v>
      </c>
      <c r="I1093" s="5" t="str">
        <f ca="1">IFERROR(__xludf.DUMMYFUNCTION("""COMPUTED_VALUE"""),"Zillow")</f>
        <v>Zillow</v>
      </c>
      <c r="J1093" s="25" t="str">
        <f ca="1">IFERROR(__xludf.DUMMYFUNCTION("""COMPUTED_VALUE"""),"https://www.zillow.com/homedetails/5735-Melvin-Ave-Tarzana-CA-91356/19932747_zpid/")</f>
        <v>https://www.zillow.com/homedetails/5735-Melvin-Ave-Tarzana-CA-91356/19932747_zpid/</v>
      </c>
      <c r="K1093" s="5"/>
      <c r="L1093" s="5" t="str">
        <f ca="1">IFERROR(__xludf.DUMMYFUNCTION("""COMPUTED_VALUE"""),"Jeffrey Gillette")</f>
        <v>Jeffrey Gillette</v>
      </c>
      <c r="M1093" s="5"/>
      <c r="N1093" s="26" t="str">
        <f ca="1">IFERROR(__xludf.DUMMYFUNCTION("""COMPUTED_VALUE"""),"https://drive.google.com/open?id=145XWROO_rCaS3Ath1kNJ9QDywjKF-002")</f>
        <v>https://drive.google.com/open?id=145XWROO_rCaS3Ath1kNJ9QDywjKF-002</v>
      </c>
      <c r="O1093" s="5">
        <f ca="1">IFERROR(__xludf.DUMMYFUNCTION("""COMPUTED_VALUE"""),2153025005)</f>
        <v>2153025005</v>
      </c>
      <c r="P1093" s="5"/>
      <c r="Q1093" s="5"/>
      <c r="R1093" s="5" t="str">
        <f ca="1">IFERROR(__xludf.DUMMYFUNCTION("""COMPUTED_VALUE"""),"(818) 818-9923")</f>
        <v>(818) 818-9923</v>
      </c>
      <c r="S1093" s="5"/>
      <c r="T1093" s="18">
        <f ca="1">IFERROR(__xludf.DUMMYFUNCTION("""COMPUTED_VALUE"""),45445)</f>
        <v>45445</v>
      </c>
    </row>
    <row r="1094" spans="1:20" ht="12.75">
      <c r="A1094" s="24">
        <f ca="1">IFERROR(__xludf.DUMMYFUNCTION("""COMPUTED_VALUE"""),45672.6738843287)</f>
        <v>45672.673884328702</v>
      </c>
      <c r="B1094" s="5" t="str">
        <f ca="1">IFERROR(__xludf.DUMMYFUNCTION("""COMPUTED_VALUE"""),"735 N Ogden Dr")</f>
        <v>735 N Ogden Dr</v>
      </c>
      <c r="C1094" s="5" t="str">
        <f ca="1">IFERROR(__xludf.DUMMYFUNCTION("""COMPUTED_VALUE"""),"Los Angeles")</f>
        <v>Los Angeles</v>
      </c>
      <c r="D1094" s="5" t="str">
        <f ca="1">IFERROR(__xludf.DUMMYFUNCTION("""COMPUTED_VALUE"""),"CA")</f>
        <v>CA</v>
      </c>
      <c r="E1094" s="5">
        <f ca="1">IFERROR(__xludf.DUMMYFUNCTION("""COMPUTED_VALUE"""),90046)</f>
        <v>90046</v>
      </c>
      <c r="F1094" s="19">
        <f ca="1">IFERROR(__xludf.DUMMYFUNCTION("""COMPUTED_VALUE"""),10500)</f>
        <v>10500</v>
      </c>
      <c r="G1094" s="19">
        <f ca="1">IFERROR(__xludf.DUMMYFUNCTION("""COMPUTED_VALUE"""),12000)</f>
        <v>12000</v>
      </c>
      <c r="H1094" s="18">
        <f ca="1">IFERROR(__xludf.DUMMYFUNCTION("""COMPUTED_VALUE"""),45672)</f>
        <v>45672</v>
      </c>
      <c r="I1094" s="5" t="str">
        <f ca="1">IFERROR(__xludf.DUMMYFUNCTION("""COMPUTED_VALUE"""),"Zillow")</f>
        <v>Zillow</v>
      </c>
      <c r="J1094" s="25" t="str">
        <f ca="1">IFERROR(__xludf.DUMMYFUNCTION("""COMPUTED_VALUE"""),"https://www.zillow.com/homedetails/735-N-Ogden-Dr-Los-Angeles-CA-90046/20786003_zpid/")</f>
        <v>https://www.zillow.com/homedetails/735-N-Ogden-Dr-Los-Angeles-CA-90046/20786003_zpid/</v>
      </c>
      <c r="K1094" s="5" t="str">
        <f ca="1">IFERROR(__xludf.DUMMYFUNCTION("""COMPUTED_VALUE"""),"Anat Yifrah American Dream Realty")</f>
        <v>Anat Yifrah American Dream Realty</v>
      </c>
      <c r="L1094" s="5"/>
      <c r="M1094" s="5"/>
      <c r="N1094" s="26" t="str">
        <f ca="1">IFERROR(__xludf.DUMMYFUNCTION("""COMPUTED_VALUE"""),"https://drive.google.com/open?id=146-3gPUz6qjsVF3qilEE1Xjr3IOOZPXo")</f>
        <v>https://drive.google.com/open?id=146-3gPUz6qjsVF3qilEE1Xjr3IOOZPXo</v>
      </c>
      <c r="O1094" s="5">
        <f ca="1">IFERROR(__xludf.DUMMYFUNCTION("""COMPUTED_VALUE"""),5527010018)</f>
        <v>5527010018</v>
      </c>
      <c r="P1094" s="5" t="str">
        <f ca="1">IFERROR(__xludf.DUMMYFUNCTION("""COMPUTED_VALUE"""),"(818) 266-9195")</f>
        <v>(818) 266-9195</v>
      </c>
      <c r="Q1094" s="5"/>
      <c r="R1094" s="5"/>
      <c r="S1094" s="5"/>
      <c r="T1094" s="18">
        <f ca="1">IFERROR(__xludf.DUMMYFUNCTION("""COMPUTED_VALUE"""),45489)</f>
        <v>45489</v>
      </c>
    </row>
    <row r="1095" spans="1:20" ht="12.75">
      <c r="A1095" s="24">
        <f ca="1">IFERROR(__xludf.DUMMYFUNCTION("""COMPUTED_VALUE"""),45672.6741778588)</f>
        <v>45672.674177858797</v>
      </c>
      <c r="B1095" s="5" t="str">
        <f ca="1">IFERROR(__xludf.DUMMYFUNCTION("""COMPUTED_VALUE"""),"5150 calvin ave")</f>
        <v>5150 calvin ave</v>
      </c>
      <c r="C1095" s="5" t="str">
        <f ca="1">IFERROR(__xludf.DUMMYFUNCTION("""COMPUTED_VALUE"""),"tarzana ")</f>
        <v xml:space="preserve">tarzana </v>
      </c>
      <c r="D1095" s="5" t="str">
        <f ca="1">IFERROR(__xludf.DUMMYFUNCTION("""COMPUTED_VALUE"""),"CA")</f>
        <v>CA</v>
      </c>
      <c r="E1095" s="5">
        <f ca="1">IFERROR(__xludf.DUMMYFUNCTION("""COMPUTED_VALUE"""),91356)</f>
        <v>91356</v>
      </c>
      <c r="F1095" s="19">
        <f ca="1">IFERROR(__xludf.DUMMYFUNCTION("""COMPUTED_VALUE"""),14900)</f>
        <v>14900</v>
      </c>
      <c r="G1095" s="19">
        <f ca="1">IFERROR(__xludf.DUMMYFUNCTION("""COMPUTED_VALUE"""),19000)</f>
        <v>19000</v>
      </c>
      <c r="H1095" s="18">
        <f ca="1">IFERROR(__xludf.DUMMYFUNCTION("""COMPUTED_VALUE"""),45672)</f>
        <v>45672</v>
      </c>
      <c r="I1095" s="5" t="str">
        <f ca="1">IFERROR(__xludf.DUMMYFUNCTION("""COMPUTED_VALUE"""),"Zillow")</f>
        <v>Zillow</v>
      </c>
      <c r="J1095" s="25" t="str">
        <f ca="1">IFERROR(__xludf.DUMMYFUNCTION("""COMPUTED_VALUE"""),"https://www.zillow.com/homedetails/5150-Calvin-Ave-Tarzana-CA-91356/19940339_zpid/?utm_campaign=iosappmessage&amp;utm_medium=referral&amp;utm_source=txtshare")</f>
        <v>https://www.zillow.com/homedetails/5150-Calvin-Ave-Tarzana-CA-91356/19940339_zpid/?utm_campaign=iosappmessage&amp;utm_medium=referral&amp;utm_source=txtshare</v>
      </c>
      <c r="K1095" s="5" t="str">
        <f ca="1">IFERROR(__xludf.DUMMYFUNCTION("""COMPUTED_VALUE"""),"Yadegar Realty Group")</f>
        <v>Yadegar Realty Group</v>
      </c>
      <c r="L1095" s="5"/>
      <c r="M1095" s="5"/>
      <c r="N1095" s="5" t="str">
        <f ca="1">IFERROR(__xludf.DUMMYFUNCTION("""COMPUTED_VALUE"""),"https://drive.google.com/open?id=1va76R-FybVBM5ZrUMRWDwVCXaJ9WYfLK, https://drive.google.com/open?id=1ZLzwxMVBn9b62eLRrsucGTcmqTeqU0qQ")</f>
        <v>https://drive.google.com/open?id=1va76R-FybVBM5ZrUMRWDwVCXaJ9WYfLK, https://drive.google.com/open?id=1ZLzwxMVBn9b62eLRrsucGTcmqTeqU0qQ</v>
      </c>
      <c r="O1095" s="5" t="str">
        <f ca="1">IFERROR(__xludf.DUMMYFUNCTION("""COMPUTED_VALUE"""),"Parcel number: 2163007022")</f>
        <v>Parcel number: 2163007022</v>
      </c>
      <c r="P1095" s="5" t="str">
        <f ca="1">IFERROR(__xludf.DUMMYFUNCTION("""COMPUTED_VALUE"""),"310 666-6885")</f>
        <v>310 666-6885</v>
      </c>
      <c r="Q1095" s="5"/>
      <c r="R1095" s="5"/>
      <c r="S1095" s="5"/>
      <c r="T1095" s="18">
        <f ca="1">IFERROR(__xludf.DUMMYFUNCTION("""COMPUTED_VALUE"""),45656)</f>
        <v>45656</v>
      </c>
    </row>
    <row r="1096" spans="1:20" ht="12.75">
      <c r="A1096" s="24">
        <f ca="1">IFERROR(__xludf.DUMMYFUNCTION("""COMPUTED_VALUE"""),45672.6795368865)</f>
        <v>45672.679536886499</v>
      </c>
      <c r="B1096" s="5" t="str">
        <f ca="1">IFERROR(__xludf.DUMMYFUNCTION("""COMPUTED_VALUE"""),"5911 Saturn St")</f>
        <v>5911 Saturn St</v>
      </c>
      <c r="C1096" s="5" t="str">
        <f ca="1">IFERROR(__xludf.DUMMYFUNCTION("""COMPUTED_VALUE"""),"Los Angeles")</f>
        <v>Los Angeles</v>
      </c>
      <c r="D1096" s="5" t="str">
        <f ca="1">IFERROR(__xludf.DUMMYFUNCTION("""COMPUTED_VALUE"""),"CA")</f>
        <v>CA</v>
      </c>
      <c r="E1096" s="5">
        <f ca="1">IFERROR(__xludf.DUMMYFUNCTION("""COMPUTED_VALUE"""),90035)</f>
        <v>90035</v>
      </c>
      <c r="F1096" s="19">
        <f ca="1">IFERROR(__xludf.DUMMYFUNCTION("""COMPUTED_VALUE"""),7000)</f>
        <v>7000</v>
      </c>
      <c r="G1096" s="19">
        <f ca="1">IFERROR(__xludf.DUMMYFUNCTION("""COMPUTED_VALUE"""),8000)</f>
        <v>8000</v>
      </c>
      <c r="H1096" s="18">
        <f ca="1">IFERROR(__xludf.DUMMYFUNCTION("""COMPUTED_VALUE"""),45672)</f>
        <v>45672</v>
      </c>
      <c r="I1096" s="5" t="str">
        <f ca="1">IFERROR(__xludf.DUMMYFUNCTION("""COMPUTED_VALUE"""),"Zillow")</f>
        <v>Zillow</v>
      </c>
      <c r="J1096" s="25" t="str">
        <f ca="1">IFERROR(__xludf.DUMMYFUNCTION("""COMPUTED_VALUE"""),"https://www.zillow.com/homedetails/5911-Saturn-St-Los-Angeles-CA-90035/119678788_zpid/")</f>
        <v>https://www.zillow.com/homedetails/5911-Saturn-St-Los-Angeles-CA-90035/119678788_zpid/</v>
      </c>
      <c r="K1096" s="5"/>
      <c r="L1096" s="5" t="str">
        <f ca="1">IFERROR(__xludf.DUMMYFUNCTION("""COMPUTED_VALUE"""),"Sumit Dua")</f>
        <v>Sumit Dua</v>
      </c>
      <c r="M1096" s="5"/>
      <c r="N1096" s="5" t="str">
        <f ca="1">IFERROR(__xludf.DUMMYFUNCTION("""COMPUTED_VALUE"""),"https://drive.google.com/open?id=1w2k1KdFLLSwCE-tCjQly7eKdnujz8HCR, https://drive.google.com/open?id=1-XCr6OM0dmQuU8PhFkMtADTNVOY1DjXO, https://drive.google.com/open?id=1QsYoiZfknsGmx4zCCvSjJWAIXQs4PrDW")</f>
        <v>https://drive.google.com/open?id=1w2k1KdFLLSwCE-tCjQly7eKdnujz8HCR, https://drive.google.com/open?id=1-XCr6OM0dmQuU8PhFkMtADTNVOY1DjXO, https://drive.google.com/open?id=1QsYoiZfknsGmx4zCCvSjJWAIXQs4PrDW</v>
      </c>
      <c r="O1096" s="5">
        <f ca="1">IFERROR(__xludf.DUMMYFUNCTION("""COMPUTED_VALUE"""),5068027006)</f>
        <v>5068027006</v>
      </c>
      <c r="P1096" s="5"/>
      <c r="Q1096" s="5"/>
      <c r="R1096" s="5" t="str">
        <f ca="1">IFERROR(__xludf.DUMMYFUNCTION("""COMPUTED_VALUE"""),"(818) 421-9854")</f>
        <v>(818) 421-9854</v>
      </c>
      <c r="S1096" s="5"/>
      <c r="T1096" s="18">
        <f ca="1">IFERROR(__xludf.DUMMYFUNCTION("""COMPUTED_VALUE"""),45338)</f>
        <v>45338</v>
      </c>
    </row>
    <row r="1097" spans="1:20" ht="12.75">
      <c r="A1097" s="24">
        <f ca="1">IFERROR(__xludf.DUMMYFUNCTION("""COMPUTED_VALUE"""),45672.6828273726)</f>
        <v>45672.682827372599</v>
      </c>
      <c r="B1097" s="5" t="str">
        <f ca="1">IFERROR(__xludf.DUMMYFUNCTION("""COMPUTED_VALUE"""),"20111 Glacier Cir")</f>
        <v>20111 Glacier Cir</v>
      </c>
      <c r="C1097" s="5" t="str">
        <f ca="1">IFERROR(__xludf.DUMMYFUNCTION("""COMPUTED_VALUE"""),"Huntington Beach")</f>
        <v>Huntington Beach</v>
      </c>
      <c r="D1097" s="5" t="str">
        <f ca="1">IFERROR(__xludf.DUMMYFUNCTION("""COMPUTED_VALUE"""),"CA")</f>
        <v>CA</v>
      </c>
      <c r="E1097" s="5">
        <f ca="1">IFERROR(__xludf.DUMMYFUNCTION("""COMPUTED_VALUE"""),92646)</f>
        <v>92646</v>
      </c>
      <c r="F1097" s="19">
        <f ca="1">IFERROR(__xludf.DUMMYFUNCTION("""COMPUTED_VALUE"""),6300)</f>
        <v>6300</v>
      </c>
      <c r="G1097" s="19">
        <f ca="1">IFERROR(__xludf.DUMMYFUNCTION("""COMPUTED_VALUE"""),9000)</f>
        <v>9000</v>
      </c>
      <c r="H1097" s="18">
        <f ca="1">IFERROR(__xludf.DUMMYFUNCTION("""COMPUTED_VALUE"""),45672)</f>
        <v>45672</v>
      </c>
      <c r="I1097" s="5" t="str">
        <f ca="1">IFERROR(__xludf.DUMMYFUNCTION("""COMPUTED_VALUE"""),"Zillow")</f>
        <v>Zillow</v>
      </c>
      <c r="J1097" s="25" t="str">
        <f ca="1">IFERROR(__xludf.DUMMYFUNCTION("""COMPUTED_VALUE"""),"https://www.zillow.com/homedetails/20111-Glacier-Cir-Huntington-Beach-CA-92646/25274365_zpid/")</f>
        <v>https://www.zillow.com/homedetails/20111-Glacier-Cir-Huntington-Beach-CA-92646/25274365_zpid/</v>
      </c>
      <c r="K1097" s="5" t="str">
        <f ca="1">IFERROR(__xludf.DUMMYFUNCTION("""COMPUTED_VALUE"""),"Kristi Kay")</f>
        <v>Kristi Kay</v>
      </c>
      <c r="L1097" s="5"/>
      <c r="M1097" s="5"/>
      <c r="N1097" s="5" t="str">
        <f ca="1">IFERROR(__xludf.DUMMYFUNCTION("""COMPUTED_VALUE"""),"https://drive.google.com/open?id=199Qx2h-eXL_4ZPIvKZG27ep7cTZtHh4P, https://drive.google.com/open?id=19zfg6h2K0seUUWAHvUF5Ca-wtgtP49i1, https://drive.google.com/open?id=1LMPRQxqjrYY9mA1Z-sOg2pSR9Wkw1q3Y")</f>
        <v>https://drive.google.com/open?id=199Qx2h-eXL_4ZPIvKZG27ep7cTZtHh4P, https://drive.google.com/open?id=19zfg6h2K0seUUWAHvUF5Ca-wtgtP49i1, https://drive.google.com/open?id=1LMPRQxqjrYY9mA1Z-sOg2pSR9Wkw1q3Y</v>
      </c>
      <c r="O1097" s="5">
        <f ca="1">IFERROR(__xludf.DUMMYFUNCTION("""COMPUTED_VALUE"""),15139313)</f>
        <v>15139313</v>
      </c>
      <c r="P1097" s="5" t="str">
        <f ca="1">IFERROR(__xludf.DUMMYFUNCTION("""COMPUTED_VALUE"""),"(714) 794-8094")</f>
        <v>(714) 794-8094</v>
      </c>
      <c r="Q1097" s="5"/>
      <c r="R1097" s="5"/>
      <c r="S1097" s="5"/>
      <c r="T1097" s="18">
        <f ca="1">IFERROR(__xludf.DUMMYFUNCTION("""COMPUTED_VALUE"""),45643)</f>
        <v>45643</v>
      </c>
    </row>
    <row r="1098" spans="1:20" ht="12.75">
      <c r="A1098" s="24">
        <f ca="1">IFERROR(__xludf.DUMMYFUNCTION("""COMPUTED_VALUE"""),45672.6832263541)</f>
        <v>45672.6832263541</v>
      </c>
      <c r="B1098" s="5" t="str">
        <f ca="1">IFERROR(__xludf.DUMMYFUNCTION("""COMPUTED_VALUE"""),"916 Georgia St")</f>
        <v>916 Georgia St</v>
      </c>
      <c r="C1098" s="5" t="str">
        <f ca="1">IFERROR(__xludf.DUMMYFUNCTION("""COMPUTED_VALUE"""),"Los Angeles ")</f>
        <v xml:space="preserve">Los Angeles </v>
      </c>
      <c r="D1098" s="5" t="str">
        <f ca="1">IFERROR(__xludf.DUMMYFUNCTION("""COMPUTED_VALUE"""),"CA")</f>
        <v>CA</v>
      </c>
      <c r="E1098" s="5">
        <f ca="1">IFERROR(__xludf.DUMMYFUNCTION("""COMPUTED_VALUE"""),90016)</f>
        <v>90016</v>
      </c>
      <c r="F1098" s="19">
        <f ca="1">IFERROR(__xludf.DUMMYFUNCTION("""COMPUTED_VALUE"""),1095)</f>
        <v>1095</v>
      </c>
      <c r="G1098" s="19">
        <f ca="1">IFERROR(__xludf.DUMMYFUNCTION("""COMPUTED_VALUE"""),3200)</f>
        <v>3200</v>
      </c>
      <c r="H1098" s="18">
        <f ca="1">IFERROR(__xludf.DUMMYFUNCTION("""COMPUTED_VALUE"""),-684815)</f>
        <v>-684815</v>
      </c>
      <c r="I1098" s="5" t="str">
        <f ca="1">IFERROR(__xludf.DUMMYFUNCTION("""COMPUTED_VALUE"""),"Zillow")</f>
        <v>Zillow</v>
      </c>
      <c r="J1098" s="25" t="str">
        <f ca="1">IFERROR(__xludf.DUMMYFUNCTION("""COMPUTED_VALUE"""),"https://www.zillow.com/apartments/los-angeles-ca/916-georgia-st/5Xm6Mh/?utm_campaign=iosappmessage&amp;utm_medium=referral&amp;utm_source=txtshare")</f>
        <v>https://www.zillow.com/apartments/los-angeles-ca/916-georgia-st/5Xm6Mh/?utm_campaign=iosappmessage&amp;utm_medium=referral&amp;utm_source=txtshare</v>
      </c>
      <c r="K1098" s="5"/>
      <c r="L1098" s="5"/>
      <c r="M1098" s="5"/>
      <c r="N1098" s="26" t="str">
        <f ca="1">IFERROR(__xludf.DUMMYFUNCTION("""COMPUTED_VALUE"""),"https://drive.google.com/open?id=1UQFAVO88yuX-kti1U8S_qiokYwOXDSa5")</f>
        <v>https://drive.google.com/open?id=1UQFAVO88yuX-kti1U8S_qiokYwOXDSa5</v>
      </c>
      <c r="O1098" s="5" t="str">
        <f ca="1">IFERROR(__xludf.DUMMYFUNCTION("""COMPUTED_VALUE"""),"NA")</f>
        <v>NA</v>
      </c>
      <c r="P1098" s="5"/>
      <c r="Q1098" s="5"/>
      <c r="R1098" s="5"/>
      <c r="S1098" s="5"/>
      <c r="T1098" s="18">
        <f ca="1">IFERROR(__xludf.DUMMYFUNCTION("""COMPUTED_VALUE"""),-684833)</f>
        <v>-684833</v>
      </c>
    </row>
    <row r="1099" spans="1:20" ht="12.75">
      <c r="A1099" s="24">
        <f ca="1">IFERROR(__xludf.DUMMYFUNCTION("""COMPUTED_VALUE"""),45672.6842672222)</f>
        <v>45672.684267222197</v>
      </c>
      <c r="B1099" s="5" t="str">
        <f ca="1">IFERROR(__xludf.DUMMYFUNCTION("""COMPUTED_VALUE"""),"20305 Chapter Dr")</f>
        <v>20305 Chapter Dr</v>
      </c>
      <c r="C1099" s="5" t="str">
        <f ca="1">IFERROR(__xludf.DUMMYFUNCTION("""COMPUTED_VALUE"""),"Woodland Hills")</f>
        <v>Woodland Hills</v>
      </c>
      <c r="D1099" s="5" t="str">
        <f ca="1">IFERROR(__xludf.DUMMYFUNCTION("""COMPUTED_VALUE"""),"CA")</f>
        <v>CA</v>
      </c>
      <c r="E1099" s="5">
        <f ca="1">IFERROR(__xludf.DUMMYFUNCTION("""COMPUTED_VALUE"""),91346)</f>
        <v>91346</v>
      </c>
      <c r="F1099" s="19">
        <f ca="1">IFERROR(__xludf.DUMMYFUNCTION("""COMPUTED_VALUE"""),7700)</f>
        <v>7700</v>
      </c>
      <c r="G1099" s="19">
        <f ca="1">IFERROR(__xludf.DUMMYFUNCTION("""COMPUTED_VALUE"""),9500)</f>
        <v>9500</v>
      </c>
      <c r="H1099" s="18">
        <f ca="1">IFERROR(__xludf.DUMMYFUNCTION("""COMPUTED_VALUE"""),45672)</f>
        <v>45672</v>
      </c>
      <c r="I1099" s="5" t="str">
        <f ca="1">IFERROR(__xludf.DUMMYFUNCTION("""COMPUTED_VALUE"""),"Zillow")</f>
        <v>Zillow</v>
      </c>
      <c r="J1099" s="25" t="str">
        <f ca="1">IFERROR(__xludf.DUMMYFUNCTION("""COMPUTED_VALUE"""),"https://www.zillow.com/homedetails/20305-Chapter-Dr-Woodland-Hills-CA-91364/19946171_zpid/?utm_campaign=iosappmessage&amp;utm_medium=referral&amp;utm_source=txtshare")</f>
        <v>https://www.zillow.com/homedetails/20305-Chapter-Dr-Woodland-Hills-CA-91364/19946171_zpid/?utm_campaign=iosappmessage&amp;utm_medium=referral&amp;utm_source=txtshare</v>
      </c>
      <c r="K1099" s="5"/>
      <c r="L1099" s="5"/>
      <c r="M1099" s="5"/>
      <c r="N1099" s="5" t="str">
        <f ca="1">IFERROR(__xludf.DUMMYFUNCTION("""COMPUTED_VALUE"""),"https://drive.google.com/open?id=1ZHXN2AwPkjVPywNDVNfk9t6sqNIuDJR4, https://drive.google.com/open?id=1jwlnWYsiHlqZmOoIgexMgzHGkZbADWR0")</f>
        <v>https://drive.google.com/open?id=1ZHXN2AwPkjVPywNDVNfk9t6sqNIuDJR4, https://drive.google.com/open?id=1jwlnWYsiHlqZmOoIgexMgzHGkZbADWR0</v>
      </c>
      <c r="O1099" s="5" t="str">
        <f ca="1">IFERROR(__xludf.DUMMYFUNCTION("""COMPUTED_VALUE"""),"Parcel number: 2174023033")</f>
        <v>Parcel number: 2174023033</v>
      </c>
      <c r="P1099" s="5"/>
      <c r="Q1099" s="5"/>
      <c r="R1099" s="5"/>
      <c r="S1099" s="5"/>
      <c r="T1099" s="18">
        <f ca="1">IFERROR(__xludf.DUMMYFUNCTION("""COMPUTED_VALUE"""),45379)</f>
        <v>45379</v>
      </c>
    </row>
    <row r="1100" spans="1:20" ht="12.75">
      <c r="A1100" s="24">
        <f ca="1">IFERROR(__xludf.DUMMYFUNCTION("""COMPUTED_VALUE"""),45672.684995243)</f>
        <v>45672.684995242998</v>
      </c>
      <c r="B1100" s="5" t="str">
        <f ca="1">IFERROR(__xludf.DUMMYFUNCTION("""COMPUTED_VALUE"""),"2179 La Granada Dr")</f>
        <v>2179 La Granada Dr</v>
      </c>
      <c r="C1100" s="5" t="str">
        <f ca="1">IFERROR(__xludf.DUMMYFUNCTION("""COMPUTED_VALUE"""),"Thousand Oaks")</f>
        <v>Thousand Oaks</v>
      </c>
      <c r="D1100" s="5" t="str">
        <f ca="1">IFERROR(__xludf.DUMMYFUNCTION("""COMPUTED_VALUE"""),"CA")</f>
        <v>CA</v>
      </c>
      <c r="E1100" s="5">
        <f ca="1">IFERROR(__xludf.DUMMYFUNCTION("""COMPUTED_VALUE"""),91362)</f>
        <v>91362</v>
      </c>
      <c r="F1100" s="19">
        <f ca="1">IFERROR(__xludf.DUMMYFUNCTION("""COMPUTED_VALUE"""),5500)</f>
        <v>5500</v>
      </c>
      <c r="G1100" s="19">
        <f ca="1">IFERROR(__xludf.DUMMYFUNCTION("""COMPUTED_VALUE"""),8500)</f>
        <v>8500</v>
      </c>
      <c r="H1100" s="18">
        <f ca="1">IFERROR(__xludf.DUMMYFUNCTION("""COMPUTED_VALUE"""),45672)</f>
        <v>45672</v>
      </c>
      <c r="I1100" s="5" t="str">
        <f ca="1">IFERROR(__xludf.DUMMYFUNCTION("""COMPUTED_VALUE"""),"Zillow")</f>
        <v>Zillow</v>
      </c>
      <c r="J1100" s="25" t="str">
        <f ca="1">IFERROR(__xludf.DUMMYFUNCTION("""COMPUTED_VALUE"""),"https://www.zillow.com/homedetails/2179-La-Granada-Dr-Thousand-Oaks-CA-91362/16483480_zpid/")</f>
        <v>https://www.zillow.com/homedetails/2179-La-Granada-Dr-Thousand-Oaks-CA-91362/16483480_zpid/</v>
      </c>
      <c r="K1100" s="5" t="str">
        <f ca="1">IFERROR(__xludf.DUMMYFUNCTION("""COMPUTED_VALUE"""),"Hannah Yin, Beverly and Company")</f>
        <v>Hannah Yin, Beverly and Company</v>
      </c>
      <c r="L1100" s="5"/>
      <c r="M1100" s="5"/>
      <c r="N1100" s="5" t="str">
        <f ca="1">IFERROR(__xludf.DUMMYFUNCTION("""COMPUTED_VALUE"""),"https://drive.google.com/open?id=1FGK3ac1zKxlTP62ZXws7Q_4_l52mqw3r, https://drive.google.com/open?id=1dB0wZn3uGLqegWBiFULdm3lF3l_uz0sq, https://drive.google.com/open?id=1RTHl0gJvs8-9FXdSbWq1yM5xpgejSqtR")</f>
        <v>https://drive.google.com/open?id=1FGK3ac1zKxlTP62ZXws7Q_4_l52mqw3r, https://drive.google.com/open?id=1dB0wZn3uGLqegWBiFULdm3lF3l_uz0sq, https://drive.google.com/open?id=1RTHl0gJvs8-9FXdSbWq1yM5xpgejSqtR</v>
      </c>
      <c r="O1100" s="5">
        <f ca="1">IFERROR(__xludf.DUMMYFUNCTION("""COMPUTED_VALUE"""),6790142075)</f>
        <v>6790142075</v>
      </c>
      <c r="P1100" s="5" t="str">
        <f ca="1">IFERROR(__xludf.DUMMYFUNCTION("""COMPUTED_VALUE"""),"(805) 341-7944")</f>
        <v>(805) 341-7944</v>
      </c>
      <c r="Q1100" s="5"/>
      <c r="R1100" s="5"/>
      <c r="S1100" s="5"/>
      <c r="T1100" s="18">
        <f ca="1">IFERROR(__xludf.DUMMYFUNCTION("""COMPUTED_VALUE"""),45377)</f>
        <v>45377</v>
      </c>
    </row>
    <row r="1101" spans="1:20" ht="12.75">
      <c r="A1101" s="24">
        <f ca="1">IFERROR(__xludf.DUMMYFUNCTION("""COMPUTED_VALUE"""),45672.6857825231)</f>
        <v>45672.685782523098</v>
      </c>
      <c r="B1101" s="5" t="str">
        <f ca="1">IFERROR(__xludf.DUMMYFUNCTION("""COMPUTED_VALUE"""),"735 N ogden dr")</f>
        <v>735 N ogden dr</v>
      </c>
      <c r="C1101" s="5" t="str">
        <f ca="1">IFERROR(__xludf.DUMMYFUNCTION("""COMPUTED_VALUE"""),"los angeles")</f>
        <v>los angeles</v>
      </c>
      <c r="D1101" s="5" t="str">
        <f ca="1">IFERROR(__xludf.DUMMYFUNCTION("""COMPUTED_VALUE"""),"CA")</f>
        <v>CA</v>
      </c>
      <c r="E1101" s="5">
        <f ca="1">IFERROR(__xludf.DUMMYFUNCTION("""COMPUTED_VALUE"""),90046)</f>
        <v>90046</v>
      </c>
      <c r="F1101" s="19">
        <f ca="1">IFERROR(__xludf.DUMMYFUNCTION("""COMPUTED_VALUE"""),10500)</f>
        <v>10500</v>
      </c>
      <c r="G1101" s="19">
        <f ca="1">IFERROR(__xludf.DUMMYFUNCTION("""COMPUTED_VALUE"""),12000)</f>
        <v>12000</v>
      </c>
      <c r="H1101" s="18">
        <f ca="1">IFERROR(__xludf.DUMMYFUNCTION("""COMPUTED_VALUE"""),45672)</f>
        <v>45672</v>
      </c>
      <c r="I1101" s="5" t="str">
        <f ca="1">IFERROR(__xludf.DUMMYFUNCTION("""COMPUTED_VALUE"""),"Zillow")</f>
        <v>Zillow</v>
      </c>
      <c r="J1101" s="25" t="str">
        <f ca="1">IFERROR(__xludf.DUMMYFUNCTION("""COMPUTED_VALUE"""),"https://www.zillow.com/homedetails/735-N-Ogden-Dr-Los-Angeles-CA-90046/20786003_zpid/")</f>
        <v>https://www.zillow.com/homedetails/735-N-Ogden-Dr-Los-Angeles-CA-90046/20786003_zpid/</v>
      </c>
      <c r="K1101" s="5"/>
      <c r="L1101" s="5"/>
      <c r="M1101" s="5"/>
      <c r="N1101" s="26" t="str">
        <f ca="1">IFERROR(__xludf.DUMMYFUNCTION("""COMPUTED_VALUE"""),"https://drive.google.com/open?id=1RZ605-tR4ge_XJAhdIRP4-17IR8_LIV9")</f>
        <v>https://drive.google.com/open?id=1RZ605-tR4ge_XJAhdIRP4-17IR8_LIV9</v>
      </c>
      <c r="O1101" s="5">
        <f ca="1">IFERROR(__xludf.DUMMYFUNCTION("""COMPUTED_VALUE"""),5527010018)</f>
        <v>5527010018</v>
      </c>
      <c r="P1101" s="5"/>
      <c r="Q1101" s="5"/>
      <c r="R1101" s="5"/>
      <c r="S1101" s="5"/>
      <c r="T1101" s="18">
        <f ca="1">IFERROR(__xludf.DUMMYFUNCTION("""COMPUTED_VALUE"""),45489)</f>
        <v>45489</v>
      </c>
    </row>
    <row r="1102" spans="1:20" ht="12.75">
      <c r="A1102" s="24">
        <f ca="1">IFERROR(__xludf.DUMMYFUNCTION("""COMPUTED_VALUE"""),45672.685898206)</f>
        <v>45672.685898206</v>
      </c>
      <c r="B1102" s="5" t="str">
        <f ca="1">IFERROR(__xludf.DUMMYFUNCTION("""COMPUTED_VALUE"""),"17025 Labrador St")</f>
        <v>17025 Labrador St</v>
      </c>
      <c r="C1102" s="5" t="str">
        <f ca="1">IFERROR(__xludf.DUMMYFUNCTION("""COMPUTED_VALUE"""),"Northridge")</f>
        <v>Northridge</v>
      </c>
      <c r="D1102" s="5" t="str">
        <f ca="1">IFERROR(__xludf.DUMMYFUNCTION("""COMPUTED_VALUE"""),"CA")</f>
        <v>CA</v>
      </c>
      <c r="E1102" s="5">
        <f ca="1">IFERROR(__xludf.DUMMYFUNCTION("""COMPUTED_VALUE"""),91325)</f>
        <v>91325</v>
      </c>
      <c r="F1102" s="19">
        <f ca="1">IFERROR(__xludf.DUMMYFUNCTION("""COMPUTED_VALUE"""),6800)</f>
        <v>6800</v>
      </c>
      <c r="G1102" s="19">
        <f ca="1">IFERROR(__xludf.DUMMYFUNCTION("""COMPUTED_VALUE"""),8500)</f>
        <v>8500</v>
      </c>
      <c r="H1102" s="18">
        <f ca="1">IFERROR(__xludf.DUMMYFUNCTION("""COMPUTED_VALUE"""),45672)</f>
        <v>45672</v>
      </c>
      <c r="I1102" s="5" t="str">
        <f ca="1">IFERROR(__xludf.DUMMYFUNCTION("""COMPUTED_VALUE"""),"Zillow")</f>
        <v>Zillow</v>
      </c>
      <c r="J1102" s="25" t="str">
        <f ca="1">IFERROR(__xludf.DUMMYFUNCTION("""COMPUTED_VALUE"""),"https://www.zillow.com/homedetails/17025-Labrador-St-Northridge-CA-91325/20152369_zpid/")</f>
        <v>https://www.zillow.com/homedetails/17025-Labrador-St-Northridge-CA-91325/20152369_zpid/</v>
      </c>
      <c r="K1102" s="5" t="str">
        <f ca="1">IFERROR(__xludf.DUMMYFUNCTION("""COMPUTED_VALUE"""),"Cyrene Dellinger")</f>
        <v>Cyrene Dellinger</v>
      </c>
      <c r="L1102" s="5"/>
      <c r="M1102" s="5"/>
      <c r="N1102" s="5" t="str">
        <f ca="1">IFERROR(__xludf.DUMMYFUNCTION("""COMPUTED_VALUE"""),"https://drive.google.com/open?id=1SPIgRGqKokhgs5IkQDZKzdPN7mWLST1Q, https://drive.google.com/open?id=1CO70JcoANV8Ft9jPZTAWY6aO3hGpzf1M, https://drive.google.com/open?id=1a3sx4sau1_TaG-lq5qPLHW3QTJboxr0h")</f>
        <v>https://drive.google.com/open?id=1SPIgRGqKokhgs5IkQDZKzdPN7mWLST1Q, https://drive.google.com/open?id=1CO70JcoANV8Ft9jPZTAWY6aO3hGpzf1M, https://drive.google.com/open?id=1a3sx4sau1_TaG-lq5qPLHW3QTJboxr0h</v>
      </c>
      <c r="O1102" s="5">
        <f ca="1">IFERROR(__xludf.DUMMYFUNCTION("""COMPUTED_VALUE"""),2692012005)</f>
        <v>2692012005</v>
      </c>
      <c r="P1102" s="5" t="str">
        <f ca="1">IFERROR(__xludf.DUMMYFUNCTION("""COMPUTED_VALUE"""),"(818) 645-0845")</f>
        <v>(818) 645-0845</v>
      </c>
      <c r="Q1102" s="5" t="str">
        <f ca="1">IFERROR(__xludf.DUMMYFUNCTION("""COMPUTED_VALUE"""),"cyrene@cyreneproperties.com")</f>
        <v>cyrene@cyreneproperties.com</v>
      </c>
      <c r="R1102" s="5"/>
      <c r="S1102" s="5"/>
      <c r="T1102" s="18">
        <f ca="1">IFERROR(__xludf.DUMMYFUNCTION("""COMPUTED_VALUE"""),45645)</f>
        <v>45645</v>
      </c>
    </row>
    <row r="1103" spans="1:20" ht="12.75">
      <c r="A1103" s="24">
        <f ca="1">IFERROR(__xludf.DUMMYFUNCTION("""COMPUTED_VALUE"""),45672.6860312615)</f>
        <v>45672.686031261503</v>
      </c>
      <c r="B1103" s="5" t="str">
        <f ca="1">IFERROR(__xludf.DUMMYFUNCTION("""COMPUTED_VALUE"""),"5252 Darro Rd")</f>
        <v>5252 Darro Rd</v>
      </c>
      <c r="C1103" s="5" t="str">
        <f ca="1">IFERROR(__xludf.DUMMYFUNCTION("""COMPUTED_VALUE"""),"Woodland Hills")</f>
        <v>Woodland Hills</v>
      </c>
      <c r="D1103" s="5" t="str">
        <f ca="1">IFERROR(__xludf.DUMMYFUNCTION("""COMPUTED_VALUE"""),"CA")</f>
        <v>CA</v>
      </c>
      <c r="E1103" s="5">
        <f ca="1">IFERROR(__xludf.DUMMYFUNCTION("""COMPUTED_VALUE"""),91364)</f>
        <v>91364</v>
      </c>
      <c r="F1103" s="19">
        <f ca="1">IFERROR(__xludf.DUMMYFUNCTION("""COMPUTED_VALUE"""),17999)</f>
        <v>17999</v>
      </c>
      <c r="G1103" s="19">
        <f ca="1">IFERROR(__xludf.DUMMYFUNCTION("""COMPUTED_VALUE"""),24999)</f>
        <v>24999</v>
      </c>
      <c r="H1103" s="18">
        <f ca="1">IFERROR(__xludf.DUMMYFUNCTION("""COMPUTED_VALUE"""),45665)</f>
        <v>45665</v>
      </c>
      <c r="I1103" s="5" t="str">
        <f ca="1">IFERROR(__xludf.DUMMYFUNCTION("""COMPUTED_VALUE"""),"Zillow")</f>
        <v>Zillow</v>
      </c>
      <c r="J1103" s="25" t="str">
        <f ca="1">IFERROR(__xludf.DUMMYFUNCTION("""COMPUTED_VALUE"""),"https://www.zillow.com/homedetails/5252-Darro-Rd-Woodland-Hills-CA-91364/19942547_zpid/")</f>
        <v>https://www.zillow.com/homedetails/5252-Darro-Rd-Woodland-Hills-CA-91364/19942547_zpid/</v>
      </c>
      <c r="K1103" s="5" t="str">
        <f ca="1">IFERROR(__xludf.DUMMYFUNCTION("""COMPUTED_VALUE"""),"Giovany Kirakossian - JohnHart Real Estate")</f>
        <v>Giovany Kirakossian - JohnHart Real Estate</v>
      </c>
      <c r="L1103" s="5"/>
      <c r="M1103" s="5"/>
      <c r="N1103" s="26" t="str">
        <f ca="1">IFERROR(__xludf.DUMMYFUNCTION("""COMPUTED_VALUE"""),"https://drive.google.com/open?id=1yoBxo5Qbg7-HbTB3jeG_VcjIiMGtvew0")</f>
        <v>https://drive.google.com/open?id=1yoBxo5Qbg7-HbTB3jeG_VcjIiMGtvew0</v>
      </c>
      <c r="O1103" s="5">
        <f ca="1">IFERROR(__xludf.DUMMYFUNCTION("""COMPUTED_VALUE"""),2168007034)</f>
        <v>2168007034</v>
      </c>
      <c r="P1103" s="5" t="str">
        <f ca="1">IFERROR(__xludf.DUMMYFUNCTION("""COMPUTED_VALUE"""),"(818) 605-4089")</f>
        <v>(818) 605-4089</v>
      </c>
      <c r="Q1103" s="5"/>
      <c r="R1103" s="5"/>
      <c r="S1103" s="5"/>
      <c r="T1103" s="18">
        <f ca="1">IFERROR(__xludf.DUMMYFUNCTION("""COMPUTED_VALUE"""),45614)</f>
        <v>45614</v>
      </c>
    </row>
    <row r="1104" spans="1:20" ht="12.75">
      <c r="A1104" s="24">
        <f ca="1">IFERROR(__xludf.DUMMYFUNCTION("""COMPUTED_VALUE"""),45672.6868743287)</f>
        <v>45672.686874328698</v>
      </c>
      <c r="B1104" s="5" t="str">
        <f ca="1">IFERROR(__xludf.DUMMYFUNCTION("""COMPUTED_VALUE"""),"8875 Cynthia St #B")</f>
        <v>8875 Cynthia St #B</v>
      </c>
      <c r="C1104" s="5" t="str">
        <f ca="1">IFERROR(__xludf.DUMMYFUNCTION("""COMPUTED_VALUE"""),"West Hollywood")</f>
        <v>West Hollywood</v>
      </c>
      <c r="D1104" s="5" t="str">
        <f ca="1">IFERROR(__xludf.DUMMYFUNCTION("""COMPUTED_VALUE"""),"CA")</f>
        <v>CA</v>
      </c>
      <c r="E1104" s="5">
        <f ca="1">IFERROR(__xludf.DUMMYFUNCTION("""COMPUTED_VALUE"""),90069)</f>
        <v>90069</v>
      </c>
      <c r="F1104" s="19">
        <f ca="1">IFERROR(__xludf.DUMMYFUNCTION("""COMPUTED_VALUE"""),7999)</f>
        <v>7999</v>
      </c>
      <c r="G1104" s="19">
        <f ca="1">IFERROR(__xludf.DUMMYFUNCTION("""COMPUTED_VALUE"""),9995)</f>
        <v>9995</v>
      </c>
      <c r="H1104" s="18">
        <f ca="1">IFERROR(__xludf.DUMMYFUNCTION("""COMPUTED_VALUE"""),45672)</f>
        <v>45672</v>
      </c>
      <c r="I1104" s="5" t="str">
        <f ca="1">IFERROR(__xludf.DUMMYFUNCTION("""COMPUTED_VALUE"""),"Zillow")</f>
        <v>Zillow</v>
      </c>
      <c r="J1104" s="25" t="str">
        <f ca="1">IFERROR(__xludf.DUMMYFUNCTION("""COMPUTED_VALUE"""),"https://www.zillow.com/homedetails/8875-Cynthia-St-B-West-Hollywood-CA-90069/244500425_zpid/")</f>
        <v>https://www.zillow.com/homedetails/8875-Cynthia-St-B-West-Hollywood-CA-90069/244500425_zpid/</v>
      </c>
      <c r="K1104" s="5" t="str">
        <f ca="1">IFERROR(__xludf.DUMMYFUNCTION("""COMPUTED_VALUE"""),"Joshua Gaunya")</f>
        <v>Joshua Gaunya</v>
      </c>
      <c r="L1104" s="5"/>
      <c r="M1104" s="5"/>
      <c r="N1104" s="5" t="str">
        <f ca="1">IFERROR(__xludf.DUMMYFUNCTION("""COMPUTED_VALUE"""),"https://drive.google.com/open?id=1axnJATKZzEgcuU2ssjdAeMPWu7TB4RXJ, https://drive.google.com/open?id=1aAbNx7rO0oV1v2e_d-YDyAkCUDRHuIpK, https://drive.google.com/open?id=1qrbcHi-KtNNf4GJvFkZ_Bvmx8Tsq-wAJ")</f>
        <v>https://drive.google.com/open?id=1axnJATKZzEgcuU2ssjdAeMPWu7TB4RXJ, https://drive.google.com/open?id=1aAbNx7rO0oV1v2e_d-YDyAkCUDRHuIpK, https://drive.google.com/open?id=1qrbcHi-KtNNf4GJvFkZ_Bvmx8Tsq-wAJ</v>
      </c>
      <c r="O1104" s="5">
        <f ca="1">IFERROR(__xludf.DUMMYFUNCTION("""COMPUTED_VALUE"""),4339018038)</f>
        <v>4339018038</v>
      </c>
      <c r="P1104" s="5" t="str">
        <f ca="1">IFERROR(__xludf.DUMMYFUNCTION("""COMPUTED_VALUE"""),"(310) 275-2223")</f>
        <v>(310) 275-2223</v>
      </c>
      <c r="Q1104" s="5"/>
      <c r="R1104" s="5"/>
      <c r="S1104" s="5"/>
      <c r="T1104" s="18">
        <f ca="1">IFERROR(__xludf.DUMMYFUNCTION("""COMPUTED_VALUE"""),45627)</f>
        <v>45627</v>
      </c>
    </row>
    <row r="1105" spans="1:20" ht="12.75">
      <c r="A1105" s="24">
        <f ca="1">IFERROR(__xludf.DUMMYFUNCTION("""COMPUTED_VALUE"""),45672.6869168055)</f>
        <v>45672.686916805498</v>
      </c>
      <c r="B1105" s="5" t="str">
        <f ca="1">IFERROR(__xludf.DUMMYFUNCTION("""COMPUTED_VALUE"""),"20552 Bergamo Way")</f>
        <v>20552 Bergamo Way</v>
      </c>
      <c r="C1105" s="5" t="str">
        <f ca="1">IFERROR(__xludf.DUMMYFUNCTION("""COMPUTED_VALUE"""),"Porter Ranch")</f>
        <v>Porter Ranch</v>
      </c>
      <c r="D1105" s="5" t="str">
        <f ca="1">IFERROR(__xludf.DUMMYFUNCTION("""COMPUTED_VALUE"""),"CA")</f>
        <v>CA</v>
      </c>
      <c r="E1105" s="5">
        <f ca="1">IFERROR(__xludf.DUMMYFUNCTION("""COMPUTED_VALUE"""),91326)</f>
        <v>91326</v>
      </c>
      <c r="F1105" s="19">
        <f ca="1">IFERROR(__xludf.DUMMYFUNCTION("""COMPUTED_VALUE"""),13500)</f>
        <v>13500</v>
      </c>
      <c r="G1105" s="19">
        <f ca="1">IFERROR(__xludf.DUMMYFUNCTION("""COMPUTED_VALUE"""),15500)</f>
        <v>15500</v>
      </c>
      <c r="H1105" s="18">
        <f ca="1">IFERROR(__xludf.DUMMYFUNCTION("""COMPUTED_VALUE"""),45672)</f>
        <v>45672</v>
      </c>
      <c r="I1105" s="5" t="str">
        <f ca="1">IFERROR(__xludf.DUMMYFUNCTION("""COMPUTED_VALUE"""),"Zillow")</f>
        <v>Zillow</v>
      </c>
      <c r="J1105" s="25" t="str">
        <f ca="1">IFERROR(__xludf.DUMMYFUNCTION("""COMPUTED_VALUE"""),"https://www.zillow.com/homedetails/20552-Bergamo-Way-Porter-Ranch-CA-91326/54663961_zpid/?utm_campaign=iosappmessage&amp;utm_medium=referral&amp;utm_source=txtshare")</f>
        <v>https://www.zillow.com/homedetails/20552-Bergamo-Way-Porter-Ranch-CA-91326/54663961_zpid/?utm_campaign=iosappmessage&amp;utm_medium=referral&amp;utm_source=txtshare</v>
      </c>
      <c r="K1105" s="5"/>
      <c r="L1105" s="5"/>
      <c r="M1105" s="5"/>
      <c r="N1105" s="5" t="str">
        <f ca="1">IFERROR(__xludf.DUMMYFUNCTION("""COMPUTED_VALUE"""),"https://drive.google.com/open?id=1ZWav-N8ipoXJG-Ti3r_iZ2O8nA_8ktLK, https://drive.google.com/open?id=1PI5WHr7Swj0ZmAzFUFFsfUShIthOrtCt")</f>
        <v>https://drive.google.com/open?id=1ZWav-N8ipoXJG-Ti3r_iZ2O8nA_8ktLK, https://drive.google.com/open?id=1PI5WHr7Swj0ZmAzFUFFsfUShIthOrtCt</v>
      </c>
      <c r="O1105" s="5" t="str">
        <f ca="1">IFERROR(__xludf.DUMMYFUNCTION("""COMPUTED_VALUE"""),"Parcel number: 2701050031")</f>
        <v>Parcel number: 2701050031</v>
      </c>
      <c r="P1105" s="5"/>
      <c r="Q1105" s="5"/>
      <c r="R1105" s="5"/>
      <c r="S1105" s="5"/>
      <c r="T1105" s="18">
        <f ca="1">IFERROR(__xludf.DUMMYFUNCTION("""COMPUTED_VALUE"""),45646)</f>
        <v>45646</v>
      </c>
    </row>
    <row r="1106" spans="1:20" ht="12.75">
      <c r="A1106" s="24">
        <f ca="1">IFERROR(__xludf.DUMMYFUNCTION("""COMPUTED_VALUE"""),45672.6879359722)</f>
        <v>45672.687935972201</v>
      </c>
      <c r="B1106" s="5" t="str">
        <f ca="1">IFERROR(__xludf.DUMMYFUNCTION("""COMPUTED_VALUE"""),"809 N Roxbury Dr")</f>
        <v>809 N Roxbury Dr</v>
      </c>
      <c r="C1106" s="5" t="str">
        <f ca="1">IFERROR(__xludf.DUMMYFUNCTION("""COMPUTED_VALUE"""),"Beverly Hills")</f>
        <v>Beverly Hills</v>
      </c>
      <c r="D1106" s="5" t="str">
        <f ca="1">IFERROR(__xludf.DUMMYFUNCTION("""COMPUTED_VALUE"""),"CA")</f>
        <v>CA</v>
      </c>
      <c r="E1106" s="5">
        <f ca="1">IFERROR(__xludf.DUMMYFUNCTION("""COMPUTED_VALUE"""),90210)</f>
        <v>90210</v>
      </c>
      <c r="F1106" s="19">
        <f ca="1">IFERROR(__xludf.DUMMYFUNCTION("""COMPUTED_VALUE"""),30000)</f>
        <v>30000</v>
      </c>
      <c r="G1106" s="19">
        <f ca="1">IFERROR(__xludf.DUMMYFUNCTION("""COMPUTED_VALUE"""),37500)</f>
        <v>37500</v>
      </c>
      <c r="H1106" s="18">
        <f ca="1">IFERROR(__xludf.DUMMYFUNCTION("""COMPUTED_VALUE"""),45672)</f>
        <v>45672</v>
      </c>
      <c r="I1106" s="5" t="str">
        <f ca="1">IFERROR(__xludf.DUMMYFUNCTION("""COMPUTED_VALUE"""),"Zillow")</f>
        <v>Zillow</v>
      </c>
      <c r="J1106" s="25" t="str">
        <f ca="1">IFERROR(__xludf.DUMMYFUNCTION("""COMPUTED_VALUE"""),"https://www.zillow.com/homedetails/809-N-Roxbury-Dr-Beverly-Hills-CA-90210/20521388_zpid/")</f>
        <v>https://www.zillow.com/homedetails/809-N-Roxbury-Dr-Beverly-Hills-CA-90210/20521388_zpid/</v>
      </c>
      <c r="K1106" s="5" t="str">
        <f ca="1">IFERROR(__xludf.DUMMYFUNCTION("""COMPUTED_VALUE""")," P. Peter Gabayan - Coldwell Banker Residential Brokerage")</f>
        <v xml:space="preserve"> P. Peter Gabayan - Coldwell Banker Residential Brokerage</v>
      </c>
      <c r="L1106" s="5"/>
      <c r="M1106" s="5"/>
      <c r="N1106" s="26" t="str">
        <f ca="1">IFERROR(__xludf.DUMMYFUNCTION("""COMPUTED_VALUE"""),"https://drive.google.com/open?id=1fntv9rBiO7SS8ANWeurxInlGim5zSb0B")</f>
        <v>https://drive.google.com/open?id=1fntv9rBiO7SS8ANWeurxInlGim5zSb0B</v>
      </c>
      <c r="O1106" s="5">
        <f ca="1">IFERROR(__xludf.DUMMYFUNCTION("""COMPUTED_VALUE"""),4345008005)</f>
        <v>4345008005</v>
      </c>
      <c r="P1106" s="5" t="str">
        <f ca="1">IFERROR(__xludf.DUMMYFUNCTION("""COMPUTED_VALUE"""),"(310) 409-9797")</f>
        <v>(310) 409-9797</v>
      </c>
      <c r="Q1106" s="5"/>
      <c r="R1106" s="5"/>
      <c r="S1106" s="5"/>
      <c r="T1106" s="18">
        <f ca="1">IFERROR(__xludf.DUMMYFUNCTION("""COMPUTED_VALUE"""),45108)</f>
        <v>45108</v>
      </c>
    </row>
    <row r="1107" spans="1:20" ht="12.75">
      <c r="A1107" s="24">
        <f ca="1">IFERROR(__xludf.DUMMYFUNCTION("""COMPUTED_VALUE"""),45672.6900969675)</f>
        <v>45672.690096967497</v>
      </c>
      <c r="B1107" s="5" t="str">
        <f ca="1">IFERROR(__xludf.DUMMYFUNCTION("""COMPUTED_VALUE"""),"2290 gloaming way")</f>
        <v>2290 gloaming way</v>
      </c>
      <c r="C1107" s="5" t="str">
        <f ca="1">IFERROR(__xludf.DUMMYFUNCTION("""COMPUTED_VALUE"""),"beverly hills")</f>
        <v>beverly hills</v>
      </c>
      <c r="D1107" s="5" t="str">
        <f ca="1">IFERROR(__xludf.DUMMYFUNCTION("""COMPUTED_VALUE"""),"CA")</f>
        <v>CA</v>
      </c>
      <c r="E1107" s="5">
        <f ca="1">IFERROR(__xludf.DUMMYFUNCTION("""COMPUTED_VALUE"""),90210)</f>
        <v>90210</v>
      </c>
      <c r="F1107" s="19">
        <f ca="1">IFERROR(__xludf.DUMMYFUNCTION("""COMPUTED_VALUE"""),13500)</f>
        <v>13500</v>
      </c>
      <c r="G1107" s="19">
        <f ca="1">IFERROR(__xludf.DUMMYFUNCTION("""COMPUTED_VALUE"""),14850)</f>
        <v>14850</v>
      </c>
      <c r="H1107" s="18">
        <f ca="1">IFERROR(__xludf.DUMMYFUNCTION("""COMPUTED_VALUE"""),45672)</f>
        <v>45672</v>
      </c>
      <c r="I1107" s="5" t="str">
        <f ca="1">IFERROR(__xludf.DUMMYFUNCTION("""COMPUTED_VALUE"""),"Zillow")</f>
        <v>Zillow</v>
      </c>
      <c r="J1107" s="25" t="str">
        <f ca="1">IFERROR(__xludf.DUMMYFUNCTION("""COMPUTED_VALUE"""),"https://www.zillow.com/homedetails/2290-Gloaming-Way-Beverly-Hills-CA-90210/20533986_zpid/")</f>
        <v>https://www.zillow.com/homedetails/2290-Gloaming-Way-Beverly-Hills-CA-90210/20533986_zpid/</v>
      </c>
      <c r="K1107" s="5"/>
      <c r="L1107" s="5"/>
      <c r="M1107" s="5"/>
      <c r="N1107" s="26" t="str">
        <f ca="1">IFERROR(__xludf.DUMMYFUNCTION("""COMPUTED_VALUE"""),"https://drive.google.com/open?id=10c5S9-ToVfB5JY57Ey5SRAn8i6QBFgzK")</f>
        <v>https://drive.google.com/open?id=10c5S9-ToVfB5JY57Ey5SRAn8i6QBFgzK</v>
      </c>
      <c r="O1107" s="5">
        <f ca="1">IFERROR(__xludf.DUMMYFUNCTION("""COMPUTED_VALUE"""),4388006011)</f>
        <v>4388006011</v>
      </c>
      <c r="P1107" s="5"/>
      <c r="Q1107" s="5"/>
      <c r="R1107" s="5"/>
      <c r="S1107" s="5"/>
      <c r="T1107" s="18">
        <f ca="1">IFERROR(__xludf.DUMMYFUNCTION("""COMPUTED_VALUE"""),45533)</f>
        <v>45533</v>
      </c>
    </row>
    <row r="1108" spans="1:20" ht="12.75">
      <c r="A1108" s="24">
        <f ca="1">IFERROR(__xludf.DUMMYFUNCTION("""COMPUTED_VALUE"""),45672.6928049421)</f>
        <v>45672.692804942097</v>
      </c>
      <c r="B1108" s="5" t="str">
        <f ca="1">IFERROR(__xludf.DUMMYFUNCTION("""COMPUTED_VALUE"""),"11019 Hartsook St, North Hollywood, CA 91601")</f>
        <v>11019 Hartsook St, North Hollywood, CA 91601</v>
      </c>
      <c r="C1108" s="5" t="str">
        <f ca="1">IFERROR(__xludf.DUMMYFUNCTION("""COMPUTED_VALUE"""),"North Hollywood")</f>
        <v>North Hollywood</v>
      </c>
      <c r="D1108" s="5" t="str">
        <f ca="1">IFERROR(__xludf.DUMMYFUNCTION("""COMPUTED_VALUE"""),"CA")</f>
        <v>CA</v>
      </c>
      <c r="E1108" s="5">
        <f ca="1">IFERROR(__xludf.DUMMYFUNCTION("""COMPUTED_VALUE"""),91601)</f>
        <v>91601</v>
      </c>
      <c r="F1108" s="19">
        <f ca="1">IFERROR(__xludf.DUMMYFUNCTION("""COMPUTED_VALUE"""),1050)</f>
        <v>1050</v>
      </c>
      <c r="G1108" s="19">
        <f ca="1">IFERROR(__xludf.DUMMYFUNCTION("""COMPUTED_VALUE"""),1450)</f>
        <v>1450</v>
      </c>
      <c r="H1108" s="18">
        <f ca="1">IFERROR(__xludf.DUMMYFUNCTION("""COMPUTED_VALUE"""),45976)</f>
        <v>45976</v>
      </c>
      <c r="I1108" s="5" t="str">
        <f ca="1">IFERROR(__xludf.DUMMYFUNCTION("""COMPUTED_VALUE"""),"Zillow")</f>
        <v>Zillow</v>
      </c>
      <c r="J1108" s="25" t="str">
        <f ca="1">IFERROR(__xludf.DUMMYFUNCTION("""COMPUTED_VALUE"""),"https://www.zillow.com/homedetails/11019-Hartsook-St-North-Hollywood-CA-91601/2128453240_zpid/")</f>
        <v>https://www.zillow.com/homedetails/11019-Hartsook-St-North-Hollywood-CA-91601/2128453240_zpid/</v>
      </c>
      <c r="K1108" s="5" t="str">
        <f ca="1">IFERROR(__xludf.DUMMYFUNCTION("""COMPUTED_VALUE"""),"SF Valley Property Mgmt")</f>
        <v>SF Valley Property Mgmt</v>
      </c>
      <c r="L1108" s="5"/>
      <c r="M1108" s="5"/>
      <c r="N1108" s="5" t="str">
        <f ca="1">IFERROR(__xludf.DUMMYFUNCTION("""COMPUTED_VALUE"""),"https://drive.google.com/open?id=1w8nB3i77quIp3pBYZPF_VrsN3uufHiIv, https://drive.google.com/open?id=1auOjPlK6MhCFaqbKDo9dpPciDw1F7UEt")</f>
        <v>https://drive.google.com/open?id=1w8nB3i77quIp3pBYZPF_VrsN3uufHiIv, https://drive.google.com/open?id=1auOjPlK6MhCFaqbKDo9dpPciDw1F7UEt</v>
      </c>
      <c r="O1108" s="5" t="str">
        <f ca="1">IFERROR(__xludf.DUMMYFUNCTION("""COMPUTED_VALUE"""),"NA")</f>
        <v>NA</v>
      </c>
      <c r="P1108" s="5" t="str">
        <f ca="1">IFERROR(__xludf.DUMMYFUNCTION("""COMPUTED_VALUE"""),"(213) 632-5346")</f>
        <v>(213) 632-5346</v>
      </c>
      <c r="Q1108" s="5"/>
      <c r="R1108" s="5"/>
      <c r="S1108" s="5"/>
      <c r="T1108" s="18">
        <f ca="1">IFERROR(__xludf.DUMMYFUNCTION("""COMPUTED_VALUE"""),43895)</f>
        <v>43895</v>
      </c>
    </row>
    <row r="1109" spans="1:20" ht="12.75">
      <c r="A1109" s="24">
        <f ca="1">IFERROR(__xludf.DUMMYFUNCTION("""COMPUTED_VALUE"""),45672.6965995486)</f>
        <v>45672.696599548603</v>
      </c>
      <c r="B1109" s="5" t="str">
        <f ca="1">IFERROR(__xludf.DUMMYFUNCTION("""COMPUTED_VALUE"""),"9631 Random Dr")</f>
        <v>9631 Random Dr</v>
      </c>
      <c r="C1109" s="5" t="str">
        <f ca="1">IFERROR(__xludf.DUMMYFUNCTION("""COMPUTED_VALUE"""),"Anaheim")</f>
        <v>Anaheim</v>
      </c>
      <c r="D1109" s="5" t="str">
        <f ca="1">IFERROR(__xludf.DUMMYFUNCTION("""COMPUTED_VALUE"""),"CA")</f>
        <v>CA</v>
      </c>
      <c r="E1109" s="5">
        <f ca="1">IFERROR(__xludf.DUMMYFUNCTION("""COMPUTED_VALUE"""),92804)</f>
        <v>92804</v>
      </c>
      <c r="F1109" s="19">
        <f ca="1">IFERROR(__xludf.DUMMYFUNCTION("""COMPUTED_VALUE"""),7950)</f>
        <v>7950</v>
      </c>
      <c r="G1109" s="19">
        <f ca="1">IFERROR(__xludf.DUMMYFUNCTION("""COMPUTED_VALUE"""),9950)</f>
        <v>9950</v>
      </c>
      <c r="H1109" s="18">
        <f ca="1">IFERROR(__xludf.DUMMYFUNCTION("""COMPUTED_VALUE"""),45671)</f>
        <v>45671</v>
      </c>
      <c r="I1109" s="5" t="str">
        <f ca="1">IFERROR(__xludf.DUMMYFUNCTION("""COMPUTED_VALUE"""),"Zillow")</f>
        <v>Zillow</v>
      </c>
      <c r="J1109" s="25" t="str">
        <f ca="1">IFERROR(__xludf.DUMMYFUNCTION("""COMPUTED_VALUE"""),"https://www.zillow.com/homedetails/9631-Random-Dr-Anaheim-CA-92804/25220401_zpid/")</f>
        <v>https://www.zillow.com/homedetails/9631-Random-Dr-Anaheim-CA-92804/25220401_zpid/</v>
      </c>
      <c r="K1109" s="5" t="str">
        <f ca="1">IFERROR(__xludf.DUMMYFUNCTION("""COMPUTED_VALUE"""),"Montana Travel")</f>
        <v>Montana Travel</v>
      </c>
      <c r="L1109" s="5"/>
      <c r="M1109" s="5"/>
      <c r="N1109" s="5" t="str">
        <f ca="1">IFERROR(__xludf.DUMMYFUNCTION("""COMPUTED_VALUE"""),"https://drive.google.com/open?id=11h-ZdngZV2AJBYGVM5pJO1ZovubbqigR, https://drive.google.com/open?id=1gD6DBUYarBlePJXWs_U4AdodlBpDxjLF, https://drive.google.com/open?id=1d0gxF_f7L3Wx5546WdAI7eFEbaMWvQqA")</f>
        <v>https://drive.google.com/open?id=11h-ZdngZV2AJBYGVM5pJO1ZovubbqigR, https://drive.google.com/open?id=1gD6DBUYarBlePJXWs_U4AdodlBpDxjLF, https://drive.google.com/open?id=1d0gxF_f7L3Wx5546WdAI7eFEbaMWvQqA</v>
      </c>
      <c r="O1109" s="5">
        <f ca="1">IFERROR(__xludf.DUMMYFUNCTION("""COMPUTED_VALUE"""),12722615)</f>
        <v>12722615</v>
      </c>
      <c r="P1109" s="5" t="str">
        <f ca="1">IFERROR(__xludf.DUMMYFUNCTION("""COMPUTED_VALUE"""),"(626) 554-6956")</f>
        <v>(626) 554-6956</v>
      </c>
      <c r="Q1109" s="5"/>
      <c r="R1109" s="5"/>
      <c r="S1109" s="5"/>
      <c r="T1109" s="18">
        <f ca="1">IFERROR(__xludf.DUMMYFUNCTION("""COMPUTED_VALUE"""),45653)</f>
        <v>45653</v>
      </c>
    </row>
    <row r="1110" spans="1:20" ht="12.75">
      <c r="A1110" s="24">
        <f ca="1">IFERROR(__xludf.DUMMYFUNCTION("""COMPUTED_VALUE"""),45672.6993271296)</f>
        <v>45672.699327129601</v>
      </c>
      <c r="B1110" s="5" t="str">
        <f ca="1">IFERROR(__xludf.DUMMYFUNCTION("""COMPUTED_VALUE"""),"1716 N Sierra Bonita Ave")</f>
        <v>1716 N Sierra Bonita Ave</v>
      </c>
      <c r="C1110" s="5" t="str">
        <f ca="1">IFERROR(__xludf.DUMMYFUNCTION("""COMPUTED_VALUE"""),"Pasadena")</f>
        <v>Pasadena</v>
      </c>
      <c r="D1110" s="5" t="str">
        <f ca="1">IFERROR(__xludf.DUMMYFUNCTION("""COMPUTED_VALUE"""),"CA")</f>
        <v>CA</v>
      </c>
      <c r="E1110" s="5">
        <f ca="1">IFERROR(__xludf.DUMMYFUNCTION("""COMPUTED_VALUE"""),91104)</f>
        <v>91104</v>
      </c>
      <c r="F1110" s="19">
        <f ca="1">IFERROR(__xludf.DUMMYFUNCTION("""COMPUTED_VALUE"""),1881)</f>
        <v>1881</v>
      </c>
      <c r="G1110" s="19">
        <f ca="1">IFERROR(__xludf.DUMMYFUNCTION("""COMPUTED_VALUE"""),2700)</f>
        <v>2700</v>
      </c>
      <c r="H1110" s="18">
        <f ca="1">IFERROR(__xludf.DUMMYFUNCTION("""COMPUTED_VALUE"""),45673)</f>
        <v>45673</v>
      </c>
      <c r="I1110" s="5" t="str">
        <f ca="1">IFERROR(__xludf.DUMMYFUNCTION("""COMPUTED_VALUE"""),"Zillow")</f>
        <v>Zillow</v>
      </c>
      <c r="J1110" s="25" t="str">
        <f ca="1">IFERROR(__xludf.DUMMYFUNCTION("""COMPUTED_VALUE"""),"https://www.zillow.com/homedetails/1716-N-Sierra-Bonita-Ave-Pasadena-CA-91104/2081043454_zpid/")</f>
        <v>https://www.zillow.com/homedetails/1716-N-Sierra-Bonita-Ave-Pasadena-CA-91104/2081043454_zpid/</v>
      </c>
      <c r="K1110" s="5" t="str">
        <f ca="1">IFERROR(__xludf.DUMMYFUNCTION("""COMPUTED_VALUE"""),"Helix Real Estate Management")</f>
        <v>Helix Real Estate Management</v>
      </c>
      <c r="L1110" s="5"/>
      <c r="M1110" s="5" t="str">
        <f ca="1">IFERROR(__xludf.DUMMYFUNCTION("""COMPUTED_VALUE"""),"Last listing in 2023")</f>
        <v>Last listing in 2023</v>
      </c>
      <c r="N1110" s="26" t="str">
        <f ca="1">IFERROR(__xludf.DUMMYFUNCTION("""COMPUTED_VALUE"""),"https://drive.google.com/open?id=1oQWTO6NuCtgTenPU74YxLrGyD305hxsU")</f>
        <v>https://drive.google.com/open?id=1oQWTO6NuCtgTenPU74YxLrGyD305hxsU</v>
      </c>
      <c r="O1110" s="5" t="str">
        <f ca="1">IFERROR(__xludf.DUMMYFUNCTION("""COMPUTED_VALUE"""),"NA")</f>
        <v>NA</v>
      </c>
      <c r="P1110" s="5" t="str">
        <f ca="1">IFERROR(__xludf.DUMMYFUNCTION("""COMPUTED_VALUE"""),"626-323-8487")</f>
        <v>626-323-8487</v>
      </c>
      <c r="Q1110" s="5"/>
      <c r="R1110" s="5"/>
      <c r="S1110" s="5"/>
      <c r="T1110" s="18">
        <f ca="1">IFERROR(__xludf.DUMMYFUNCTION("""COMPUTED_VALUE"""),45196)</f>
        <v>45196</v>
      </c>
    </row>
    <row r="1111" spans="1:20" ht="12.75">
      <c r="A1111" s="24">
        <f ca="1">IFERROR(__xludf.DUMMYFUNCTION("""COMPUTED_VALUE"""),45672.7000360532)</f>
        <v>45672.700036053197</v>
      </c>
      <c r="B1111" s="5" t="str">
        <f ca="1">IFERROR(__xludf.DUMMYFUNCTION("""COMPUTED_VALUE"""),"9962 Pacific Ave")</f>
        <v>9962 Pacific Ave</v>
      </c>
      <c r="C1111" s="5" t="str">
        <f ca="1">IFERROR(__xludf.DUMMYFUNCTION("""COMPUTED_VALUE"""),"Anaheim")</f>
        <v>Anaheim</v>
      </c>
      <c r="D1111" s="5" t="str">
        <f ca="1">IFERROR(__xludf.DUMMYFUNCTION("""COMPUTED_VALUE"""),"CA")</f>
        <v>CA</v>
      </c>
      <c r="E1111" s="5">
        <f ca="1">IFERROR(__xludf.DUMMYFUNCTION("""COMPUTED_VALUE"""),92804)</f>
        <v>92804</v>
      </c>
      <c r="F1111" s="19">
        <f ca="1">IFERROR(__xludf.DUMMYFUNCTION("""COMPUTED_VALUE"""),3595)</f>
        <v>3595</v>
      </c>
      <c r="G1111" s="19">
        <f ca="1">IFERROR(__xludf.DUMMYFUNCTION("""COMPUTED_VALUE"""),8500)</f>
        <v>8500</v>
      </c>
      <c r="H1111" s="18">
        <f ca="1">IFERROR(__xludf.DUMMYFUNCTION("""COMPUTED_VALUE"""),45671)</f>
        <v>45671</v>
      </c>
      <c r="I1111" s="5" t="str">
        <f ca="1">IFERROR(__xludf.DUMMYFUNCTION("""COMPUTED_VALUE"""),"Zillow")</f>
        <v>Zillow</v>
      </c>
      <c r="J1111" s="25" t="str">
        <f ca="1">IFERROR(__xludf.DUMMYFUNCTION("""COMPUTED_VALUE"""),"https://www.zillow.com/homedetails/9962-Pacific-Ave-Anaheim-CA-92804/25222080_zpid/")</f>
        <v>https://www.zillow.com/homedetails/9962-Pacific-Ave-Anaheim-CA-92804/25222080_zpid/</v>
      </c>
      <c r="K1111" s="5"/>
      <c r="L1111" s="5" t="str">
        <f ca="1">IFERROR(__xludf.DUMMYFUNCTION("""COMPUTED_VALUE"""),"Harizo Vasquez")</f>
        <v>Harizo Vasquez</v>
      </c>
      <c r="M1111" s="5"/>
      <c r="N1111" s="5" t="str">
        <f ca="1">IFERROR(__xludf.DUMMYFUNCTION("""COMPUTED_VALUE"""),"https://drive.google.com/open?id=19FOM71qTv-Zws9PdtkHNto7W_Z-IZ2z8, https://drive.google.com/open?id=18cbJz0OhmCkcoNhz-ubCw7LmPZGrWbAb, https://drive.google.com/open?id=1fegB3NMEdIBAdZG6bk8tlbqWlCI5BFLs")</f>
        <v>https://drive.google.com/open?id=19FOM71qTv-Zws9PdtkHNto7W_Z-IZ2z8, https://drive.google.com/open?id=18cbJz0OhmCkcoNhz-ubCw7LmPZGrWbAb, https://drive.google.com/open?id=1fegB3NMEdIBAdZG6bk8tlbqWlCI5BFLs</v>
      </c>
      <c r="O1111" s="5">
        <f ca="1">IFERROR(__xludf.DUMMYFUNCTION("""COMPUTED_VALUE"""),12752402)</f>
        <v>12752402</v>
      </c>
      <c r="P1111" s="5"/>
      <c r="Q1111" s="5"/>
      <c r="R1111" s="5" t="str">
        <f ca="1">IFERROR(__xludf.DUMMYFUNCTION("""COMPUTED_VALUE"""),"(669) 280-5391")</f>
        <v>(669) 280-5391</v>
      </c>
      <c r="S1111" s="5"/>
      <c r="T1111" s="18">
        <f ca="1">IFERROR(__xludf.DUMMYFUNCTION("""COMPUTED_VALUE"""),45302)</f>
        <v>45302</v>
      </c>
    </row>
    <row r="1112" spans="1:20" ht="12.75">
      <c r="A1112" s="24">
        <f ca="1">IFERROR(__xludf.DUMMYFUNCTION("""COMPUTED_VALUE"""),45672.7010278472)</f>
        <v>45672.701027847201</v>
      </c>
      <c r="B1112" s="5" t="str">
        <f ca="1">IFERROR(__xludf.DUMMYFUNCTION("""COMPUTED_VALUE"""),"1915 Minoru Dr APT 1C")</f>
        <v>1915 Minoru Dr APT 1C</v>
      </c>
      <c r="C1112" s="5" t="str">
        <f ca="1">IFERROR(__xludf.DUMMYFUNCTION("""COMPUTED_VALUE"""),"Altadena")</f>
        <v>Altadena</v>
      </c>
      <c r="D1112" s="5" t="str">
        <f ca="1">IFERROR(__xludf.DUMMYFUNCTION("""COMPUTED_VALUE"""),"CA")</f>
        <v>CA</v>
      </c>
      <c r="E1112" s="5">
        <f ca="1">IFERROR(__xludf.DUMMYFUNCTION("""COMPUTED_VALUE"""),91001)</f>
        <v>91001</v>
      </c>
      <c r="F1112" s="19">
        <f ca="1">IFERROR(__xludf.DUMMYFUNCTION("""COMPUTED_VALUE"""),1850)</f>
        <v>1850</v>
      </c>
      <c r="G1112" s="19">
        <f ca="1">IFERROR(__xludf.DUMMYFUNCTION("""COMPUTED_VALUE"""),2095)</f>
        <v>2095</v>
      </c>
      <c r="H1112" s="18">
        <f ca="1">IFERROR(__xludf.DUMMYFUNCTION("""COMPUTED_VALUE"""),45672)</f>
        <v>45672</v>
      </c>
      <c r="I1112" s="5" t="str">
        <f ca="1">IFERROR(__xludf.DUMMYFUNCTION("""COMPUTED_VALUE"""),"Zillow")</f>
        <v>Zillow</v>
      </c>
      <c r="J1112" s="25" t="str">
        <f ca="1">IFERROR(__xludf.DUMMYFUNCTION("""COMPUTED_VALUE"""),"https://www.zillow.com/homedetails/1915-Minoru-Dr-APT-1C-Altadena-CA-91001/339995042_zpid/")</f>
        <v>https://www.zillow.com/homedetails/1915-Minoru-Dr-APT-1C-Altadena-CA-91001/339995042_zpid/</v>
      </c>
      <c r="K1112" s="5" t="str">
        <f ca="1">IFERROR(__xludf.DUMMYFUNCTION("""COMPUTED_VALUE"""),"S.I.G. Property Management")</f>
        <v>S.I.G. Property Management</v>
      </c>
      <c r="L1112" s="5"/>
      <c r="M1112" s="5"/>
      <c r="N1112" s="26" t="str">
        <f ca="1">IFERROR(__xludf.DUMMYFUNCTION("""COMPUTED_VALUE"""),"https://drive.google.com/open?id=1jzW9wZ3Aw33KJBd0FkSmUI2AAmXX9jI2")</f>
        <v>https://drive.google.com/open?id=1jzW9wZ3Aw33KJBd0FkSmUI2AAmXX9jI2</v>
      </c>
      <c r="O1112" s="5" t="str">
        <f ca="1">IFERROR(__xludf.DUMMYFUNCTION("""COMPUTED_VALUE"""),"NA")</f>
        <v>NA</v>
      </c>
      <c r="P1112" s="5" t="str">
        <f ca="1">IFERROR(__xludf.DUMMYFUNCTION("""COMPUTED_VALUE"""),"818-629-1779")</f>
        <v>818-629-1779</v>
      </c>
      <c r="Q1112" s="5"/>
      <c r="R1112" s="5"/>
      <c r="S1112" s="5"/>
      <c r="T1112" s="18">
        <f ca="1">IFERROR(__xludf.DUMMYFUNCTION("""COMPUTED_VALUE"""),45342)</f>
        <v>45342</v>
      </c>
    </row>
    <row r="1113" spans="1:20" ht="12.75">
      <c r="A1113" s="24">
        <f ca="1">IFERROR(__xludf.DUMMYFUNCTION("""COMPUTED_VALUE"""),45672.7010878356)</f>
        <v>45672.701087835601</v>
      </c>
      <c r="B1113" s="5" t="str">
        <f ca="1">IFERROR(__xludf.DUMMYFUNCTION("""COMPUTED_VALUE"""),"5450 oakdale ave")</f>
        <v>5450 oakdale ave</v>
      </c>
      <c r="C1113" s="5" t="str">
        <f ca="1">IFERROR(__xludf.DUMMYFUNCTION("""COMPUTED_VALUE"""),"woodland hills")</f>
        <v>woodland hills</v>
      </c>
      <c r="D1113" s="5" t="str">
        <f ca="1">IFERROR(__xludf.DUMMYFUNCTION("""COMPUTED_VALUE"""),"CA")</f>
        <v>CA</v>
      </c>
      <c r="E1113" s="5">
        <f ca="1">IFERROR(__xludf.DUMMYFUNCTION("""COMPUTED_VALUE"""),91364)</f>
        <v>91364</v>
      </c>
      <c r="F1113" s="19">
        <f ca="1">IFERROR(__xludf.DUMMYFUNCTION("""COMPUTED_VALUE"""),6900)</f>
        <v>6900</v>
      </c>
      <c r="G1113" s="19">
        <f ca="1">IFERROR(__xludf.DUMMYFUNCTION("""COMPUTED_VALUE"""),8000)</f>
        <v>8000</v>
      </c>
      <c r="H1113" s="18">
        <f ca="1">IFERROR(__xludf.DUMMYFUNCTION("""COMPUTED_VALUE"""),45672)</f>
        <v>45672</v>
      </c>
      <c r="I1113" s="5" t="str">
        <f ca="1">IFERROR(__xludf.DUMMYFUNCTION("""COMPUTED_VALUE"""),"Zillow")</f>
        <v>Zillow</v>
      </c>
      <c r="J1113" s="25" t="str">
        <f ca="1">IFERROR(__xludf.DUMMYFUNCTION("""COMPUTED_VALUE"""),"https://www.zillow.com/homedetails/5450-Oakdale-Ave-Woodland-Hills-CA-91364/2058831328_zpid/")</f>
        <v>https://www.zillow.com/homedetails/5450-Oakdale-Ave-Woodland-Hills-CA-91364/2058831328_zpid/</v>
      </c>
      <c r="K1113" s="5"/>
      <c r="L1113" s="5"/>
      <c r="M1113" s="5"/>
      <c r="N1113" s="26" t="str">
        <f ca="1">IFERROR(__xludf.DUMMYFUNCTION("""COMPUTED_VALUE"""),"https://drive.google.com/open?id=1usebWRpxxzFkvDgwJ89kv-UGsO39zNNH")</f>
        <v>https://drive.google.com/open?id=1usebWRpxxzFkvDgwJ89kv-UGsO39zNNH</v>
      </c>
      <c r="O1113" s="5" t="str">
        <f ca="1">IFERROR(__xludf.DUMMYFUNCTION("""COMPUTED_VALUE"""),"na")</f>
        <v>na</v>
      </c>
      <c r="P1113" s="5"/>
      <c r="Q1113" s="5"/>
      <c r="R1113" s="5"/>
      <c r="S1113" s="5"/>
      <c r="T1113" s="18">
        <f ca="1">IFERROR(__xludf.DUMMYFUNCTION("""COMPUTED_VALUE"""),45643)</f>
        <v>45643</v>
      </c>
    </row>
    <row r="1114" spans="1:20" ht="12.75">
      <c r="A1114" s="24">
        <f ca="1">IFERROR(__xludf.DUMMYFUNCTION("""COMPUTED_VALUE"""),45672.705856331)</f>
        <v>45672.705856330998</v>
      </c>
      <c r="B1114" s="5" t="str">
        <f ca="1">IFERROR(__xludf.DUMMYFUNCTION("""COMPUTED_VALUE"""),"13 Glorieta W")</f>
        <v>13 Glorieta W</v>
      </c>
      <c r="C1114" s="5" t="str">
        <f ca="1">IFERROR(__xludf.DUMMYFUNCTION("""COMPUTED_VALUE"""),"Irvine")</f>
        <v>Irvine</v>
      </c>
      <c r="D1114" s="5" t="str">
        <f ca="1">IFERROR(__xludf.DUMMYFUNCTION("""COMPUTED_VALUE"""),"CA")</f>
        <v>CA</v>
      </c>
      <c r="E1114" s="5">
        <f ca="1">IFERROR(__xludf.DUMMYFUNCTION("""COMPUTED_VALUE"""),92620)</f>
        <v>92620</v>
      </c>
      <c r="F1114" s="19">
        <f ca="1">IFERROR(__xludf.DUMMYFUNCTION("""COMPUTED_VALUE"""),5500)</f>
        <v>5500</v>
      </c>
      <c r="G1114" s="19">
        <f ca="1">IFERROR(__xludf.DUMMYFUNCTION("""COMPUTED_VALUE"""),8000)</f>
        <v>8000</v>
      </c>
      <c r="H1114" s="18">
        <f ca="1">IFERROR(__xludf.DUMMYFUNCTION("""COMPUTED_VALUE"""),45671)</f>
        <v>45671</v>
      </c>
      <c r="I1114" s="5" t="str">
        <f ca="1">IFERROR(__xludf.DUMMYFUNCTION("""COMPUTED_VALUE"""),"Zillow")</f>
        <v>Zillow</v>
      </c>
      <c r="J1114" s="25" t="str">
        <f ca="1">IFERROR(__xludf.DUMMYFUNCTION("""COMPUTED_VALUE"""),"https://www.zillow.com/homedetails/13-Glorieta-W-Irvine-CA-92620/25517522_zpid/")</f>
        <v>https://www.zillow.com/homedetails/13-Glorieta-W-Irvine-CA-92620/25517522_zpid/</v>
      </c>
      <c r="K1114" s="5" t="str">
        <f ca="1">IFERROR(__xludf.DUMMYFUNCTION("""COMPUTED_VALUE"""),"Steve Reddy, Hanu Reddy Realty")</f>
        <v>Steve Reddy, Hanu Reddy Realty</v>
      </c>
      <c r="L1114" s="5"/>
      <c r="M1114" s="5"/>
      <c r="N1114" s="5" t="str">
        <f ca="1">IFERROR(__xludf.DUMMYFUNCTION("""COMPUTED_VALUE"""),"https://drive.google.com/open?id=1mBl13pISQe2hjoB6k4Q-wEp_2hsCY-at, https://drive.google.com/open?id=1hAdQ8z6uCjX8rKk4Bd_06SVheV_VICEg, https://drive.google.com/open?id=1or58b6fraLezijMnvOB3weP8hhO755Wm")</f>
        <v>https://drive.google.com/open?id=1mBl13pISQe2hjoB6k4Q-wEp_2hsCY-at, https://drive.google.com/open?id=1hAdQ8z6uCjX8rKk4Bd_06SVheV_VICEg, https://drive.google.com/open?id=1or58b6fraLezijMnvOB3weP8hhO755Wm</v>
      </c>
      <c r="O1114" s="5">
        <f ca="1">IFERROR(__xludf.DUMMYFUNCTION("""COMPUTED_VALUE"""),53001202)</f>
        <v>53001202</v>
      </c>
      <c r="P1114" s="5" t="str">
        <f ca="1">IFERROR(__xludf.DUMMYFUNCTION("""COMPUTED_VALUE"""),"(949) 510-3933")</f>
        <v>(949) 510-3933</v>
      </c>
      <c r="Q1114" s="5"/>
      <c r="R1114" s="5"/>
      <c r="S1114" s="5"/>
      <c r="T1114" s="18">
        <f ca="1">IFERROR(__xludf.DUMMYFUNCTION("""COMPUTED_VALUE"""),45629)</f>
        <v>45629</v>
      </c>
    </row>
    <row r="1115" spans="1:20" ht="12.75">
      <c r="A1115" s="24">
        <f ca="1">IFERROR(__xludf.DUMMYFUNCTION("""COMPUTED_VALUE"""),45672.7065776504)</f>
        <v>45672.706577650402</v>
      </c>
      <c r="B1115" s="5" t="str">
        <f ca="1">IFERROR(__xludf.DUMMYFUNCTION("""COMPUTED_VALUE"""),"11271 Otsego St #204")</f>
        <v>11271 Otsego St #204</v>
      </c>
      <c r="C1115" s="5" t="str">
        <f ca="1">IFERROR(__xludf.DUMMYFUNCTION("""COMPUTED_VALUE"""),"North Hollywood")</f>
        <v>North Hollywood</v>
      </c>
      <c r="D1115" s="5" t="str">
        <f ca="1">IFERROR(__xludf.DUMMYFUNCTION("""COMPUTED_VALUE"""),"CA")</f>
        <v>CA</v>
      </c>
      <c r="E1115" s="5">
        <f ca="1">IFERROR(__xludf.DUMMYFUNCTION("""COMPUTED_VALUE"""),91601)</f>
        <v>91601</v>
      </c>
      <c r="F1115" s="19">
        <f ca="1">IFERROR(__xludf.DUMMYFUNCTION("""COMPUTED_VALUE"""),2195)</f>
        <v>2195</v>
      </c>
      <c r="G1115" s="19">
        <f ca="1">IFERROR(__xludf.DUMMYFUNCTION("""COMPUTED_VALUE"""),2495)</f>
        <v>2495</v>
      </c>
      <c r="H1115" s="18">
        <f ca="1">IFERROR(__xludf.DUMMYFUNCTION("""COMPUTED_VALUE"""),45666)</f>
        <v>45666</v>
      </c>
      <c r="I1115" s="5" t="str">
        <f ca="1">IFERROR(__xludf.DUMMYFUNCTION("""COMPUTED_VALUE"""),"Zillow")</f>
        <v>Zillow</v>
      </c>
      <c r="J1115" s="25" t="str">
        <f ca="1">IFERROR(__xludf.DUMMYFUNCTION("""COMPUTED_VALUE"""),"https://www.zillow.com/homedetails/11271-Otsego-St-204-North-Hollywood-CA-91601/2078923251_zpid/")</f>
        <v>https://www.zillow.com/homedetails/11271-Otsego-St-204-North-Hollywood-CA-91601/2078923251_zpid/</v>
      </c>
      <c r="K1115" s="5" t="str">
        <f ca="1">IFERROR(__xludf.DUMMYFUNCTION("""COMPUTED_VALUE"""),"Marlin Management company")</f>
        <v>Marlin Management company</v>
      </c>
      <c r="L1115" s="5"/>
      <c r="M1115" s="5"/>
      <c r="N1115" s="5" t="str">
        <f ca="1">IFERROR(__xludf.DUMMYFUNCTION("""COMPUTED_VALUE"""),"https://drive.google.com/open?id=1VD73viozX9_XFxlCg-8uSmuLKzIphsQd, https://drive.google.com/open?id=1Il646ILfmF5ntRs3VTmS6yxY_rZ_UUT2")</f>
        <v>https://drive.google.com/open?id=1VD73viozX9_XFxlCg-8uSmuLKzIphsQd, https://drive.google.com/open?id=1Il646ILfmF5ntRs3VTmS6yxY_rZ_UUT2</v>
      </c>
      <c r="O1115" s="5" t="str">
        <f ca="1">IFERROR(__xludf.DUMMYFUNCTION("""COMPUTED_VALUE"""),"NA")</f>
        <v>NA</v>
      </c>
      <c r="P1115" s="5" t="str">
        <f ca="1">IFERROR(__xludf.DUMMYFUNCTION("""COMPUTED_VALUE"""),"(424) 442-9594")</f>
        <v>(424) 442-9594</v>
      </c>
      <c r="Q1115" s="5"/>
      <c r="R1115" s="5"/>
      <c r="S1115" s="5"/>
      <c r="T1115" s="18">
        <f ca="1">IFERROR(__xludf.DUMMYFUNCTION("""COMPUTED_VALUE"""),45650)</f>
        <v>45650</v>
      </c>
    </row>
    <row r="1116" spans="1:20" ht="12.75">
      <c r="A1116" s="24">
        <f ca="1">IFERROR(__xludf.DUMMYFUNCTION("""COMPUTED_VALUE"""),45672.708091875)</f>
        <v>45672.708091875</v>
      </c>
      <c r="B1116" s="5" t="str">
        <f ca="1">IFERROR(__xludf.DUMMYFUNCTION("""COMPUTED_VALUE"""),"5911 saturn st")</f>
        <v>5911 saturn st</v>
      </c>
      <c r="C1116" s="5" t="str">
        <f ca="1">IFERROR(__xludf.DUMMYFUNCTION("""COMPUTED_VALUE"""),"los angeles")</f>
        <v>los angeles</v>
      </c>
      <c r="D1116" s="5" t="str">
        <f ca="1">IFERROR(__xludf.DUMMYFUNCTION("""COMPUTED_VALUE"""),"CA")</f>
        <v>CA</v>
      </c>
      <c r="E1116" s="5">
        <f ca="1">IFERROR(__xludf.DUMMYFUNCTION("""COMPUTED_VALUE"""),90035)</f>
        <v>90035</v>
      </c>
      <c r="F1116" s="19">
        <f ca="1">IFERROR(__xludf.DUMMYFUNCTION("""COMPUTED_VALUE"""),7000)</f>
        <v>7000</v>
      </c>
      <c r="G1116" s="19">
        <f ca="1">IFERROR(__xludf.DUMMYFUNCTION("""COMPUTED_VALUE"""),8000)</f>
        <v>8000</v>
      </c>
      <c r="H1116" s="18">
        <f ca="1">IFERROR(__xludf.DUMMYFUNCTION("""COMPUTED_VALUE"""),45672)</f>
        <v>45672</v>
      </c>
      <c r="I1116" s="5" t="str">
        <f ca="1">IFERROR(__xludf.DUMMYFUNCTION("""COMPUTED_VALUE"""),"Zillow")</f>
        <v>Zillow</v>
      </c>
      <c r="J1116" s="25" t="str">
        <f ca="1">IFERROR(__xludf.DUMMYFUNCTION("""COMPUTED_VALUE"""),"https://www.zillow.com/homedetails/5911-Saturn-St-Los-Angeles-CA-90035/119678788_zpid/")</f>
        <v>https://www.zillow.com/homedetails/5911-Saturn-St-Los-Angeles-CA-90035/119678788_zpid/</v>
      </c>
      <c r="K1116" s="5"/>
      <c r="L1116" s="5"/>
      <c r="M1116" s="5"/>
      <c r="N1116" s="26" t="str">
        <f ca="1">IFERROR(__xludf.DUMMYFUNCTION("""COMPUTED_VALUE"""),"https://drive.google.com/open?id=1RHuur4182HOEKl9CQ5ZIanOovmrtIHC7")</f>
        <v>https://drive.google.com/open?id=1RHuur4182HOEKl9CQ5ZIanOovmrtIHC7</v>
      </c>
      <c r="O1116" s="5">
        <f ca="1">IFERROR(__xludf.DUMMYFUNCTION("""COMPUTED_VALUE"""),5068027006)</f>
        <v>5068027006</v>
      </c>
      <c r="P1116" s="5"/>
      <c r="Q1116" s="5"/>
      <c r="R1116" s="5"/>
      <c r="S1116" s="5"/>
      <c r="T1116" s="18">
        <f ca="1">IFERROR(__xludf.DUMMYFUNCTION("""COMPUTED_VALUE"""),45338)</f>
        <v>45338</v>
      </c>
    </row>
    <row r="1117" spans="1:20" ht="12.75">
      <c r="A1117" s="24">
        <f ca="1">IFERROR(__xludf.DUMMYFUNCTION("""COMPUTED_VALUE"""),45672.708595243)</f>
        <v>45672.708595242999</v>
      </c>
      <c r="B1117" s="5" t="str">
        <f ca="1">IFERROR(__xludf.DUMMYFUNCTION("""COMPUTED_VALUE"""),"8262 Woodshill Trl")</f>
        <v>8262 Woodshill Trl</v>
      </c>
      <c r="C1117" s="5" t="str">
        <f ca="1">IFERROR(__xludf.DUMMYFUNCTION("""COMPUTED_VALUE"""),"Los Angeles")</f>
        <v>Los Angeles</v>
      </c>
      <c r="D1117" s="5" t="str">
        <f ca="1">IFERROR(__xludf.DUMMYFUNCTION("""COMPUTED_VALUE"""),"CA")</f>
        <v>CA</v>
      </c>
      <c r="E1117" s="5">
        <f ca="1">IFERROR(__xludf.DUMMYFUNCTION("""COMPUTED_VALUE"""),90069)</f>
        <v>90069</v>
      </c>
      <c r="F1117" s="19">
        <f ca="1">IFERROR(__xludf.DUMMYFUNCTION("""COMPUTED_VALUE"""),22995)</f>
        <v>22995</v>
      </c>
      <c r="G1117" s="19">
        <f ca="1">IFERROR(__xludf.DUMMYFUNCTION("""COMPUTED_VALUE"""),40000)</f>
        <v>40000</v>
      </c>
      <c r="H1117" s="18">
        <f ca="1">IFERROR(__xludf.DUMMYFUNCTION("""COMPUTED_VALUE"""),45672)</f>
        <v>45672</v>
      </c>
      <c r="I1117" s="5" t="str">
        <f ca="1">IFERROR(__xludf.DUMMYFUNCTION("""COMPUTED_VALUE"""),"Zillow")</f>
        <v>Zillow</v>
      </c>
      <c r="J1117" s="25" t="str">
        <f ca="1">IFERROR(__xludf.DUMMYFUNCTION("""COMPUTED_VALUE"""),"https://www.zillow.com/homedetails/8262-Woodshill-Trl-Los-Angeles-CA-90069/20797509_zpid/")</f>
        <v>https://www.zillow.com/homedetails/8262-Woodshill-Trl-Los-Angeles-CA-90069/20797509_zpid/</v>
      </c>
      <c r="K1117" s="5" t="str">
        <f ca="1">IFERROR(__xludf.DUMMYFUNCTION("""COMPUTED_VALUE"""),"Jordan Pollack")</f>
        <v>Jordan Pollack</v>
      </c>
      <c r="L1117" s="5"/>
      <c r="M1117" s="5"/>
      <c r="N1117" s="26" t="str">
        <f ca="1">IFERROR(__xludf.DUMMYFUNCTION("""COMPUTED_VALUE"""),"https://drive.google.com/open?id=1jfgVaEyz-hxOh0DdtfJni14tWnjbKVI0")</f>
        <v>https://drive.google.com/open?id=1jfgVaEyz-hxOh0DdtfJni14tWnjbKVI0</v>
      </c>
      <c r="O1117" s="5" t="str">
        <f ca="1">IFERROR(__xludf.DUMMYFUNCTION("""COMPUTED_VALUE"""),"5555-028-013")</f>
        <v>5555-028-013</v>
      </c>
      <c r="P1117" s="5" t="str">
        <f ca="1">IFERROR(__xludf.DUMMYFUNCTION("""COMPUTED_VALUE"""),"310-666-5736")</f>
        <v>310-666-5736</v>
      </c>
      <c r="Q1117" s="5" t="str">
        <f ca="1">IFERROR(__xludf.DUMMYFUNCTION("""COMPUTED_VALUE"""),"Jordan@laluxuries.com")</f>
        <v>Jordan@laluxuries.com</v>
      </c>
      <c r="R1117" s="5"/>
      <c r="S1117" s="5"/>
      <c r="T1117" s="18">
        <f ca="1">IFERROR(__xludf.DUMMYFUNCTION("""COMPUTED_VALUE"""),45659)</f>
        <v>45659</v>
      </c>
    </row>
    <row r="1118" spans="1:20" ht="12.75">
      <c r="A1118" s="24">
        <f ca="1">IFERROR(__xludf.DUMMYFUNCTION("""COMPUTED_VALUE"""),45672.7127432523)</f>
        <v>45672.712743252298</v>
      </c>
      <c r="B1118" s="5" t="str">
        <f ca="1">IFERROR(__xludf.DUMMYFUNCTION("""COMPUTED_VALUE"""),"3360 Tyburn St")</f>
        <v>3360 Tyburn St</v>
      </c>
      <c r="C1118" s="5" t="str">
        <f ca="1">IFERROR(__xludf.DUMMYFUNCTION("""COMPUTED_VALUE"""),"Los Angeles")</f>
        <v>Los Angeles</v>
      </c>
      <c r="D1118" s="5" t="str">
        <f ca="1">IFERROR(__xludf.DUMMYFUNCTION("""COMPUTED_VALUE"""),"CA")</f>
        <v>CA</v>
      </c>
      <c r="E1118" s="5">
        <f ca="1">IFERROR(__xludf.DUMMYFUNCTION("""COMPUTED_VALUE"""),90039)</f>
        <v>90039</v>
      </c>
      <c r="F1118" s="19">
        <f ca="1">IFERROR(__xludf.DUMMYFUNCTION("""COMPUTED_VALUE"""),2300)</f>
        <v>2300</v>
      </c>
      <c r="G1118" s="19">
        <f ca="1">IFERROR(__xludf.DUMMYFUNCTION("""COMPUTED_VALUE"""),5600)</f>
        <v>5600</v>
      </c>
      <c r="H1118" s="18">
        <f ca="1">IFERROR(__xludf.DUMMYFUNCTION("""COMPUTED_VALUE"""),45672)</f>
        <v>45672</v>
      </c>
      <c r="I1118" s="5" t="str">
        <f ca="1">IFERROR(__xludf.DUMMYFUNCTION("""COMPUTED_VALUE"""),"Zillow")</f>
        <v>Zillow</v>
      </c>
      <c r="J1118" s="25" t="str">
        <f ca="1">IFERROR(__xludf.DUMMYFUNCTION("""COMPUTED_VALUE"""),"https://www.zillow.com/homedetails/3360-Tyburn-St-Los-Angeles-CA-90039/2087549915_zpid/")</f>
        <v>https://www.zillow.com/homedetails/3360-Tyburn-St-Los-Angeles-CA-90039/2087549915_zpid/</v>
      </c>
      <c r="K1118" s="5"/>
      <c r="L1118" s="5" t="str">
        <f ca="1">IFERROR(__xludf.DUMMYFUNCTION("""COMPUTED_VALUE"""),"Jason")</f>
        <v>Jason</v>
      </c>
      <c r="M1118" s="5"/>
      <c r="N1118" s="26" t="str">
        <f ca="1">IFERROR(__xludf.DUMMYFUNCTION("""COMPUTED_VALUE"""),"https://drive.google.com/open?id=1oBrNgJ0AMvdrxP43BI658nUZd8Zn_nVR")</f>
        <v>https://drive.google.com/open?id=1oBrNgJ0AMvdrxP43BI658nUZd8Zn_nVR</v>
      </c>
      <c r="O1118" s="5" t="str">
        <f ca="1">IFERROR(__xludf.DUMMYFUNCTION("""COMPUTED_VALUE"""),"NA")</f>
        <v>NA</v>
      </c>
      <c r="P1118" s="5"/>
      <c r="Q1118" s="5"/>
      <c r="R1118" s="5" t="str">
        <f ca="1">IFERROR(__xludf.DUMMYFUNCTION("""COMPUTED_VALUE"""),"(323) 553-7405")</f>
        <v>(323) 553-7405</v>
      </c>
      <c r="S1118" s="5"/>
      <c r="T1118" s="18">
        <f ca="1">IFERROR(__xludf.DUMMYFUNCTION("""COMPUTED_VALUE"""),43407)</f>
        <v>43407</v>
      </c>
    </row>
    <row r="1119" spans="1:20" ht="12.75">
      <c r="A1119" s="24">
        <f ca="1">IFERROR(__xludf.DUMMYFUNCTION("""COMPUTED_VALUE"""),45672.71681728)</f>
        <v>45672.716817280001</v>
      </c>
      <c r="B1119" s="5" t="str">
        <f ca="1">IFERROR(__xludf.DUMMYFUNCTION("""COMPUTED_VALUE"""),"141 HOLLISTER AVE")</f>
        <v>141 HOLLISTER AVE</v>
      </c>
      <c r="C1119" s="5" t="str">
        <f ca="1">IFERROR(__xludf.DUMMYFUNCTION("""COMPUTED_VALUE"""),"Santa Monica")</f>
        <v>Santa Monica</v>
      </c>
      <c r="D1119" s="5" t="str">
        <f ca="1">IFERROR(__xludf.DUMMYFUNCTION("""COMPUTED_VALUE"""),"CA")</f>
        <v>CA</v>
      </c>
      <c r="E1119" s="5">
        <f ca="1">IFERROR(__xludf.DUMMYFUNCTION("""COMPUTED_VALUE"""),90405)</f>
        <v>90405</v>
      </c>
      <c r="F1119" s="19">
        <f ca="1">IFERROR(__xludf.DUMMYFUNCTION("""COMPUTED_VALUE"""),25000)</f>
        <v>25000</v>
      </c>
      <c r="G1119" s="19">
        <f ca="1">IFERROR(__xludf.DUMMYFUNCTION("""COMPUTED_VALUE"""),48000)</f>
        <v>48000</v>
      </c>
      <c r="H1119" s="18">
        <f ca="1">IFERROR(__xludf.DUMMYFUNCTION("""COMPUTED_VALUE"""),45665)</f>
        <v>45665</v>
      </c>
      <c r="I1119" s="5" t="str">
        <f ca="1">IFERROR(__xludf.DUMMYFUNCTION("""COMPUTED_VALUE"""),"Zillow")</f>
        <v>Zillow</v>
      </c>
      <c r="J1119" s="25" t="str">
        <f ca="1">IFERROR(__xludf.DUMMYFUNCTION("""COMPUTED_VALUE"""),"https://www.zillow.com/homedetails/141-Hollister-Ave-Santa-Monica-CA-90405/2075120739_zpid/")</f>
        <v>https://www.zillow.com/homedetails/141-Hollister-Ave-Santa-Monica-CA-90405/2075120739_zpid/</v>
      </c>
      <c r="K1119" s="5"/>
      <c r="L1119" s="5"/>
      <c r="M1119" s="5"/>
      <c r="N1119" s="26" t="str">
        <f ca="1">IFERROR(__xludf.DUMMYFUNCTION("""COMPUTED_VALUE"""),"https://drive.google.com/open?id=1i_A6l6Kv06ojZ9owYj3rVzD6N2z5gNF-")</f>
        <v>https://drive.google.com/open?id=1i_A6l6Kv06ojZ9owYj3rVzD6N2z5gNF-</v>
      </c>
      <c r="O1119" s="5" t="str">
        <f ca="1">IFERROR(__xludf.DUMMYFUNCTION("""COMPUTED_VALUE"""),"NA")</f>
        <v>NA</v>
      </c>
      <c r="P1119" s="5" t="str">
        <f ca="1">IFERROR(__xludf.DUMMYFUNCTION("""COMPUTED_VALUE"""),"310-858-5489")</f>
        <v>310-858-5489</v>
      </c>
      <c r="Q1119" s="5" t="str">
        <f ca="1">IFERROR(__xludf.DUMMYFUNCTION("""COMPUTED_VALUE"""),"Ben@BenLeeProperties.com")</f>
        <v>Ben@BenLeeProperties.com</v>
      </c>
      <c r="R1119" s="5"/>
      <c r="S1119" s="5"/>
      <c r="T1119" s="18">
        <f ca="1">IFERROR(__xludf.DUMMYFUNCTION("""COMPUTED_VALUE"""),45621)</f>
        <v>45621</v>
      </c>
    </row>
    <row r="1120" spans="1:20" ht="12.75">
      <c r="A1120" s="24">
        <f ca="1">IFERROR(__xludf.DUMMYFUNCTION("""COMPUTED_VALUE"""),45672.7169007291)</f>
        <v>45672.716900729101</v>
      </c>
      <c r="B1120" s="5" t="str">
        <f ca="1">IFERROR(__xludf.DUMMYFUNCTION("""COMPUTED_VALUE"""),"2511 Brighton Avenue NE")</f>
        <v>2511 Brighton Avenue NE</v>
      </c>
      <c r="C1120" s="5" t="str">
        <f ca="1">IFERROR(__xludf.DUMMYFUNCTION("""COMPUTED_VALUE"""),"Minneapolis")</f>
        <v>Minneapolis</v>
      </c>
      <c r="D1120" s="5" t="str">
        <f ca="1">IFERROR(__xludf.DUMMYFUNCTION("""COMPUTED_VALUE"""),"Other")</f>
        <v>Other</v>
      </c>
      <c r="E1120" s="5">
        <f ca="1">IFERROR(__xludf.DUMMYFUNCTION("""COMPUTED_VALUE"""),55418)</f>
        <v>55418</v>
      </c>
      <c r="F1120" s="19">
        <f ca="1">IFERROR(__xludf.DUMMYFUNCTION("""COMPUTED_VALUE"""),2000)</f>
        <v>2000</v>
      </c>
      <c r="G1120" s="19">
        <f ca="1">IFERROR(__xludf.DUMMYFUNCTION("""COMPUTED_VALUE"""),2000)</f>
        <v>2000</v>
      </c>
      <c r="H1120" s="18">
        <f ca="1">IFERROR(__xludf.DUMMYFUNCTION("""COMPUTED_VALUE"""),45670)</f>
        <v>45670</v>
      </c>
      <c r="I1120" s="5" t="str">
        <f ca="1">IFERROR(__xludf.DUMMYFUNCTION("""COMPUTED_VALUE"""),"Zillow")</f>
        <v>Zillow</v>
      </c>
      <c r="J1120" s="25" t="str">
        <f ca="1">IFERROR(__xludf.DUMMYFUNCTION("""COMPUTED_VALUE"""),"https://www.zillow.com/homedetails/1410-Coronado-Ter-Los-Angeles-CA-90026/20744469_zpid/")</f>
        <v>https://www.zillow.com/homedetails/1410-Coronado-Ter-Los-Angeles-CA-90026/20744469_zpid/</v>
      </c>
      <c r="K1120" s="5" t="str">
        <f ca="1">IFERROR(__xludf.DUMMYFUNCTION("""COMPUTED_VALUE"""),"Oren Mori")</f>
        <v>Oren Mori</v>
      </c>
      <c r="L1120" s="5" t="str">
        <f ca="1">IFERROR(__xludf.DUMMYFUNCTION("""COMPUTED_VALUE"""),"Oren Mori")</f>
        <v>Oren Mori</v>
      </c>
      <c r="M1120" s="5"/>
      <c r="N1120" s="26" t="str">
        <f ca="1">IFERROR(__xludf.DUMMYFUNCTION("""COMPUTED_VALUE"""),"https://drive.google.com/open?id=1FrrAyZGhDCraHCtlCGKNKcNKAacsjqRm")</f>
        <v>https://drive.google.com/open?id=1FrrAyZGhDCraHCtlCGKNKcNKAacsjqRm</v>
      </c>
      <c r="O1120" s="5">
        <f ca="1">IFERROR(__xludf.DUMMYFUNCTION("""COMPUTED_VALUE"""),5424022015)</f>
        <v>5424022015</v>
      </c>
      <c r="P1120" s="5" t="str">
        <f ca="1">IFERROR(__xludf.DUMMYFUNCTION("""COMPUTED_VALUE"""),"(818) 435-2848")</f>
        <v>(818) 435-2848</v>
      </c>
      <c r="Q1120" s="5" t="str">
        <f ca="1">IFERROR(__xludf.DUMMYFUNCTION("""COMPUTED_VALUE"""),"oren.mori@gmail.com")</f>
        <v>oren.mori@gmail.com</v>
      </c>
      <c r="R1120" s="5" t="str">
        <f ca="1">IFERROR(__xludf.DUMMYFUNCTION("""COMPUTED_VALUE""")," (818) 435-2848")</f>
        <v xml:space="preserve"> (818) 435-2848</v>
      </c>
      <c r="S1120" s="5" t="str">
        <f ca="1">IFERROR(__xludf.DUMMYFUNCTION("""COMPUTED_VALUE"""),"oren.mori@gmail.com")</f>
        <v>oren.mori@gmail.com</v>
      </c>
      <c r="T1120" s="18">
        <f ca="1">IFERROR(__xludf.DUMMYFUNCTION("""COMPUTED_VALUE"""),44981)</f>
        <v>44981</v>
      </c>
    </row>
    <row r="1121" spans="1:20" ht="12.75">
      <c r="A1121" s="24">
        <f ca="1">IFERROR(__xludf.DUMMYFUNCTION("""COMPUTED_VALUE"""),45672.7169758217)</f>
        <v>45672.716975821699</v>
      </c>
      <c r="B1121" s="5" t="str">
        <f ca="1">IFERROR(__xludf.DUMMYFUNCTION("""COMPUTED_VALUE"""),"6015 Saturn Street")</f>
        <v>6015 Saturn Street</v>
      </c>
      <c r="C1121" s="5" t="str">
        <f ca="1">IFERROR(__xludf.DUMMYFUNCTION("""COMPUTED_VALUE"""),"Los Angeles")</f>
        <v>Los Angeles</v>
      </c>
      <c r="D1121" s="5" t="str">
        <f ca="1">IFERROR(__xludf.DUMMYFUNCTION("""COMPUTED_VALUE"""),"CA")</f>
        <v>CA</v>
      </c>
      <c r="E1121" s="5">
        <f ca="1">IFERROR(__xludf.DUMMYFUNCTION("""COMPUTED_VALUE"""),90035)</f>
        <v>90035</v>
      </c>
      <c r="F1121" s="19">
        <f ca="1">IFERROR(__xludf.DUMMYFUNCTION("""COMPUTED_VALUE"""),3000)</f>
        <v>3000</v>
      </c>
      <c r="G1121" s="19">
        <f ca="1">IFERROR(__xludf.DUMMYFUNCTION("""COMPUTED_VALUE"""),3400)</f>
        <v>3400</v>
      </c>
      <c r="H1121" s="18">
        <f ca="1">IFERROR(__xludf.DUMMYFUNCTION("""COMPUTED_VALUE"""),45298)</f>
        <v>45298</v>
      </c>
      <c r="I1121" s="5" t="str">
        <f ca="1">IFERROR(__xludf.DUMMYFUNCTION("""COMPUTED_VALUE"""),"Zillow")</f>
        <v>Zillow</v>
      </c>
      <c r="J1121" s="25" t="str">
        <f ca="1">IFERROR(__xludf.DUMMYFUNCTION("""COMPUTED_VALUE"""),"https://www.zillow.com/homedetails/6015-Saturn-St-Los-Angeles-CA-90035/346267631_zpid/")</f>
        <v>https://www.zillow.com/homedetails/6015-Saturn-St-Los-Angeles-CA-90035/346267631_zpid/</v>
      </c>
      <c r="K1121" s="5" t="str">
        <f ca="1">IFERROR(__xludf.DUMMYFUNCTION("""COMPUTED_VALUE"""),"Gail Bensimon")</f>
        <v>Gail Bensimon</v>
      </c>
      <c r="L1121" s="5"/>
      <c r="M1121" s="5" t="str">
        <f ca="1">IFERROR(__xludf.DUMMYFUNCTION("""COMPUTED_VALUE"""),"Originally found listing on Trulia (same prices &amp; price hike) ")</f>
        <v xml:space="preserve">Originally found listing on Trulia (same prices &amp; price hike) </v>
      </c>
      <c r="N1121" s="5" t="str">
        <f ca="1">IFERROR(__xludf.DUMMYFUNCTION("""COMPUTED_VALUE"""),"https://drive.google.com/open?id=13YRiBsHntHWAVsf-_kyZqAigJQO51opW, https://drive.google.com/open?id=1ieeEq2auqdSxVK_8PHu5fwPj-LWvN39W")</f>
        <v>https://drive.google.com/open?id=13YRiBsHntHWAVsf-_kyZqAigJQO51opW, https://drive.google.com/open?id=1ieeEq2auqdSxVK_8PHu5fwPj-LWvN39W</v>
      </c>
      <c r="O1121" s="5" t="str">
        <f ca="1">IFERROR(__xludf.DUMMYFUNCTION("""COMPUTED_VALUE"""),"NA")</f>
        <v>NA</v>
      </c>
      <c r="P1121" s="5">
        <f ca="1">IFERROR(__xludf.DUMMYFUNCTION("""COMPUTED_VALUE"""),3109271388)</f>
        <v>3109271388</v>
      </c>
      <c r="Q1121" s="5"/>
      <c r="R1121" s="5"/>
      <c r="S1121" s="5"/>
      <c r="T1121" s="18">
        <f ca="1">IFERROR(__xludf.DUMMYFUNCTION("""COMPUTED_VALUE"""),45297)</f>
        <v>45297</v>
      </c>
    </row>
    <row r="1122" spans="1:20" ht="12.75">
      <c r="A1122" s="24">
        <f ca="1">IFERROR(__xludf.DUMMYFUNCTION("""COMPUTED_VALUE"""),45672.7172654976)</f>
        <v>45672.717265497602</v>
      </c>
      <c r="B1122" s="5" t="str">
        <f ca="1">IFERROR(__xludf.DUMMYFUNCTION("""COMPUTED_VALUE"""),"(Undisclosed Address)")</f>
        <v>(Undisclosed Address)</v>
      </c>
      <c r="C1122" s="5" t="str">
        <f ca="1">IFERROR(__xludf.DUMMYFUNCTION("""COMPUTED_VALUE"""),"Reseda")</f>
        <v>Reseda</v>
      </c>
      <c r="D1122" s="5" t="str">
        <f ca="1">IFERROR(__xludf.DUMMYFUNCTION("""COMPUTED_VALUE"""),"CA")</f>
        <v>CA</v>
      </c>
      <c r="E1122" s="5">
        <f ca="1">IFERROR(__xludf.DUMMYFUNCTION("""COMPUTED_VALUE"""),91335)</f>
        <v>91335</v>
      </c>
      <c r="F1122" s="19">
        <f ca="1">IFERROR(__xludf.DUMMYFUNCTION("""COMPUTED_VALUE"""),3995)</f>
        <v>3995</v>
      </c>
      <c r="G1122" s="19">
        <f ca="1">IFERROR(__xludf.DUMMYFUNCTION("""COMPUTED_VALUE"""),8500)</f>
        <v>8500</v>
      </c>
      <c r="H1122" s="18">
        <f ca="1">IFERROR(__xludf.DUMMYFUNCTION("""COMPUTED_VALUE"""),45670)</f>
        <v>45670</v>
      </c>
      <c r="I1122" s="5" t="str">
        <f ca="1">IFERROR(__xludf.DUMMYFUNCTION("""COMPUTED_VALUE"""),"Zillow")</f>
        <v>Zillow</v>
      </c>
      <c r="J1122" s="25" t="str">
        <f ca="1">IFERROR(__xludf.DUMMYFUNCTION("""COMPUTED_VALUE"""),"https://www.zillow.com/homedetails/Reseda-CA-91335/19906218_zpid/")</f>
        <v>https://www.zillow.com/homedetails/Reseda-CA-91335/19906218_zpid/</v>
      </c>
      <c r="K1122" s="5" t="str">
        <f ca="1">IFERROR(__xludf.DUMMYFUNCTION("""COMPUTED_VALUE"""),"Peter S")</f>
        <v>Peter S</v>
      </c>
      <c r="L1122" s="5"/>
      <c r="M1122" s="5"/>
      <c r="N1122" s="5" t="str">
        <f ca="1">IFERROR(__xludf.DUMMYFUNCTION("""COMPUTED_VALUE"""),"https://drive.google.com/open?id=13NwyP4nRuYi1oUQaGMd33TG50WBWwJ6g, https://drive.google.com/open?id=1T0KIrKFzMcM7IUcgZoV3f_tFMOJHAT8k, https://drive.google.com/open?id=12rUvt1f45WCyfvzpzd96uwKYAzPtd2Z4")</f>
        <v>https://drive.google.com/open?id=13NwyP4nRuYi1oUQaGMd33TG50WBWwJ6g, https://drive.google.com/open?id=1T0KIrKFzMcM7IUcgZoV3f_tFMOJHAT8k, https://drive.google.com/open?id=12rUvt1f45WCyfvzpzd96uwKYAzPtd2Z4</v>
      </c>
      <c r="O1122" s="5" t="str">
        <f ca="1">IFERROR(__xludf.DUMMYFUNCTION("""COMPUTED_VALUE"""),"NA")</f>
        <v>NA</v>
      </c>
      <c r="P1122" s="5" t="str">
        <f ca="1">IFERROR(__xludf.DUMMYFUNCTION("""COMPUTED_VALUE"""),"(323) 818-7035")</f>
        <v>(323) 818-7035</v>
      </c>
      <c r="Q1122" s="5"/>
      <c r="R1122" s="5"/>
      <c r="S1122" s="5"/>
      <c r="T1122" s="18">
        <f ca="1">IFERROR(__xludf.DUMMYFUNCTION("""COMPUTED_VALUE"""),45565)</f>
        <v>45565</v>
      </c>
    </row>
    <row r="1123" spans="1:20" ht="12.75">
      <c r="A1123" s="24">
        <f ca="1">IFERROR(__xludf.DUMMYFUNCTION("""COMPUTED_VALUE"""),45672.7211213541)</f>
        <v>45672.721121354101</v>
      </c>
      <c r="B1123" s="5" t="str">
        <f ca="1">IFERROR(__xludf.DUMMYFUNCTION("""COMPUTED_VALUE"""),"200 N San Fernando Rd APT 514")</f>
        <v>200 N San Fernando Rd APT 514</v>
      </c>
      <c r="C1123" s="5" t="str">
        <f ca="1">IFERROR(__xludf.DUMMYFUNCTION("""COMPUTED_VALUE"""),"Los Angeles")</f>
        <v>Los Angeles</v>
      </c>
      <c r="D1123" s="5" t="str">
        <f ca="1">IFERROR(__xludf.DUMMYFUNCTION("""COMPUTED_VALUE"""),"CA")</f>
        <v>CA</v>
      </c>
      <c r="E1123" s="5">
        <f ca="1">IFERROR(__xludf.DUMMYFUNCTION("""COMPUTED_VALUE"""),90031)</f>
        <v>90031</v>
      </c>
      <c r="F1123" s="19">
        <f ca="1">IFERROR(__xludf.DUMMYFUNCTION("""COMPUTED_VALUE"""),4995)</f>
        <v>4995</v>
      </c>
      <c r="G1123" s="19">
        <f ca="1">IFERROR(__xludf.DUMMYFUNCTION("""COMPUTED_VALUE"""),6000)</f>
        <v>6000</v>
      </c>
      <c r="H1123" s="18">
        <f ca="1">IFERROR(__xludf.DUMMYFUNCTION("""COMPUTED_VALUE"""),45671)</f>
        <v>45671</v>
      </c>
      <c r="I1123" s="5" t="str">
        <f ca="1">IFERROR(__xludf.DUMMYFUNCTION("""COMPUTED_VALUE"""),"Zillow")</f>
        <v>Zillow</v>
      </c>
      <c r="J1123" s="25" t="str">
        <f ca="1">IFERROR(__xludf.DUMMYFUNCTION("""COMPUTED_VALUE"""),"https://www.zillow.com/homedetails/200-N-San-Fernando-Rd-APT-514-Los-Angeles-CA-90031/333364812_zpid/")</f>
        <v>https://www.zillow.com/homedetails/200-N-San-Fernando-Rd-APT-514-Los-Angeles-CA-90031/333364812_zpid/</v>
      </c>
      <c r="K1123" s="5" t="str">
        <f ca="1">IFERROR(__xludf.DUMMYFUNCTION("""COMPUTED_VALUE"""),"Jennifer ainey")</f>
        <v>Jennifer ainey</v>
      </c>
      <c r="L1123" s="5"/>
      <c r="M1123" s="5" t="str">
        <f ca="1">IFERROR(__xludf.DUMMYFUNCTION("""COMPUTED_VALUE"""),"Last listing on 2023")</f>
        <v>Last listing on 2023</v>
      </c>
      <c r="N1123" s="26" t="str">
        <f ca="1">IFERROR(__xludf.DUMMYFUNCTION("""COMPUTED_VALUE"""),"https://drive.google.com/open?id=1kwgTDqJKp8BhwcA8StY3vLhaVAeyddBO")</f>
        <v>https://drive.google.com/open?id=1kwgTDqJKp8BhwcA8StY3vLhaVAeyddBO</v>
      </c>
      <c r="O1123" s="5">
        <f ca="1">IFERROR(__xludf.DUMMYFUNCTION("""COMPUTED_VALUE"""),5447013093)</f>
        <v>5447013093</v>
      </c>
      <c r="P1123" s="5" t="str">
        <f ca="1">IFERROR(__xludf.DUMMYFUNCTION("""COMPUTED_VALUE"""),"323-559-6742")</f>
        <v>323-559-6742</v>
      </c>
      <c r="Q1123" s="5"/>
      <c r="R1123" s="5"/>
      <c r="S1123" s="5"/>
      <c r="T1123" s="18">
        <f ca="1">IFERROR(__xludf.DUMMYFUNCTION("""COMPUTED_VALUE"""),45268)</f>
        <v>45268</v>
      </c>
    </row>
    <row r="1124" spans="1:20" ht="12.75">
      <c r="A1124" s="24">
        <f ca="1">IFERROR(__xludf.DUMMYFUNCTION("""COMPUTED_VALUE"""),45672.7220665856)</f>
        <v>45672.7220665856</v>
      </c>
      <c r="B1124" s="5" t="str">
        <f ca="1">IFERROR(__xludf.DUMMYFUNCTION("""COMPUTED_VALUE"""),"280 Cherry Drive")</f>
        <v>280 Cherry Drive</v>
      </c>
      <c r="C1124" s="5" t="str">
        <f ca="1">IFERROR(__xludf.DUMMYFUNCTION("""COMPUTED_VALUE"""),"Pasadena")</f>
        <v>Pasadena</v>
      </c>
      <c r="D1124" s="5" t="str">
        <f ca="1">IFERROR(__xludf.DUMMYFUNCTION("""COMPUTED_VALUE"""),"CA")</f>
        <v>CA</v>
      </c>
      <c r="E1124" s="5">
        <f ca="1">IFERROR(__xludf.DUMMYFUNCTION("""COMPUTED_VALUE"""),91105)</f>
        <v>91105</v>
      </c>
      <c r="F1124" s="19">
        <f ca="1">IFERROR(__xludf.DUMMYFUNCTION("""COMPUTED_VALUE"""),5480)</f>
        <v>5480</v>
      </c>
      <c r="G1124" s="19">
        <f ca="1">IFERROR(__xludf.DUMMYFUNCTION("""COMPUTED_VALUE"""),6800)</f>
        <v>6800</v>
      </c>
      <c r="H1124" s="18">
        <f ca="1">IFERROR(__xludf.DUMMYFUNCTION("""COMPUTED_VALUE"""),45671)</f>
        <v>45671</v>
      </c>
      <c r="I1124" s="5" t="str">
        <f ca="1">IFERROR(__xludf.DUMMYFUNCTION("""COMPUTED_VALUE"""),"Zillow")</f>
        <v>Zillow</v>
      </c>
      <c r="J1124" s="25" t="str">
        <f ca="1">IFERROR(__xludf.DUMMYFUNCTION("""COMPUTED_VALUE"""),"https://www.zillow.com/homedetails/280-Cherry-Dr-Pasadena-CA-91105/20857313_zpid/")</f>
        <v>https://www.zillow.com/homedetails/280-Cherry-Dr-Pasadena-CA-91105/20857313_zpid/</v>
      </c>
      <c r="K1124" s="5" t="str">
        <f ca="1">IFERROR(__xludf.DUMMYFUNCTION("""COMPUTED_VALUE"""),"Kevin Chen")</f>
        <v>Kevin Chen</v>
      </c>
      <c r="L1124" s="5"/>
      <c r="M1124" s="5"/>
      <c r="N1124" s="5" t="str">
        <f ca="1">IFERROR(__xludf.DUMMYFUNCTION("""COMPUTED_VALUE"""),"https://drive.google.com/open?id=1bUIlrr-n5NqXdsT_xd_x13cX4rY2JsFS, https://drive.google.com/open?id=1YyYPJIFs-PMiMmlLSlgmyzVPJoEmtTNW")</f>
        <v>https://drive.google.com/open?id=1bUIlrr-n5NqXdsT_xd_x13cX4rY2JsFS, https://drive.google.com/open?id=1YyYPJIFs-PMiMmlLSlgmyzVPJoEmtTNW</v>
      </c>
      <c r="O1124" s="5">
        <f ca="1">IFERROR(__xludf.DUMMYFUNCTION("""COMPUTED_VALUE"""),5709032022)</f>
        <v>5709032022</v>
      </c>
      <c r="P1124" s="5" t="str">
        <f ca="1">IFERROR(__xludf.DUMMYFUNCTION("""COMPUTED_VALUE"""),"(626) 219-8201")</f>
        <v>(626) 219-8201</v>
      </c>
      <c r="Q1124" s="5"/>
      <c r="R1124" s="5"/>
      <c r="S1124" s="5"/>
      <c r="T1124" s="18">
        <f ca="1">IFERROR(__xludf.DUMMYFUNCTION("""COMPUTED_VALUE"""),44109)</f>
        <v>44109</v>
      </c>
    </row>
    <row r="1125" spans="1:20" ht="12.75">
      <c r="A1125" s="24">
        <f ca="1">IFERROR(__xludf.DUMMYFUNCTION("""COMPUTED_VALUE"""),45672.7237486342)</f>
        <v>45672.723748634198</v>
      </c>
      <c r="B1125" s="5" t="str">
        <f ca="1">IFERROR(__xludf.DUMMYFUNCTION("""COMPUTED_VALUE"""),"11659 Chandler Blvd APT 8")</f>
        <v>11659 Chandler Blvd APT 8</v>
      </c>
      <c r="C1125" s="5" t="str">
        <f ca="1">IFERROR(__xludf.DUMMYFUNCTION("""COMPUTED_VALUE"""),"north hollywood")</f>
        <v>north hollywood</v>
      </c>
      <c r="D1125" s="5" t="str">
        <f ca="1">IFERROR(__xludf.DUMMYFUNCTION("""COMPUTED_VALUE"""),"CA")</f>
        <v>CA</v>
      </c>
      <c r="E1125" s="5">
        <f ca="1">IFERROR(__xludf.DUMMYFUNCTION("""COMPUTED_VALUE"""),91601)</f>
        <v>91601</v>
      </c>
      <c r="F1125" s="19">
        <f ca="1">IFERROR(__xludf.DUMMYFUNCTION("""COMPUTED_VALUE"""),1495)</f>
        <v>1495</v>
      </c>
      <c r="G1125" s="19">
        <f ca="1">IFERROR(__xludf.DUMMYFUNCTION("""COMPUTED_VALUE"""),1695)</f>
        <v>1695</v>
      </c>
      <c r="H1125" s="18">
        <f ca="1">IFERROR(__xludf.DUMMYFUNCTION("""COMPUTED_VALUE"""),45672)</f>
        <v>45672</v>
      </c>
      <c r="I1125" s="5" t="str">
        <f ca="1">IFERROR(__xludf.DUMMYFUNCTION("""COMPUTED_VALUE"""),"Zillow")</f>
        <v>Zillow</v>
      </c>
      <c r="J1125" s="25" t="str">
        <f ca="1">IFERROR(__xludf.DUMMYFUNCTION("""COMPUTED_VALUE"""),"https://www.zillow.com/homedetails/11659-Chandler-Blvd-APT-8-North-Hollywood-CA-91601/2088302513_zpid/")</f>
        <v>https://www.zillow.com/homedetails/11659-Chandler-Blvd-APT-8-North-Hollywood-CA-91601/2088302513_zpid/</v>
      </c>
      <c r="K1125" s="5" t="str">
        <f ca="1">IFERROR(__xludf.DUMMYFUNCTION("""COMPUTED_VALUE"""),"J. Howard Management company")</f>
        <v>J. Howard Management company</v>
      </c>
      <c r="L1125" s="5"/>
      <c r="M1125" s="5" t="str">
        <f ca="1">IFERROR(__xludf.DUMMYFUNCTION("""COMPUTED_VALUE"""),"three units available in the apartment, all prices updated 1/15/25")</f>
        <v>three units available in the apartment, all prices updated 1/15/25</v>
      </c>
      <c r="N1125" s="5" t="str">
        <f ca="1">IFERROR(__xludf.DUMMYFUNCTION("""COMPUTED_VALUE"""),"https://drive.google.com/open?id=1KcqFmFUXMGLYnXVd8wgSrIm0fWgla5xO, https://drive.google.com/open?id=1x04XuntcItSJnZE9eBM3kQ5IsqKU7mYV")</f>
        <v>https://drive.google.com/open?id=1KcqFmFUXMGLYnXVd8wgSrIm0fWgla5xO, https://drive.google.com/open?id=1x04XuntcItSJnZE9eBM3kQ5IsqKU7mYV</v>
      </c>
      <c r="O1125" s="5" t="str">
        <f ca="1">IFERROR(__xludf.DUMMYFUNCTION("""COMPUTED_VALUE"""),"NA")</f>
        <v>NA</v>
      </c>
      <c r="P1125" s="5" t="str">
        <f ca="1">IFERROR(__xludf.DUMMYFUNCTION("""COMPUTED_VALUE"""),"(424) 452-1807")</f>
        <v>(424) 452-1807</v>
      </c>
      <c r="Q1125" s="5"/>
      <c r="R1125" s="5"/>
      <c r="S1125" s="5"/>
      <c r="T1125" s="18">
        <f ca="1">IFERROR(__xludf.DUMMYFUNCTION("""COMPUTED_VALUE"""),43333)</f>
        <v>43333</v>
      </c>
    </row>
    <row r="1126" spans="1:20" ht="12.75">
      <c r="A1126" s="24">
        <f ca="1">IFERROR(__xludf.DUMMYFUNCTION("""COMPUTED_VALUE"""),45672.7237547685)</f>
        <v>45672.7237547685</v>
      </c>
      <c r="B1126" s="5" t="str">
        <f ca="1">IFERROR(__xludf.DUMMYFUNCTION("""COMPUTED_VALUE"""),"11659 Chandler Blvd APT 8")</f>
        <v>11659 Chandler Blvd APT 8</v>
      </c>
      <c r="C1126" s="5" t="str">
        <f ca="1">IFERROR(__xludf.DUMMYFUNCTION("""COMPUTED_VALUE"""),"north hollywood")</f>
        <v>north hollywood</v>
      </c>
      <c r="D1126" s="5" t="str">
        <f ca="1">IFERROR(__xludf.DUMMYFUNCTION("""COMPUTED_VALUE"""),"CA")</f>
        <v>CA</v>
      </c>
      <c r="E1126" s="5">
        <f ca="1">IFERROR(__xludf.DUMMYFUNCTION("""COMPUTED_VALUE"""),91601)</f>
        <v>91601</v>
      </c>
      <c r="F1126" s="19">
        <f ca="1">IFERROR(__xludf.DUMMYFUNCTION("""COMPUTED_VALUE"""),1595)</f>
        <v>1595</v>
      </c>
      <c r="G1126" s="19">
        <f ca="1">IFERROR(__xludf.DUMMYFUNCTION("""COMPUTED_VALUE"""),1895)</f>
        <v>1895</v>
      </c>
      <c r="H1126" s="18">
        <f ca="1">IFERROR(__xludf.DUMMYFUNCTION("""COMPUTED_VALUE"""),45672)</f>
        <v>45672</v>
      </c>
      <c r="I1126" s="5" t="str">
        <f ca="1">IFERROR(__xludf.DUMMYFUNCTION("""COMPUTED_VALUE"""),"Zillow")</f>
        <v>Zillow</v>
      </c>
      <c r="J1126" s="25" t="str">
        <f ca="1">IFERROR(__xludf.DUMMYFUNCTION("""COMPUTED_VALUE"""),"https://www.zillow.com/homedetails/11659-Chandler-Blvd-APT-5-North-Hollywood-CA-91601/2082032780_zpid/")</f>
        <v>https://www.zillow.com/homedetails/11659-Chandler-Blvd-APT-5-North-Hollywood-CA-91601/2082032780_zpid/</v>
      </c>
      <c r="K1126" s="5" t="str">
        <f ca="1">IFERROR(__xludf.DUMMYFUNCTION("""COMPUTED_VALUE"""),"J. Howard Management company")</f>
        <v>J. Howard Management company</v>
      </c>
      <c r="L1126" s="5"/>
      <c r="M1126" s="5"/>
      <c r="N1126" s="5" t="str">
        <f ca="1">IFERROR(__xludf.DUMMYFUNCTION("""COMPUTED_VALUE"""),"https://drive.google.com/open?id=1BoNe3EfVouWEBGb4VtPy4XpZeTPElx9W, https://drive.google.com/open?id=14WW1bH3EraAU3-GK-QV3CXaJjeZ8XMki")</f>
        <v>https://drive.google.com/open?id=1BoNe3EfVouWEBGb4VtPy4XpZeTPElx9W, https://drive.google.com/open?id=14WW1bH3EraAU3-GK-QV3CXaJjeZ8XMki</v>
      </c>
      <c r="O1126" s="5" t="str">
        <f ca="1">IFERROR(__xludf.DUMMYFUNCTION("""COMPUTED_VALUE"""),"NA")</f>
        <v>NA</v>
      </c>
      <c r="P1126" s="5" t="str">
        <f ca="1">IFERROR(__xludf.DUMMYFUNCTION("""COMPUTED_VALUE"""),"(424) 452-1807")</f>
        <v>(424) 452-1807</v>
      </c>
      <c r="Q1126" s="5"/>
      <c r="R1126" s="5"/>
      <c r="S1126" s="5"/>
      <c r="T1126" s="18">
        <f ca="1">IFERROR(__xludf.DUMMYFUNCTION("""COMPUTED_VALUE"""),43817)</f>
        <v>43817</v>
      </c>
    </row>
    <row r="1127" spans="1:20" ht="12.75">
      <c r="A1127" s="24">
        <f ca="1">IFERROR(__xludf.DUMMYFUNCTION("""COMPUTED_VALUE"""),45672.7237965624)</f>
        <v>45672.723796562401</v>
      </c>
      <c r="B1127" s="5" t="str">
        <f ca="1">IFERROR(__xludf.DUMMYFUNCTION("""COMPUTED_VALUE"""),"11659 Chandler Blvd APT 4")</f>
        <v>11659 Chandler Blvd APT 4</v>
      </c>
      <c r="C1127" s="5" t="str">
        <f ca="1">IFERROR(__xludf.DUMMYFUNCTION("""COMPUTED_VALUE"""),"north hollywood")</f>
        <v>north hollywood</v>
      </c>
      <c r="D1127" s="5" t="str">
        <f ca="1">IFERROR(__xludf.DUMMYFUNCTION("""COMPUTED_VALUE"""),"CA")</f>
        <v>CA</v>
      </c>
      <c r="E1127" s="5">
        <f ca="1">IFERROR(__xludf.DUMMYFUNCTION("""COMPUTED_VALUE"""),91601)</f>
        <v>91601</v>
      </c>
      <c r="F1127" s="19">
        <f ca="1">IFERROR(__xludf.DUMMYFUNCTION("""COMPUTED_VALUE"""),1495)</f>
        <v>1495</v>
      </c>
      <c r="G1127" s="19">
        <f ca="1">IFERROR(__xludf.DUMMYFUNCTION("""COMPUTED_VALUE"""),1895)</f>
        <v>1895</v>
      </c>
      <c r="H1127" s="18">
        <f ca="1">IFERROR(__xludf.DUMMYFUNCTION("""COMPUTED_VALUE"""),45672)</f>
        <v>45672</v>
      </c>
      <c r="I1127" s="5" t="str">
        <f ca="1">IFERROR(__xludf.DUMMYFUNCTION("""COMPUTED_VALUE"""),"Zillow")</f>
        <v>Zillow</v>
      </c>
      <c r="J1127" s="25" t="str">
        <f ca="1">IFERROR(__xludf.DUMMYFUNCTION("""COMPUTED_VALUE"""),"https://www.zillow.com/homedetails/11659-Chandler-Blvd-APT-4-North-Hollywood-CA-91601/2086789486_zpid/")</f>
        <v>https://www.zillow.com/homedetails/11659-Chandler-Blvd-APT-4-North-Hollywood-CA-91601/2086789486_zpid/</v>
      </c>
      <c r="K1127" s="5" t="str">
        <f ca="1">IFERROR(__xludf.DUMMYFUNCTION("""COMPUTED_VALUE"""),"J. Howard Management company")</f>
        <v>J. Howard Management company</v>
      </c>
      <c r="L1127" s="5"/>
      <c r="M1127" s="5"/>
      <c r="N1127" s="5" t="str">
        <f ca="1">IFERROR(__xludf.DUMMYFUNCTION("""COMPUTED_VALUE"""),"https://drive.google.com/open?id=1FZA_swEPGZxg6S5O4yiNTCajprlvHSWg, https://drive.google.com/open?id=1Lrb_LlDGF-eni4wWLCnZLLt4CooK2gij")</f>
        <v>https://drive.google.com/open?id=1FZA_swEPGZxg6S5O4yiNTCajprlvHSWg, https://drive.google.com/open?id=1Lrb_LlDGF-eni4wWLCnZLLt4CooK2gij</v>
      </c>
      <c r="O1127" s="5" t="str">
        <f ca="1">IFERROR(__xludf.DUMMYFUNCTION("""COMPUTED_VALUE"""),"NA")</f>
        <v>NA</v>
      </c>
      <c r="P1127" s="5" t="str">
        <f ca="1">IFERROR(__xludf.DUMMYFUNCTION("""COMPUTED_VALUE"""),"(424) 452-1807")</f>
        <v>(424) 452-1807</v>
      </c>
      <c r="Q1127" s="5"/>
      <c r="R1127" s="5"/>
      <c r="S1127" s="5"/>
      <c r="T1127" s="18">
        <f ca="1">IFERROR(__xludf.DUMMYFUNCTION("""COMPUTED_VALUE"""),44005)</f>
        <v>44005</v>
      </c>
    </row>
    <row r="1128" spans="1:20" ht="12.75">
      <c r="A1128" s="24">
        <f ca="1">IFERROR(__xludf.DUMMYFUNCTION("""COMPUTED_VALUE"""),45672.7246401041)</f>
        <v>45672.724640104097</v>
      </c>
      <c r="B1128" s="5" t="str">
        <f ca="1">IFERROR(__xludf.DUMMYFUNCTION("""COMPUTED_VALUE"""),"1526 E 1st St #1")</f>
        <v>1526 E 1st St #1</v>
      </c>
      <c r="C1128" s="5" t="str">
        <f ca="1">IFERROR(__xludf.DUMMYFUNCTION("""COMPUTED_VALUE"""),"Los Angeles")</f>
        <v>Los Angeles</v>
      </c>
      <c r="D1128" s="5" t="str">
        <f ca="1">IFERROR(__xludf.DUMMYFUNCTION("""COMPUTED_VALUE"""),"CA")</f>
        <v>CA</v>
      </c>
      <c r="E1128" s="5">
        <f ca="1">IFERROR(__xludf.DUMMYFUNCTION("""COMPUTED_VALUE"""),90033)</f>
        <v>90033</v>
      </c>
      <c r="F1128" s="19">
        <f ca="1">IFERROR(__xludf.DUMMYFUNCTION("""COMPUTED_VALUE"""),1500)</f>
        <v>1500</v>
      </c>
      <c r="G1128" s="19">
        <f ca="1">IFERROR(__xludf.DUMMYFUNCTION("""COMPUTED_VALUE"""),2000)</f>
        <v>2000</v>
      </c>
      <c r="H1128" s="18">
        <f ca="1">IFERROR(__xludf.DUMMYFUNCTION("""COMPUTED_VALUE"""),45672)</f>
        <v>45672</v>
      </c>
      <c r="I1128" s="5" t="str">
        <f ca="1">IFERROR(__xludf.DUMMYFUNCTION("""COMPUTED_VALUE"""),"Zillow")</f>
        <v>Zillow</v>
      </c>
      <c r="J1128" s="25" t="str">
        <f ca="1">IFERROR(__xludf.DUMMYFUNCTION("""COMPUTED_VALUE"""),"https://www.zillow.com/homedetails/1526-E-1st-St-1-Los-Angeles-CA-90033/2054280766_zpid/")</f>
        <v>https://www.zillow.com/homedetails/1526-E-1st-St-1-Los-Angeles-CA-90033/2054280766_zpid/</v>
      </c>
      <c r="K1128" s="5" t="str">
        <f ca="1">IFERROR(__xludf.DUMMYFUNCTION("""COMPUTED_VALUE"""),"Ixbalanque Garcia")</f>
        <v>Ixbalanque Garcia</v>
      </c>
      <c r="L1128" s="5"/>
      <c r="M1128" s="5"/>
      <c r="N1128" s="26" t="str">
        <f ca="1">IFERROR(__xludf.DUMMYFUNCTION("""COMPUTED_VALUE"""),"https://drive.google.com/open?id=19_CQuJdsrrEq80XIUr7yRk_I4tWE571V")</f>
        <v>https://drive.google.com/open?id=19_CQuJdsrrEq80XIUr7yRk_I4tWE571V</v>
      </c>
      <c r="O1128" s="5" t="str">
        <f ca="1">IFERROR(__xludf.DUMMYFUNCTION("""COMPUTED_VALUE"""),"NA")</f>
        <v>NA</v>
      </c>
      <c r="P1128" s="5" t="str">
        <f ca="1">IFERROR(__xludf.DUMMYFUNCTION("""COMPUTED_VALUE"""),"562-474-1722")</f>
        <v>562-474-1722</v>
      </c>
      <c r="Q1128" s="5"/>
      <c r="R1128" s="5"/>
      <c r="S1128" s="5"/>
      <c r="T1128" s="18">
        <f ca="1">IFERROR(__xludf.DUMMYFUNCTION("""COMPUTED_VALUE"""),45425)</f>
        <v>45425</v>
      </c>
    </row>
    <row r="1129" spans="1:20" ht="12.75">
      <c r="A1129" s="24">
        <f ca="1">IFERROR(__xludf.DUMMYFUNCTION("""COMPUTED_VALUE"""),45672.7263867129)</f>
        <v>45672.7263867129</v>
      </c>
      <c r="B1129" s="5" t="str">
        <f ca="1">IFERROR(__xludf.DUMMYFUNCTION("""COMPUTED_VALUE"""),"4657 Tujunga Ave APT 101")</f>
        <v>4657 Tujunga Ave APT 101</v>
      </c>
      <c r="C1129" s="5" t="str">
        <f ca="1">IFERROR(__xludf.DUMMYFUNCTION("""COMPUTED_VALUE"""),"North Hollywood")</f>
        <v>North Hollywood</v>
      </c>
      <c r="D1129" s="5" t="str">
        <f ca="1">IFERROR(__xludf.DUMMYFUNCTION("""COMPUTED_VALUE"""),"CA")</f>
        <v>CA</v>
      </c>
      <c r="E1129" s="5">
        <f ca="1">IFERROR(__xludf.DUMMYFUNCTION("""COMPUTED_VALUE"""),91602)</f>
        <v>91602</v>
      </c>
      <c r="F1129" s="19">
        <f ca="1">IFERROR(__xludf.DUMMYFUNCTION("""COMPUTED_VALUE"""),2400)</f>
        <v>2400</v>
      </c>
      <c r="G1129" s="19">
        <f ca="1">IFERROR(__xludf.DUMMYFUNCTION("""COMPUTED_VALUE"""),3250)</f>
        <v>3250</v>
      </c>
      <c r="H1129" s="18">
        <f ca="1">IFERROR(__xludf.DUMMYFUNCTION("""COMPUTED_VALUE"""),45666)</f>
        <v>45666</v>
      </c>
      <c r="I1129" s="5" t="str">
        <f ca="1">IFERROR(__xludf.DUMMYFUNCTION("""COMPUTED_VALUE"""),"Zillow")</f>
        <v>Zillow</v>
      </c>
      <c r="J1129" s="25" t="str">
        <f ca="1">IFERROR(__xludf.DUMMYFUNCTION("""COMPUTED_VALUE"""),"https://www.zillow.com/homedetails/4657-Tujunga-Ave-APT-101-North-Hollywood-CA-91602/2101682959_zpid/")</f>
        <v>https://www.zillow.com/homedetails/4657-Tujunga-Ave-APT-101-North-Hollywood-CA-91602/2101682959_zpid/</v>
      </c>
      <c r="K1129" s="5" t="str">
        <f ca="1">IFERROR(__xludf.DUMMYFUNCTION("""COMPUTED_VALUE"""),"Jane")</f>
        <v>Jane</v>
      </c>
      <c r="L1129" s="5"/>
      <c r="M1129" s="5"/>
      <c r="N1129" s="26" t="str">
        <f ca="1">IFERROR(__xludf.DUMMYFUNCTION("""COMPUTED_VALUE"""),"https://drive.google.com/open?id=1XPUMGAjV2zSNciQFEFG5ZjVshg-qdtV7")</f>
        <v>https://drive.google.com/open?id=1XPUMGAjV2zSNciQFEFG5ZjVshg-qdtV7</v>
      </c>
      <c r="O1129" s="5" t="str">
        <f ca="1">IFERROR(__xludf.DUMMYFUNCTION("""COMPUTED_VALUE"""),"NA")</f>
        <v>NA</v>
      </c>
      <c r="P1129" s="5" t="str">
        <f ca="1">IFERROR(__xludf.DUMMYFUNCTION("""COMPUTED_VALUE"""),"(818) 517-2212")</f>
        <v>(818) 517-2212</v>
      </c>
      <c r="Q1129" s="5"/>
      <c r="R1129" s="5"/>
      <c r="S1129" s="5"/>
      <c r="T1129" s="18">
        <f ca="1">IFERROR(__xludf.DUMMYFUNCTION("""COMPUTED_VALUE"""),42270)</f>
        <v>42270</v>
      </c>
    </row>
    <row r="1130" spans="1:20" ht="12.75">
      <c r="A1130" s="24">
        <f ca="1">IFERROR(__xludf.DUMMYFUNCTION("""COMPUTED_VALUE"""),45672.729356875)</f>
        <v>45672.729356875003</v>
      </c>
      <c r="B1130" s="5" t="str">
        <f ca="1">IFERROR(__xludf.DUMMYFUNCTION("""COMPUTED_VALUE"""),"2511 Brighton Avenue NE")</f>
        <v>2511 Brighton Avenue NE</v>
      </c>
      <c r="C1130" s="5" t="str">
        <f ca="1">IFERROR(__xludf.DUMMYFUNCTION("""COMPUTED_VALUE"""),"Minneapolis")</f>
        <v>Minneapolis</v>
      </c>
      <c r="D1130" s="5" t="str">
        <f ca="1">IFERROR(__xludf.DUMMYFUNCTION("""COMPUTED_VALUE"""),"Other")</f>
        <v>Other</v>
      </c>
      <c r="E1130" s="5">
        <f ca="1">IFERROR(__xludf.DUMMYFUNCTION("""COMPUTED_VALUE"""),55418)</f>
        <v>55418</v>
      </c>
      <c r="F1130" s="19">
        <f ca="1">IFERROR(__xludf.DUMMYFUNCTION("""COMPUTED_VALUE"""),50000)</f>
        <v>50000</v>
      </c>
      <c r="G1130" s="19">
        <f ca="1">IFERROR(__xludf.DUMMYFUNCTION("""COMPUTED_VALUE"""),60000)</f>
        <v>60000</v>
      </c>
      <c r="H1130" s="18">
        <f ca="1">IFERROR(__xludf.DUMMYFUNCTION("""COMPUTED_VALUE"""),45667)</f>
        <v>45667</v>
      </c>
      <c r="I1130" s="5" t="str">
        <f ca="1">IFERROR(__xludf.DUMMYFUNCTION("""COMPUTED_VALUE"""),"Zillow")</f>
        <v>Zillow</v>
      </c>
      <c r="J1130" s="25" t="str">
        <f ca="1">IFERROR(__xludf.DUMMYFUNCTION("""COMPUTED_VALUE"""),"https://www.zillow.com/homedetails/717-N-Rodeo-Dr-Beverly-Hills-CA-90210/20521466_zpid/")</f>
        <v>https://www.zillow.com/homedetails/717-N-Rodeo-Dr-Beverly-Hills-CA-90210/20521466_zpid/</v>
      </c>
      <c r="K1130" s="5" t="str">
        <f ca="1">IFERROR(__xludf.DUMMYFUNCTION("""COMPUTED_VALUE"""),"Sally Forster Jones")</f>
        <v>Sally Forster Jones</v>
      </c>
      <c r="L1130" s="5"/>
      <c r="M1130" s="5"/>
      <c r="N1130" s="26" t="str">
        <f ca="1">IFERROR(__xludf.DUMMYFUNCTION("""COMPUTED_VALUE"""),"https://drive.google.com/open?id=19_L6yL8cthZK0fW4K9VSy1VUkaJrnLXK")</f>
        <v>https://drive.google.com/open?id=19_L6yL8cthZK0fW4K9VSy1VUkaJrnLXK</v>
      </c>
      <c r="O1130" s="5">
        <f ca="1">IFERROR(__xludf.DUMMYFUNCTION("""COMPUTED_VALUE"""),4345012009)</f>
        <v>4345012009</v>
      </c>
      <c r="P1130" s="5" t="str">
        <f ca="1">IFERROR(__xludf.DUMMYFUNCTION("""COMPUTED_VALUE"""),"310) 579-2200")</f>
        <v>310) 579-2200</v>
      </c>
      <c r="Q1130" s="5" t="str">
        <f ca="1">IFERROR(__xludf.DUMMYFUNCTION("""COMPUTED_VALUE"""),"showings@sfjgroup.com")</f>
        <v>showings@sfjgroup.com</v>
      </c>
      <c r="R1130" s="5"/>
      <c r="S1130" s="5"/>
      <c r="T1130" s="18">
        <f ca="1">IFERROR(__xludf.DUMMYFUNCTION("""COMPUTED_VALUE"""),45666)</f>
        <v>45666</v>
      </c>
    </row>
    <row r="1131" spans="1:20" ht="12.75">
      <c r="A1131" s="24">
        <f ca="1">IFERROR(__xludf.DUMMYFUNCTION("""COMPUTED_VALUE"""),45672.7320476388)</f>
        <v>45672.732047638798</v>
      </c>
      <c r="B1131" s="5" t="str">
        <f ca="1">IFERROR(__xludf.DUMMYFUNCTION("""COMPUTED_VALUE"""),"13341 Cromwell Dr")</f>
        <v>13341 Cromwell Dr</v>
      </c>
      <c r="C1131" s="5" t="str">
        <f ca="1">IFERROR(__xludf.DUMMYFUNCTION("""COMPUTED_VALUE"""),"Tustin")</f>
        <v>Tustin</v>
      </c>
      <c r="D1131" s="5" t="str">
        <f ca="1">IFERROR(__xludf.DUMMYFUNCTION("""COMPUTED_VALUE"""),"CA")</f>
        <v>CA</v>
      </c>
      <c r="E1131" s="5">
        <f ca="1">IFERROR(__xludf.DUMMYFUNCTION("""COMPUTED_VALUE"""),92780)</f>
        <v>92780</v>
      </c>
      <c r="F1131" s="19">
        <f ca="1">IFERROR(__xludf.DUMMYFUNCTION("""COMPUTED_VALUE"""),6500)</f>
        <v>6500</v>
      </c>
      <c r="G1131" s="19">
        <f ca="1">IFERROR(__xludf.DUMMYFUNCTION("""COMPUTED_VALUE"""),9000)</f>
        <v>9000</v>
      </c>
      <c r="H1131" s="18">
        <f ca="1">IFERROR(__xludf.DUMMYFUNCTION("""COMPUTED_VALUE"""),45671)</f>
        <v>45671</v>
      </c>
      <c r="I1131" s="5" t="str">
        <f ca="1">IFERROR(__xludf.DUMMYFUNCTION("""COMPUTED_VALUE"""),"Zillow")</f>
        <v>Zillow</v>
      </c>
      <c r="J1131" s="25" t="str">
        <f ca="1">IFERROR(__xludf.DUMMYFUNCTION("""COMPUTED_VALUE"""),"https://www.zillow.com/homedetails/13341-Cromwell-Dr-Tustin-CA-92780/25197305_zpid/")</f>
        <v>https://www.zillow.com/homedetails/13341-Cromwell-Dr-Tustin-CA-92780/25197305_zpid/</v>
      </c>
      <c r="K1131" s="5"/>
      <c r="L1131" s="5" t="str">
        <f ca="1">IFERROR(__xludf.DUMMYFUNCTION("""COMPUTED_VALUE"""),"Mike Lin")</f>
        <v>Mike Lin</v>
      </c>
      <c r="M1131" s="5"/>
      <c r="N1131" s="5" t="str">
        <f ca="1">IFERROR(__xludf.DUMMYFUNCTION("""COMPUTED_VALUE"""),"https://drive.google.com/open?id=1EGntCfxm64_HmpdFpgNXbA_0iJtXZe4_, https://drive.google.com/open?id=1-m1-C-fa19l1F47sTf0jV_drz-U7Us19, https://drive.google.com/open?id=1tYiW6FV4r-1DUujQoXjCfwVCgJBSS1Uy")</f>
        <v>https://drive.google.com/open?id=1EGntCfxm64_HmpdFpgNXbA_0iJtXZe4_, https://drive.google.com/open?id=1-m1-C-fa19l1F47sTf0jV_drz-U7Us19, https://drive.google.com/open?id=1tYiW6FV4r-1DUujQoXjCfwVCgJBSS1Uy</v>
      </c>
      <c r="O1131" s="5">
        <f ca="1">IFERROR(__xludf.DUMMYFUNCTION("""COMPUTED_VALUE"""),10333240)</f>
        <v>10333240</v>
      </c>
      <c r="P1131" s="5"/>
      <c r="Q1131" s="5"/>
      <c r="R1131" s="5" t="str">
        <f ca="1">IFERROR(__xludf.DUMMYFUNCTION("""COMPUTED_VALUE"""),"(949) 539-0584")</f>
        <v>(949) 539-0584</v>
      </c>
      <c r="S1131" s="5"/>
      <c r="T1131" s="18">
        <f ca="1">IFERROR(__xludf.DUMMYFUNCTION("""COMPUTED_VALUE"""),45600)</f>
        <v>45600</v>
      </c>
    </row>
    <row r="1132" spans="1:20" ht="12.75">
      <c r="A1132" s="24">
        <f ca="1">IFERROR(__xludf.DUMMYFUNCTION("""COMPUTED_VALUE"""),45672.7322626851)</f>
        <v>45672.732262685102</v>
      </c>
      <c r="B1132" s="5" t="str">
        <f ca="1">IFERROR(__xludf.DUMMYFUNCTION("""COMPUTED_VALUE"""),"1928 Melwood Dr")</f>
        <v>1928 Melwood Dr</v>
      </c>
      <c r="C1132" s="5" t="str">
        <f ca="1">IFERROR(__xludf.DUMMYFUNCTION("""COMPUTED_VALUE"""),"Glendale")</f>
        <v>Glendale</v>
      </c>
      <c r="D1132" s="5" t="str">
        <f ca="1">IFERROR(__xludf.DUMMYFUNCTION("""COMPUTED_VALUE"""),"CA")</f>
        <v>CA</v>
      </c>
      <c r="E1132" s="5">
        <f ca="1">IFERROR(__xludf.DUMMYFUNCTION("""COMPUTED_VALUE"""),91207)</f>
        <v>91207</v>
      </c>
      <c r="F1132" s="19">
        <f ca="1">IFERROR(__xludf.DUMMYFUNCTION("""COMPUTED_VALUE"""),15000)</f>
        <v>15000</v>
      </c>
      <c r="G1132" s="19">
        <f ca="1">IFERROR(__xludf.DUMMYFUNCTION("""COMPUTED_VALUE"""),25000)</f>
        <v>25000</v>
      </c>
      <c r="H1132" s="18">
        <f ca="1">IFERROR(__xludf.DUMMYFUNCTION("""COMPUTED_VALUE"""),45666)</f>
        <v>45666</v>
      </c>
      <c r="I1132" s="5" t="str">
        <f ca="1">IFERROR(__xludf.DUMMYFUNCTION("""COMPUTED_VALUE"""),"Zillow")</f>
        <v>Zillow</v>
      </c>
      <c r="J1132" s="25" t="str">
        <f ca="1">IFERROR(__xludf.DUMMYFUNCTION("""COMPUTED_VALUE"""),"https://www.zillow.com/homedetails/1928-Melwood-Dr-Glendale-CA-91207/20838315_zpid/")</f>
        <v>https://www.zillow.com/homedetails/1928-Melwood-Dr-Glendale-CA-91207/20838315_zpid/</v>
      </c>
      <c r="K1132" s="5" t="str">
        <f ca="1">IFERROR(__xludf.DUMMYFUNCTION("""COMPUTED_VALUE"""),"Armen Youssefian")</f>
        <v>Armen Youssefian</v>
      </c>
      <c r="L1132" s="5" t="str">
        <f ca="1">IFERROR(__xludf.DUMMYFUNCTION("""COMPUTED_VALUE"""),"Armen Youssefian")</f>
        <v>Armen Youssefian</v>
      </c>
      <c r="M1132" s="5" t="str">
        <f ca="1">IFERROR(__xludf.DUMMYFUNCTION("""COMPUTED_VALUE"""),"The list price of this home rental increased 66.6% after the fires began. It has been rented and taken off the rental market as of 1/9/25. ")</f>
        <v xml:space="preserve">The list price of this home rental increased 66.6% after the fires began. It has been rented and taken off the rental market as of 1/9/25. </v>
      </c>
      <c r="N1132" s="26" t="str">
        <f ca="1">IFERROR(__xludf.DUMMYFUNCTION("""COMPUTED_VALUE"""),"https://drive.google.com/open?id=1q2xqNDGk1Hksem8BZDmL1rvA8iQyITwJ")</f>
        <v>https://drive.google.com/open?id=1q2xqNDGk1Hksem8BZDmL1rvA8iQyITwJ</v>
      </c>
      <c r="O1132" s="5">
        <f ca="1">IFERROR(__xludf.DUMMYFUNCTION("""COMPUTED_VALUE"""),5649023027)</f>
        <v>5649023027</v>
      </c>
      <c r="P1132" s="5" t="str">
        <f ca="1">IFERROR(__xludf.DUMMYFUNCTION("""COMPUTED_VALUE"""),"818-321-4343")</f>
        <v>818-321-4343</v>
      </c>
      <c r="Q1132" s="5"/>
      <c r="R1132" s="5" t="str">
        <f ca="1">IFERROR(__xludf.DUMMYFUNCTION("""COMPUTED_VALUE"""),"818-321-4343")</f>
        <v>818-321-4343</v>
      </c>
      <c r="S1132" s="5"/>
      <c r="T1132" s="18">
        <f ca="1">IFERROR(__xludf.DUMMYFUNCTION("""COMPUTED_VALUE"""),45618)</f>
        <v>45618</v>
      </c>
    </row>
    <row r="1133" spans="1:20" ht="12.75">
      <c r="A1133" s="24">
        <f ca="1">IFERROR(__xludf.DUMMYFUNCTION("""COMPUTED_VALUE"""),45672.7359541203)</f>
        <v>45672.735954120297</v>
      </c>
      <c r="B1133" s="5" t="str">
        <f ca="1">IFERROR(__xludf.DUMMYFUNCTION("""COMPUTED_VALUE"""),"6817 E Bacarro St,")</f>
        <v>6817 E Bacarro St,</v>
      </c>
      <c r="C1133" s="5" t="str">
        <f ca="1">IFERROR(__xludf.DUMMYFUNCTION("""COMPUTED_VALUE"""),"Long Beach")</f>
        <v>Long Beach</v>
      </c>
      <c r="D1133" s="5" t="str">
        <f ca="1">IFERROR(__xludf.DUMMYFUNCTION("""COMPUTED_VALUE"""),"CA")</f>
        <v>CA</v>
      </c>
      <c r="E1133" s="5">
        <f ca="1">IFERROR(__xludf.DUMMYFUNCTION("""COMPUTED_VALUE"""),90815)</f>
        <v>90815</v>
      </c>
      <c r="F1133" s="19">
        <f ca="1">IFERROR(__xludf.DUMMYFUNCTION("""COMPUTED_VALUE"""),6999)</f>
        <v>6999</v>
      </c>
      <c r="G1133" s="19">
        <f ca="1">IFERROR(__xludf.DUMMYFUNCTION("""COMPUTED_VALUE"""),8999)</f>
        <v>8999</v>
      </c>
      <c r="H1133" s="18">
        <f ca="1">IFERROR(__xludf.DUMMYFUNCTION("""COMPUTED_VALUE"""),45670)</f>
        <v>45670</v>
      </c>
      <c r="I1133" s="5" t="str">
        <f ca="1">IFERROR(__xludf.DUMMYFUNCTION("""COMPUTED_VALUE"""),"Zillow")</f>
        <v>Zillow</v>
      </c>
      <c r="J1133" s="25" t="str">
        <f ca="1">IFERROR(__xludf.DUMMYFUNCTION("""COMPUTED_VALUE"""),"https://www.zillow.com/homedetails/6817-E-Bacarro-St-Long-Beach-CA-90815/21211228_zpid/")</f>
        <v>https://www.zillow.com/homedetails/6817-E-Bacarro-St-Long-Beach-CA-90815/21211228_zpid/</v>
      </c>
      <c r="K1133" s="5" t="str">
        <f ca="1">IFERROR(__xludf.DUMMYFUNCTION("""COMPUTED_VALUE"""),"Monica Luu")</f>
        <v>Monica Luu</v>
      </c>
      <c r="L1133" s="5"/>
      <c r="M1133" s="5"/>
      <c r="N1133" s="5" t="str">
        <f ca="1">IFERROR(__xludf.DUMMYFUNCTION("""COMPUTED_VALUE"""),"https://drive.google.com/open?id=162P3EQnxG_T1a-sQ7hUdCFH6d-CSRQSN, https://drive.google.com/open?id=1OCinm0cws_i0qlq3IyyQzy0JKYF7spXi, https://drive.google.com/open?id=1K0WWj0zySBcwkHwxERSc0g6qXn2LPdvq")</f>
        <v>https://drive.google.com/open?id=162P3EQnxG_T1a-sQ7hUdCFH6d-CSRQSN, https://drive.google.com/open?id=1OCinm0cws_i0qlq3IyyQzy0JKYF7spXi, https://drive.google.com/open?id=1K0WWj0zySBcwkHwxERSc0g6qXn2LPdvq</v>
      </c>
      <c r="O1133" s="5">
        <f ca="1">IFERROR(__xludf.DUMMYFUNCTION("""COMPUTED_VALUE"""),7238009016)</f>
        <v>7238009016</v>
      </c>
      <c r="P1133" s="5" t="str">
        <f ca="1">IFERROR(__xludf.DUMMYFUNCTION("""COMPUTED_VALUE"""),"(213) 642-2236")</f>
        <v>(213) 642-2236</v>
      </c>
      <c r="Q1133" s="5"/>
      <c r="R1133" s="5"/>
      <c r="S1133" s="5"/>
      <c r="T1133" s="18">
        <f ca="1">IFERROR(__xludf.DUMMYFUNCTION("""COMPUTED_VALUE"""),45584)</f>
        <v>45584</v>
      </c>
    </row>
    <row r="1134" spans="1:20" ht="12.75">
      <c r="A1134" s="24">
        <f ca="1">IFERROR(__xludf.DUMMYFUNCTION("""COMPUTED_VALUE"""),45672.736094537)</f>
        <v>45672.736094537002</v>
      </c>
      <c r="B1134" s="5" t="str">
        <f ca="1">IFERROR(__xludf.DUMMYFUNCTION("""COMPUTED_VALUE"""),"Undisclosed address")</f>
        <v>Undisclosed address</v>
      </c>
      <c r="C1134" s="5" t="str">
        <f ca="1">IFERROR(__xludf.DUMMYFUNCTION("""COMPUTED_VALUE"""),"Los Angeles")</f>
        <v>Los Angeles</v>
      </c>
      <c r="D1134" s="5" t="str">
        <f ca="1">IFERROR(__xludf.DUMMYFUNCTION("""COMPUTED_VALUE"""),"CA")</f>
        <v>CA</v>
      </c>
      <c r="E1134" s="5">
        <f ca="1">IFERROR(__xludf.DUMMYFUNCTION("""COMPUTED_VALUE"""),90019)</f>
        <v>90019</v>
      </c>
      <c r="F1134" s="19">
        <f ca="1">IFERROR(__xludf.DUMMYFUNCTION("""COMPUTED_VALUE"""),6000)</f>
        <v>6000</v>
      </c>
      <c r="G1134" s="19">
        <f ca="1">IFERROR(__xludf.DUMMYFUNCTION("""COMPUTED_VALUE"""),12500)</f>
        <v>12500</v>
      </c>
      <c r="H1134" s="18">
        <f ca="1">IFERROR(__xludf.DUMMYFUNCTION("""COMPUTED_VALUE"""),45670)</f>
        <v>45670</v>
      </c>
      <c r="I1134" s="5" t="str">
        <f ca="1">IFERROR(__xludf.DUMMYFUNCTION("""COMPUTED_VALUE"""),"Zillow")</f>
        <v>Zillow</v>
      </c>
      <c r="J1134" s="25" t="str">
        <f ca="1">IFERROR(__xludf.DUMMYFUNCTION("""COMPUTED_VALUE"""),"https://www.zillow.com/homedetails/Los-Angeles-CA-90019/95587640_zpid/")</f>
        <v>https://www.zillow.com/homedetails/Los-Angeles-CA-90019/95587640_zpid/</v>
      </c>
      <c r="K1134" s="5" t="str">
        <f ca="1">IFERROR(__xludf.DUMMYFUNCTION("""COMPUTED_VALUE"""),"Baba Osiname")</f>
        <v>Baba Osiname</v>
      </c>
      <c r="L1134" s="5"/>
      <c r="M1134" s="5"/>
      <c r="N1134" s="5" t="str">
        <f ca="1">IFERROR(__xludf.DUMMYFUNCTION("""COMPUTED_VALUE"""),"https://drive.google.com/open?id=1D_XnJAtoygv7gfNFNcmgzvBRMzrq-uoq, https://drive.google.com/open?id=1n1_SkpQWu4pPG4YgU0nggacw4ICL90J3")</f>
        <v>https://drive.google.com/open?id=1D_XnJAtoygv7gfNFNcmgzvBRMzrq-uoq, https://drive.google.com/open?id=1n1_SkpQWu4pPG4YgU0nggacw4ICL90J3</v>
      </c>
      <c r="O1134" s="5" t="str">
        <f ca="1">IFERROR(__xludf.DUMMYFUNCTION("""COMPUTED_VALUE"""),"NA")</f>
        <v>NA</v>
      </c>
      <c r="P1134" s="5" t="str">
        <f ca="1">IFERROR(__xludf.DUMMYFUNCTION("""COMPUTED_VALUE"""),"(424) 272-0408")</f>
        <v>(424) 272-0408</v>
      </c>
      <c r="Q1134" s="5"/>
      <c r="R1134" s="5"/>
      <c r="S1134" s="5"/>
      <c r="T1134" s="18">
        <f ca="1">IFERROR(__xludf.DUMMYFUNCTION("""COMPUTED_VALUE"""),45098)</f>
        <v>45098</v>
      </c>
    </row>
    <row r="1135" spans="1:20" ht="12.75">
      <c r="A1135" s="24">
        <f ca="1">IFERROR(__xludf.DUMMYFUNCTION("""COMPUTED_VALUE"""),45672.7365944444)</f>
        <v>45672.736594444403</v>
      </c>
      <c r="B1135" s="5" t="str">
        <f ca="1">IFERROR(__xludf.DUMMYFUNCTION("""COMPUTED_VALUE"""),"800 W 1st St Apt 1609")</f>
        <v>800 W 1st St Apt 1609</v>
      </c>
      <c r="C1135" s="5" t="str">
        <f ca="1">IFERROR(__xludf.DUMMYFUNCTION("""COMPUTED_VALUE"""),"Los Angeles")</f>
        <v>Los Angeles</v>
      </c>
      <c r="D1135" s="5" t="str">
        <f ca="1">IFERROR(__xludf.DUMMYFUNCTION("""COMPUTED_VALUE"""),"CA")</f>
        <v>CA</v>
      </c>
      <c r="E1135" s="5">
        <f ca="1">IFERROR(__xludf.DUMMYFUNCTION("""COMPUTED_VALUE"""),90012)</f>
        <v>90012</v>
      </c>
      <c r="F1135" s="19">
        <f ca="1">IFERROR(__xludf.DUMMYFUNCTION("""COMPUTED_VALUE"""),2200)</f>
        <v>2200</v>
      </c>
      <c r="G1135" s="19">
        <f ca="1">IFERROR(__xludf.DUMMYFUNCTION("""COMPUTED_VALUE"""),2500)</f>
        <v>2500</v>
      </c>
      <c r="H1135" s="18">
        <f ca="1">IFERROR(__xludf.DUMMYFUNCTION("""COMPUTED_VALUE"""),45668)</f>
        <v>45668</v>
      </c>
      <c r="I1135" s="5" t="str">
        <f ca="1">IFERROR(__xludf.DUMMYFUNCTION("""COMPUTED_VALUE"""),"Zillow")</f>
        <v>Zillow</v>
      </c>
      <c r="J1135" s="25" t="str">
        <f ca="1">IFERROR(__xludf.DUMMYFUNCTION("""COMPUTED_VALUE"""),"https://www.zillow.com/homedetails/800-W-1st-St-APT-1609-Los-Angeles-CA-90012/20625889_zpid/")</f>
        <v>https://www.zillow.com/homedetails/800-W-1st-St-APT-1609-Los-Angeles-CA-90012/20625889_zpid/</v>
      </c>
      <c r="K1135" s="5" t="str">
        <f ca="1">IFERROR(__xludf.DUMMYFUNCTION("""COMPUTED_VALUE"""),"Jonathan Edmonds")</f>
        <v>Jonathan Edmonds</v>
      </c>
      <c r="L1135" s="5"/>
      <c r="M1135" s="5"/>
      <c r="N1135" s="26" t="str">
        <f ca="1">IFERROR(__xludf.DUMMYFUNCTION("""COMPUTED_VALUE"""),"https://drive.google.com/open?id=1zQYqWu7NULAriTI89D43PqT82ML_dZE0")</f>
        <v>https://drive.google.com/open?id=1zQYqWu7NULAriTI89D43PqT82ML_dZE0</v>
      </c>
      <c r="O1135" s="5">
        <f ca="1">IFERROR(__xludf.DUMMYFUNCTION("""COMPUTED_VALUE"""),5151027117)</f>
        <v>5151027117</v>
      </c>
      <c r="P1135" s="5" t="str">
        <f ca="1">IFERROR(__xludf.DUMMYFUNCTION("""COMPUTED_VALUE"""),"213-431-5396")</f>
        <v>213-431-5396</v>
      </c>
      <c r="Q1135" s="5"/>
      <c r="R1135" s="5"/>
      <c r="S1135" s="5"/>
      <c r="T1135" s="18">
        <f ca="1">IFERROR(__xludf.DUMMYFUNCTION("""COMPUTED_VALUE"""),45195)</f>
        <v>45195</v>
      </c>
    </row>
    <row r="1136" spans="1:20" ht="12.75">
      <c r="A1136" s="24">
        <f ca="1">IFERROR(__xludf.DUMMYFUNCTION("""COMPUTED_VALUE"""),45672.7386227546)</f>
        <v>45672.738622754601</v>
      </c>
      <c r="B1136" s="5" t="str">
        <f ca="1">IFERROR(__xludf.DUMMYFUNCTION("""COMPUTED_VALUE"""),"6445 Deep Dell Pl")</f>
        <v>6445 Deep Dell Pl</v>
      </c>
      <c r="C1136" s="5" t="str">
        <f ca="1">IFERROR(__xludf.DUMMYFUNCTION("""COMPUTED_VALUE""")," Los Angeles")</f>
        <v xml:space="preserve"> Los Angeles</v>
      </c>
      <c r="D1136" s="5" t="str">
        <f ca="1">IFERROR(__xludf.DUMMYFUNCTION("""COMPUTED_VALUE"""),"CA")</f>
        <v>CA</v>
      </c>
      <c r="E1136" s="5">
        <f ca="1">IFERROR(__xludf.DUMMYFUNCTION("""COMPUTED_VALUE"""),90068)</f>
        <v>90068</v>
      </c>
      <c r="F1136" s="19">
        <f ca="1">IFERROR(__xludf.DUMMYFUNCTION("""COMPUTED_VALUE"""),9500)</f>
        <v>9500</v>
      </c>
      <c r="G1136" s="19">
        <f ca="1">IFERROR(__xludf.DUMMYFUNCTION("""COMPUTED_VALUE"""),10450)</f>
        <v>10450</v>
      </c>
      <c r="H1136" s="18">
        <f ca="1">IFERROR(__xludf.DUMMYFUNCTION("""COMPUTED_VALUE"""),45672)</f>
        <v>45672</v>
      </c>
      <c r="I1136" s="5" t="str">
        <f ca="1">IFERROR(__xludf.DUMMYFUNCTION("""COMPUTED_VALUE"""),"Zillow")</f>
        <v>Zillow</v>
      </c>
      <c r="J1136" s="25" t="str">
        <f ca="1">IFERROR(__xludf.DUMMYFUNCTION("""COMPUTED_VALUE"""),"https://www.zillow.com/homedetails/6445-Deep-Dell-Pl-Los-Angeles-CA-90068/20804921_zpid/")</f>
        <v>https://www.zillow.com/homedetails/6445-Deep-Dell-Pl-Los-Angeles-CA-90068/20804921_zpid/</v>
      </c>
      <c r="K1136" s="5" t="str">
        <f ca="1">IFERROR(__xludf.DUMMYFUNCTION("""COMPUTED_VALUE"""),"mgmt group")</f>
        <v>mgmt group</v>
      </c>
      <c r="L1136" s="5"/>
      <c r="M1136" s="5"/>
      <c r="N1136" s="26" t="str">
        <f ca="1">IFERROR(__xludf.DUMMYFUNCTION("""COMPUTED_VALUE"""),"https://drive.google.com/open?id=1GU6y4vX5_jU9ZkVAKsLnKa3VCCfCts0D")</f>
        <v>https://drive.google.com/open?id=1GU6y4vX5_jU9ZkVAKsLnKa3VCCfCts0D</v>
      </c>
      <c r="O1136" s="5">
        <f ca="1">IFERROR(__xludf.DUMMYFUNCTION("""COMPUTED_VALUE"""),5577032002)</f>
        <v>5577032002</v>
      </c>
      <c r="P1136" s="5" t="str">
        <f ca="1">IFERROR(__xludf.DUMMYFUNCTION("""COMPUTED_VALUE"""),"(323) 940-6769")</f>
        <v>(323) 940-6769</v>
      </c>
      <c r="Q1136" s="5"/>
      <c r="R1136" s="5"/>
      <c r="S1136" s="5"/>
      <c r="T1136" s="18">
        <f ca="1">IFERROR(__xludf.DUMMYFUNCTION("""COMPUTED_VALUE"""),44874)</f>
        <v>44874</v>
      </c>
    </row>
    <row r="1137" spans="1:20" ht="12.75">
      <c r="A1137" s="24">
        <f ca="1">IFERROR(__xludf.DUMMYFUNCTION("""COMPUTED_VALUE"""),45672.7419166782)</f>
        <v>45672.741916678198</v>
      </c>
      <c r="B1137" s="5" t="str">
        <f ca="1">IFERROR(__xludf.DUMMYFUNCTION("""COMPUTED_VALUE"""),"613 Westmount Dr.")</f>
        <v>613 Westmount Dr.</v>
      </c>
      <c r="C1137" s="5" t="str">
        <f ca="1">IFERROR(__xludf.DUMMYFUNCTION("""COMPUTED_VALUE"""),"West Hollywood")</f>
        <v>West Hollywood</v>
      </c>
      <c r="D1137" s="5" t="str">
        <f ca="1">IFERROR(__xludf.DUMMYFUNCTION("""COMPUTED_VALUE"""),"CA")</f>
        <v>CA</v>
      </c>
      <c r="E1137" s="5">
        <f ca="1">IFERROR(__xludf.DUMMYFUNCTION("""COMPUTED_VALUE"""),90069)</f>
        <v>90069</v>
      </c>
      <c r="F1137" s="19">
        <f ca="1">IFERROR(__xludf.DUMMYFUNCTION("""COMPUTED_VALUE"""),10895)</f>
        <v>10895</v>
      </c>
      <c r="G1137" s="19">
        <f ca="1">IFERROR(__xludf.DUMMYFUNCTION("""COMPUTED_VALUE"""),11995)</f>
        <v>11995</v>
      </c>
      <c r="H1137" s="18">
        <f ca="1">IFERROR(__xludf.DUMMYFUNCTION("""COMPUTED_VALUE"""),45666)</f>
        <v>45666</v>
      </c>
      <c r="I1137" s="5" t="str">
        <f ca="1">IFERROR(__xludf.DUMMYFUNCTION("""COMPUTED_VALUE"""),"Zillow")</f>
        <v>Zillow</v>
      </c>
      <c r="J1137" s="25" t="str">
        <f ca="1">IFERROR(__xludf.DUMMYFUNCTION("""COMPUTED_VALUE"""),"https://www.zillow.com/homedetails/613-Westmount-Dr-West-Hollywood-CA-90069/20516808_zpid/")</f>
        <v>https://www.zillow.com/homedetails/613-Westmount-Dr-West-Hollywood-CA-90069/20516808_zpid/</v>
      </c>
      <c r="K1137" s="5" t="str">
        <f ca="1">IFERROR(__xludf.DUMMYFUNCTION("""COMPUTED_VALUE"""),"Marisol Murad Compass")</f>
        <v>Marisol Murad Compass</v>
      </c>
      <c r="L1137" s="5"/>
      <c r="M1137" s="5"/>
      <c r="N1137" s="26" t="str">
        <f ca="1">IFERROR(__xludf.DUMMYFUNCTION("""COMPUTED_VALUE"""),"https://drive.google.com/open?id=1AlXYijPRuPrW-q0dyfCS5mrQx06P4aH9")</f>
        <v>https://drive.google.com/open?id=1AlXYijPRuPrW-q0dyfCS5mrQx06P4aH9</v>
      </c>
      <c r="O1137" s="5">
        <f ca="1">IFERROR(__xludf.DUMMYFUNCTION("""COMPUTED_VALUE"""),4337008019)</f>
        <v>4337008019</v>
      </c>
      <c r="P1137" s="5" t="str">
        <f ca="1">IFERROR(__xludf.DUMMYFUNCTION("""COMPUTED_VALUE"""),"(424) 302-7992")</f>
        <v>(424) 302-7992</v>
      </c>
      <c r="Q1137" s="5"/>
      <c r="R1137" s="5"/>
      <c r="S1137" s="5"/>
      <c r="T1137" s="18">
        <f ca="1">IFERROR(__xludf.DUMMYFUNCTION("""COMPUTED_VALUE"""),44537)</f>
        <v>44537</v>
      </c>
    </row>
    <row r="1138" spans="1:20" ht="12.75">
      <c r="A1138" s="24">
        <f ca="1">IFERROR(__xludf.DUMMYFUNCTION("""COMPUTED_VALUE"""),45672.7426537268)</f>
        <v>45672.742653726797</v>
      </c>
      <c r="B1138" s="5" t="str">
        <f ca="1">IFERROR(__xludf.DUMMYFUNCTION("""COMPUTED_VALUE"""),"10910 Hesby St #B")</f>
        <v>10910 Hesby St #B</v>
      </c>
      <c r="C1138" s="5" t="str">
        <f ca="1">IFERROR(__xludf.DUMMYFUNCTION("""COMPUTED_VALUE"""),"North hollywood")</f>
        <v>North hollywood</v>
      </c>
      <c r="D1138" s="5" t="str">
        <f ca="1">IFERROR(__xludf.DUMMYFUNCTION("""COMPUTED_VALUE"""),"CA")</f>
        <v>CA</v>
      </c>
      <c r="E1138" s="5">
        <f ca="1">IFERROR(__xludf.DUMMYFUNCTION("""COMPUTED_VALUE"""),91601)</f>
        <v>91601</v>
      </c>
      <c r="F1138" s="19">
        <f ca="1">IFERROR(__xludf.DUMMYFUNCTION("""COMPUTED_VALUE"""),3800)</f>
        <v>3800</v>
      </c>
      <c r="G1138" s="19">
        <f ca="1">IFERROR(__xludf.DUMMYFUNCTION("""COMPUTED_VALUE"""),4300)</f>
        <v>4300</v>
      </c>
      <c r="H1138" s="18">
        <f ca="1">IFERROR(__xludf.DUMMYFUNCTION("""COMPUTED_VALUE"""),45666)</f>
        <v>45666</v>
      </c>
      <c r="I1138" s="5" t="str">
        <f ca="1">IFERROR(__xludf.DUMMYFUNCTION("""COMPUTED_VALUE"""),"Zillow")</f>
        <v>Zillow</v>
      </c>
      <c r="J1138" s="25" t="str">
        <f ca="1">IFERROR(__xludf.DUMMYFUNCTION("""COMPUTED_VALUE"""),"https://www.zillow.com/homedetails/10910-Hesby-St-B-North-Hollywood-CA-91601/2072759498_zpid/")</f>
        <v>https://www.zillow.com/homedetails/10910-Hesby-St-B-North-Hollywood-CA-91601/2072759498_zpid/</v>
      </c>
      <c r="K1138" s="5" t="str">
        <f ca="1">IFERROR(__xludf.DUMMYFUNCTION("""COMPUTED_VALUE"""),"Dylan Gallagher JRealty  Management company")</f>
        <v>Dylan Gallagher JRealty  Management company</v>
      </c>
      <c r="L1138" s="5"/>
      <c r="M1138" s="5"/>
      <c r="N1138" s="5" t="str">
        <f ca="1">IFERROR(__xludf.DUMMYFUNCTION("""COMPUTED_VALUE"""),"https://drive.google.com/open?id=1Omw5aC1rHIcJPasA1Hg-3EAfli6pGbW0, https://drive.google.com/open?id=13nwFhIczlTkGa9MU4D8HLFiGYuT0OGGY")</f>
        <v>https://drive.google.com/open?id=1Omw5aC1rHIcJPasA1Hg-3EAfli6pGbW0, https://drive.google.com/open?id=13nwFhIczlTkGa9MU4D8HLFiGYuT0OGGY</v>
      </c>
      <c r="O1138" s="5" t="str">
        <f ca="1">IFERROR(__xludf.DUMMYFUNCTION("""COMPUTED_VALUE"""),"NA")</f>
        <v>NA</v>
      </c>
      <c r="P1138" s="5" t="str">
        <f ca="1">IFERROR(__xludf.DUMMYFUNCTION("""COMPUTED_VALUE"""),"(424) 732-3980")</f>
        <v>(424) 732-3980</v>
      </c>
      <c r="Q1138" s="5"/>
      <c r="R1138" s="5"/>
      <c r="S1138" s="5"/>
      <c r="T1138" s="18">
        <f ca="1">IFERROR(__xludf.DUMMYFUNCTION("""COMPUTED_VALUE"""),44287)</f>
        <v>44287</v>
      </c>
    </row>
    <row r="1139" spans="1:20" ht="12.75">
      <c r="A1139" s="24">
        <f ca="1">IFERROR(__xludf.DUMMYFUNCTION("""COMPUTED_VALUE"""),45672.7440635416)</f>
        <v>45672.744063541599</v>
      </c>
      <c r="B1139" s="5" t="str">
        <f ca="1">IFERROR(__xludf.DUMMYFUNCTION("""COMPUTED_VALUE"""),"11410 Dona Pegita Dr")</f>
        <v>11410 Dona Pegita Dr</v>
      </c>
      <c r="C1139" s="5" t="str">
        <f ca="1">IFERROR(__xludf.DUMMYFUNCTION("""COMPUTED_VALUE"""),"Studio City")</f>
        <v>Studio City</v>
      </c>
      <c r="D1139" s="5" t="str">
        <f ca="1">IFERROR(__xludf.DUMMYFUNCTION("""COMPUTED_VALUE"""),"CA")</f>
        <v>CA</v>
      </c>
      <c r="E1139" s="5">
        <f ca="1">IFERROR(__xludf.DUMMYFUNCTION("""COMPUTED_VALUE"""),91604)</f>
        <v>91604</v>
      </c>
      <c r="F1139" s="19">
        <f ca="1">IFERROR(__xludf.DUMMYFUNCTION("""COMPUTED_VALUE"""),11500)</f>
        <v>11500</v>
      </c>
      <c r="G1139" s="19">
        <f ca="1">IFERROR(__xludf.DUMMYFUNCTION("""COMPUTED_VALUE"""),13000)</f>
        <v>13000</v>
      </c>
      <c r="H1139" s="18">
        <f ca="1">IFERROR(__xludf.DUMMYFUNCTION("""COMPUTED_VALUE"""),45671)</f>
        <v>45671</v>
      </c>
      <c r="I1139" s="5" t="str">
        <f ca="1">IFERROR(__xludf.DUMMYFUNCTION("""COMPUTED_VALUE"""),"Zillow")</f>
        <v>Zillow</v>
      </c>
      <c r="J1139" s="25" t="str">
        <f ca="1">IFERROR(__xludf.DUMMYFUNCTION("""COMPUTED_VALUE"""),"https://www.zillow.com/homedetails/11410-Dona-Pegita-Dr-Studio-City-CA-91604/20031183_zpid/")</f>
        <v>https://www.zillow.com/homedetails/11410-Dona-Pegita-Dr-Studio-City-CA-91604/20031183_zpid/</v>
      </c>
      <c r="K1139" s="5" t="str">
        <f ca="1">IFERROR(__xludf.DUMMYFUNCTION("""COMPUTED_VALUE"""),"Robert Walters")</f>
        <v>Robert Walters</v>
      </c>
      <c r="L1139" s="5"/>
      <c r="M1139" s="5"/>
      <c r="N1139" s="26" t="str">
        <f ca="1">IFERROR(__xludf.DUMMYFUNCTION("""COMPUTED_VALUE"""),"https://drive.google.com/open?id=1dx8dNxfJCDyLuj2HMPcW8BzowzSGsnAq")</f>
        <v>https://drive.google.com/open?id=1dx8dNxfJCDyLuj2HMPcW8BzowzSGsnAq</v>
      </c>
      <c r="O1139" s="5" t="str">
        <f ca="1">IFERROR(__xludf.DUMMYFUNCTION("""COMPUTED_VALUE"""),"NA")</f>
        <v>NA</v>
      </c>
      <c r="P1139" s="5" t="str">
        <f ca="1">IFERROR(__xludf.DUMMYFUNCTION("""COMPUTED_VALUE"""),"818-769-5680")</f>
        <v>818-769-5680</v>
      </c>
      <c r="Q1139" s="5"/>
      <c r="R1139" s="5"/>
      <c r="S1139" s="5"/>
      <c r="T1139" s="18">
        <f ca="1">IFERROR(__xludf.DUMMYFUNCTION("""COMPUTED_VALUE"""),45122)</f>
        <v>45122</v>
      </c>
    </row>
    <row r="1140" spans="1:20" ht="12.75">
      <c r="A1140" s="24">
        <f ca="1">IFERROR(__xludf.DUMMYFUNCTION("""COMPUTED_VALUE"""),45672.7450048379)</f>
        <v>45672.745004837903</v>
      </c>
      <c r="B1140" s="5" t="str">
        <f ca="1">IFERROR(__xludf.DUMMYFUNCTION("""COMPUTED_VALUE"""),"5902 Lemp Ave")</f>
        <v>5902 Lemp Ave</v>
      </c>
      <c r="C1140" s="5" t="str">
        <f ca="1">IFERROR(__xludf.DUMMYFUNCTION("""COMPUTED_VALUE"""),"north hollywood")</f>
        <v>north hollywood</v>
      </c>
      <c r="D1140" s="5" t="str">
        <f ca="1">IFERROR(__xludf.DUMMYFUNCTION("""COMPUTED_VALUE"""),"CA")</f>
        <v>CA</v>
      </c>
      <c r="E1140" s="5">
        <f ca="1">IFERROR(__xludf.DUMMYFUNCTION("""COMPUTED_VALUE"""),91601)</f>
        <v>91601</v>
      </c>
      <c r="F1140" s="19">
        <f ca="1">IFERROR(__xludf.DUMMYFUNCTION("""COMPUTED_VALUE"""),4900)</f>
        <v>4900</v>
      </c>
      <c r="G1140" s="19">
        <f ca="1">IFERROR(__xludf.DUMMYFUNCTION("""COMPUTED_VALUE"""),5390)</f>
        <v>5390</v>
      </c>
      <c r="H1140" s="18">
        <f ca="1">IFERROR(__xludf.DUMMYFUNCTION("""COMPUTED_VALUE"""),45670)</f>
        <v>45670</v>
      </c>
      <c r="I1140" s="5" t="str">
        <f ca="1">IFERROR(__xludf.DUMMYFUNCTION("""COMPUTED_VALUE"""),"Zillow")</f>
        <v>Zillow</v>
      </c>
      <c r="J1140" s="25" t="str">
        <f ca="1">IFERROR(__xludf.DUMMYFUNCTION("""COMPUTED_VALUE"""),"https://www.zillow.com/homedetails/5902-Lemp-Ave-North-Hollywood-CA-91601/20012347_zpid/")</f>
        <v>https://www.zillow.com/homedetails/5902-Lemp-Ave-North-Hollywood-CA-91601/20012347_zpid/</v>
      </c>
      <c r="K1140" s="5" t="str">
        <f ca="1">IFERROR(__xludf.DUMMYFUNCTION("""COMPUTED_VALUE"""),"Iric Fishbein eXp Realty  Management company")</f>
        <v>Iric Fishbein eXp Realty  Management company</v>
      </c>
      <c r="L1140" s="5"/>
      <c r="M1140" s="5"/>
      <c r="N1140" s="5" t="str">
        <f ca="1">IFERROR(__xludf.DUMMYFUNCTION("""COMPUTED_VALUE"""),"https://drive.google.com/open?id=1WwylPAg4LD5LacCcRuZ15LskwMWXlS1O, https://drive.google.com/open?id=1PANIrJ96mQbHY30O8Q2h99oF1VG2H0SW")</f>
        <v>https://drive.google.com/open?id=1WwylPAg4LD5LacCcRuZ15LskwMWXlS1O, https://drive.google.com/open?id=1PANIrJ96mQbHY30O8Q2h99oF1VG2H0SW</v>
      </c>
      <c r="O1140" s="5">
        <f ca="1">IFERROR(__xludf.DUMMYFUNCTION("""COMPUTED_VALUE"""),2338009014)</f>
        <v>2338009014</v>
      </c>
      <c r="P1140" s="5" t="str">
        <f ca="1">IFERROR(__xludf.DUMMYFUNCTION("""COMPUTED_VALUE"""),"(323) 426-4343")</f>
        <v>(323) 426-4343</v>
      </c>
      <c r="Q1140" s="5"/>
      <c r="R1140" s="5"/>
      <c r="S1140" s="5"/>
      <c r="T1140" s="18">
        <f ca="1">IFERROR(__xludf.DUMMYFUNCTION("""COMPUTED_VALUE"""),45640)</f>
        <v>45640</v>
      </c>
    </row>
    <row r="1141" spans="1:20" ht="12.75">
      <c r="A1141" s="24">
        <f ca="1">IFERROR(__xludf.DUMMYFUNCTION("""COMPUTED_VALUE"""),45672.7480048032)</f>
        <v>45672.748004803201</v>
      </c>
      <c r="B1141" s="5" t="str">
        <f ca="1">IFERROR(__xludf.DUMMYFUNCTION("""COMPUTED_VALUE"""),"11259 Otsego St APT 1")</f>
        <v>11259 Otsego St APT 1</v>
      </c>
      <c r="C1141" s="5" t="str">
        <f ca="1">IFERROR(__xludf.DUMMYFUNCTION("""COMPUTED_VALUE"""),"north hollywood")</f>
        <v>north hollywood</v>
      </c>
      <c r="D1141" s="5" t="str">
        <f ca="1">IFERROR(__xludf.DUMMYFUNCTION("""COMPUTED_VALUE"""),"CA")</f>
        <v>CA</v>
      </c>
      <c r="E1141" s="5">
        <f ca="1">IFERROR(__xludf.DUMMYFUNCTION("""COMPUTED_VALUE"""),91601)</f>
        <v>91601</v>
      </c>
      <c r="F1141" s="19">
        <f ca="1">IFERROR(__xludf.DUMMYFUNCTION("""COMPUTED_VALUE"""),1895)</f>
        <v>1895</v>
      </c>
      <c r="G1141" s="19">
        <f ca="1">IFERROR(__xludf.DUMMYFUNCTION("""COMPUTED_VALUE"""),2150)</f>
        <v>2150</v>
      </c>
      <c r="H1141" s="18">
        <f ca="1">IFERROR(__xludf.DUMMYFUNCTION("""COMPUTED_VALUE"""),45670)</f>
        <v>45670</v>
      </c>
      <c r="I1141" s="5" t="str">
        <f ca="1">IFERROR(__xludf.DUMMYFUNCTION("""COMPUTED_VALUE"""),"Zillow")</f>
        <v>Zillow</v>
      </c>
      <c r="J1141" s="25" t="str">
        <f ca="1">IFERROR(__xludf.DUMMYFUNCTION("""COMPUTED_VALUE"""),"https://www.zillow.com/homedetails/11259-Otsego-St-APT-1-North-Hollywood-CA-91601/2092207915_zpid/")</f>
        <v>https://www.zillow.com/homedetails/11259-Otsego-St-APT-1-North-Hollywood-CA-91601/2092207915_zpid/</v>
      </c>
      <c r="K1141" s="5" t="str">
        <f ca="1">IFERROR(__xludf.DUMMYFUNCTION("""COMPUTED_VALUE"""),"Mark Campos Management company")</f>
        <v>Mark Campos Management company</v>
      </c>
      <c r="L1141" s="5"/>
      <c r="M1141" s="5"/>
      <c r="N1141" s="5" t="str">
        <f ca="1">IFERROR(__xludf.DUMMYFUNCTION("""COMPUTED_VALUE"""),"https://drive.google.com/open?id=103dYXOJLRCNkaHHY9H3qY8JLn0dzAHOc, https://drive.google.com/open?id=1BOFAFDlPC6P1XZYPClqBWqqQmXFGMqdI")</f>
        <v>https://drive.google.com/open?id=103dYXOJLRCNkaHHY9H3qY8JLn0dzAHOc, https://drive.google.com/open?id=1BOFAFDlPC6P1XZYPClqBWqqQmXFGMqdI</v>
      </c>
      <c r="O1141" s="5" t="str">
        <f ca="1">IFERROR(__xludf.DUMMYFUNCTION("""COMPUTED_VALUE"""),"NA")</f>
        <v>NA</v>
      </c>
      <c r="P1141" s="5" t="str">
        <f ca="1">IFERROR(__xludf.DUMMYFUNCTION("""COMPUTED_VALUE"""),"(818) 339-3315")</f>
        <v>(818) 339-3315</v>
      </c>
      <c r="Q1141" s="5"/>
      <c r="R1141" s="5"/>
      <c r="S1141" s="5"/>
      <c r="T1141" s="18">
        <f ca="1">IFERROR(__xludf.DUMMYFUNCTION("""COMPUTED_VALUE"""),44496)</f>
        <v>44496</v>
      </c>
    </row>
    <row r="1142" spans="1:20" ht="12.75">
      <c r="A1142" s="24">
        <f ca="1">IFERROR(__xludf.DUMMYFUNCTION("""COMPUTED_VALUE"""),45672.7525812731)</f>
        <v>45672.752581273096</v>
      </c>
      <c r="B1142" s="5" t="str">
        <f ca="1">IFERROR(__xludf.DUMMYFUNCTION("""COMPUTED_VALUE"""),"1128 S. Shenandoah St., Unit 101")</f>
        <v>1128 S. Shenandoah St., Unit 101</v>
      </c>
      <c r="C1142" s="5" t="str">
        <f ca="1">IFERROR(__xludf.DUMMYFUNCTION("""COMPUTED_VALUE"""),"Los Angeles")</f>
        <v>Los Angeles</v>
      </c>
      <c r="D1142" s="5" t="str">
        <f ca="1">IFERROR(__xludf.DUMMYFUNCTION("""COMPUTED_VALUE"""),"CA")</f>
        <v>CA</v>
      </c>
      <c r="E1142" s="5">
        <f ca="1">IFERROR(__xludf.DUMMYFUNCTION("""COMPUTED_VALUE"""),90035)</f>
        <v>90035</v>
      </c>
      <c r="F1142" s="19">
        <f ca="1">IFERROR(__xludf.DUMMYFUNCTION("""COMPUTED_VALUE"""),7000)</f>
        <v>7000</v>
      </c>
      <c r="G1142" s="19">
        <f ca="1">IFERROR(__xludf.DUMMYFUNCTION("""COMPUTED_VALUE"""),10000)</f>
        <v>10000</v>
      </c>
      <c r="H1142" s="18">
        <f ca="1">IFERROR(__xludf.DUMMYFUNCTION("""COMPUTED_VALUE"""),45672)</f>
        <v>45672</v>
      </c>
      <c r="I1142" s="26" t="str">
        <f ca="1">IFERROR(__xludf.DUMMYFUNCTION("""COMPUTED_VALUE"""),"Rent.com")</f>
        <v>Rent.com</v>
      </c>
      <c r="J1142" s="25" t="str">
        <f ca="1">IFERROR(__xludf.DUMMYFUNCTION("""COMPUTED_VALUE"""),"https://www.rent.com/california/los-angeles-condos/1128-s-shenandoah-st-4-lv1887069272")</f>
        <v>https://www.rent.com/california/los-angeles-condos/1128-s-shenandoah-st-4-lv1887069272</v>
      </c>
      <c r="K1142" s="5" t="str">
        <f ca="1">IFERROR(__xludf.DUMMYFUNCTION("""COMPUTED_VALUE"""),"Aryeh Hoffman")</f>
        <v>Aryeh Hoffman</v>
      </c>
      <c r="L1142" s="5"/>
      <c r="M1142" s="5" t="str">
        <f ca="1">IFERROR(__xludf.DUMMYFUNCTION("""COMPUTED_VALUE"""),"We found this listing on Compass.com and Rent.com. The listing said 3, 6 &amp; 12 month leases available. Compass.com listed the rent at $8,000 per month and Rent.com listed it at $7,000 per month. We toured the company and inquired about rent for a month-to-"&amp;"month lease. The agent responded ""For under 3 month owner wants 12K 6 months 10K"" The listing agent then claimed the $8000 was for no furnishing, despite the compass listing stating it is furnished. She is lying and spinning. She was very coy about prov"&amp;"iding a monthly rental rate.")</f>
        <v>We found this listing on Compass.com and Rent.com. The listing said 3, 6 &amp; 12 month leases available. Compass.com listed the rent at $8,000 per month and Rent.com listed it at $7,000 per month. We toured the company and inquired about rent for a month-to-month lease. The agent responded "For under 3 month owner wants 12K 6 months 10K" The listing agent then claimed the $8000 was for no furnishing, despite the compass listing stating it is furnished. She is lying and spinning. She was very coy about providing a monthly rental rate.</v>
      </c>
      <c r="N1142" s="5" t="str">
        <f ca="1">IFERROR(__xludf.DUMMYFUNCTION("""COMPUTED_VALUE"""),"https://drive.google.com/open?id=12iLuwvcsB5h11hAfF3Sme9illMjJcoJ5, https://drive.google.com/open?id=1YOezGEYwnDYmPesNxzaNYqJ52Tqwkc7T")</f>
        <v>https://drive.google.com/open?id=12iLuwvcsB5h11hAfF3Sme9illMjJcoJ5, https://drive.google.com/open?id=1YOezGEYwnDYmPesNxzaNYqJ52Tqwkc7T</v>
      </c>
      <c r="O1142" s="5" t="str">
        <f ca="1">IFERROR(__xludf.DUMMYFUNCTION("""COMPUTED_VALUE"""),"NA")</f>
        <v>NA</v>
      </c>
      <c r="P1142" s="5" t="str">
        <f ca="1">IFERROR(__xludf.DUMMYFUNCTION("""COMPUTED_VALUE"""),"310-331-8883")</f>
        <v>310-331-8883</v>
      </c>
      <c r="Q1142" s="5" t="str">
        <f ca="1">IFERROR(__xludf.DUMMYFUNCTION("""COMPUTED_VALUE"""),"leasesnewhome@gmail.com")</f>
        <v>leasesnewhome@gmail.com</v>
      </c>
      <c r="R1142" s="5"/>
      <c r="S1142" s="5"/>
      <c r="T1142" s="18">
        <f ca="1">IFERROR(__xludf.DUMMYFUNCTION("""COMPUTED_VALUE"""),45670)</f>
        <v>45670</v>
      </c>
    </row>
    <row r="1143" spans="1:20" ht="12.75">
      <c r="A1143" s="24">
        <f ca="1">IFERROR(__xludf.DUMMYFUNCTION("""COMPUTED_VALUE"""),45672.7543187268)</f>
        <v>45672.754318726802</v>
      </c>
      <c r="B1143" s="5" t="str">
        <f ca="1">IFERROR(__xludf.DUMMYFUNCTION("""COMPUTED_VALUE"""),"2112 E 4th St #2112")</f>
        <v>2112 E 4th St #2112</v>
      </c>
      <c r="C1143" s="5" t="str">
        <f ca="1">IFERROR(__xludf.DUMMYFUNCTION("""COMPUTED_VALUE"""),"Los Angeles")</f>
        <v>Los Angeles</v>
      </c>
      <c r="D1143" s="5" t="str">
        <f ca="1">IFERROR(__xludf.DUMMYFUNCTION("""COMPUTED_VALUE"""),"CA")</f>
        <v>CA</v>
      </c>
      <c r="E1143" s="5">
        <f ca="1">IFERROR(__xludf.DUMMYFUNCTION("""COMPUTED_VALUE"""),90033)</f>
        <v>90033</v>
      </c>
      <c r="F1143" s="19">
        <f ca="1">IFERROR(__xludf.DUMMYFUNCTION("""COMPUTED_VALUE"""),2275)</f>
        <v>2275</v>
      </c>
      <c r="G1143" s="19">
        <f ca="1">IFERROR(__xludf.DUMMYFUNCTION("""COMPUTED_VALUE"""),3500)</f>
        <v>3500</v>
      </c>
      <c r="H1143" s="18">
        <f ca="1">IFERROR(__xludf.DUMMYFUNCTION("""COMPUTED_VALUE"""),45664)</f>
        <v>45664</v>
      </c>
      <c r="I1143" s="5" t="str">
        <f ca="1">IFERROR(__xludf.DUMMYFUNCTION("""COMPUTED_VALUE"""),"Zillow")</f>
        <v>Zillow</v>
      </c>
      <c r="J1143" s="25" t="str">
        <f ca="1">IFERROR(__xludf.DUMMYFUNCTION("""COMPUTED_VALUE"""),"https://www.zillow.com/homedetails/2112-E-4th-St-2112-Los-Angeles-CA-90033/443812015_zpid/")</f>
        <v>https://www.zillow.com/homedetails/2112-E-4th-St-2112-Los-Angeles-CA-90033/443812015_zpid/</v>
      </c>
      <c r="K1143" s="5" t="str">
        <f ca="1">IFERROR(__xludf.DUMMYFUNCTION("""COMPUTED_VALUE"""),"Leslie Ramirez")</f>
        <v>Leslie Ramirez</v>
      </c>
      <c r="L1143" s="5"/>
      <c r="M1143" s="5" t="str">
        <f ca="1">IFERROR(__xludf.DUMMYFUNCTION("""COMPUTED_VALUE"""),"When I google the address 2112 E 4th St #2112, Los Angeles, CA 90033, the top link says $2,275, but when I click on that top link, it comes up as 'unavailable'...")</f>
        <v>When I google the address 2112 E 4th St #2112, Los Angeles, CA 90033, the top link says $2,275, but when I click on that top link, it comes up as 'unavailable'...</v>
      </c>
      <c r="N1143" s="26" t="str">
        <f ca="1">IFERROR(__xludf.DUMMYFUNCTION("""COMPUTED_VALUE"""),"https://drive.google.com/open?id=1zUcA0PpQXYVakHtC5YACjkaOsqLyQZMv")</f>
        <v>https://drive.google.com/open?id=1zUcA0PpQXYVakHtC5YACjkaOsqLyQZMv</v>
      </c>
      <c r="O1143" s="5" t="str">
        <f ca="1">IFERROR(__xludf.DUMMYFUNCTION("""COMPUTED_VALUE"""),"NA")</f>
        <v>NA</v>
      </c>
      <c r="P1143" s="5" t="str">
        <f ca="1">IFERROR(__xludf.DUMMYFUNCTION("""COMPUTED_VALUE"""),"(818) 925-1348")</f>
        <v>(818) 925-1348</v>
      </c>
      <c r="Q1143" s="5"/>
      <c r="R1143" s="5"/>
      <c r="S1143" s="5"/>
      <c r="T1143" s="18">
        <f ca="1">IFERROR(__xludf.DUMMYFUNCTION("""COMPUTED_VALUE"""),45663)</f>
        <v>45663</v>
      </c>
    </row>
    <row r="1144" spans="1:20" ht="12.75">
      <c r="A1144" s="24">
        <f ca="1">IFERROR(__xludf.DUMMYFUNCTION("""COMPUTED_VALUE"""),45672.7546733449)</f>
        <v>45672.754673344898</v>
      </c>
      <c r="B1144" s="5" t="str">
        <f ca="1">IFERROR(__xludf.DUMMYFUNCTION("""COMPUTED_VALUE"""),"4013 Galapagos Way")</f>
        <v>4013 Galapagos Way</v>
      </c>
      <c r="C1144" s="5" t="str">
        <f ca="1">IFERROR(__xludf.DUMMYFUNCTION("""COMPUTED_VALUE"""),"Oxnard")</f>
        <v>Oxnard</v>
      </c>
      <c r="D1144" s="5" t="str">
        <f ca="1">IFERROR(__xludf.DUMMYFUNCTION("""COMPUTED_VALUE"""),"CA")</f>
        <v>CA</v>
      </c>
      <c r="E1144" s="5">
        <f ca="1">IFERROR(__xludf.DUMMYFUNCTION("""COMPUTED_VALUE"""),93035)</f>
        <v>93035</v>
      </c>
      <c r="F1144" s="19">
        <f ca="1">IFERROR(__xludf.DUMMYFUNCTION("""COMPUTED_VALUE"""),17000)</f>
        <v>17000</v>
      </c>
      <c r="G1144" s="19">
        <f ca="1">IFERROR(__xludf.DUMMYFUNCTION("""COMPUTED_VALUE"""),26250)</f>
        <v>26250</v>
      </c>
      <c r="H1144" s="18">
        <f ca="1">IFERROR(__xludf.DUMMYFUNCTION("""COMPUTED_VALUE"""),45672)</f>
        <v>45672</v>
      </c>
      <c r="I1144" s="5" t="str">
        <f ca="1">IFERROR(__xludf.DUMMYFUNCTION("""COMPUTED_VALUE"""),"Zillow")</f>
        <v>Zillow</v>
      </c>
      <c r="J1144" s="25" t="str">
        <f ca="1">IFERROR(__xludf.DUMMYFUNCTION("""COMPUTED_VALUE"""),"https://www.zillow.com/homedetails/1517-Estuary-Way-Oxnard-CA-93035/69045884_zpid/")</f>
        <v>https://www.zillow.com/homedetails/1517-Estuary-Way-Oxnard-CA-93035/69045884_zpid/</v>
      </c>
      <c r="K1144" s="5"/>
      <c r="L1144" s="5"/>
      <c r="M1144" s="5"/>
      <c r="N1144" s="26" t="str">
        <f ca="1">IFERROR(__xludf.DUMMYFUNCTION("""COMPUTED_VALUE"""),"https://drive.google.com/open?id=11JiP5B432Awk5U_1mjtJ_ftcKb9n4KOE")</f>
        <v>https://drive.google.com/open?id=11JiP5B432Awk5U_1mjtJ_ftcKb9n4KOE</v>
      </c>
      <c r="O1144" s="5" t="str">
        <f ca="1">IFERROR(__xludf.DUMMYFUNCTION("""COMPUTED_VALUE"""),"NA")</f>
        <v>NA</v>
      </c>
      <c r="P1144" s="5"/>
      <c r="Q1144" s="5"/>
      <c r="R1144" s="5"/>
      <c r="S1144" s="5"/>
      <c r="T1144" s="18">
        <f ca="1">IFERROR(__xludf.DUMMYFUNCTION("""COMPUTED_VALUE"""),43202)</f>
        <v>43202</v>
      </c>
    </row>
    <row r="1145" spans="1:20" ht="12.75">
      <c r="A1145" s="24">
        <f ca="1">IFERROR(__xludf.DUMMYFUNCTION("""COMPUTED_VALUE"""),45672.7576436921)</f>
        <v>45672.757643692101</v>
      </c>
      <c r="B1145" s="5" t="str">
        <f ca="1">IFERROR(__xludf.DUMMYFUNCTION("""COMPUTED_VALUE"""),"11431 Tiara St #2")</f>
        <v>11431 Tiara St #2</v>
      </c>
      <c r="C1145" s="5" t="str">
        <f ca="1">IFERROR(__xludf.DUMMYFUNCTION("""COMPUTED_VALUE"""),"north hollywood")</f>
        <v>north hollywood</v>
      </c>
      <c r="D1145" s="5" t="str">
        <f ca="1">IFERROR(__xludf.DUMMYFUNCTION("""COMPUTED_VALUE"""),"CA")</f>
        <v>CA</v>
      </c>
      <c r="E1145" s="5">
        <f ca="1">IFERROR(__xludf.DUMMYFUNCTION("""COMPUTED_VALUE"""),91601)</f>
        <v>91601</v>
      </c>
      <c r="F1145" s="19">
        <f ca="1">IFERROR(__xludf.DUMMYFUNCTION("""COMPUTED_VALUE"""),1950)</f>
        <v>1950</v>
      </c>
      <c r="G1145" s="19">
        <f ca="1">IFERROR(__xludf.DUMMYFUNCTION("""COMPUTED_VALUE"""),2400)</f>
        <v>2400</v>
      </c>
      <c r="H1145" s="18">
        <f ca="1">IFERROR(__xludf.DUMMYFUNCTION("""COMPUTED_VALUE"""),45667)</f>
        <v>45667</v>
      </c>
      <c r="I1145" s="5" t="str">
        <f ca="1">IFERROR(__xludf.DUMMYFUNCTION("""COMPUTED_VALUE"""),"Zillow")</f>
        <v>Zillow</v>
      </c>
      <c r="J1145" s="25" t="str">
        <f ca="1">IFERROR(__xludf.DUMMYFUNCTION("""COMPUTED_VALUE"""),"https://www.zillow.com/homedetails/11431-Tiara-St-2-North-Hollywood-CA-91601/2075429500_zpid/")</f>
        <v>https://www.zillow.com/homedetails/11431-Tiara-St-2-North-Hollywood-CA-91601/2075429500_zpid/</v>
      </c>
      <c r="K1145" s="5"/>
      <c r="L1145" s="5" t="str">
        <f ca="1">IFERROR(__xludf.DUMMYFUNCTION("""COMPUTED_VALUE"""),"Maria")</f>
        <v>Maria</v>
      </c>
      <c r="M1145" s="5"/>
      <c r="N1145" s="5" t="str">
        <f ca="1">IFERROR(__xludf.DUMMYFUNCTION("""COMPUTED_VALUE"""),"https://drive.google.com/open?id=16v3KvCyX0BTdy19pxwUOJH8TicC53C01, https://drive.google.com/open?id=1m4Ti-okl3MtGUZcC7mLmh0zFHwoWNnhi")</f>
        <v>https://drive.google.com/open?id=16v3KvCyX0BTdy19pxwUOJH8TicC53C01, https://drive.google.com/open?id=1m4Ti-okl3MtGUZcC7mLmh0zFHwoWNnhi</v>
      </c>
      <c r="O1145" s="5" t="str">
        <f ca="1">IFERROR(__xludf.DUMMYFUNCTION("""COMPUTED_VALUE"""),"NA")</f>
        <v>NA</v>
      </c>
      <c r="P1145" s="5"/>
      <c r="Q1145" s="5"/>
      <c r="R1145" s="5" t="str">
        <f ca="1">IFERROR(__xludf.DUMMYFUNCTION("""COMPUTED_VALUE"""),"(818) 448-2245")</f>
        <v>(818) 448-2245</v>
      </c>
      <c r="S1145" s="5"/>
      <c r="T1145" s="18">
        <f ca="1">IFERROR(__xludf.DUMMYFUNCTION("""COMPUTED_VALUE"""),44459)</f>
        <v>44459</v>
      </c>
    </row>
    <row r="1146" spans="1:20" ht="12.75">
      <c r="A1146" s="24">
        <f ca="1">IFERROR(__xludf.DUMMYFUNCTION("""COMPUTED_VALUE"""),45672.7589165162)</f>
        <v>45672.758916516199</v>
      </c>
      <c r="B1146" s="5" t="str">
        <f ca="1">IFERROR(__xludf.DUMMYFUNCTION("""COMPUTED_VALUE"""),"5107 11th Ave ")</f>
        <v xml:space="preserve">5107 11th Ave </v>
      </c>
      <c r="C1146" s="5" t="str">
        <f ca="1">IFERROR(__xludf.DUMMYFUNCTION("""COMPUTED_VALUE"""),"Los Angeles")</f>
        <v>Los Angeles</v>
      </c>
      <c r="D1146" s="5" t="str">
        <f ca="1">IFERROR(__xludf.DUMMYFUNCTION("""COMPUTED_VALUE"""),"CA")</f>
        <v>CA</v>
      </c>
      <c r="E1146" s="5">
        <f ca="1">IFERROR(__xludf.DUMMYFUNCTION("""COMPUTED_VALUE"""),90043)</f>
        <v>90043</v>
      </c>
      <c r="F1146" s="19">
        <f ca="1">IFERROR(__xludf.DUMMYFUNCTION("""COMPUTED_VALUE"""),6800)</f>
        <v>6800</v>
      </c>
      <c r="G1146" s="19">
        <f ca="1">IFERROR(__xludf.DUMMYFUNCTION("""COMPUTED_VALUE"""),8000)</f>
        <v>8000</v>
      </c>
      <c r="H1146" s="18">
        <f ca="1">IFERROR(__xludf.DUMMYFUNCTION("""COMPUTED_VALUE"""),45671)</f>
        <v>45671</v>
      </c>
      <c r="I1146" s="5" t="str">
        <f ca="1">IFERROR(__xludf.DUMMYFUNCTION("""COMPUTED_VALUE"""),"Zillow")</f>
        <v>Zillow</v>
      </c>
      <c r="J1146" s="25" t="str">
        <f ca="1">IFERROR(__xludf.DUMMYFUNCTION("""COMPUTED_VALUE"""),"https://www.zillow.com/homedetails/5107-11th-Ave-Los-Angeles-CA-90043/20567993_zpid/")</f>
        <v>https://www.zillow.com/homedetails/5107-11th-Ave-Los-Angeles-CA-90043/20567993_zpid/</v>
      </c>
      <c r="K1146" s="5" t="str">
        <f ca="1">IFERROR(__xludf.DUMMYFUNCTION("""COMPUTED_VALUE"""),"Kevin Truong")</f>
        <v>Kevin Truong</v>
      </c>
      <c r="L1146" s="5"/>
      <c r="M1146" s="5"/>
      <c r="N1146" s="5" t="str">
        <f ca="1">IFERROR(__xludf.DUMMYFUNCTION("""COMPUTED_VALUE"""),"https://drive.google.com/open?id=1q9rQdy1y9eBSsYiFiH963HVtVDwKi499, https://drive.google.com/open?id=1LqME-9yKqbTN9YpmJb4rSJcXQXPZEcmV")</f>
        <v>https://drive.google.com/open?id=1q9rQdy1y9eBSsYiFiH963HVtVDwKi499, https://drive.google.com/open?id=1LqME-9yKqbTN9YpmJb4rSJcXQXPZEcmV</v>
      </c>
      <c r="O1146" s="5">
        <f ca="1">IFERROR(__xludf.DUMMYFUNCTION("""COMPUTED_VALUE"""),5013019025)</f>
        <v>5013019025</v>
      </c>
      <c r="P1146" s="5" t="str">
        <f ca="1">IFERROR(__xludf.DUMMYFUNCTION("""COMPUTED_VALUE"""),"(626) 282-9228")</f>
        <v>(626) 282-9228</v>
      </c>
      <c r="Q1146" s="5"/>
      <c r="R1146" s="5"/>
      <c r="S1146" s="5"/>
      <c r="T1146" s="18">
        <f ca="1">IFERROR(__xludf.DUMMYFUNCTION("""COMPUTED_VALUE"""),45543)</f>
        <v>45543</v>
      </c>
    </row>
    <row r="1147" spans="1:20" ht="12.75">
      <c r="A1147" s="24">
        <f ca="1">IFERROR(__xludf.DUMMYFUNCTION("""COMPUTED_VALUE"""),45672.7595356018)</f>
        <v>45672.759535601799</v>
      </c>
      <c r="B1147" s="5" t="str">
        <f ca="1">IFERROR(__xludf.DUMMYFUNCTION("""COMPUTED_VALUE"""),"1141 Summit Dr.")</f>
        <v>1141 Summit Dr.</v>
      </c>
      <c r="C1147" s="5" t="str">
        <f ca="1">IFERROR(__xludf.DUMMYFUNCTION("""COMPUTED_VALUE"""),"Beverly Hills")</f>
        <v>Beverly Hills</v>
      </c>
      <c r="D1147" s="5" t="str">
        <f ca="1">IFERROR(__xludf.DUMMYFUNCTION("""COMPUTED_VALUE"""),"CA")</f>
        <v>CA</v>
      </c>
      <c r="E1147" s="5">
        <f ca="1">IFERROR(__xludf.DUMMYFUNCTION("""COMPUTED_VALUE"""),90210)</f>
        <v>90210</v>
      </c>
      <c r="F1147" s="19">
        <f ca="1">IFERROR(__xludf.DUMMYFUNCTION("""COMPUTED_VALUE"""),175000)</f>
        <v>175000</v>
      </c>
      <c r="G1147" s="19">
        <f ca="1">IFERROR(__xludf.DUMMYFUNCTION("""COMPUTED_VALUE"""),195000)</f>
        <v>195000</v>
      </c>
      <c r="H1147" s="18">
        <f ca="1">IFERROR(__xludf.DUMMYFUNCTION("""COMPUTED_VALUE"""),45665)</f>
        <v>45665</v>
      </c>
      <c r="I1147" s="5" t="str">
        <f ca="1">IFERROR(__xludf.DUMMYFUNCTION("""COMPUTED_VALUE"""),"Zillow")</f>
        <v>Zillow</v>
      </c>
      <c r="J1147" s="25" t="str">
        <f ca="1">IFERROR(__xludf.DUMMYFUNCTION("""COMPUTED_VALUE"""),"https://www.zillow.com/homedetails/1141-Summit-Dr-Beverly-Hills-CA-90210/135433958_zpid/")</f>
        <v>https://www.zillow.com/homedetails/1141-Summit-Dr-Beverly-Hills-CA-90210/135433958_zpid/</v>
      </c>
      <c r="K1147" s="5" t="str">
        <f ca="1">IFERROR(__xludf.DUMMYFUNCTION("""COMPUTED_VALUE"""),"Victor Noval Coldwell Banker Realty")</f>
        <v>Victor Noval Coldwell Banker Realty</v>
      </c>
      <c r="L1147" s="5"/>
      <c r="M1147" s="5"/>
      <c r="N1147" s="26" t="str">
        <f ca="1">IFERROR(__xludf.DUMMYFUNCTION("""COMPUTED_VALUE"""),"https://drive.google.com/open?id=1lSAFc3BOTomX_DVn27wrX7H9AnOsrHw1")</f>
        <v>https://drive.google.com/open?id=1lSAFc3BOTomX_DVn27wrX7H9AnOsrHw1</v>
      </c>
      <c r="O1147" s="5">
        <f ca="1">IFERROR(__xludf.DUMMYFUNCTION("""COMPUTED_VALUE"""),4348013030)</f>
        <v>4348013030</v>
      </c>
      <c r="P1147" s="5" t="str">
        <f ca="1">IFERROR(__xludf.DUMMYFUNCTION("""COMPUTED_VALUE"""),"(310) 850-2102")</f>
        <v>(310) 850-2102</v>
      </c>
      <c r="Q1147" s="5"/>
      <c r="R1147" s="5"/>
      <c r="S1147" s="5"/>
      <c r="T1147" s="18">
        <f ca="1">IFERROR(__xludf.DUMMYFUNCTION("""COMPUTED_VALUE"""),45663)</f>
        <v>45663</v>
      </c>
    </row>
    <row r="1148" spans="1:20" ht="12.75">
      <c r="A1148" s="24">
        <f ca="1">IFERROR(__xludf.DUMMYFUNCTION("""COMPUTED_VALUE"""),45672.7611154282)</f>
        <v>45672.761115428199</v>
      </c>
      <c r="B1148" s="5" t="str">
        <f ca="1">IFERROR(__xludf.DUMMYFUNCTION("""COMPUTED_VALUE"""),"5010 Tujunga Ave APT 1")</f>
        <v>5010 Tujunga Ave APT 1</v>
      </c>
      <c r="C1148" s="5" t="str">
        <f ca="1">IFERROR(__xludf.DUMMYFUNCTION("""COMPUTED_VALUE"""),"north hollywood")</f>
        <v>north hollywood</v>
      </c>
      <c r="D1148" s="5" t="str">
        <f ca="1">IFERROR(__xludf.DUMMYFUNCTION("""COMPUTED_VALUE"""),"CA")</f>
        <v>CA</v>
      </c>
      <c r="E1148" s="5">
        <f ca="1">IFERROR(__xludf.DUMMYFUNCTION("""COMPUTED_VALUE"""),91601)</f>
        <v>91601</v>
      </c>
      <c r="F1148" s="19">
        <f ca="1">IFERROR(__xludf.DUMMYFUNCTION("""COMPUTED_VALUE"""),1499)</f>
        <v>1499</v>
      </c>
      <c r="G1148" s="19">
        <f ca="1">IFERROR(__xludf.DUMMYFUNCTION("""COMPUTED_VALUE"""),1699)</f>
        <v>1699</v>
      </c>
      <c r="H1148" s="18">
        <f ca="1">IFERROR(__xludf.DUMMYFUNCTION("""COMPUTED_VALUE"""),45671)</f>
        <v>45671</v>
      </c>
      <c r="I1148" s="5" t="str">
        <f ca="1">IFERROR(__xludf.DUMMYFUNCTION("""COMPUTED_VALUE"""),"Zillow")</f>
        <v>Zillow</v>
      </c>
      <c r="J1148" s="25" t="str">
        <f ca="1">IFERROR(__xludf.DUMMYFUNCTION("""COMPUTED_VALUE"""),"https://www.zillow.com/homedetails/5010-Tujunga-Ave-APT-1-North-Hollywood-CA-91601/439714116_zpid/")</f>
        <v>https://www.zillow.com/homedetails/5010-Tujunga-Ave-APT-1-North-Hollywood-CA-91601/439714116_zpid/</v>
      </c>
      <c r="K1148" s="5"/>
      <c r="L1148" s="5"/>
      <c r="M1148" s="5"/>
      <c r="N1148" s="5" t="str">
        <f ca="1">IFERROR(__xludf.DUMMYFUNCTION("""COMPUTED_VALUE"""),"https://drive.google.com/open?id=1lAh8j6AKqGNt3dkH10WkIZuaNg5-y4vr, https://drive.google.com/open?id=17E3C3Kyr-pMvH7JoByb4yGhR-S65B7xi")</f>
        <v>https://drive.google.com/open?id=1lAh8j6AKqGNt3dkH10WkIZuaNg5-y4vr, https://drive.google.com/open?id=17E3C3Kyr-pMvH7JoByb4yGhR-S65B7xi</v>
      </c>
      <c r="O1148" s="5" t="str">
        <f ca="1">IFERROR(__xludf.DUMMYFUNCTION("""COMPUTED_VALUE"""),"NA")</f>
        <v>NA</v>
      </c>
      <c r="P1148" s="5" t="str">
        <f ca="1">IFERROR(__xludf.DUMMYFUNCTION("""COMPUTED_VALUE"""),"(747) 277-1687")</f>
        <v>(747) 277-1687</v>
      </c>
      <c r="Q1148" s="5"/>
      <c r="R1148" s="5"/>
      <c r="S1148" s="5"/>
      <c r="T1148" s="18">
        <f ca="1">IFERROR(__xludf.DUMMYFUNCTION("""COMPUTED_VALUE"""),45638)</f>
        <v>45638</v>
      </c>
    </row>
    <row r="1149" spans="1:20" ht="12.75">
      <c r="A1149" s="24">
        <f ca="1">IFERROR(__xludf.DUMMYFUNCTION("""COMPUTED_VALUE"""),45672.7611994791)</f>
        <v>45672.7611994791</v>
      </c>
      <c r="B1149" s="5" t="str">
        <f ca="1">IFERROR(__xludf.DUMMYFUNCTION("""COMPUTED_VALUE"""),"1735 Taft Ave")</f>
        <v>1735 Taft Ave</v>
      </c>
      <c r="C1149" s="5" t="str">
        <f ca="1">IFERROR(__xludf.DUMMYFUNCTION("""COMPUTED_VALUE"""),"Los Angeles")</f>
        <v>Los Angeles</v>
      </c>
      <c r="D1149" s="5" t="str">
        <f ca="1">IFERROR(__xludf.DUMMYFUNCTION("""COMPUTED_VALUE"""),"CA")</f>
        <v>CA</v>
      </c>
      <c r="E1149" s="5">
        <f ca="1">IFERROR(__xludf.DUMMYFUNCTION("""COMPUTED_VALUE"""),90028)</f>
        <v>90028</v>
      </c>
      <c r="F1149" s="19">
        <f ca="1">IFERROR(__xludf.DUMMYFUNCTION("""COMPUTED_VALUE"""),6500)</f>
        <v>6500</v>
      </c>
      <c r="G1149" s="19">
        <f ca="1">IFERROR(__xludf.DUMMYFUNCTION("""COMPUTED_VALUE"""),9500)</f>
        <v>9500</v>
      </c>
      <c r="H1149" s="18">
        <f ca="1">IFERROR(__xludf.DUMMYFUNCTION("""COMPUTED_VALUE"""),45672)</f>
        <v>45672</v>
      </c>
      <c r="I1149" s="5" t="str">
        <f ca="1">IFERROR(__xludf.DUMMYFUNCTION("""COMPUTED_VALUE"""),"Zillow")</f>
        <v>Zillow</v>
      </c>
      <c r="J1149" s="25" t="str">
        <f ca="1">IFERROR(__xludf.DUMMYFUNCTION("""COMPUTED_VALUE"""),"https://www.zillow.com/homedetails/1735-Taft-Ave-Los-Angeles-CA-90028/20807936_zpid/")</f>
        <v>https://www.zillow.com/homedetails/1735-Taft-Ave-Los-Angeles-CA-90028/20807936_zpid/</v>
      </c>
      <c r="K1149" s="5" t="str">
        <f ca="1">IFERROR(__xludf.DUMMYFUNCTION("""COMPUTED_VALUE"""),"Maria Hillin")</f>
        <v>Maria Hillin</v>
      </c>
      <c r="L1149" s="5"/>
      <c r="M1149" s="5" t="str">
        <f ca="1">IFERROR(__xludf.DUMMYFUNCTION("""COMPUTED_VALUE"""),"Last listing in 2023 before 46% increase")</f>
        <v>Last listing in 2023 before 46% increase</v>
      </c>
      <c r="N1149" s="26" t="str">
        <f ca="1">IFERROR(__xludf.DUMMYFUNCTION("""COMPUTED_VALUE"""),"https://drive.google.com/open?id=10QSOD_4oSwFrkZxoonF7kjiVRaPiaph0")</f>
        <v>https://drive.google.com/open?id=10QSOD_4oSwFrkZxoonF7kjiVRaPiaph0</v>
      </c>
      <c r="O1149" s="5">
        <f ca="1">IFERROR(__xludf.DUMMYFUNCTION("""COMPUTED_VALUE"""),5586032006)</f>
        <v>5586032006</v>
      </c>
      <c r="P1149" s="5" t="str">
        <f ca="1">IFERROR(__xludf.DUMMYFUNCTION("""COMPUTED_VALUE"""),"310-420-5442")</f>
        <v>310-420-5442</v>
      </c>
      <c r="Q1149" s="5"/>
      <c r="R1149" s="5"/>
      <c r="S1149" s="5"/>
      <c r="T1149" s="18">
        <f ca="1">IFERROR(__xludf.DUMMYFUNCTION("""COMPUTED_VALUE"""),45200)</f>
        <v>45200</v>
      </c>
    </row>
    <row r="1150" spans="1:20" ht="12.75">
      <c r="A1150" s="24">
        <f ca="1">IFERROR(__xludf.DUMMYFUNCTION("""COMPUTED_VALUE"""),45672.7626925115)</f>
        <v>45672.762692511496</v>
      </c>
      <c r="B1150" s="5" t="str">
        <f ca="1">IFERROR(__xludf.DUMMYFUNCTION("""COMPUTED_VALUE"""),"1104 Exposition Blvd UNIT 2")</f>
        <v>1104 Exposition Blvd UNIT 2</v>
      </c>
      <c r="C1150" s="5" t="str">
        <f ca="1">IFERROR(__xludf.DUMMYFUNCTION("""COMPUTED_VALUE"""),"LA")</f>
        <v>LA</v>
      </c>
      <c r="D1150" s="5" t="str">
        <f ca="1">IFERROR(__xludf.DUMMYFUNCTION("""COMPUTED_VALUE"""),"CA")</f>
        <v>CA</v>
      </c>
      <c r="E1150" s="5">
        <f ca="1">IFERROR(__xludf.DUMMYFUNCTION("""COMPUTED_VALUE"""),90007)</f>
        <v>90007</v>
      </c>
      <c r="F1150" s="19">
        <f ca="1">IFERROR(__xludf.DUMMYFUNCTION("""COMPUTED_VALUE"""),1164)</f>
        <v>1164</v>
      </c>
      <c r="G1150" s="19">
        <f ca="1">IFERROR(__xludf.DUMMYFUNCTION("""COMPUTED_VALUE"""),7400)</f>
        <v>7400</v>
      </c>
      <c r="H1150" s="18">
        <f ca="1">IFERROR(__xludf.DUMMYFUNCTION("""COMPUTED_VALUE"""),45670)</f>
        <v>45670</v>
      </c>
      <c r="I1150" s="5" t="str">
        <f ca="1">IFERROR(__xludf.DUMMYFUNCTION("""COMPUTED_VALUE"""),"Zillow")</f>
        <v>Zillow</v>
      </c>
      <c r="J1150" s="25" t="str">
        <f ca="1">IFERROR(__xludf.DUMMYFUNCTION("""COMPUTED_VALUE"""),"https://www.zillow.com/homedetails/1104-Exposition-Blvd-UNIT-2-Los-Angeles-CA-90007/2064322675_zpid/")</f>
        <v>https://www.zillow.com/homedetails/1104-Exposition-Blvd-UNIT-2-Los-Angeles-CA-90007/2064322675_zpid/</v>
      </c>
      <c r="K1150" s="5" t="str">
        <f ca="1">IFERROR(__xludf.DUMMYFUNCTION("""COMPUTED_VALUE"""),"codyXin")</f>
        <v>codyXin</v>
      </c>
      <c r="L1150" s="5"/>
      <c r="M1150" s="5"/>
      <c r="N1150" s="26" t="str">
        <f ca="1">IFERROR(__xludf.DUMMYFUNCTION("""COMPUTED_VALUE"""),"https://drive.google.com/open?id=1TdtGnaXUSnCeWM_TA8CSMrBENy-Aa_nw")</f>
        <v>https://drive.google.com/open?id=1TdtGnaXUSnCeWM_TA8CSMrBENy-Aa_nw</v>
      </c>
      <c r="O1150" s="5" t="str">
        <f ca="1">IFERROR(__xludf.DUMMYFUNCTION("""COMPUTED_VALUE"""),"NA")</f>
        <v>NA</v>
      </c>
      <c r="P1150" s="5"/>
      <c r="Q1150" s="5"/>
      <c r="R1150" s="5"/>
      <c r="S1150" s="5"/>
      <c r="T1150" s="18">
        <f ca="1">IFERROR(__xludf.DUMMYFUNCTION("""COMPUTED_VALUE"""),45660)</f>
        <v>45660</v>
      </c>
    </row>
    <row r="1151" spans="1:20" ht="12.75">
      <c r="A1151" s="24">
        <f ca="1">IFERROR(__xludf.DUMMYFUNCTION("""COMPUTED_VALUE"""),45672.7660823842)</f>
        <v>45672.766082384202</v>
      </c>
      <c r="B1151" s="5" t="str">
        <f ca="1">IFERROR(__xludf.DUMMYFUNCTION("""COMPUTED_VALUE"""),"106 N Citrus Ave")</f>
        <v>106 N Citrus Ave</v>
      </c>
      <c r="C1151" s="5" t="str">
        <f ca="1">IFERROR(__xludf.DUMMYFUNCTION("""COMPUTED_VALUE"""),"Los Angeles")</f>
        <v>Los Angeles</v>
      </c>
      <c r="D1151" s="5" t="str">
        <f ca="1">IFERROR(__xludf.DUMMYFUNCTION("""COMPUTED_VALUE"""),"CA")</f>
        <v>CA</v>
      </c>
      <c r="E1151" s="5">
        <f ca="1">IFERROR(__xludf.DUMMYFUNCTION("""COMPUTED_VALUE"""),90036)</f>
        <v>90036</v>
      </c>
      <c r="F1151" s="19">
        <f ca="1">IFERROR(__xludf.DUMMYFUNCTION("""COMPUTED_VALUE"""),6500)</f>
        <v>6500</v>
      </c>
      <c r="G1151" s="19">
        <f ca="1">IFERROR(__xludf.DUMMYFUNCTION("""COMPUTED_VALUE"""),18000)</f>
        <v>18000</v>
      </c>
      <c r="H1151" s="18">
        <f ca="1">IFERROR(__xludf.DUMMYFUNCTION("""COMPUTED_VALUE"""),45673)</f>
        <v>45673</v>
      </c>
      <c r="I1151" s="5" t="str">
        <f ca="1">IFERROR(__xludf.DUMMYFUNCTION("""COMPUTED_VALUE"""),"Zillow")</f>
        <v>Zillow</v>
      </c>
      <c r="J1151" s="25" t="str">
        <f ca="1">IFERROR(__xludf.DUMMYFUNCTION("""COMPUTED_VALUE"""),"https://www.zillow.com/homedetails/106-N-Citrus-Ave-Los-Angeles-CA-90036/20778143_zpid/")</f>
        <v>https://www.zillow.com/homedetails/106-N-Citrus-Ave-Los-Angeles-CA-90036/20778143_zpid/</v>
      </c>
      <c r="K1151" s="5" t="str">
        <f ca="1">IFERROR(__xludf.DUMMYFUNCTION("""COMPUTED_VALUE"""),"Andrew E Woodward")</f>
        <v>Andrew E Woodward</v>
      </c>
      <c r="L1151" s="5" t="str">
        <f ca="1">IFERROR(__xludf.DUMMYFUNCTION("""COMPUTED_VALUE"""),"Leo Walker Matchett   ")</f>
        <v xml:space="preserve">Leo Walker Matchett   </v>
      </c>
      <c r="M1151" s="5" t="str">
        <f ca="1">IFERROR(__xludf.DUMMYFUNCTION("""COMPUTED_VALUE"""),"Owner's address is 1951 N Beachwood Dr Apt 304, Los Angeles CA 90068-4077")</f>
        <v>Owner's address is 1951 N Beachwood Dr Apt 304, Los Angeles CA 90068-4077</v>
      </c>
      <c r="N1151" s="26" t="str">
        <f ca="1">IFERROR(__xludf.DUMMYFUNCTION("""COMPUTED_VALUE"""),"https://drive.google.com/open?id=1u1nWxHQispHxe5TGSV5CJ2EpCRabqF45")</f>
        <v>https://drive.google.com/open?id=1u1nWxHQispHxe5TGSV5CJ2EpCRabqF45</v>
      </c>
      <c r="O1151" s="5">
        <f ca="1">IFERROR(__xludf.DUMMYFUNCTION("""COMPUTED_VALUE"""),5513007016)</f>
        <v>5513007016</v>
      </c>
      <c r="P1151" s="5" t="str">
        <f ca="1">IFERROR(__xludf.DUMMYFUNCTION("""COMPUTED_VALUE"""),"(323) 697-5808")</f>
        <v>(323) 697-5808</v>
      </c>
      <c r="Q1151" s="5"/>
      <c r="R1151" s="5"/>
      <c r="S1151" s="5"/>
      <c r="T1151" s="18">
        <f ca="1">IFERROR(__xludf.DUMMYFUNCTION("""COMPUTED_VALUE"""),44036)</f>
        <v>44036</v>
      </c>
    </row>
    <row r="1152" spans="1:20" ht="12.75">
      <c r="A1152" s="24">
        <f ca="1">IFERROR(__xludf.DUMMYFUNCTION("""COMPUTED_VALUE"""),45672.7693038194)</f>
        <v>45672.769303819397</v>
      </c>
      <c r="B1152" s="5" t="str">
        <f ca="1">IFERROR(__xludf.DUMMYFUNCTION("""COMPUTED_VALUE"""),"1355 N Gardner St Apt 3")</f>
        <v>1355 N Gardner St Apt 3</v>
      </c>
      <c r="C1152" s="5" t="str">
        <f ca="1">IFERROR(__xludf.DUMMYFUNCTION("""COMPUTED_VALUE"""),"Los Angeles")</f>
        <v>Los Angeles</v>
      </c>
      <c r="D1152" s="5" t="str">
        <f ca="1">IFERROR(__xludf.DUMMYFUNCTION("""COMPUTED_VALUE"""),"CA")</f>
        <v>CA</v>
      </c>
      <c r="E1152" s="5">
        <f ca="1">IFERROR(__xludf.DUMMYFUNCTION("""COMPUTED_VALUE"""),90046)</f>
        <v>90046</v>
      </c>
      <c r="F1152" s="19">
        <f ca="1">IFERROR(__xludf.DUMMYFUNCTION("""COMPUTED_VALUE"""),2200)</f>
        <v>2200</v>
      </c>
      <c r="G1152" s="19">
        <f ca="1">IFERROR(__xludf.DUMMYFUNCTION("""COMPUTED_VALUE"""),2495)</f>
        <v>2495</v>
      </c>
      <c r="H1152" s="18">
        <f ca="1">IFERROR(__xludf.DUMMYFUNCTION("""COMPUTED_VALUE"""),45644)</f>
        <v>45644</v>
      </c>
      <c r="I1152" s="5" t="str">
        <f ca="1">IFERROR(__xludf.DUMMYFUNCTION("""COMPUTED_VALUE"""),"Zillow")</f>
        <v>Zillow</v>
      </c>
      <c r="J1152" s="25" t="str">
        <f ca="1">IFERROR(__xludf.DUMMYFUNCTION("""COMPUTED_VALUE"""),"https://www.zillow.com/homedetails/1355-N-Gardner-St-APT-203-Los-Angeles-CA-90046/2110245015_zpid/")</f>
        <v>https://www.zillow.com/homedetails/1355-N-Gardner-St-APT-203-Los-Angeles-CA-90046/2110245015_zpid/</v>
      </c>
      <c r="K1152" s="5" t="str">
        <f ca="1">IFERROR(__xludf.DUMMYFUNCTION("""COMPUTED_VALUE"""),"Gardner St Investors LLC")</f>
        <v>Gardner St Investors LLC</v>
      </c>
      <c r="L1152" s="5"/>
      <c r="M1152" s="5" t="str">
        <f ca="1">IFERROR(__xludf.DUMMYFUNCTION("""COMPUTED_VALUE"""),"Hotpads.com has the same listing and their site shows the info was updated 15 days ago")</f>
        <v>Hotpads.com has the same listing and their site shows the info was updated 15 days ago</v>
      </c>
      <c r="N1152" s="5" t="str">
        <f ca="1">IFERROR(__xludf.DUMMYFUNCTION("""COMPUTED_VALUE"""),"https://drive.google.com/open?id=1WQWqmvDUvaOUIoeUSd6kyEbE5RlJcJXV, https://drive.google.com/open?id=1nNj6AlpXS8P3R1izUHvEeq4xfzziaWbz")</f>
        <v>https://drive.google.com/open?id=1WQWqmvDUvaOUIoeUSd6kyEbE5RlJcJXV, https://drive.google.com/open?id=1nNj6AlpXS8P3R1izUHvEeq4xfzziaWbz</v>
      </c>
      <c r="O1152" s="5" t="str">
        <f ca="1">IFERROR(__xludf.DUMMYFUNCTION("""COMPUTED_VALUE"""),"NA")</f>
        <v>NA</v>
      </c>
      <c r="P1152" s="5" t="str">
        <f ca="1">IFERROR(__xludf.DUMMYFUNCTION("""COMPUTED_VALUE"""),"(805) 367-6374")</f>
        <v>(805) 367-6374</v>
      </c>
      <c r="Q1152" s="5"/>
      <c r="R1152" s="5"/>
      <c r="S1152" s="5"/>
      <c r="T1152" s="18">
        <f ca="1">IFERROR(__xludf.DUMMYFUNCTION("""COMPUTED_VALUE"""),43980)</f>
        <v>43980</v>
      </c>
    </row>
    <row r="1153" spans="1:20" ht="12.75">
      <c r="A1153" s="24">
        <f ca="1">IFERROR(__xludf.DUMMYFUNCTION("""COMPUTED_VALUE"""),45672.7724576967)</f>
        <v>45672.772457696701</v>
      </c>
      <c r="B1153" s="5" t="str">
        <f ca="1">IFERROR(__xludf.DUMMYFUNCTION("""COMPUTED_VALUE"""),"1012 Keniston Ave")</f>
        <v>1012 Keniston Ave</v>
      </c>
      <c r="C1153" s="5" t="str">
        <f ca="1">IFERROR(__xludf.DUMMYFUNCTION("""COMPUTED_VALUE"""),"Los Angeles")</f>
        <v>Los Angeles</v>
      </c>
      <c r="D1153" s="5" t="str">
        <f ca="1">IFERROR(__xludf.DUMMYFUNCTION("""COMPUTED_VALUE"""),"CA")</f>
        <v>CA</v>
      </c>
      <c r="E1153" s="5">
        <f ca="1">IFERROR(__xludf.DUMMYFUNCTION("""COMPUTED_VALUE"""),90019)</f>
        <v>90019</v>
      </c>
      <c r="F1153" s="19">
        <f ca="1">IFERROR(__xludf.DUMMYFUNCTION("""COMPUTED_VALUE"""),9500)</f>
        <v>9500</v>
      </c>
      <c r="G1153" s="19">
        <f ca="1">IFERROR(__xludf.DUMMYFUNCTION("""COMPUTED_VALUE"""),15000)</f>
        <v>15000</v>
      </c>
      <c r="H1153" s="18">
        <f ca="1">IFERROR(__xludf.DUMMYFUNCTION("""COMPUTED_VALUE"""),45673)</f>
        <v>45673</v>
      </c>
      <c r="I1153" s="5" t="str">
        <f ca="1">IFERROR(__xludf.DUMMYFUNCTION("""COMPUTED_VALUE"""),"Zillow")</f>
        <v>Zillow</v>
      </c>
      <c r="J1153" s="25" t="str">
        <f ca="1">IFERROR(__xludf.DUMMYFUNCTION("""COMPUTED_VALUE"""),"https://www.zillow.com/homedetails/1012-Keniston-Ave-Los-Angeles-CA-90019/20606367_zpid/")</f>
        <v>https://www.zillow.com/homedetails/1012-Keniston-Ave-Los-Angeles-CA-90019/20606367_zpid/</v>
      </c>
      <c r="K1153" s="5" t="str">
        <f ca="1">IFERROR(__xludf.DUMMYFUNCTION("""COMPUTED_VALUE"""),"Lena Jemelian")</f>
        <v>Lena Jemelian</v>
      </c>
      <c r="L1153" s="5"/>
      <c r="M1153" s="5"/>
      <c r="N1153" s="26" t="str">
        <f ca="1">IFERROR(__xludf.DUMMYFUNCTION("""COMPUTED_VALUE"""),"https://drive.google.com/open?id=1ph2e8J0TJLbcwtf-0lQRgD8CWw89xqCc")</f>
        <v>https://drive.google.com/open?id=1ph2e8J0TJLbcwtf-0lQRgD8CWw89xqCc</v>
      </c>
      <c r="O1153" s="5">
        <f ca="1">IFERROR(__xludf.DUMMYFUNCTION("""COMPUTED_VALUE"""),5083003015)</f>
        <v>5083003015</v>
      </c>
      <c r="P1153" s="5" t="str">
        <f ca="1">IFERROR(__xludf.DUMMYFUNCTION("""COMPUTED_VALUE"""),"(310) 951-7308")</f>
        <v>(310) 951-7308</v>
      </c>
      <c r="Q1153" s="5"/>
      <c r="R1153" s="5"/>
      <c r="S1153" s="5"/>
      <c r="T1153" s="18">
        <f ca="1">IFERROR(__xludf.DUMMYFUNCTION("""COMPUTED_VALUE"""),45113)</f>
        <v>45113</v>
      </c>
    </row>
    <row r="1154" spans="1:20" ht="12.75">
      <c r="A1154" s="24">
        <f ca="1">IFERROR(__xludf.DUMMYFUNCTION("""COMPUTED_VALUE"""),45672.7754260879)</f>
        <v>45672.775426087901</v>
      </c>
      <c r="B1154" s="5" t="str">
        <f ca="1">IFERROR(__xludf.DUMMYFUNCTION("""COMPUTED_VALUE"""),"822 S Plymouth Blvd #2")</f>
        <v>822 S Plymouth Blvd #2</v>
      </c>
      <c r="C1154" s="5" t="str">
        <f ca="1">IFERROR(__xludf.DUMMYFUNCTION("""COMPUTED_VALUE"""),"Los Angeles")</f>
        <v>Los Angeles</v>
      </c>
      <c r="D1154" s="5" t="str">
        <f ca="1">IFERROR(__xludf.DUMMYFUNCTION("""COMPUTED_VALUE"""),"CA")</f>
        <v>CA</v>
      </c>
      <c r="E1154" s="5">
        <f ca="1">IFERROR(__xludf.DUMMYFUNCTION("""COMPUTED_VALUE"""),90005)</f>
        <v>90005</v>
      </c>
      <c r="F1154" s="19">
        <f ca="1">IFERROR(__xludf.DUMMYFUNCTION("""COMPUTED_VALUE"""),5900)</f>
        <v>5900</v>
      </c>
      <c r="G1154" s="19">
        <f ca="1">IFERROR(__xludf.DUMMYFUNCTION("""COMPUTED_VALUE"""),6500)</f>
        <v>6500</v>
      </c>
      <c r="H1154" s="18">
        <f ca="1">IFERROR(__xludf.DUMMYFUNCTION("""COMPUTED_VALUE"""),45671)</f>
        <v>45671</v>
      </c>
      <c r="I1154" s="5" t="str">
        <f ca="1">IFERROR(__xludf.DUMMYFUNCTION("""COMPUTED_VALUE"""),"Zillow")</f>
        <v>Zillow</v>
      </c>
      <c r="J1154" s="25" t="str">
        <f ca="1">IFERROR(__xludf.DUMMYFUNCTION("""COMPUTED_VALUE"""),"https://www.zillow.com/homedetails/822-S-Plymouth-Blvd-2-Los-Angeles-CA-90005/339398724_zpid/")</f>
        <v>https://www.zillow.com/homedetails/822-S-Plymouth-Blvd-2-Los-Angeles-CA-90005/339398724_zpid/</v>
      </c>
      <c r="K1154" s="5" t="str">
        <f ca="1">IFERROR(__xludf.DUMMYFUNCTION("""COMPUTED_VALUE"""),"Jasmine Choi")</f>
        <v>Jasmine Choi</v>
      </c>
      <c r="L1154" s="5"/>
      <c r="M1154" s="5"/>
      <c r="N1154" s="5" t="str">
        <f ca="1">IFERROR(__xludf.DUMMYFUNCTION("""COMPUTED_VALUE"""),"https://drive.google.com/open?id=1MR9G9o1PrfoQU7MxREdXoHqyHMB2nIDV, https://drive.google.com/open?id=1C9B6Yw1gttieHykZVfHNq6fzIQApYkWP")</f>
        <v>https://drive.google.com/open?id=1MR9G9o1PrfoQU7MxREdXoHqyHMB2nIDV, https://drive.google.com/open?id=1C9B6Yw1gttieHykZVfHNq6fzIQApYkWP</v>
      </c>
      <c r="O1154" s="5">
        <f ca="1">IFERROR(__xludf.DUMMYFUNCTION("""COMPUTED_VALUE"""),5090028052)</f>
        <v>5090028052</v>
      </c>
      <c r="P1154" s="5" t="str">
        <f ca="1">IFERROR(__xludf.DUMMYFUNCTION("""COMPUTED_VALUE""")," (213) 220-6565")</f>
        <v xml:space="preserve"> (213) 220-6565</v>
      </c>
      <c r="Q1154" s="5"/>
      <c r="R1154" s="5"/>
      <c r="S1154" s="5"/>
      <c r="T1154" s="18">
        <f ca="1">IFERROR(__xludf.DUMMYFUNCTION("""COMPUTED_VALUE"""),45321)</f>
        <v>45321</v>
      </c>
    </row>
    <row r="1155" spans="1:20" ht="12.75">
      <c r="A1155" s="24">
        <f ca="1">IFERROR(__xludf.DUMMYFUNCTION("""COMPUTED_VALUE"""),45672.7761564467)</f>
        <v>45672.7761564467</v>
      </c>
      <c r="B1155" s="5" t="str">
        <f ca="1">IFERROR(__xludf.DUMMYFUNCTION("""COMPUTED_VALUE"""),"2928 Las Alturas St")</f>
        <v>2928 Las Alturas St</v>
      </c>
      <c r="C1155" s="5" t="str">
        <f ca="1">IFERROR(__xludf.DUMMYFUNCTION("""COMPUTED_VALUE"""),"Los Angeles")</f>
        <v>Los Angeles</v>
      </c>
      <c r="D1155" s="5" t="str">
        <f ca="1">IFERROR(__xludf.DUMMYFUNCTION("""COMPUTED_VALUE"""),"CA")</f>
        <v>CA</v>
      </c>
      <c r="E1155" s="5">
        <f ca="1">IFERROR(__xludf.DUMMYFUNCTION("""COMPUTED_VALUE"""),90068)</f>
        <v>90068</v>
      </c>
      <c r="F1155" s="19">
        <f ca="1">IFERROR(__xludf.DUMMYFUNCTION("""COMPUTED_VALUE"""),12000)</f>
        <v>12000</v>
      </c>
      <c r="G1155" s="19">
        <f ca="1">IFERROR(__xludf.DUMMYFUNCTION("""COMPUTED_VALUE"""),24500)</f>
        <v>24500</v>
      </c>
      <c r="H1155" s="18">
        <f ca="1">IFERROR(__xludf.DUMMYFUNCTION("""COMPUTED_VALUE"""),45671)</f>
        <v>45671</v>
      </c>
      <c r="I1155" s="5" t="str">
        <f ca="1">IFERROR(__xludf.DUMMYFUNCTION("""COMPUTED_VALUE"""),"Zillow")</f>
        <v>Zillow</v>
      </c>
      <c r="J1155" s="25" t="str">
        <f ca="1">IFERROR(__xludf.DUMMYFUNCTION("""COMPUTED_VALUE"""),"https://www.zillow.com/homedetails/2928-Las-Alturas-St-Los-Angeles-CA-90068/20045443_zpid/")</f>
        <v>https://www.zillow.com/homedetails/2928-Las-Alturas-St-Los-Angeles-CA-90068/20045443_zpid/</v>
      </c>
      <c r="K1155" s="5" t="str">
        <f ca="1">IFERROR(__xludf.DUMMYFUNCTION("""COMPUTED_VALUE"""),"Lee D")</f>
        <v>Lee D</v>
      </c>
      <c r="L1155" s="5"/>
      <c r="M1155" s="5"/>
      <c r="N1155" s="5" t="str">
        <f ca="1">IFERROR(__xludf.DUMMYFUNCTION("""COMPUTED_VALUE"""),"https://drive.google.com/open?id=18iEZmyVHBps4Hb9IxgKznkkMDDHaZWg-, https://drive.google.com/open?id=1visA3jRjPrgbha-t1Xbq2uGHg0Cgbns2, https://drive.google.com/open?id=1d1Fw-lpxWu0HxStkpkgZKJVx2HTvGrI9")</f>
        <v>https://drive.google.com/open?id=18iEZmyVHBps4Hb9IxgKznkkMDDHaZWg-, https://drive.google.com/open?id=1visA3jRjPrgbha-t1Xbq2uGHg0Cgbns2, https://drive.google.com/open?id=1d1Fw-lpxWu0HxStkpkgZKJVx2HTvGrI9</v>
      </c>
      <c r="O1155" s="5">
        <f ca="1">IFERROR(__xludf.DUMMYFUNCTION("""COMPUTED_VALUE"""),2428013003)</f>
        <v>2428013003</v>
      </c>
      <c r="P1155" s="5" t="str">
        <f ca="1">IFERROR(__xludf.DUMMYFUNCTION("""COMPUTED_VALUE"""),"(917) 727-3623")</f>
        <v>(917) 727-3623</v>
      </c>
      <c r="Q1155" s="5"/>
      <c r="R1155" s="5"/>
      <c r="S1155" s="5"/>
      <c r="T1155" s="18">
        <f ca="1">IFERROR(__xludf.DUMMYFUNCTION("""COMPUTED_VALUE"""),44329)</f>
        <v>44329</v>
      </c>
    </row>
    <row r="1156" spans="1:20" ht="12.75">
      <c r="A1156" s="24">
        <f ca="1">IFERROR(__xludf.DUMMYFUNCTION("""COMPUTED_VALUE"""),45672.7762004745)</f>
        <v>45672.776200474502</v>
      </c>
      <c r="B1156" s="5" t="str">
        <f ca="1">IFERROR(__xludf.DUMMYFUNCTION("""COMPUTED_VALUE"""),"6858 Fountain Ave")</f>
        <v>6858 Fountain Ave</v>
      </c>
      <c r="C1156" s="5" t="str">
        <f ca="1">IFERROR(__xludf.DUMMYFUNCTION("""COMPUTED_VALUE"""),"Los Angeles")</f>
        <v>Los Angeles</v>
      </c>
      <c r="D1156" s="5" t="str">
        <f ca="1">IFERROR(__xludf.DUMMYFUNCTION("""COMPUTED_VALUE"""),"CA")</f>
        <v>CA</v>
      </c>
      <c r="E1156" s="5">
        <f ca="1">IFERROR(__xludf.DUMMYFUNCTION("""COMPUTED_VALUE"""),90038)</f>
        <v>90038</v>
      </c>
      <c r="F1156" s="19">
        <f ca="1">IFERROR(__xludf.DUMMYFUNCTION("""COMPUTED_VALUE"""),3250)</f>
        <v>3250</v>
      </c>
      <c r="G1156" s="19">
        <f ca="1">IFERROR(__xludf.DUMMYFUNCTION("""COMPUTED_VALUE"""),3850)</f>
        <v>3850</v>
      </c>
      <c r="H1156" s="18">
        <f ca="1">IFERROR(__xludf.DUMMYFUNCTION("""COMPUTED_VALUE"""),45672)</f>
        <v>45672</v>
      </c>
      <c r="I1156" s="5" t="str">
        <f ca="1">IFERROR(__xludf.DUMMYFUNCTION("""COMPUTED_VALUE"""),"Zillow")</f>
        <v>Zillow</v>
      </c>
      <c r="J1156" s="25" t="str">
        <f ca="1">IFERROR(__xludf.DUMMYFUNCTION("""COMPUTED_VALUE"""),"https://www.zillow.com/homedetails/6858-Fountain-Ave-Los-Angeles-CA-90038/444002102_zpid/")</f>
        <v>https://www.zillow.com/homedetails/6858-Fountain-Ave-Los-Angeles-CA-90038/444002102_zpid/</v>
      </c>
      <c r="K1156" s="5" t="str">
        <f ca="1">IFERROR(__xludf.DUMMYFUNCTION("""COMPUTED_VALUE"""),"Nancy")</f>
        <v>Nancy</v>
      </c>
      <c r="L1156" s="5"/>
      <c r="M1156" s="5"/>
      <c r="N1156" s="26" t="str">
        <f ca="1">IFERROR(__xludf.DUMMYFUNCTION("""COMPUTED_VALUE"""),"https://drive.google.com/open?id=1FJfy-qQEhk8z7_Rl5uCtitYalY0DDkr6")</f>
        <v>https://drive.google.com/open?id=1FJfy-qQEhk8z7_Rl5uCtitYalY0DDkr6</v>
      </c>
      <c r="O1156" s="5" t="str">
        <f ca="1">IFERROR(__xludf.DUMMYFUNCTION("""COMPUTED_VALUE"""),"NA")</f>
        <v>NA</v>
      </c>
      <c r="P1156" s="5" t="str">
        <f ca="1">IFERROR(__xludf.DUMMYFUNCTION("""COMPUTED_VALUE"""),"310-591-4232")</f>
        <v>310-591-4232</v>
      </c>
      <c r="Q1156" s="5"/>
      <c r="R1156" s="5"/>
      <c r="S1156" s="5"/>
      <c r="T1156" s="18">
        <f ca="1">IFERROR(__xludf.DUMMYFUNCTION("""COMPUTED_VALUE"""),45647)</f>
        <v>45647</v>
      </c>
    </row>
    <row r="1157" spans="1:20" ht="12.75">
      <c r="A1157" s="24">
        <f ca="1">IFERROR(__xludf.DUMMYFUNCTION("""COMPUTED_VALUE"""),45672.7763240162)</f>
        <v>45672.776324016202</v>
      </c>
      <c r="B1157" s="5" t="str">
        <f ca="1">IFERROR(__xludf.DUMMYFUNCTION("""COMPUTED_VALUE"""),"8634 Hillside Ave")</f>
        <v>8634 Hillside Ave</v>
      </c>
      <c r="C1157" s="5" t="str">
        <f ca="1">IFERROR(__xludf.DUMMYFUNCTION("""COMPUTED_VALUE"""),"Los Angeles")</f>
        <v>Los Angeles</v>
      </c>
      <c r="D1157" s="5" t="str">
        <f ca="1">IFERROR(__xludf.DUMMYFUNCTION("""COMPUTED_VALUE"""),"CA")</f>
        <v>CA</v>
      </c>
      <c r="E1157" s="5">
        <f ca="1">IFERROR(__xludf.DUMMYFUNCTION("""COMPUTED_VALUE"""),90069)</f>
        <v>90069</v>
      </c>
      <c r="F1157" s="19">
        <f ca="1">IFERROR(__xludf.DUMMYFUNCTION("""COMPUTED_VALUE"""),26950)</f>
        <v>26950</v>
      </c>
      <c r="G1157" s="19">
        <f ca="1">IFERROR(__xludf.DUMMYFUNCTION("""COMPUTED_VALUE"""),29645)</f>
        <v>29645</v>
      </c>
      <c r="H1157" s="18">
        <f ca="1">IFERROR(__xludf.DUMMYFUNCTION("""COMPUTED_VALUE"""),45671)</f>
        <v>45671</v>
      </c>
      <c r="I1157" s="5" t="str">
        <f ca="1">IFERROR(__xludf.DUMMYFUNCTION("""COMPUTED_VALUE"""),"Zillow")</f>
        <v>Zillow</v>
      </c>
      <c r="J1157" s="25" t="str">
        <f ca="1">IFERROR(__xludf.DUMMYFUNCTION("""COMPUTED_VALUE"""),"https://www.zillow.com/homedetails/8634-Hillside-Ave-Los-Angeles-CA-90069/20798460_zpid/")</f>
        <v>https://www.zillow.com/homedetails/8634-Hillside-Ave-Los-Angeles-CA-90069/20798460_zpid/</v>
      </c>
      <c r="K1157" s="5" t="str">
        <f ca="1">IFERROR(__xludf.DUMMYFUNCTION("""COMPUTED_VALUE"""),"Stay Awhile Vilas")</f>
        <v>Stay Awhile Vilas</v>
      </c>
      <c r="L1157" s="5"/>
      <c r="M1157" s="5"/>
      <c r="N1157" s="26" t="str">
        <f ca="1">IFERROR(__xludf.DUMMYFUNCTION("""COMPUTED_VALUE"""),"https://drive.google.com/open?id=1PsxeceZQUmsLIkb15u03CnB9MX-M5h4H")</f>
        <v>https://drive.google.com/open?id=1PsxeceZQUmsLIkb15u03CnB9MX-M5h4H</v>
      </c>
      <c r="O1157" s="5">
        <f ca="1">IFERROR(__xludf.DUMMYFUNCTION("""COMPUTED_VALUE"""),5558029015)</f>
        <v>5558029015</v>
      </c>
      <c r="P1157" s="5" t="str">
        <f ca="1">IFERROR(__xludf.DUMMYFUNCTION("""COMPUTED_VALUE"""),"(310) 310-2711")</f>
        <v>(310) 310-2711</v>
      </c>
      <c r="Q1157" s="5"/>
      <c r="R1157" s="5"/>
      <c r="S1157" s="5"/>
      <c r="T1157" s="18">
        <f ca="1">IFERROR(__xludf.DUMMYFUNCTION("""COMPUTED_VALUE"""),45670)</f>
        <v>45670</v>
      </c>
    </row>
    <row r="1158" spans="1:20" ht="12.75">
      <c r="A1158" s="24">
        <f ca="1">IFERROR(__xludf.DUMMYFUNCTION("""COMPUTED_VALUE"""),45672.7777515625)</f>
        <v>45672.777751562498</v>
      </c>
      <c r="B1158" s="5" t="str">
        <f ca="1">IFERROR(__xludf.DUMMYFUNCTION("""COMPUTED_VALUE"""),"9907 National Blvd")</f>
        <v>9907 National Blvd</v>
      </c>
      <c r="C1158" s="5" t="str">
        <f ca="1">IFERROR(__xludf.DUMMYFUNCTION("""COMPUTED_VALUE"""),"Los Angeles")</f>
        <v>Los Angeles</v>
      </c>
      <c r="D1158" s="5" t="str">
        <f ca="1">IFERROR(__xludf.DUMMYFUNCTION("""COMPUTED_VALUE"""),"CA")</f>
        <v>CA</v>
      </c>
      <c r="E1158" s="5">
        <f ca="1">IFERROR(__xludf.DUMMYFUNCTION("""COMPUTED_VALUE"""),90034)</f>
        <v>90034</v>
      </c>
      <c r="F1158" s="19">
        <f ca="1">IFERROR(__xludf.DUMMYFUNCTION("""COMPUTED_VALUE"""),4000)</f>
        <v>4000</v>
      </c>
      <c r="G1158" s="19">
        <f ca="1">IFERROR(__xludf.DUMMYFUNCTION("""COMPUTED_VALUE"""),5000)</f>
        <v>5000</v>
      </c>
      <c r="H1158" s="18">
        <f ca="1">IFERROR(__xludf.DUMMYFUNCTION("""COMPUTED_VALUE"""),45664)</f>
        <v>45664</v>
      </c>
      <c r="I1158" s="5" t="str">
        <f ca="1">IFERROR(__xludf.DUMMYFUNCTION("""COMPUTED_VALUE"""),"Zillow")</f>
        <v>Zillow</v>
      </c>
      <c r="J1158" s="25" t="str">
        <f ca="1">IFERROR(__xludf.DUMMYFUNCTION("""COMPUTED_VALUE"""),"https://www.zillow.com/homedetails/9907-National-Blvd-Los-Angeles-CA-90034/402290876_zpid/")</f>
        <v>https://www.zillow.com/homedetails/9907-National-Blvd-Los-Angeles-CA-90034/402290876_zpid/</v>
      </c>
      <c r="K1158" s="5" t="str">
        <f ca="1">IFERROR(__xludf.DUMMYFUNCTION("""COMPUTED_VALUE"""),"Teresa")</f>
        <v>Teresa</v>
      </c>
      <c r="L1158" s="5"/>
      <c r="M1158" s="5"/>
      <c r="N1158" s="26" t="str">
        <f ca="1">IFERROR(__xludf.DUMMYFUNCTION("""COMPUTED_VALUE"""),"https://drive.google.com/open?id=1dXq6WhVtLv02YzpbU4Y2Yk3X-VPS5ifZ")</f>
        <v>https://drive.google.com/open?id=1dXq6WhVtLv02YzpbU4Y2Yk3X-VPS5ifZ</v>
      </c>
      <c r="O1158" s="5" t="str">
        <f ca="1">IFERROR(__xludf.DUMMYFUNCTION("""COMPUTED_VALUE"""),"NA")</f>
        <v>NA</v>
      </c>
      <c r="P1158" s="5" t="str">
        <f ca="1">IFERROR(__xludf.DUMMYFUNCTION("""COMPUTED_VALUE"""),"(213) 699-3155")</f>
        <v>(213) 699-3155</v>
      </c>
      <c r="Q1158" s="5"/>
      <c r="R1158" s="5"/>
      <c r="S1158" s="5"/>
      <c r="T1158" s="18">
        <f ca="1">IFERROR(__xludf.DUMMYFUNCTION("""COMPUTED_VALUE"""),45884)</f>
        <v>45884</v>
      </c>
    </row>
    <row r="1159" spans="1:20" ht="12.75">
      <c r="A1159" s="24">
        <f ca="1">IFERROR(__xludf.DUMMYFUNCTION("""COMPUTED_VALUE"""),45672.7801356481)</f>
        <v>45672.7801356481</v>
      </c>
      <c r="B1159" s="5" t="str">
        <f ca="1">IFERROR(__xludf.DUMMYFUNCTION("""COMPUTED_VALUE"""),"1735 Taft Ave")</f>
        <v>1735 Taft Ave</v>
      </c>
      <c r="C1159" s="5" t="str">
        <f ca="1">IFERROR(__xludf.DUMMYFUNCTION("""COMPUTED_VALUE"""),"Los Angeles")</f>
        <v>Los Angeles</v>
      </c>
      <c r="D1159" s="5" t="str">
        <f ca="1">IFERROR(__xludf.DUMMYFUNCTION("""COMPUTED_VALUE"""),"CA")</f>
        <v>CA</v>
      </c>
      <c r="E1159" s="5">
        <f ca="1">IFERROR(__xludf.DUMMYFUNCTION("""COMPUTED_VALUE"""),90028)</f>
        <v>90028</v>
      </c>
      <c r="F1159" s="19">
        <f ca="1">IFERROR(__xludf.DUMMYFUNCTION("""COMPUTED_VALUE"""),6500)</f>
        <v>6500</v>
      </c>
      <c r="G1159" s="19">
        <f ca="1">IFERROR(__xludf.DUMMYFUNCTION("""COMPUTED_VALUE"""),9500)</f>
        <v>9500</v>
      </c>
      <c r="H1159" s="18">
        <f ca="1">IFERROR(__xludf.DUMMYFUNCTION("""COMPUTED_VALUE"""),45672)</f>
        <v>45672</v>
      </c>
      <c r="I1159" s="5" t="str">
        <f ca="1">IFERROR(__xludf.DUMMYFUNCTION("""COMPUTED_VALUE"""),"Zillow")</f>
        <v>Zillow</v>
      </c>
      <c r="J1159" s="25" t="str">
        <f ca="1">IFERROR(__xludf.DUMMYFUNCTION("""COMPUTED_VALUE"""),"https://www.zillow.com/homedetails/1735-Taft-Ave-Los-Angeles-CA-90028/20807936_zpid/")</f>
        <v>https://www.zillow.com/homedetails/1735-Taft-Ave-Los-Angeles-CA-90028/20807936_zpid/</v>
      </c>
      <c r="K1159" s="5" t="str">
        <f ca="1">IFERROR(__xludf.DUMMYFUNCTION("""COMPUTED_VALUE"""),"Maria Hillin")</f>
        <v>Maria Hillin</v>
      </c>
      <c r="L1159" s="5"/>
      <c r="M1159" s="5"/>
      <c r="N1159" s="26" t="str">
        <f ca="1">IFERROR(__xludf.DUMMYFUNCTION("""COMPUTED_VALUE"""),"https://drive.google.com/open?id=1UHemVUpdAbXWciTatA60Cigr_YyP4v0j")</f>
        <v>https://drive.google.com/open?id=1UHemVUpdAbXWciTatA60Cigr_YyP4v0j</v>
      </c>
      <c r="O1159" s="5">
        <f ca="1">IFERROR(__xludf.DUMMYFUNCTION("""COMPUTED_VALUE"""),5586032006)</f>
        <v>5586032006</v>
      </c>
      <c r="P1159" s="5" t="str">
        <f ca="1">IFERROR(__xludf.DUMMYFUNCTION("""COMPUTED_VALUE"""),"(310) 420-5442")</f>
        <v>(310) 420-5442</v>
      </c>
      <c r="Q1159" s="5"/>
      <c r="R1159" s="5"/>
      <c r="S1159" s="5"/>
      <c r="T1159" s="18">
        <f ca="1">IFERROR(__xludf.DUMMYFUNCTION("""COMPUTED_VALUE"""),45200)</f>
        <v>45200</v>
      </c>
    </row>
    <row r="1160" spans="1:20" ht="12.75">
      <c r="A1160" s="24">
        <f ca="1">IFERROR(__xludf.DUMMYFUNCTION("""COMPUTED_VALUE"""),45672.7817181828)</f>
        <v>45672.7817181828</v>
      </c>
      <c r="B1160" s="5" t="str">
        <f ca="1">IFERROR(__xludf.DUMMYFUNCTION("""COMPUTED_VALUE"""),"7015 Wrightcrest Drive")</f>
        <v>7015 Wrightcrest Drive</v>
      </c>
      <c r="C1160" s="5" t="str">
        <f ca="1">IFERROR(__xludf.DUMMYFUNCTION("""COMPUTED_VALUE"""),"Culver City")</f>
        <v>Culver City</v>
      </c>
      <c r="D1160" s="5" t="str">
        <f ca="1">IFERROR(__xludf.DUMMYFUNCTION("""COMPUTED_VALUE"""),"CA")</f>
        <v>CA</v>
      </c>
      <c r="E1160" s="5">
        <f ca="1">IFERROR(__xludf.DUMMYFUNCTION("""COMPUTED_VALUE"""),90232)</f>
        <v>90232</v>
      </c>
      <c r="F1160" s="19">
        <f ca="1">IFERROR(__xludf.DUMMYFUNCTION("""COMPUTED_VALUE"""),20000)</f>
        <v>20000</v>
      </c>
      <c r="G1160" s="19">
        <f ca="1">IFERROR(__xludf.DUMMYFUNCTION("""COMPUTED_VALUE"""),25000)</f>
        <v>25000</v>
      </c>
      <c r="H1160" s="18">
        <f ca="1">IFERROR(__xludf.DUMMYFUNCTION("""COMPUTED_VALUE"""),45673)</f>
        <v>45673</v>
      </c>
      <c r="I1160" s="5" t="str">
        <f ca="1">IFERROR(__xludf.DUMMYFUNCTION("""COMPUTED_VALUE"""),"Zillow")</f>
        <v>Zillow</v>
      </c>
      <c r="J1160" s="25" t="str">
        <f ca="1">IFERROR(__xludf.DUMMYFUNCTION("""COMPUTED_VALUE"""),"https://www.zillow.com/homedetails/7015-Wrightcrest-Dr-Culver-City-CA-90232/20430909_zpid/")</f>
        <v>https://www.zillow.com/homedetails/7015-Wrightcrest-Dr-Culver-City-CA-90232/20430909_zpid/</v>
      </c>
      <c r="K1160" s="5" t="str">
        <f ca="1">IFERROR(__xludf.DUMMYFUNCTION("""COMPUTED_VALUE"""),"Katia De Los Reyes")</f>
        <v>Katia De Los Reyes</v>
      </c>
      <c r="L1160" s="5"/>
      <c r="M1160" s="5"/>
      <c r="N1160" s="26" t="str">
        <f ca="1">IFERROR(__xludf.DUMMYFUNCTION("""COMPUTED_VALUE"""),"https://drive.google.com/open?id=1d5d7aBpKpTsua0JHgmsRmBNOJfzVuY-e")</f>
        <v>https://drive.google.com/open?id=1d5d7aBpKpTsua0JHgmsRmBNOJfzVuY-e</v>
      </c>
      <c r="O1160" s="5" t="str">
        <f ca="1">IFERROR(__xludf.DUMMYFUNCTION("""COMPUTED_VALUE"""),"NA")</f>
        <v>NA</v>
      </c>
      <c r="P1160" s="5" t="str">
        <f ca="1">IFERROR(__xludf.DUMMYFUNCTION("""COMPUTED_VALUE"""),"(661) 313-2001")</f>
        <v>(661) 313-2001</v>
      </c>
      <c r="Q1160" s="5"/>
      <c r="R1160" s="5"/>
      <c r="S1160" s="5"/>
      <c r="T1160" s="18">
        <f ca="1">IFERROR(__xludf.DUMMYFUNCTION("""COMPUTED_VALUE"""),45630)</f>
        <v>45630</v>
      </c>
    </row>
    <row r="1161" spans="1:20" ht="12.75">
      <c r="A1161" s="24">
        <f ca="1">IFERROR(__xludf.DUMMYFUNCTION("""COMPUTED_VALUE"""),45672.7820343171)</f>
        <v>45672.782034317097</v>
      </c>
      <c r="B1161" s="5" t="str">
        <f ca="1">IFERROR(__xludf.DUMMYFUNCTION("""COMPUTED_VALUE"""),"7015 Wrightcrest Drive")</f>
        <v>7015 Wrightcrest Drive</v>
      </c>
      <c r="C1161" s="5" t="str">
        <f ca="1">IFERROR(__xludf.DUMMYFUNCTION("""COMPUTED_VALUE"""),"Culver City")</f>
        <v>Culver City</v>
      </c>
      <c r="D1161" s="5" t="str">
        <f ca="1">IFERROR(__xludf.DUMMYFUNCTION("""COMPUTED_VALUE"""),"CA")</f>
        <v>CA</v>
      </c>
      <c r="E1161" s="5">
        <f ca="1">IFERROR(__xludf.DUMMYFUNCTION("""COMPUTED_VALUE"""),90232)</f>
        <v>90232</v>
      </c>
      <c r="F1161" s="19">
        <f ca="1">IFERROR(__xludf.DUMMYFUNCTION("""COMPUTED_VALUE"""),20000)</f>
        <v>20000</v>
      </c>
      <c r="G1161" s="19">
        <f ca="1">IFERROR(__xludf.DUMMYFUNCTION("""COMPUTED_VALUE"""),25000)</f>
        <v>25000</v>
      </c>
      <c r="H1161" s="18">
        <f ca="1">IFERROR(__xludf.DUMMYFUNCTION("""COMPUTED_VALUE"""),45673)</f>
        <v>45673</v>
      </c>
      <c r="I1161" s="5" t="str">
        <f ca="1">IFERROR(__xludf.DUMMYFUNCTION("""COMPUTED_VALUE"""),"Zillow")</f>
        <v>Zillow</v>
      </c>
      <c r="J1161" s="25" t="str">
        <f ca="1">IFERROR(__xludf.DUMMYFUNCTION("""COMPUTED_VALUE"""),"https://www.zillow.com/homedetails/7015-Wrightcrest-Dr-Culver-City-CA-90232/20430909_zpid/")</f>
        <v>https://www.zillow.com/homedetails/7015-Wrightcrest-Dr-Culver-City-CA-90232/20430909_zpid/</v>
      </c>
      <c r="K1161" s="5" t="str">
        <f ca="1">IFERROR(__xludf.DUMMYFUNCTION("""COMPUTED_VALUE"""),"Katie de Los Reyes")</f>
        <v>Katie de Los Reyes</v>
      </c>
      <c r="L1161" s="5"/>
      <c r="M1161" s="5"/>
      <c r="N1161" s="5" t="str">
        <f ca="1">IFERROR(__xludf.DUMMYFUNCTION("""COMPUTED_VALUE"""),"https://drive.google.com/open?id=1_eHPMiWmxOianLacrEc2Lq1UJeS9H2IK, https://drive.google.com/open?id=1LTCulv5vSHUcaRrzojU-etqcxEjsdY8D")</f>
        <v>https://drive.google.com/open?id=1_eHPMiWmxOianLacrEc2Lq1UJeS9H2IK, https://drive.google.com/open?id=1LTCulv5vSHUcaRrzojU-etqcxEjsdY8D</v>
      </c>
      <c r="O1161" s="5">
        <f ca="1">IFERROR(__xludf.DUMMYFUNCTION("""COMPUTED_VALUE"""),4204013017)</f>
        <v>4204013017</v>
      </c>
      <c r="P1161" s="5" t="str">
        <f ca="1">IFERROR(__xludf.DUMMYFUNCTION("""COMPUTED_VALUE"""),"(661) 313-2001")</f>
        <v>(661) 313-2001</v>
      </c>
      <c r="Q1161" s="5"/>
      <c r="R1161" s="5"/>
      <c r="S1161" s="5"/>
      <c r="T1161" s="18">
        <f ca="1">IFERROR(__xludf.DUMMYFUNCTION("""COMPUTED_VALUE"""),45630)</f>
        <v>45630</v>
      </c>
    </row>
    <row r="1162" spans="1:20" ht="12.75">
      <c r="A1162" s="24">
        <f ca="1">IFERROR(__xludf.DUMMYFUNCTION("""COMPUTED_VALUE"""),45672.7837285416)</f>
        <v>45672.783728541603</v>
      </c>
      <c r="B1162" s="5" t="str">
        <f ca="1">IFERROR(__xludf.DUMMYFUNCTION("""COMPUTED_VALUE"""),"170 N Crescent Dr APT 204")</f>
        <v>170 N Crescent Dr APT 204</v>
      </c>
      <c r="C1162" s="5" t="str">
        <f ca="1">IFERROR(__xludf.DUMMYFUNCTION("""COMPUTED_VALUE"""),"Beverly Hills")</f>
        <v>Beverly Hills</v>
      </c>
      <c r="D1162" s="5" t="str">
        <f ca="1">IFERROR(__xludf.DUMMYFUNCTION("""COMPUTED_VALUE"""),"CA")</f>
        <v>CA</v>
      </c>
      <c r="E1162" s="5">
        <f ca="1">IFERROR(__xludf.DUMMYFUNCTION("""COMPUTED_VALUE"""),90210)</f>
        <v>90210</v>
      </c>
      <c r="F1162" s="19">
        <f ca="1">IFERROR(__xludf.DUMMYFUNCTION("""COMPUTED_VALUE"""),3498)</f>
        <v>3498</v>
      </c>
      <c r="G1162" s="19">
        <f ca="1">IFERROR(__xludf.DUMMYFUNCTION("""COMPUTED_VALUE"""),4498)</f>
        <v>4498</v>
      </c>
      <c r="H1162" s="18">
        <f ca="1">IFERROR(__xludf.DUMMYFUNCTION("""COMPUTED_VALUE"""),45670)</f>
        <v>45670</v>
      </c>
      <c r="I1162" s="5" t="str">
        <f ca="1">IFERROR(__xludf.DUMMYFUNCTION("""COMPUTED_VALUE"""),"Zillow")</f>
        <v>Zillow</v>
      </c>
      <c r="J1162" s="25" t="str">
        <f ca="1">IFERROR(__xludf.DUMMYFUNCTION("""COMPUTED_VALUE"""),"https://www.zillow.com/homedetails/170-N-Crescent-Dr-APT-204-Beverly-Hills-CA-90210/2082461854_zpid/")</f>
        <v>https://www.zillow.com/homedetails/170-N-Crescent-Dr-APT-204-Beverly-Hills-CA-90210/2082461854_zpid/</v>
      </c>
      <c r="K1162" s="5"/>
      <c r="L1162" s="5"/>
      <c r="M1162" s="5"/>
      <c r="N1162" s="26" t="str">
        <f ca="1">IFERROR(__xludf.DUMMYFUNCTION("""COMPUTED_VALUE"""),"https://drive.google.com/open?id=1IalZMxBK7_GIdIZcZY7umua4RfhI2ztd")</f>
        <v>https://drive.google.com/open?id=1IalZMxBK7_GIdIZcZY7umua4RfhI2ztd</v>
      </c>
      <c r="O1162" s="5" t="str">
        <f ca="1">IFERROR(__xludf.DUMMYFUNCTION("""COMPUTED_VALUE"""),"NA")</f>
        <v>NA</v>
      </c>
      <c r="P1162" s="5" t="str">
        <f ca="1">IFERROR(__xludf.DUMMYFUNCTION("""COMPUTED_VALUE"""),"(424) 340-7034")</f>
        <v>(424) 340-7034</v>
      </c>
      <c r="Q1162" s="5"/>
      <c r="R1162" s="5"/>
      <c r="S1162" s="5"/>
      <c r="T1162" s="18">
        <f ca="1">IFERROR(__xludf.DUMMYFUNCTION("""COMPUTED_VALUE"""),45651)</f>
        <v>45651</v>
      </c>
    </row>
    <row r="1163" spans="1:20" ht="12.75">
      <c r="A1163" s="24">
        <f ca="1">IFERROR(__xludf.DUMMYFUNCTION("""COMPUTED_VALUE"""),45672.783930243)</f>
        <v>45672.783930243</v>
      </c>
      <c r="B1163" s="5" t="str">
        <f ca="1">IFERROR(__xludf.DUMMYFUNCTION("""COMPUTED_VALUE"""),"1800 N Allen Ave")</f>
        <v>1800 N Allen Ave</v>
      </c>
      <c r="C1163" s="5" t="str">
        <f ca="1">IFERROR(__xludf.DUMMYFUNCTION("""COMPUTED_VALUE"""),"Pasadena")</f>
        <v>Pasadena</v>
      </c>
      <c r="D1163" s="5" t="str">
        <f ca="1">IFERROR(__xludf.DUMMYFUNCTION("""COMPUTED_VALUE"""),"CA")</f>
        <v>CA</v>
      </c>
      <c r="E1163" s="5">
        <f ca="1">IFERROR(__xludf.DUMMYFUNCTION("""COMPUTED_VALUE"""),91104)</f>
        <v>91104</v>
      </c>
      <c r="F1163" s="19">
        <f ca="1">IFERROR(__xludf.DUMMYFUNCTION("""COMPUTED_VALUE"""),4900)</f>
        <v>4900</v>
      </c>
      <c r="G1163" s="19">
        <f ca="1">IFERROR(__xludf.DUMMYFUNCTION("""COMPUTED_VALUE"""),5385)</f>
        <v>5385</v>
      </c>
      <c r="H1163" s="18">
        <f ca="1">IFERROR(__xludf.DUMMYFUNCTION("""COMPUTED_VALUE"""),45669)</f>
        <v>45669</v>
      </c>
      <c r="I1163" s="5" t="str">
        <f ca="1">IFERROR(__xludf.DUMMYFUNCTION("""COMPUTED_VALUE"""),"Zillow")</f>
        <v>Zillow</v>
      </c>
      <c r="J1163" s="25" t="str">
        <f ca="1">IFERROR(__xludf.DUMMYFUNCTION("""COMPUTED_VALUE"""),"https://www.zillow.com/homedetails/1800-N-Allen-Ave-Pasadena-CA-91104/442462723_zpid/")</f>
        <v>https://www.zillow.com/homedetails/1800-N-Allen-Ave-Pasadena-CA-91104/442462723_zpid/</v>
      </c>
      <c r="K1163" s="5" t="str">
        <f ca="1">IFERROR(__xludf.DUMMYFUNCTION("""COMPUTED_VALUE"""),"Vincent C. Ewing, EWING PROPERTIES")</f>
        <v>Vincent C. Ewing, EWING PROPERTIES</v>
      </c>
      <c r="L1163" s="5"/>
      <c r="M1163" s="5" t="str">
        <f ca="1">IFERROR(__xludf.DUMMYFUNCTION("""COMPUTED_VALUE"""),"It looks like they tried to hide the price increase by changing it multiple times over the last week - but it still equals a 10.15 increase overall from the December cost.")</f>
        <v>It looks like they tried to hide the price increase by changing it multiple times over the last week - but it still equals a 10.15 increase overall from the December cost.</v>
      </c>
      <c r="N1163" s="26" t="str">
        <f ca="1">IFERROR(__xludf.DUMMYFUNCTION("""COMPUTED_VALUE"""),"https://drive.google.com/open?id=11CN6yZib1N-lkVKo_1gWiuyCOM_4M0jn")</f>
        <v>https://drive.google.com/open?id=11CN6yZib1N-lkVKo_1gWiuyCOM_4M0jn</v>
      </c>
      <c r="O1163" s="5" t="str">
        <f ca="1">IFERROR(__xludf.DUMMYFUNCTION("""COMPUTED_VALUE"""),"NA")</f>
        <v>NA</v>
      </c>
      <c r="P1163" s="5" t="str">
        <f ca="1">IFERROR(__xludf.DUMMYFUNCTION("""COMPUTED_VALUE"""),"(626) 818-5245")</f>
        <v>(626) 818-5245</v>
      </c>
      <c r="Q1163" s="5"/>
      <c r="R1163" s="5"/>
      <c r="S1163" s="5"/>
      <c r="T1163" s="18">
        <f ca="1">IFERROR(__xludf.DUMMYFUNCTION("""COMPUTED_VALUE"""),45653)</f>
        <v>45653</v>
      </c>
    </row>
    <row r="1164" spans="1:20" ht="12.75">
      <c r="A1164" s="24">
        <f ca="1">IFERROR(__xludf.DUMMYFUNCTION("""COMPUTED_VALUE"""),45672.7842850694)</f>
        <v>45672.7842850694</v>
      </c>
      <c r="B1164" s="5" t="str">
        <f ca="1">IFERROR(__xludf.DUMMYFUNCTION("""COMPUTED_VALUE"""),"3180 Casitas Ave, Los Angeles, CA 90039")</f>
        <v>3180 Casitas Ave, Los Angeles, CA 90039</v>
      </c>
      <c r="C1164" s="5" t="str">
        <f ca="1">IFERROR(__xludf.DUMMYFUNCTION("""COMPUTED_VALUE"""),"Los Angeles")</f>
        <v>Los Angeles</v>
      </c>
      <c r="D1164" s="5" t="str">
        <f ca="1">IFERROR(__xludf.DUMMYFUNCTION("""COMPUTED_VALUE"""),"CA")</f>
        <v>CA</v>
      </c>
      <c r="E1164" s="5">
        <f ca="1">IFERROR(__xludf.DUMMYFUNCTION("""COMPUTED_VALUE"""),90027)</f>
        <v>90027</v>
      </c>
      <c r="F1164" s="19">
        <f ca="1">IFERROR(__xludf.DUMMYFUNCTION("""COMPUTED_VALUE"""),2400)</f>
        <v>2400</v>
      </c>
      <c r="G1164" s="19">
        <f ca="1">IFERROR(__xludf.DUMMYFUNCTION("""COMPUTED_VALUE"""),2600)</f>
        <v>2600</v>
      </c>
      <c r="H1164" s="18">
        <f ca="1">IFERROR(__xludf.DUMMYFUNCTION("""COMPUTED_VALUE"""),-684814)</f>
        <v>-684814</v>
      </c>
      <c r="I1164" s="5" t="str">
        <f ca="1">IFERROR(__xludf.DUMMYFUNCTION("""COMPUTED_VALUE"""),"Zillow")</f>
        <v>Zillow</v>
      </c>
      <c r="J1164" s="25" t="str">
        <f ca="1">IFERROR(__xludf.DUMMYFUNCTION("""COMPUTED_VALUE"""),"https://www.zillow.com/homedetails/3180-Casitas-Ave-Los-Angeles-CA-90039/20750713_zpid/")</f>
        <v>https://www.zillow.com/homedetails/3180-Casitas-Ave-Los-Angeles-CA-90039/20750713_zpid/</v>
      </c>
      <c r="K1164" s="5" t="str">
        <f ca="1">IFERROR(__xludf.DUMMYFUNCTION("""COMPUTED_VALUE"""),"Odet")</f>
        <v>Odet</v>
      </c>
      <c r="L1164" s="5"/>
      <c r="M1164" s="5" t="str">
        <f ca="1">IFERROR(__xludf.DUMMYFUNCTION("""COMPUTED_VALUE"""),"Raised rent 8.3% on 1/14/25 (listed 12/21/24).")</f>
        <v>Raised rent 8.3% on 1/14/25 (listed 12/21/24).</v>
      </c>
      <c r="N1164" s="5" t="str">
        <f ca="1">IFERROR(__xludf.DUMMYFUNCTION("""COMPUTED_VALUE"""),"https://drive.google.com/open?id=16f3qMcakfgRr8n2lVjEZNEX6VzNcRRnV, https://drive.google.com/open?id=1zZLffc2LWOS13Y6mI_ta0Y1NHSY55q95, https://drive.google.com/open?id=1uhrKmdlcnm4EpdahULkur9Qp3Tr1d0BK, https://drive.google.com/open?id=1YebWwbUfjAIEp9kgf"&amp;"VNH_BdfPIw6Rglj, https://drive.google.com/open?id=1IdS-vaM_YABg6SkYXBHXxRySBNvhjg0C")</f>
        <v>https://drive.google.com/open?id=16f3qMcakfgRr8n2lVjEZNEX6VzNcRRnV, https://drive.google.com/open?id=1zZLffc2LWOS13Y6mI_ta0Y1NHSY55q95, https://drive.google.com/open?id=1uhrKmdlcnm4EpdahULkur9Qp3Tr1d0BK, https://drive.google.com/open?id=1YebWwbUfjAIEp9kgfVNH_BdfPIw6Rglj, https://drive.google.com/open?id=1IdS-vaM_YABg6SkYXBHXxRySBNvhjg0C</v>
      </c>
      <c r="O1164" s="5">
        <f ca="1">IFERROR(__xludf.DUMMYFUNCTION("""COMPUTED_VALUE"""),5436009020)</f>
        <v>5436009020</v>
      </c>
      <c r="P1164" s="5" t="str">
        <f ca="1">IFERROR(__xludf.DUMMYFUNCTION("""COMPUTED_VALUE"""),"(818) 636-2252")</f>
        <v>(818) 636-2252</v>
      </c>
      <c r="Q1164" s="5"/>
      <c r="R1164" s="5"/>
      <c r="S1164" s="5"/>
      <c r="T1164" s="18">
        <f ca="1">IFERROR(__xludf.DUMMYFUNCTION("""COMPUTED_VALUE"""),-684838)</f>
        <v>-684838</v>
      </c>
    </row>
    <row r="1165" spans="1:20" ht="12.75">
      <c r="A1165" s="24">
        <f ca="1">IFERROR(__xludf.DUMMYFUNCTION("""COMPUTED_VALUE"""),45672.7851371296)</f>
        <v>45672.785137129598</v>
      </c>
      <c r="B1165" s="5" t="str">
        <f ca="1">IFERROR(__xludf.DUMMYFUNCTION("""COMPUTED_VALUE"""),"3319 Wrightwood Dr")</f>
        <v>3319 Wrightwood Dr</v>
      </c>
      <c r="C1165" s="5" t="str">
        <f ca="1">IFERROR(__xludf.DUMMYFUNCTION("""COMPUTED_VALUE"""),"Studio City")</f>
        <v>Studio City</v>
      </c>
      <c r="D1165" s="5" t="str">
        <f ca="1">IFERROR(__xludf.DUMMYFUNCTION("""COMPUTED_VALUE"""),"CA")</f>
        <v>CA</v>
      </c>
      <c r="E1165" s="5">
        <f ca="1">IFERROR(__xludf.DUMMYFUNCTION("""COMPUTED_VALUE"""),91604)</f>
        <v>91604</v>
      </c>
      <c r="F1165" s="19">
        <f ca="1">IFERROR(__xludf.DUMMYFUNCTION("""COMPUTED_VALUE"""),9500)</f>
        <v>9500</v>
      </c>
      <c r="G1165" s="19">
        <f ca="1">IFERROR(__xludf.DUMMYFUNCTION("""COMPUTED_VALUE"""),10000)</f>
        <v>10000</v>
      </c>
      <c r="H1165" s="18">
        <f ca="1">IFERROR(__xludf.DUMMYFUNCTION("""COMPUTED_VALUE"""),45670)</f>
        <v>45670</v>
      </c>
      <c r="I1165" s="5" t="str">
        <f ca="1">IFERROR(__xludf.DUMMYFUNCTION("""COMPUTED_VALUE"""),"Zillow")</f>
        <v>Zillow</v>
      </c>
      <c r="J1165" s="25" t="str">
        <f ca="1">IFERROR(__xludf.DUMMYFUNCTION("""COMPUTED_VALUE"""),"https://www.zillow.com/homedetails/3319-Wrightwood-Dr-Studio-City-CA-91604/20031064_zpid/")</f>
        <v>https://www.zillow.com/homedetails/3319-Wrightwood-Dr-Studio-City-CA-91604/20031064_zpid/</v>
      </c>
      <c r="K1165" s="5"/>
      <c r="L1165" s="5" t="str">
        <f ca="1">IFERROR(__xludf.DUMMYFUNCTION("""COMPUTED_VALUE"""),"Shay")</f>
        <v>Shay</v>
      </c>
      <c r="M1165" s="5" t="str">
        <f ca="1">IFERROR(__xludf.DUMMYFUNCTION("""COMPUTED_VALUE"""),"Was $9000 at 12/31/2024, increased to $9500 on 1/10/2025, then increased AGAIN to $10000 on 1/13/2025")</f>
        <v>Was $9000 at 12/31/2024, increased to $9500 on 1/10/2025, then increased AGAIN to $10000 on 1/13/2025</v>
      </c>
      <c r="N1165" s="26" t="str">
        <f ca="1">IFERROR(__xludf.DUMMYFUNCTION("""COMPUTED_VALUE"""),"https://drive.google.com/open?id=13U5U7zUsoYQ6mzoflGcPiBigJLhVPC5s")</f>
        <v>https://drive.google.com/open?id=13U5U7zUsoYQ6mzoflGcPiBigJLhVPC5s</v>
      </c>
      <c r="O1165" s="5">
        <f ca="1">IFERROR(__xludf.DUMMYFUNCTION("""COMPUTED_VALUE"""),2380014040)</f>
        <v>2380014040</v>
      </c>
      <c r="P1165" s="5"/>
      <c r="Q1165" s="5"/>
      <c r="R1165" s="5" t="str">
        <f ca="1">IFERROR(__xludf.DUMMYFUNCTION("""COMPUTED_VALUE"""),"310-402-9932")</f>
        <v>310-402-9932</v>
      </c>
      <c r="S1165" s="5"/>
      <c r="T1165" s="18">
        <f ca="1">IFERROR(__xludf.DUMMYFUNCTION("""COMPUTED_VALUE"""),45667)</f>
        <v>45667</v>
      </c>
    </row>
    <row r="1166" spans="1:20" ht="12.75">
      <c r="A1166" s="24">
        <f ca="1">IFERROR(__xludf.DUMMYFUNCTION("""COMPUTED_VALUE"""),45672.7868411111)</f>
        <v>45672.786841111098</v>
      </c>
      <c r="B1166" s="5" t="str">
        <f ca="1">IFERROR(__xludf.DUMMYFUNCTION("""COMPUTED_VALUE"""),"9243 Cordell Dr")</f>
        <v>9243 Cordell Dr</v>
      </c>
      <c r="C1166" s="5" t="str">
        <f ca="1">IFERROR(__xludf.DUMMYFUNCTION("""COMPUTED_VALUE"""),"Los Angeles")</f>
        <v>Los Angeles</v>
      </c>
      <c r="D1166" s="5" t="str">
        <f ca="1">IFERROR(__xludf.DUMMYFUNCTION("""COMPUTED_VALUE"""),"CA")</f>
        <v>CA</v>
      </c>
      <c r="E1166" s="5">
        <f ca="1">IFERROR(__xludf.DUMMYFUNCTION("""COMPUTED_VALUE"""),90069)</f>
        <v>90069</v>
      </c>
      <c r="F1166" s="19">
        <f ca="1">IFERROR(__xludf.DUMMYFUNCTION("""COMPUTED_VALUE"""),16000)</f>
        <v>16000</v>
      </c>
      <c r="G1166" s="19">
        <f ca="1">IFERROR(__xludf.DUMMYFUNCTION("""COMPUTED_VALUE"""),29000)</f>
        <v>29000</v>
      </c>
      <c r="H1166" s="18">
        <f ca="1">IFERROR(__xludf.DUMMYFUNCTION("""COMPUTED_VALUE"""),45671)</f>
        <v>45671</v>
      </c>
      <c r="I1166" s="5" t="str">
        <f ca="1">IFERROR(__xludf.DUMMYFUNCTION("""COMPUTED_VALUE"""),"Zillow")</f>
        <v>Zillow</v>
      </c>
      <c r="J1166" s="25" t="str">
        <f ca="1">IFERROR(__xludf.DUMMYFUNCTION("""COMPUTED_VALUE"""),"https://www.zillow.com/homedetails/9243-Cordell-Dr-Los-Angeles-CA-90069/20534852_zpid/")</f>
        <v>https://www.zillow.com/homedetails/9243-Cordell-Dr-Los-Angeles-CA-90069/20534852_zpid/</v>
      </c>
      <c r="K1166" s="5" t="str">
        <f ca="1">IFERROR(__xludf.DUMMYFUNCTION("""COMPUTED_VALUE"""),"Oraklus Rental Properties")</f>
        <v>Oraklus Rental Properties</v>
      </c>
      <c r="L1166" s="5"/>
      <c r="M1166" s="5"/>
      <c r="N1166" s="26" t="str">
        <f ca="1">IFERROR(__xludf.DUMMYFUNCTION("""COMPUTED_VALUE"""),"https://drive.google.com/open?id=1mQ_fSiNTydHuinl-gZesNcNgl3NpMnRI")</f>
        <v>https://drive.google.com/open?id=1mQ_fSiNTydHuinl-gZesNcNgl3NpMnRI</v>
      </c>
      <c r="O1166" s="5">
        <f ca="1">IFERROR(__xludf.DUMMYFUNCTION("""COMPUTED_VALUE"""),4392009014)</f>
        <v>4392009014</v>
      </c>
      <c r="P1166" s="5" t="str">
        <f ca="1">IFERROR(__xludf.DUMMYFUNCTION("""COMPUTED_VALUE"""),"(424) 388-9703")</f>
        <v>(424) 388-9703</v>
      </c>
      <c r="Q1166" s="5"/>
      <c r="R1166" s="5"/>
      <c r="S1166" s="5"/>
      <c r="T1166" s="18">
        <f ca="1">IFERROR(__xludf.DUMMYFUNCTION("""COMPUTED_VALUE"""),45553)</f>
        <v>45553</v>
      </c>
    </row>
    <row r="1167" spans="1:20" ht="12.75">
      <c r="A1167" s="24">
        <f ca="1">IFERROR(__xludf.DUMMYFUNCTION("""COMPUTED_VALUE"""),45672.7872999652)</f>
        <v>45672.787299965203</v>
      </c>
      <c r="B1167" s="5" t="str">
        <f ca="1">IFERROR(__xludf.DUMMYFUNCTION("""COMPUTED_VALUE"""),"600 N Soto St APT 101")</f>
        <v>600 N Soto St APT 101</v>
      </c>
      <c r="C1167" s="5" t="str">
        <f ca="1">IFERROR(__xludf.DUMMYFUNCTION("""COMPUTED_VALUE"""),"Los Angeles")</f>
        <v>Los Angeles</v>
      </c>
      <c r="D1167" s="5" t="str">
        <f ca="1">IFERROR(__xludf.DUMMYFUNCTION("""COMPUTED_VALUE"""),"CA")</f>
        <v>CA</v>
      </c>
      <c r="E1167" s="5">
        <f ca="1">IFERROR(__xludf.DUMMYFUNCTION("""COMPUTED_VALUE"""),90033)</f>
        <v>90033</v>
      </c>
      <c r="F1167" s="19">
        <f ca="1">IFERROR(__xludf.DUMMYFUNCTION("""COMPUTED_VALUE"""),1828)</f>
        <v>1828</v>
      </c>
      <c r="G1167" s="19">
        <f ca="1">IFERROR(__xludf.DUMMYFUNCTION("""COMPUTED_VALUE"""),2700)</f>
        <v>2700</v>
      </c>
      <c r="H1167" s="18">
        <f ca="1">IFERROR(__xludf.DUMMYFUNCTION("""COMPUTED_VALUE"""),45671)</f>
        <v>45671</v>
      </c>
      <c r="I1167" s="5" t="str">
        <f ca="1">IFERROR(__xludf.DUMMYFUNCTION("""COMPUTED_VALUE"""),"Zillow")</f>
        <v>Zillow</v>
      </c>
      <c r="J1167" s="25" t="str">
        <f ca="1">IFERROR(__xludf.DUMMYFUNCTION("""COMPUTED_VALUE"""),"https://www.zillow.com/homedetails/600-N-Soto-St-APT-101-Los-Angeles-CA-90033/2095350496_zpid/")</f>
        <v>https://www.zillow.com/homedetails/600-N-Soto-St-APT-101-Los-Angeles-CA-90033/2095350496_zpid/</v>
      </c>
      <c r="K1167" s="5" t="str">
        <f ca="1">IFERROR(__xludf.DUMMYFUNCTION("""COMPUTED_VALUE"""),"Affordable Housing")</f>
        <v>Affordable Housing</v>
      </c>
      <c r="L1167" s="5"/>
      <c r="M1167" s="5" t="str">
        <f ca="1">IFERROR(__xludf.DUMMYFUNCTION("""COMPUTED_VALUE"""),"Price from 12/12/2024 - 1/4/2025 price was $1,828, went up 47.7% on 1/14/2025!!!")</f>
        <v>Price from 12/12/2024 - 1/4/2025 price was $1,828, went up 47.7% on 1/14/2025!!!</v>
      </c>
      <c r="N1167" s="26" t="str">
        <f ca="1">IFERROR(__xludf.DUMMYFUNCTION("""COMPUTED_VALUE"""),"https://drive.google.com/open?id=1-9-xK1z0KdJXtah9XQcQW3ocGbRcURRf")</f>
        <v>https://drive.google.com/open?id=1-9-xK1z0KdJXtah9XQcQW3ocGbRcURRf</v>
      </c>
      <c r="O1167" s="5" t="str">
        <f ca="1">IFERROR(__xludf.DUMMYFUNCTION("""COMPUTED_VALUE"""),"NA")</f>
        <v>NA</v>
      </c>
      <c r="P1167" s="5" t="str">
        <f ca="1">IFERROR(__xludf.DUMMYFUNCTION("""COMPUTED_VALUE"""),"323-784-4245")</f>
        <v>323-784-4245</v>
      </c>
      <c r="Q1167" s="5"/>
      <c r="R1167" s="5"/>
      <c r="S1167" s="5"/>
      <c r="T1167" s="18">
        <f ca="1">IFERROR(__xludf.DUMMYFUNCTION("""COMPUTED_VALUE"""),45661)</f>
        <v>45661</v>
      </c>
    </row>
    <row r="1168" spans="1:20" ht="12.75">
      <c r="A1168" s="24">
        <f ca="1">IFERROR(__xludf.DUMMYFUNCTION("""COMPUTED_VALUE"""),45672.7873495254)</f>
        <v>45672.787349525403</v>
      </c>
      <c r="B1168" s="5" t="str">
        <f ca="1">IFERROR(__xludf.DUMMYFUNCTION("""COMPUTED_VALUE"""),"2766 Ellison Dr")</f>
        <v>2766 Ellison Dr</v>
      </c>
      <c r="C1168" s="5" t="str">
        <f ca="1">IFERROR(__xludf.DUMMYFUNCTION("""COMPUTED_VALUE"""),"Beverly Hills")</f>
        <v>Beverly Hills</v>
      </c>
      <c r="D1168" s="5" t="str">
        <f ca="1">IFERROR(__xludf.DUMMYFUNCTION("""COMPUTED_VALUE"""),"CA")</f>
        <v>CA</v>
      </c>
      <c r="E1168" s="5">
        <f ca="1">IFERROR(__xludf.DUMMYFUNCTION("""COMPUTED_VALUE"""),90210)</f>
        <v>90210</v>
      </c>
      <c r="F1168" s="19">
        <f ca="1">IFERROR(__xludf.DUMMYFUNCTION("""COMPUTED_VALUE"""),38300)</f>
        <v>38300</v>
      </c>
      <c r="G1168" s="19">
        <f ca="1">IFERROR(__xludf.DUMMYFUNCTION("""COMPUTED_VALUE"""),50000)</f>
        <v>50000</v>
      </c>
      <c r="H1168" s="18">
        <f ca="1">IFERROR(__xludf.DUMMYFUNCTION("""COMPUTED_VALUE"""),45672)</f>
        <v>45672</v>
      </c>
      <c r="I1168" s="5" t="str">
        <f ca="1">IFERROR(__xludf.DUMMYFUNCTION("""COMPUTED_VALUE"""),"Zillow")</f>
        <v>Zillow</v>
      </c>
      <c r="J1168" s="25" t="str">
        <f ca="1">IFERROR(__xludf.DUMMYFUNCTION("""COMPUTED_VALUE"""),"https://www.zillow.com/homedetails/2766-Ellison-Dr-Beverly-Hills-CA-90210/20533335_zpid/")</f>
        <v>https://www.zillow.com/homedetails/2766-Ellison-Dr-Beverly-Hills-CA-90210/20533335_zpid/</v>
      </c>
      <c r="K1168" s="5" t="str">
        <f ca="1">IFERROR(__xludf.DUMMYFUNCTION("""COMPUTED_VALUE"""),"Bjorn Farrugia")</f>
        <v>Bjorn Farrugia</v>
      </c>
      <c r="L1168" s="5"/>
      <c r="M1168" s="5"/>
      <c r="N1168" s="5" t="str">
        <f ca="1">IFERROR(__xludf.DUMMYFUNCTION("""COMPUTED_VALUE"""),"https://drive.google.com/open?id=1zy_qXgqwc_9fWLx2UYGhpuNY3onL5a9q, https://drive.google.com/open?id=1HbdbpCI2RX_oKD5DAPhPNLRRbfhSJa_L")</f>
        <v>https://drive.google.com/open?id=1zy_qXgqwc_9fWLx2UYGhpuNY3onL5a9q, https://drive.google.com/open?id=1HbdbpCI2RX_oKD5DAPhPNLRRbfhSJa_L</v>
      </c>
      <c r="O1168" s="5">
        <f ca="1">IFERROR(__xludf.DUMMYFUNCTION("""COMPUTED_VALUE"""),4385015025)</f>
        <v>4385015025</v>
      </c>
      <c r="P1168" s="5">
        <f ca="1">IFERROR(__xludf.DUMMYFUNCTION("""COMPUTED_VALUE"""),3109987175)</f>
        <v>3109987175</v>
      </c>
      <c r="Q1168" s="5"/>
      <c r="R1168" s="5"/>
      <c r="S1168" s="5"/>
      <c r="T1168" s="18">
        <f ca="1">IFERROR(__xludf.DUMMYFUNCTION("""COMPUTED_VALUE"""),45454)</f>
        <v>45454</v>
      </c>
    </row>
    <row r="1169" spans="1:20" ht="12.75">
      <c r="A1169" s="24">
        <f ca="1">IFERROR(__xludf.DUMMYFUNCTION("""COMPUTED_VALUE"""),45672.7876692245)</f>
        <v>45672.787669224497</v>
      </c>
      <c r="B1169" s="5" t="str">
        <f ca="1">IFERROR(__xludf.DUMMYFUNCTION("""COMPUTED_VALUE"""),"691 S Marengo Ave APT 4")</f>
        <v>691 S Marengo Ave APT 4</v>
      </c>
      <c r="C1169" s="5" t="str">
        <f ca="1">IFERROR(__xludf.DUMMYFUNCTION("""COMPUTED_VALUE"""),"Pasadena")</f>
        <v>Pasadena</v>
      </c>
      <c r="D1169" s="5" t="str">
        <f ca="1">IFERROR(__xludf.DUMMYFUNCTION("""COMPUTED_VALUE"""),"CA")</f>
        <v>CA</v>
      </c>
      <c r="E1169" s="5">
        <f ca="1">IFERROR(__xludf.DUMMYFUNCTION("""COMPUTED_VALUE"""),91106)</f>
        <v>91106</v>
      </c>
      <c r="F1169" s="19">
        <f ca="1">IFERROR(__xludf.DUMMYFUNCTION("""COMPUTED_VALUE"""),2595)</f>
        <v>2595</v>
      </c>
      <c r="G1169" s="19">
        <f ca="1">IFERROR(__xludf.DUMMYFUNCTION("""COMPUTED_VALUE"""),3600)</f>
        <v>3600</v>
      </c>
      <c r="H1169" s="18">
        <f ca="1">IFERROR(__xludf.DUMMYFUNCTION("""COMPUTED_VALUE"""),45668)</f>
        <v>45668</v>
      </c>
      <c r="I1169" s="5" t="str">
        <f ca="1">IFERROR(__xludf.DUMMYFUNCTION("""COMPUTED_VALUE"""),"Zillow")</f>
        <v>Zillow</v>
      </c>
      <c r="J1169" s="25" t="str">
        <f ca="1">IFERROR(__xludf.DUMMYFUNCTION("""COMPUTED_VALUE"""),"https://www.zillow.com/homedetails/691-S-Marengo-Ave-APT-4-Pasadena-CA-91106/20860879_zpid/")</f>
        <v>https://www.zillow.com/homedetails/691-S-Marengo-Ave-APT-4-Pasadena-CA-91106/20860879_zpid/</v>
      </c>
      <c r="K1169" s="5" t="str">
        <f ca="1">IFERROR(__xludf.DUMMYFUNCTION("""COMPUTED_VALUE"""),"S.I.G. Property Management")</f>
        <v>S.I.G. Property Management</v>
      </c>
      <c r="L1169" s="5"/>
      <c r="M1169" s="5"/>
      <c r="N1169" s="26" t="str">
        <f ca="1">IFERROR(__xludf.DUMMYFUNCTION("""COMPUTED_VALUE"""),"https://drive.google.com/open?id=1WUxbRI2Z78OvAqE9GeLZHvALdlXES_Ru")</f>
        <v>https://drive.google.com/open?id=1WUxbRI2Z78OvAqE9GeLZHvALdlXES_Ru</v>
      </c>
      <c r="O1169" s="5" t="str">
        <f ca="1">IFERROR(__xludf.DUMMYFUNCTION("""COMPUTED_VALUE"""),"NA")</f>
        <v>NA</v>
      </c>
      <c r="P1169" s="5" t="str">
        <f ca="1">IFERROR(__xludf.DUMMYFUNCTION("""COMPUTED_VALUE"""),"(818) 629-1779")</f>
        <v>(818) 629-1779</v>
      </c>
      <c r="Q1169" s="5"/>
      <c r="R1169" s="5"/>
      <c r="S1169" s="5"/>
      <c r="T1169" s="18">
        <f ca="1">IFERROR(__xludf.DUMMYFUNCTION("""COMPUTED_VALUE"""),43528)</f>
        <v>43528</v>
      </c>
    </row>
    <row r="1170" spans="1:20" ht="12.75">
      <c r="A1170" s="24">
        <f ca="1">IFERROR(__xludf.DUMMYFUNCTION("""COMPUTED_VALUE"""),45672.7913842708)</f>
        <v>45672.7913842708</v>
      </c>
      <c r="B1170" s="5" t="str">
        <f ca="1">IFERROR(__xludf.DUMMYFUNCTION("""COMPUTED_VALUE"""),"965 E Del Mar Blvd APT 5")</f>
        <v>965 E Del Mar Blvd APT 5</v>
      </c>
      <c r="C1170" s="5" t="str">
        <f ca="1">IFERROR(__xludf.DUMMYFUNCTION("""COMPUTED_VALUE"""),"Pasadena")</f>
        <v>Pasadena</v>
      </c>
      <c r="D1170" s="5" t="str">
        <f ca="1">IFERROR(__xludf.DUMMYFUNCTION("""COMPUTED_VALUE"""),"CA")</f>
        <v>CA</v>
      </c>
      <c r="E1170" s="5">
        <f ca="1">IFERROR(__xludf.DUMMYFUNCTION("""COMPUTED_VALUE"""),91106)</f>
        <v>91106</v>
      </c>
      <c r="F1170" s="19">
        <f ca="1">IFERROR(__xludf.DUMMYFUNCTION("""COMPUTED_VALUE"""),1995)</f>
        <v>1995</v>
      </c>
      <c r="G1170" s="19">
        <f ca="1">IFERROR(__xludf.DUMMYFUNCTION("""COMPUTED_VALUE"""),3400)</f>
        <v>3400</v>
      </c>
      <c r="H1170" s="18">
        <f ca="1">IFERROR(__xludf.DUMMYFUNCTION("""COMPUTED_VALUE"""),45669)</f>
        <v>45669</v>
      </c>
      <c r="I1170" s="5" t="str">
        <f ca="1">IFERROR(__xludf.DUMMYFUNCTION("""COMPUTED_VALUE"""),"Zillow")</f>
        <v>Zillow</v>
      </c>
      <c r="J1170" s="25" t="str">
        <f ca="1">IFERROR(__xludf.DUMMYFUNCTION("""COMPUTED_VALUE"""),"https://www.zillow.com/homedetails/965-E-Del-Mar-Blvd-APT-5-Pasadena-CA-91106/20868749_zpid/")</f>
        <v>https://www.zillow.com/homedetails/965-E-Del-Mar-Blvd-APT-5-Pasadena-CA-91106/20868749_zpid/</v>
      </c>
      <c r="K1170" s="5" t="str">
        <f ca="1">IFERROR(__xludf.DUMMYFUNCTION("""COMPUTED_VALUE"""),"Jeffrey Rimerman Coldwell Banker")</f>
        <v>Jeffrey Rimerman Coldwell Banker</v>
      </c>
      <c r="L1170" s="5"/>
      <c r="M1170" s="5" t="str">
        <f ca="1">IFERROR(__xludf.DUMMYFUNCTION("""COMPUTED_VALUE"""),"This one feels a little sneaky, but still very suspicious. The property was sold in 2015 but listed for rent on 1/12/25 for +70.4% above the last documented rental price. ")</f>
        <v xml:space="preserve">This one feels a little sneaky, but still very suspicious. The property was sold in 2015 but listed for rent on 1/12/25 for +70.4% above the last documented rental price. </v>
      </c>
      <c r="N1170" s="26" t="str">
        <f ca="1">IFERROR(__xludf.DUMMYFUNCTION("""COMPUTED_VALUE"""),"https://drive.google.com/open?id=1xx5niDLtCsyVXa6czw2Z-RFQx9ltmX9S")</f>
        <v>https://drive.google.com/open?id=1xx5niDLtCsyVXa6czw2Z-RFQx9ltmX9S</v>
      </c>
      <c r="O1170" s="5" t="str">
        <f ca="1">IFERROR(__xludf.DUMMYFUNCTION("""COMPUTED_VALUE"""),"NA")</f>
        <v>NA</v>
      </c>
      <c r="P1170" s="5" t="str">
        <f ca="1">IFERROR(__xludf.DUMMYFUNCTION("""COMPUTED_VALUE"""),"(626) 354-5941")</f>
        <v>(626) 354-5941</v>
      </c>
      <c r="Q1170" s="5"/>
      <c r="R1170" s="5"/>
      <c r="S1170" s="5"/>
      <c r="T1170" s="5"/>
    </row>
    <row r="1171" spans="1:20" ht="12.75">
      <c r="A1171" s="24">
        <f ca="1">IFERROR(__xludf.DUMMYFUNCTION("""COMPUTED_VALUE"""),45672.7933903356)</f>
        <v>45672.793390335602</v>
      </c>
      <c r="B1171" s="5" t="str">
        <f ca="1">IFERROR(__xludf.DUMMYFUNCTION("""COMPUTED_VALUE"""),"3639 Shady Oak Rd")</f>
        <v>3639 Shady Oak Rd</v>
      </c>
      <c r="C1171" s="5" t="str">
        <f ca="1">IFERROR(__xludf.DUMMYFUNCTION("""COMPUTED_VALUE"""),"Studio City")</f>
        <v>Studio City</v>
      </c>
      <c r="D1171" s="5" t="str">
        <f ca="1">IFERROR(__xludf.DUMMYFUNCTION("""COMPUTED_VALUE"""),"CA")</f>
        <v>CA</v>
      </c>
      <c r="E1171" s="5">
        <f ca="1">IFERROR(__xludf.DUMMYFUNCTION("""COMPUTED_VALUE"""),91604)</f>
        <v>91604</v>
      </c>
      <c r="F1171" s="19">
        <f ca="1">IFERROR(__xludf.DUMMYFUNCTION("""COMPUTED_VALUE"""),28500)</f>
        <v>28500</v>
      </c>
      <c r="G1171" s="19">
        <f ca="1">IFERROR(__xludf.DUMMYFUNCTION("""COMPUTED_VALUE"""),36000)</f>
        <v>36000</v>
      </c>
      <c r="H1171" s="18">
        <f ca="1">IFERROR(__xludf.DUMMYFUNCTION("""COMPUTED_VALUE"""),45672)</f>
        <v>45672</v>
      </c>
      <c r="I1171" s="5" t="str">
        <f ca="1">IFERROR(__xludf.DUMMYFUNCTION("""COMPUTED_VALUE"""),"Zillow")</f>
        <v>Zillow</v>
      </c>
      <c r="J1171" s="25" t="str">
        <f ca="1">IFERROR(__xludf.DUMMYFUNCTION("""COMPUTED_VALUE"""),"https://www.zillow.com/homedetails/3639-Shady-Oak-Rd-Studio-City-CA-91604/20029790_zpid/")</f>
        <v>https://www.zillow.com/homedetails/3639-Shady-Oak-Rd-Studio-City-CA-91604/20029790_zpid/</v>
      </c>
      <c r="K1171" s="5" t="str">
        <f ca="1">IFERROR(__xludf.DUMMYFUNCTION("""COMPUTED_VALUE"""),"Andrew Dinsky")</f>
        <v>Andrew Dinsky</v>
      </c>
      <c r="L1171" s="5"/>
      <c r="M1171" s="5"/>
      <c r="N1171" s="26" t="str">
        <f ca="1">IFERROR(__xludf.DUMMYFUNCTION("""COMPUTED_VALUE"""),"https://drive.google.com/open?id=1NXPSaJ_G1cvhkdk7zjBc7IS6W763hUHl")</f>
        <v>https://drive.google.com/open?id=1NXPSaJ_G1cvhkdk7zjBc7IS6W763hUHl</v>
      </c>
      <c r="O1171" s="5">
        <f ca="1">IFERROR(__xludf.DUMMYFUNCTION("""COMPUTED_VALUE"""),2376012001)</f>
        <v>2376012001</v>
      </c>
      <c r="P1171" s="5" t="str">
        <f ca="1">IFERROR(__xludf.DUMMYFUNCTION("""COMPUTED_VALUE"""),"310-729-3393")</f>
        <v>310-729-3393</v>
      </c>
      <c r="Q1171" s="5"/>
      <c r="R1171" s="5"/>
      <c r="S1171" s="5"/>
      <c r="T1171" s="18">
        <f ca="1">IFERROR(__xludf.DUMMYFUNCTION("""COMPUTED_VALUE"""),45297)</f>
        <v>45297</v>
      </c>
    </row>
    <row r="1172" spans="1:20" ht="12.75">
      <c r="A1172" s="24">
        <f ca="1">IFERROR(__xludf.DUMMYFUNCTION("""COMPUTED_VALUE"""),45672.7941801273)</f>
        <v>45672.794180127297</v>
      </c>
      <c r="B1172" s="5" t="str">
        <f ca="1">IFERROR(__xludf.DUMMYFUNCTION("""COMPUTED_VALUE"""),"1156 N Lake Ave")</f>
        <v>1156 N Lake Ave</v>
      </c>
      <c r="C1172" s="5" t="str">
        <f ca="1">IFERROR(__xludf.DUMMYFUNCTION("""COMPUTED_VALUE"""),"Pasadena")</f>
        <v>Pasadena</v>
      </c>
      <c r="D1172" s="5" t="str">
        <f ca="1">IFERROR(__xludf.DUMMYFUNCTION("""COMPUTED_VALUE"""),"CA")</f>
        <v>CA</v>
      </c>
      <c r="E1172" s="5">
        <f ca="1">IFERROR(__xludf.DUMMYFUNCTION("""COMPUTED_VALUE"""),91104)</f>
        <v>91104</v>
      </c>
      <c r="F1172" s="19">
        <f ca="1">IFERROR(__xludf.DUMMYFUNCTION("""COMPUTED_VALUE"""),2200)</f>
        <v>2200</v>
      </c>
      <c r="G1172" s="19">
        <f ca="1">IFERROR(__xludf.DUMMYFUNCTION("""COMPUTED_VALUE"""),3120)</f>
        <v>3120</v>
      </c>
      <c r="H1172" s="18">
        <f ca="1">IFERROR(__xludf.DUMMYFUNCTION("""COMPUTED_VALUE"""),45664)</f>
        <v>45664</v>
      </c>
      <c r="I1172" s="5" t="str">
        <f ca="1">IFERROR(__xludf.DUMMYFUNCTION("""COMPUTED_VALUE"""),"Zillow")</f>
        <v>Zillow</v>
      </c>
      <c r="J1172" s="25" t="str">
        <f ca="1">IFERROR(__xludf.DUMMYFUNCTION("""COMPUTED_VALUE"""),"https://www.zillow.com/homedetails/1156-N-Lake-Ave-Pasadena-CA-91104/2083166974_zpid/")</f>
        <v>https://www.zillow.com/homedetails/1156-N-Lake-Ave-Pasadena-CA-91104/2083166974_zpid/</v>
      </c>
      <c r="K1172" s="5" t="str">
        <f ca="1">IFERROR(__xludf.DUMMYFUNCTION("""COMPUTED_VALUE"""),"Affordable Housing")</f>
        <v>Affordable Housing</v>
      </c>
      <c r="L1172" s="5"/>
      <c r="M1172" s="5"/>
      <c r="N1172" s="26" t="str">
        <f ca="1">IFERROR(__xludf.DUMMYFUNCTION("""COMPUTED_VALUE"""),"https://drive.google.com/open?id=1QvV47_xoVDH9lXkUnN9x_7yC6uvKHlGn")</f>
        <v>https://drive.google.com/open?id=1QvV47_xoVDH9lXkUnN9x_7yC6uvKHlGn</v>
      </c>
      <c r="O1172" s="5" t="str">
        <f ca="1">IFERROR(__xludf.DUMMYFUNCTION("""COMPUTED_VALUE"""),"NA")</f>
        <v>NA</v>
      </c>
      <c r="P1172" s="5" t="str">
        <f ca="1">IFERROR(__xludf.DUMMYFUNCTION("""COMPUTED_VALUE"""),"(626) 390-4000")</f>
        <v>(626) 390-4000</v>
      </c>
      <c r="Q1172" s="5"/>
      <c r="R1172" s="5"/>
      <c r="S1172" s="5"/>
      <c r="T1172" s="18">
        <f ca="1">IFERROR(__xludf.DUMMYFUNCTION("""COMPUTED_VALUE"""),43702)</f>
        <v>43702</v>
      </c>
    </row>
    <row r="1173" spans="1:20" ht="12.75">
      <c r="A1173" s="24">
        <f ca="1">IFERROR(__xludf.DUMMYFUNCTION("""COMPUTED_VALUE"""),45672.795824456)</f>
        <v>45672.795824456</v>
      </c>
      <c r="B1173" s="5" t="str">
        <f ca="1">IFERROR(__xludf.DUMMYFUNCTION("""COMPUTED_VALUE"""),"6268 N San Gabriel Blvd APT 3")</f>
        <v>6268 N San Gabriel Blvd APT 3</v>
      </c>
      <c r="C1173" s="5" t="str">
        <f ca="1">IFERROR(__xludf.DUMMYFUNCTION("""COMPUTED_VALUE"""),"San Gabriel")</f>
        <v>San Gabriel</v>
      </c>
      <c r="D1173" s="5" t="str">
        <f ca="1">IFERROR(__xludf.DUMMYFUNCTION("""COMPUTED_VALUE"""),"CA")</f>
        <v>CA</v>
      </c>
      <c r="E1173" s="5">
        <f ca="1">IFERROR(__xludf.DUMMYFUNCTION("""COMPUTED_VALUE"""),91775)</f>
        <v>91775</v>
      </c>
      <c r="F1173" s="19">
        <f ca="1">IFERROR(__xludf.DUMMYFUNCTION("""COMPUTED_VALUE"""),2195)</f>
        <v>2195</v>
      </c>
      <c r="G1173" s="19">
        <f ca="1">IFERROR(__xludf.DUMMYFUNCTION("""COMPUTED_VALUE"""),2595)</f>
        <v>2595</v>
      </c>
      <c r="H1173" s="18">
        <f ca="1">IFERROR(__xludf.DUMMYFUNCTION("""COMPUTED_VALUE"""),45664)</f>
        <v>45664</v>
      </c>
      <c r="I1173" s="5" t="str">
        <f ca="1">IFERROR(__xludf.DUMMYFUNCTION("""COMPUTED_VALUE"""),"Zillow")</f>
        <v>Zillow</v>
      </c>
      <c r="J1173" s="25" t="str">
        <f ca="1">IFERROR(__xludf.DUMMYFUNCTION("""COMPUTED_VALUE"""),"https://www.zillow.com/homedetails/6268-N-San-Gabriel-Blvd-APT-3-San-Gabriel-CA-91775/2086807997_zpid/")</f>
        <v>https://www.zillow.com/homedetails/6268-N-San-Gabriel-Blvd-APT-3-San-Gabriel-CA-91775/2086807997_zpid/</v>
      </c>
      <c r="K1173" s="5" t="str">
        <f ca="1">IFERROR(__xludf.DUMMYFUNCTION("""COMPUTED_VALUE"""),"Robin Guerrera")</f>
        <v>Robin Guerrera</v>
      </c>
      <c r="L1173" s="5"/>
      <c r="M1173" s="5"/>
      <c r="N1173" s="26" t="str">
        <f ca="1">IFERROR(__xludf.DUMMYFUNCTION("""COMPUTED_VALUE"""),"https://drive.google.com/open?id=1uE2XfX2TyN-0KDWSKMVSG47HVtGd5A6L")</f>
        <v>https://drive.google.com/open?id=1uE2XfX2TyN-0KDWSKMVSG47HVtGd5A6L</v>
      </c>
      <c r="O1173" s="5" t="str">
        <f ca="1">IFERROR(__xludf.DUMMYFUNCTION("""COMPUTED_VALUE"""),"NA")</f>
        <v>NA</v>
      </c>
      <c r="P1173" s="5" t="str">
        <f ca="1">IFERROR(__xludf.DUMMYFUNCTION("""COMPUTED_VALUE"""),"(626) 869-5085")</f>
        <v>(626) 869-5085</v>
      </c>
      <c r="Q1173" s="5"/>
      <c r="R1173" s="5"/>
      <c r="S1173" s="5"/>
      <c r="T1173" s="18">
        <f ca="1">IFERROR(__xludf.DUMMYFUNCTION("""COMPUTED_VALUE"""),44246)</f>
        <v>44246</v>
      </c>
    </row>
    <row r="1174" spans="1:20" ht="12.75">
      <c r="A1174" s="24">
        <f ca="1">IFERROR(__xludf.DUMMYFUNCTION("""COMPUTED_VALUE"""),45672.7965119675)</f>
        <v>45672.796511967499</v>
      </c>
      <c r="B1174" s="5" t="str">
        <f ca="1">IFERROR(__xludf.DUMMYFUNCTION("""COMPUTED_VALUE"""),"4504 Cedros Ave")</f>
        <v>4504 Cedros Ave</v>
      </c>
      <c r="C1174" s="5" t="str">
        <f ca="1">IFERROR(__xludf.DUMMYFUNCTION("""COMPUTED_VALUE"""),"Sherman Oaks")</f>
        <v>Sherman Oaks</v>
      </c>
      <c r="D1174" s="5" t="str">
        <f ca="1">IFERROR(__xludf.DUMMYFUNCTION("""COMPUTED_VALUE"""),"CA")</f>
        <v>CA</v>
      </c>
      <c r="E1174" s="5">
        <f ca="1">IFERROR(__xludf.DUMMYFUNCTION("""COMPUTED_VALUE"""),91403)</f>
        <v>91403</v>
      </c>
      <c r="F1174" s="19">
        <f ca="1">IFERROR(__xludf.DUMMYFUNCTION("""COMPUTED_VALUE"""),18000)</f>
        <v>18000</v>
      </c>
      <c r="G1174" s="19">
        <f ca="1">IFERROR(__xludf.DUMMYFUNCTION("""COMPUTED_VALUE"""),25000)</f>
        <v>25000</v>
      </c>
      <c r="H1174" s="18">
        <f ca="1">IFERROR(__xludf.DUMMYFUNCTION("""COMPUTED_VALUE"""),45671)</f>
        <v>45671</v>
      </c>
      <c r="I1174" s="5" t="str">
        <f ca="1">IFERROR(__xludf.DUMMYFUNCTION("""COMPUTED_VALUE"""),"Zillow")</f>
        <v>Zillow</v>
      </c>
      <c r="J1174" s="25" t="str">
        <f ca="1">IFERROR(__xludf.DUMMYFUNCTION("""COMPUTED_VALUE"""),"https://www.zillow.com/homedetails/4504-Cedros-Ave-Sherman-Oaks-CA-91403/19983993_zpid/")</f>
        <v>https://www.zillow.com/homedetails/4504-Cedros-Ave-Sherman-Oaks-CA-91403/19983993_zpid/</v>
      </c>
      <c r="K1174" s="5" t="str">
        <f ca="1">IFERROR(__xludf.DUMMYFUNCTION("""COMPUTED_VALUE"""),"Michael Azran")</f>
        <v>Michael Azran</v>
      </c>
      <c r="L1174" s="5"/>
      <c r="M1174" s="5"/>
      <c r="N1174" s="5" t="str">
        <f ca="1">IFERROR(__xludf.DUMMYFUNCTION("""COMPUTED_VALUE"""),"https://drive.google.com/open?id=1coqVxzkR1RhzhqtbL2kQhh3hlRvs9hwL, https://drive.google.com/open?id=1SpSoFq8fdy8ig004C8QGoNPSTgYHNUic")</f>
        <v>https://drive.google.com/open?id=1coqVxzkR1RhzhqtbL2kQhh3hlRvs9hwL, https://drive.google.com/open?id=1SpSoFq8fdy8ig004C8QGoNPSTgYHNUic</v>
      </c>
      <c r="O1174" s="5">
        <f ca="1">IFERROR(__xludf.DUMMYFUNCTION("""COMPUTED_VALUE"""),2265004009)</f>
        <v>2265004009</v>
      </c>
      <c r="P1174" s="5" t="str">
        <f ca="1">IFERROR(__xludf.DUMMYFUNCTION("""COMPUTED_VALUE"""),"(323) 474-8338")</f>
        <v>(323) 474-8338</v>
      </c>
      <c r="Q1174" s="5"/>
      <c r="R1174" s="5"/>
      <c r="S1174" s="5"/>
      <c r="T1174" s="18">
        <f ca="1">IFERROR(__xludf.DUMMYFUNCTION("""COMPUTED_VALUE"""),45206)</f>
        <v>45206</v>
      </c>
    </row>
    <row r="1175" spans="1:20" ht="12.75">
      <c r="A1175" s="24">
        <f ca="1">IFERROR(__xludf.DUMMYFUNCTION("""COMPUTED_VALUE"""),45672.7966319097)</f>
        <v>45672.796631909703</v>
      </c>
      <c r="B1175" s="5" t="str">
        <f ca="1">IFERROR(__xludf.DUMMYFUNCTION("""COMPUTED_VALUE"""),"9982 Beverly Grove Dr")</f>
        <v>9982 Beverly Grove Dr</v>
      </c>
      <c r="C1175" s="5" t="str">
        <f ca="1">IFERROR(__xludf.DUMMYFUNCTION("""COMPUTED_VALUE"""),"Beverly Hills")</f>
        <v>Beverly Hills</v>
      </c>
      <c r="D1175" s="5" t="str">
        <f ca="1">IFERROR(__xludf.DUMMYFUNCTION("""COMPUTED_VALUE"""),"CA")</f>
        <v>CA</v>
      </c>
      <c r="E1175" s="5">
        <f ca="1">IFERROR(__xludf.DUMMYFUNCTION("""COMPUTED_VALUE"""),90210)</f>
        <v>90210</v>
      </c>
      <c r="F1175" s="19">
        <f ca="1">IFERROR(__xludf.DUMMYFUNCTION("""COMPUTED_VALUE"""),65000)</f>
        <v>65000</v>
      </c>
      <c r="G1175" s="19">
        <f ca="1">IFERROR(__xludf.DUMMYFUNCTION("""COMPUTED_VALUE"""),85000)</f>
        <v>85000</v>
      </c>
      <c r="H1175" s="18">
        <f ca="1">IFERROR(__xludf.DUMMYFUNCTION("""COMPUTED_VALUE"""),45672)</f>
        <v>45672</v>
      </c>
      <c r="I1175" s="5" t="str">
        <f ca="1">IFERROR(__xludf.DUMMYFUNCTION("""COMPUTED_VALUE"""),"Redfin")</f>
        <v>Redfin</v>
      </c>
      <c r="J1175" s="25" t="str">
        <f ca="1">IFERROR(__xludf.DUMMYFUNCTION("""COMPUTED_VALUE"""),"https://www.redfin.com/CA/Beverly-Hills/9982-Beverly-Grove-Dr-90210/home/64460234")</f>
        <v>https://www.redfin.com/CA/Beverly-Hills/9982-Beverly-Grove-Dr-90210/home/64460234</v>
      </c>
      <c r="K1175" s="5" t="str">
        <f ca="1">IFERROR(__xludf.DUMMYFUNCTION("""COMPUTED_VALUE"""),"Jordan Pollack")</f>
        <v>Jordan Pollack</v>
      </c>
      <c r="L1175" s="5"/>
      <c r="M1175" s="5"/>
      <c r="N1175" s="5" t="str">
        <f ca="1">IFERROR(__xludf.DUMMYFUNCTION("""COMPUTED_VALUE"""),"https://drive.google.com/open?id=141AHZjMCLMJoJDlkigPJlWstfWMmrBSk, https://drive.google.com/open?id=11BYRJ27szzs4UdX14tpDksjHGm4-C3Vg")</f>
        <v>https://drive.google.com/open?id=141AHZjMCLMJoJDlkigPJlWstfWMmrBSk, https://drive.google.com/open?id=11BYRJ27szzs4UdX14tpDksjHGm4-C3Vg</v>
      </c>
      <c r="O1175" s="5" t="str">
        <f ca="1">IFERROR(__xludf.DUMMYFUNCTION("""COMPUTED_VALUE"""),"NA")</f>
        <v>NA</v>
      </c>
      <c r="P1175" s="5">
        <f ca="1">IFERROR(__xludf.DUMMYFUNCTION("""COMPUTED_VALUE"""),3106665736)</f>
        <v>3106665736</v>
      </c>
      <c r="Q1175" s="5" t="str">
        <f ca="1">IFERROR(__xludf.DUMMYFUNCTION("""COMPUTED_VALUE"""),"jordan@laluxuries.com")</f>
        <v>jordan@laluxuries.com</v>
      </c>
      <c r="R1175" s="5"/>
      <c r="S1175" s="5"/>
      <c r="T1175" s="18">
        <f ca="1">IFERROR(__xludf.DUMMYFUNCTION("""COMPUTED_VALUE"""),45657)</f>
        <v>45657</v>
      </c>
    </row>
    <row r="1176" spans="1:20" ht="12.75">
      <c r="A1176" s="24">
        <f ca="1">IFERROR(__xludf.DUMMYFUNCTION("""COMPUTED_VALUE"""),45672.7995876157)</f>
        <v>45672.7995876157</v>
      </c>
      <c r="B1176" s="5" t="str">
        <f ca="1">IFERROR(__xludf.DUMMYFUNCTION("""COMPUTED_VALUE"""),"10824 Chalon Road")</f>
        <v>10824 Chalon Road</v>
      </c>
      <c r="C1176" s="5" t="str">
        <f ca="1">IFERROR(__xludf.DUMMYFUNCTION("""COMPUTED_VALUE"""),"Los Angeles")</f>
        <v>Los Angeles</v>
      </c>
      <c r="D1176" s="5" t="str">
        <f ca="1">IFERROR(__xludf.DUMMYFUNCTION("""COMPUTED_VALUE"""),"CA")</f>
        <v>CA</v>
      </c>
      <c r="E1176" s="5">
        <f ca="1">IFERROR(__xludf.DUMMYFUNCTION("""COMPUTED_VALUE"""),90077)</f>
        <v>90077</v>
      </c>
      <c r="F1176" s="19">
        <f ca="1">IFERROR(__xludf.DUMMYFUNCTION("""COMPUTED_VALUE"""),65000)</f>
        <v>65000</v>
      </c>
      <c r="G1176" s="19">
        <f ca="1">IFERROR(__xludf.DUMMYFUNCTION("""COMPUTED_VALUE"""),75000)</f>
        <v>75000</v>
      </c>
      <c r="H1176" s="18">
        <f ca="1">IFERROR(__xludf.DUMMYFUNCTION("""COMPUTED_VALUE"""),45672)</f>
        <v>45672</v>
      </c>
      <c r="I1176" s="5" t="str">
        <f ca="1">IFERROR(__xludf.DUMMYFUNCTION("""COMPUTED_VALUE"""),"Zillow")</f>
        <v>Zillow</v>
      </c>
      <c r="J1176" s="25" t="str">
        <f ca="1">IFERROR(__xludf.DUMMYFUNCTION("""COMPUTED_VALUE"""),"https://www.zillow.com/homedetails/10824-Chalon-Rd-Los-Angeles-CA-90077/20529073_zpid/")</f>
        <v>https://www.zillow.com/homedetails/10824-Chalon-Rd-Los-Angeles-CA-90077/20529073_zpid/</v>
      </c>
      <c r="K1176" s="5"/>
      <c r="L1176" s="5"/>
      <c r="M1176" s="5"/>
      <c r="N1176" s="26" t="str">
        <f ca="1">IFERROR(__xludf.DUMMYFUNCTION("""COMPUTED_VALUE"""),"https://drive.google.com/open?id=1eK-xJJEYE2F9lniwb3_iSVGC1Y9nqt2Y")</f>
        <v>https://drive.google.com/open?id=1eK-xJJEYE2F9lniwb3_iSVGC1Y9nqt2Y</v>
      </c>
      <c r="O1176" s="5">
        <f ca="1">IFERROR(__xludf.DUMMYFUNCTION("""COMPUTED_VALUE"""),4369022011)</f>
        <v>4369022011</v>
      </c>
      <c r="P1176" s="5"/>
      <c r="Q1176" s="5"/>
      <c r="R1176" s="5"/>
      <c r="S1176" s="5"/>
      <c r="T1176" s="18">
        <f ca="1">IFERROR(__xludf.DUMMYFUNCTION("""COMPUTED_VALUE"""),45442)</f>
        <v>45442</v>
      </c>
    </row>
    <row r="1177" spans="1:20" ht="12.75">
      <c r="A1177" s="24">
        <f ca="1">IFERROR(__xludf.DUMMYFUNCTION("""COMPUTED_VALUE"""),45672.805688831)</f>
        <v>45672.805688831002</v>
      </c>
      <c r="B1177" s="5" t="str">
        <f ca="1">IFERROR(__xludf.DUMMYFUNCTION("""COMPUTED_VALUE"""),"6830 Alta Loma Ter")</f>
        <v>6830 Alta Loma Ter</v>
      </c>
      <c r="C1177" s="5" t="str">
        <f ca="1">IFERROR(__xludf.DUMMYFUNCTION("""COMPUTED_VALUE"""),"Los Angeles")</f>
        <v>Los Angeles</v>
      </c>
      <c r="D1177" s="5" t="str">
        <f ca="1">IFERROR(__xludf.DUMMYFUNCTION("""COMPUTED_VALUE"""),"CA")</f>
        <v>CA</v>
      </c>
      <c r="E1177" s="5">
        <f ca="1">IFERROR(__xludf.DUMMYFUNCTION("""COMPUTED_VALUE"""),90068)</f>
        <v>90068</v>
      </c>
      <c r="F1177" s="19">
        <f ca="1">IFERROR(__xludf.DUMMYFUNCTION("""COMPUTED_VALUE"""),5800)</f>
        <v>5800</v>
      </c>
      <c r="G1177" s="19">
        <f ca="1">IFERROR(__xludf.DUMMYFUNCTION("""COMPUTED_VALUE"""),9750)</f>
        <v>9750</v>
      </c>
      <c r="H1177" s="18">
        <f ca="1">IFERROR(__xludf.DUMMYFUNCTION("""COMPUTED_VALUE"""),45673)</f>
        <v>45673</v>
      </c>
      <c r="I1177" s="5" t="str">
        <f ca="1">IFERROR(__xludf.DUMMYFUNCTION("""COMPUTED_VALUE"""),"Zillow")</f>
        <v>Zillow</v>
      </c>
      <c r="J1177" s="25" t="str">
        <f ca="1">IFERROR(__xludf.DUMMYFUNCTION("""COMPUTED_VALUE"""),"https://www.zillow.com/homedetails/6830-Alta-Loma-Ter-Los-Angeles-CA-90068/20793971_zpid/")</f>
        <v>https://www.zillow.com/homedetails/6830-Alta-Loma-Ter-Los-Angeles-CA-90068/20793971_zpid/</v>
      </c>
      <c r="K1177" s="5"/>
      <c r="L1177" s="5"/>
      <c r="M1177" s="5"/>
      <c r="N1177" s="26" t="str">
        <f ca="1">IFERROR(__xludf.DUMMYFUNCTION("""COMPUTED_VALUE"""),"https://drive.google.com/open?id=1FT8pI2dp5EKVBzy6lw5S2btsiOqSHzBn")</f>
        <v>https://drive.google.com/open?id=1FT8pI2dp5EKVBzy6lw5S2btsiOqSHzBn</v>
      </c>
      <c r="O1177" s="5">
        <f ca="1">IFERROR(__xludf.DUMMYFUNCTION("""COMPUTED_VALUE"""),5549028023)</f>
        <v>5549028023</v>
      </c>
      <c r="P1177" s="5"/>
      <c r="Q1177" s="5"/>
      <c r="R1177" s="5"/>
      <c r="S1177" s="5"/>
      <c r="T1177" s="18">
        <f ca="1">IFERROR(__xludf.DUMMYFUNCTION("""COMPUTED_VALUE"""),45672)</f>
        <v>45672</v>
      </c>
    </row>
    <row r="1178" spans="1:20" ht="12.75">
      <c r="A1178" s="24">
        <f ca="1">IFERROR(__xludf.DUMMYFUNCTION("""COMPUTED_VALUE"""),45672.8059001504)</f>
        <v>45672.805900150401</v>
      </c>
      <c r="B1178" s="5" t="str">
        <f ca="1">IFERROR(__xludf.DUMMYFUNCTION("""COMPUTED_VALUE"""),"9722 Royce Ct")</f>
        <v>9722 Royce Ct</v>
      </c>
      <c r="C1178" s="5" t="str">
        <f ca="1">IFERROR(__xludf.DUMMYFUNCTION("""COMPUTED_VALUE"""),"Beverly Hills")</f>
        <v>Beverly Hills</v>
      </c>
      <c r="D1178" s="5" t="str">
        <f ca="1">IFERROR(__xludf.DUMMYFUNCTION("""COMPUTED_VALUE"""),"CA")</f>
        <v>CA</v>
      </c>
      <c r="E1178" s="5">
        <f ca="1">IFERROR(__xludf.DUMMYFUNCTION("""COMPUTED_VALUE"""),90210)</f>
        <v>90210</v>
      </c>
      <c r="F1178" s="19">
        <f ca="1">IFERROR(__xludf.DUMMYFUNCTION("""COMPUTED_VALUE"""),28000)</f>
        <v>28000</v>
      </c>
      <c r="G1178" s="19">
        <f ca="1">IFERROR(__xludf.DUMMYFUNCTION("""COMPUTED_VALUE"""),35000)</f>
        <v>35000</v>
      </c>
      <c r="H1178" s="18">
        <f ca="1">IFERROR(__xludf.DUMMYFUNCTION("""COMPUTED_VALUE"""),45669)</f>
        <v>45669</v>
      </c>
      <c r="I1178" s="5" t="str">
        <f ca="1">IFERROR(__xludf.DUMMYFUNCTION("""COMPUTED_VALUE"""),"Redfin")</f>
        <v>Redfin</v>
      </c>
      <c r="J1178" s="25" t="str">
        <f ca="1">IFERROR(__xludf.DUMMYFUNCTION("""COMPUTED_VALUE"""),"https://www.redfin.com/CA/Beverly-Hills/9722-Royce-Ct-90210/home/6833711")</f>
        <v>https://www.redfin.com/CA/Beverly-Hills/9722-Royce-Ct-90210/home/6833711</v>
      </c>
      <c r="K1178" s="5" t="str">
        <f ca="1">IFERROR(__xludf.DUMMYFUNCTION("""COMPUTED_VALUE"""),"Jimmy Heckenberg")</f>
        <v>Jimmy Heckenberg</v>
      </c>
      <c r="L1178" s="5"/>
      <c r="M1178" s="5"/>
      <c r="N1178" s="5" t="str">
        <f ca="1">IFERROR(__xludf.DUMMYFUNCTION("""COMPUTED_VALUE"""),"https://drive.google.com/open?id=1KmifLydHkzoozUTp8mQdb2pkJbnX5a1y, https://drive.google.com/open?id=1d0Dg1J2zaMtmYy0Ma1ehxp81Y_iSeQuO")</f>
        <v>https://drive.google.com/open?id=1KmifLydHkzoozUTp8mQdb2pkJbnX5a1y, https://drive.google.com/open?id=1d0Dg1J2zaMtmYy0Ma1ehxp81Y_iSeQuO</v>
      </c>
      <c r="O1178" s="5" t="str">
        <f ca="1">IFERROR(__xludf.DUMMYFUNCTION("""COMPUTED_VALUE"""),"NA")</f>
        <v>NA</v>
      </c>
      <c r="P1178" s="5">
        <f ca="1">IFERROR(__xludf.DUMMYFUNCTION("""COMPUTED_VALUE"""),3103318883)</f>
        <v>3103318883</v>
      </c>
      <c r="Q1178" s="5" t="str">
        <f ca="1">IFERROR(__xludf.DUMMYFUNCTION("""COMPUTED_VALUE"""),"newhomeinlanewhomeinla@gmail.com")</f>
        <v>newhomeinlanewhomeinla@gmail.com</v>
      </c>
      <c r="R1178" s="5"/>
      <c r="S1178" s="5"/>
      <c r="T1178" s="18">
        <f ca="1">IFERROR(__xludf.DUMMYFUNCTION("""COMPUTED_VALUE"""),45634)</f>
        <v>45634</v>
      </c>
    </row>
    <row r="1179" spans="1:20" ht="12.75">
      <c r="A1179" s="24">
        <f ca="1">IFERROR(__xludf.DUMMYFUNCTION("""COMPUTED_VALUE"""),45672.807712662)</f>
        <v>45672.807712661997</v>
      </c>
      <c r="B1179" s="5" t="str">
        <f ca="1">IFERROR(__xludf.DUMMYFUNCTION("""COMPUTED_VALUE"""),"220 E Live Oak St APT 15")</f>
        <v>220 E Live Oak St APT 15</v>
      </c>
      <c r="C1179" s="5" t="str">
        <f ca="1">IFERROR(__xludf.DUMMYFUNCTION("""COMPUTED_VALUE"""),"San Gabriel")</f>
        <v>San Gabriel</v>
      </c>
      <c r="D1179" s="5" t="str">
        <f ca="1">IFERROR(__xludf.DUMMYFUNCTION("""COMPUTED_VALUE"""),"CA")</f>
        <v>CA</v>
      </c>
      <c r="E1179" s="5">
        <f ca="1">IFERROR(__xludf.DUMMYFUNCTION("""COMPUTED_VALUE"""),91776)</f>
        <v>91776</v>
      </c>
      <c r="F1179" s="19">
        <f ca="1">IFERROR(__xludf.DUMMYFUNCTION("""COMPUTED_VALUE"""),2095)</f>
        <v>2095</v>
      </c>
      <c r="G1179" s="19">
        <f ca="1">IFERROR(__xludf.DUMMYFUNCTION("""COMPUTED_VALUE"""),2695)</f>
        <v>2695</v>
      </c>
      <c r="H1179" s="18">
        <f ca="1">IFERROR(__xludf.DUMMYFUNCTION("""COMPUTED_VALUE"""),45665)</f>
        <v>45665</v>
      </c>
      <c r="I1179" s="5" t="str">
        <f ca="1">IFERROR(__xludf.DUMMYFUNCTION("""COMPUTED_VALUE"""),"Zillow")</f>
        <v>Zillow</v>
      </c>
      <c r="J1179" s="25" t="str">
        <f ca="1">IFERROR(__xludf.DUMMYFUNCTION("""COMPUTED_VALUE"""),"https://www.zillow.com/homedetails/220-E-Live-Oak-St-APT-15-San-Gabriel-CA-91776/2093359195_zpid/")</f>
        <v>https://www.zillow.com/homedetails/220-E-Live-Oak-St-APT-15-San-Gabriel-CA-91776/2093359195_zpid/</v>
      </c>
      <c r="K1179" s="5" t="str">
        <f ca="1">IFERROR(__xludf.DUMMYFUNCTION("""COMPUTED_VALUE"""),"Robin Guerrera")</f>
        <v>Robin Guerrera</v>
      </c>
      <c r="L1179" s="5"/>
      <c r="M1179" s="5"/>
      <c r="N1179" s="26" t="str">
        <f ca="1">IFERROR(__xludf.DUMMYFUNCTION("""COMPUTED_VALUE"""),"https://drive.google.com/open?id=1hn3pg8YzZeO_nsUttqVwqSe3KzAqrQBN")</f>
        <v>https://drive.google.com/open?id=1hn3pg8YzZeO_nsUttqVwqSe3KzAqrQBN</v>
      </c>
      <c r="O1179" s="5" t="str">
        <f ca="1">IFERROR(__xludf.DUMMYFUNCTION("""COMPUTED_VALUE"""),"NA")</f>
        <v>NA</v>
      </c>
      <c r="P1179" s="5" t="str">
        <f ca="1">IFERROR(__xludf.DUMMYFUNCTION("""COMPUTED_VALUE"""),"(626) 635-3094")</f>
        <v>(626) 635-3094</v>
      </c>
      <c r="Q1179" s="5"/>
      <c r="R1179" s="5"/>
      <c r="S1179" s="5"/>
      <c r="T1179" s="18">
        <f ca="1">IFERROR(__xludf.DUMMYFUNCTION("""COMPUTED_VALUE"""),42959)</f>
        <v>42959</v>
      </c>
    </row>
    <row r="1180" spans="1:20" ht="12.75">
      <c r="A1180" s="24">
        <f ca="1">IFERROR(__xludf.DUMMYFUNCTION("""COMPUTED_VALUE"""),45672.8081929166)</f>
        <v>45672.8081929166</v>
      </c>
      <c r="B1180" s="5" t="str">
        <f ca="1">IFERROR(__xludf.DUMMYFUNCTION("""COMPUTED_VALUE"""),"1245 Buena Vista Street")</f>
        <v>1245 Buena Vista Street</v>
      </c>
      <c r="C1180" s="5" t="str">
        <f ca="1">IFERROR(__xludf.DUMMYFUNCTION("""COMPUTED_VALUE"""),"Ventura")</f>
        <v>Ventura</v>
      </c>
      <c r="D1180" s="5" t="str">
        <f ca="1">IFERROR(__xludf.DUMMYFUNCTION("""COMPUTED_VALUE"""),"CA")</f>
        <v>CA</v>
      </c>
      <c r="E1180" s="5">
        <f ca="1">IFERROR(__xludf.DUMMYFUNCTION("""COMPUTED_VALUE"""),93001)</f>
        <v>93001</v>
      </c>
      <c r="F1180" s="19">
        <f ca="1">IFERROR(__xludf.DUMMYFUNCTION("""COMPUTED_VALUE"""),14000)</f>
        <v>14000</v>
      </c>
      <c r="G1180" s="19">
        <f ca="1">IFERROR(__xludf.DUMMYFUNCTION("""COMPUTED_VALUE"""),20000)</f>
        <v>20000</v>
      </c>
      <c r="H1180" s="18">
        <f ca="1">IFERROR(__xludf.DUMMYFUNCTION("""COMPUTED_VALUE"""),45665)</f>
        <v>45665</v>
      </c>
      <c r="I1180" s="5" t="str">
        <f ca="1">IFERROR(__xludf.DUMMYFUNCTION("""COMPUTED_VALUE"""),"Zillow")</f>
        <v>Zillow</v>
      </c>
      <c r="J1180" s="25" t="str">
        <f ca="1">IFERROR(__xludf.DUMMYFUNCTION("""COMPUTED_VALUE"""),"https://www.zillow.com/homedetails/1245-Buena-Vista-St-Ventura-CA-93001/69037464_zpid/")</f>
        <v>https://www.zillow.com/homedetails/1245-Buena-Vista-St-Ventura-CA-93001/69037464_zpid/</v>
      </c>
      <c r="K1180" s="5" t="str">
        <f ca="1">IFERROR(__xludf.DUMMYFUNCTION("""COMPUTED_VALUE"""),"Joseph Leon")</f>
        <v>Joseph Leon</v>
      </c>
      <c r="L1180" s="5"/>
      <c r="M1180" s="5"/>
      <c r="N1180" s="26" t="str">
        <f ca="1">IFERROR(__xludf.DUMMYFUNCTION("""COMPUTED_VALUE"""),"https://drive.google.com/open?id=19aimCbC5WGBAmEHknnpqsgqn9TwULCIm")</f>
        <v>https://drive.google.com/open?id=19aimCbC5WGBAmEHknnpqsgqn9TwULCIm</v>
      </c>
      <c r="O1180" s="5" t="str">
        <f ca="1">IFERROR(__xludf.DUMMYFUNCTION("""COMPUTED_VALUE"""),"0720126210")</f>
        <v>0720126210</v>
      </c>
      <c r="P1180" s="5" t="str">
        <f ca="1">IFERROR(__xludf.DUMMYFUNCTION("""COMPUTED_VALUE"""),"(661) 331-2982")</f>
        <v>(661) 331-2982</v>
      </c>
      <c r="Q1180" s="5"/>
      <c r="R1180" s="5"/>
      <c r="S1180" s="5"/>
      <c r="T1180" s="18">
        <f ca="1">IFERROR(__xludf.DUMMYFUNCTION("""COMPUTED_VALUE"""),45025)</f>
        <v>45025</v>
      </c>
    </row>
    <row r="1181" spans="1:20" ht="12.75">
      <c r="A1181" s="24">
        <f ca="1">IFERROR(__xludf.DUMMYFUNCTION("""COMPUTED_VALUE"""),45672.8090367824)</f>
        <v>45672.809036782397</v>
      </c>
      <c r="B1181" s="5" t="str">
        <f ca="1">IFERROR(__xludf.DUMMYFUNCTION("""COMPUTED_VALUE"""),"400 E Live Oak St APT 12")</f>
        <v>400 E Live Oak St APT 12</v>
      </c>
      <c r="C1181" s="5" t="str">
        <f ca="1">IFERROR(__xludf.DUMMYFUNCTION("""COMPUTED_VALUE"""),"San Gabriel")</f>
        <v>San Gabriel</v>
      </c>
      <c r="D1181" s="5" t="str">
        <f ca="1">IFERROR(__xludf.DUMMYFUNCTION("""COMPUTED_VALUE"""),"CA")</f>
        <v>CA</v>
      </c>
      <c r="E1181" s="5">
        <f ca="1">IFERROR(__xludf.DUMMYFUNCTION("""COMPUTED_VALUE"""),91776)</f>
        <v>91776</v>
      </c>
      <c r="F1181" s="19">
        <f ca="1">IFERROR(__xludf.DUMMYFUNCTION("""COMPUTED_VALUE"""),1545)</f>
        <v>1545</v>
      </c>
      <c r="G1181" s="19">
        <f ca="1">IFERROR(__xludf.DUMMYFUNCTION("""COMPUTED_VALUE"""),2145)</f>
        <v>2145</v>
      </c>
      <c r="H1181" s="18">
        <f ca="1">IFERROR(__xludf.DUMMYFUNCTION("""COMPUTED_VALUE"""),45671)</f>
        <v>45671</v>
      </c>
      <c r="I1181" s="5" t="str">
        <f ca="1">IFERROR(__xludf.DUMMYFUNCTION("""COMPUTED_VALUE"""),"Zillow")</f>
        <v>Zillow</v>
      </c>
      <c r="J1181" s="25" t="str">
        <f ca="1">IFERROR(__xludf.DUMMYFUNCTION("""COMPUTED_VALUE"""),"https://www.zillow.com/homedetails/400-E-Live-Oak-St-APT-12-San-Gabriel-CA-91776/2112247538_zpid/")</f>
        <v>https://www.zillow.com/homedetails/400-E-Live-Oak-St-APT-12-San-Gabriel-CA-91776/2112247538_zpid/</v>
      </c>
      <c r="K1181" s="5" t="str">
        <f ca="1">IFERROR(__xludf.DUMMYFUNCTION("""COMPUTED_VALUE"""),"Robin Guerrera ")</f>
        <v xml:space="preserve">Robin Guerrera </v>
      </c>
      <c r="L1181" s="5"/>
      <c r="M1181" s="5"/>
      <c r="N1181" s="26" t="str">
        <f ca="1">IFERROR(__xludf.DUMMYFUNCTION("""COMPUTED_VALUE"""),"https://drive.google.com/open?id=1nQsJDgFIK7-01xB_Y3j7XfgMMAAgs0r_")</f>
        <v>https://drive.google.com/open?id=1nQsJDgFIK7-01xB_Y3j7XfgMMAAgs0r_</v>
      </c>
      <c r="O1181" s="5" t="str">
        <f ca="1">IFERROR(__xludf.DUMMYFUNCTION("""COMPUTED_VALUE"""),"NA")</f>
        <v>NA</v>
      </c>
      <c r="P1181" s="5" t="str">
        <f ca="1">IFERROR(__xludf.DUMMYFUNCTION("""COMPUTED_VALUE"""),"(626) 706-4117")</f>
        <v>(626) 706-4117</v>
      </c>
      <c r="Q1181" s="5"/>
      <c r="R1181" s="5"/>
      <c r="S1181" s="5"/>
      <c r="T1181" s="18">
        <f ca="1">IFERROR(__xludf.DUMMYFUNCTION("""COMPUTED_VALUE"""),42443)</f>
        <v>42443</v>
      </c>
    </row>
    <row r="1182" spans="1:20" ht="12.75">
      <c r="A1182" s="24">
        <f ca="1">IFERROR(__xludf.DUMMYFUNCTION("""COMPUTED_VALUE"""),45672.8137077893)</f>
        <v>45672.813707789297</v>
      </c>
      <c r="B1182" s="5" t="str">
        <f ca="1">IFERROR(__xludf.DUMMYFUNCTION("""COMPUTED_VALUE"""),"2712 Cameron Walk")</f>
        <v>2712 Cameron Walk</v>
      </c>
      <c r="C1182" s="5" t="str">
        <f ca="1">IFERROR(__xludf.DUMMYFUNCTION("""COMPUTED_VALUE"""),"Ventura")</f>
        <v>Ventura</v>
      </c>
      <c r="D1182" s="5" t="str">
        <f ca="1">IFERROR(__xludf.DUMMYFUNCTION("""COMPUTED_VALUE"""),"CA")</f>
        <v>CA</v>
      </c>
      <c r="E1182" s="5">
        <f ca="1">IFERROR(__xludf.DUMMYFUNCTION("""COMPUTED_VALUE"""),93001)</f>
        <v>93001</v>
      </c>
      <c r="F1182" s="19">
        <f ca="1">IFERROR(__xludf.DUMMYFUNCTION("""COMPUTED_VALUE"""),5750)</f>
        <v>5750</v>
      </c>
      <c r="G1182" s="19">
        <f ca="1">IFERROR(__xludf.DUMMYFUNCTION("""COMPUTED_VALUE"""),7950)</f>
        <v>7950</v>
      </c>
      <c r="H1182" s="18">
        <f ca="1">IFERROR(__xludf.DUMMYFUNCTION("""COMPUTED_VALUE"""),45666)</f>
        <v>45666</v>
      </c>
      <c r="I1182" s="5" t="str">
        <f ca="1">IFERROR(__xludf.DUMMYFUNCTION("""COMPUTED_VALUE"""),"Zillow")</f>
        <v>Zillow</v>
      </c>
      <c r="J1182" s="25" t="str">
        <f ca="1">IFERROR(__xludf.DUMMYFUNCTION("""COMPUTED_VALUE"""),"https://www.zillow.com/homedetails/2712-Cameron-Walk-Ventura-CA-93001/250068193_zpid/")</f>
        <v>https://www.zillow.com/homedetails/2712-Cameron-Walk-Ventura-CA-93001/250068193_zpid/</v>
      </c>
      <c r="K1182" s="5" t="str">
        <f ca="1">IFERROR(__xludf.DUMMYFUNCTION("""COMPUTED_VALUE"""),"Jack Stevenson")</f>
        <v>Jack Stevenson</v>
      </c>
      <c r="L1182" s="5"/>
      <c r="M1182" s="5" t="str">
        <f ca="1">IFERROR(__xludf.DUMMYFUNCTION("""COMPUTED_VALUE"""),"Rent decreased to 6325 on 01/15/2025 BUT STILL")</f>
        <v>Rent decreased to 6325 on 01/15/2025 BUT STILL</v>
      </c>
      <c r="N1182" s="26" t="str">
        <f ca="1">IFERROR(__xludf.DUMMYFUNCTION("""COMPUTED_VALUE"""),"https://drive.google.com/open?id=1lzj_Vfj38C50gch2DKVxrFLox5CHxruG")</f>
        <v>https://drive.google.com/open?id=1lzj_Vfj38C50gch2DKVxrFLox5CHxruG</v>
      </c>
      <c r="O1182" s="5" t="str">
        <f ca="1">IFERROR(__xludf.DUMMYFUNCTION("""COMPUTED_VALUE"""),"0690290085")</f>
        <v>0690290085</v>
      </c>
      <c r="P1182" s="5" t="str">
        <f ca="1">IFERROR(__xludf.DUMMYFUNCTION("""COMPUTED_VALUE"""),"(805) 258-3594")</f>
        <v>(805) 258-3594</v>
      </c>
      <c r="Q1182" s="5"/>
      <c r="R1182" s="5"/>
      <c r="S1182" s="5"/>
      <c r="T1182" s="18">
        <f ca="1">IFERROR(__xludf.DUMMYFUNCTION("""COMPUTED_VALUE"""),45659)</f>
        <v>45659</v>
      </c>
    </row>
    <row r="1183" spans="1:20" ht="12.75">
      <c r="A1183" s="24">
        <f ca="1">IFERROR(__xludf.DUMMYFUNCTION("""COMPUTED_VALUE"""),45672.8147007986)</f>
        <v>45672.814700798597</v>
      </c>
      <c r="B1183" s="5" t="str">
        <f ca="1">IFERROR(__xludf.DUMMYFUNCTION("""COMPUTED_VALUE"""),"3182 Abington Dr")</f>
        <v>3182 Abington Dr</v>
      </c>
      <c r="C1183" s="5" t="str">
        <f ca="1">IFERROR(__xludf.DUMMYFUNCTION("""COMPUTED_VALUE"""),"Beverly Hills")</f>
        <v>Beverly Hills</v>
      </c>
      <c r="D1183" s="5" t="str">
        <f ca="1">IFERROR(__xludf.DUMMYFUNCTION("""COMPUTED_VALUE"""),"CA")</f>
        <v>CA</v>
      </c>
      <c r="E1183" s="5">
        <f ca="1">IFERROR(__xludf.DUMMYFUNCTION("""COMPUTED_VALUE"""),90210)</f>
        <v>90210</v>
      </c>
      <c r="F1183" s="19">
        <f ca="1">IFERROR(__xludf.DUMMYFUNCTION("""COMPUTED_VALUE"""),28950)</f>
        <v>28950</v>
      </c>
      <c r="G1183" s="19">
        <f ca="1">IFERROR(__xludf.DUMMYFUNCTION("""COMPUTED_VALUE"""),31995)</f>
        <v>31995</v>
      </c>
      <c r="H1183" s="18">
        <f ca="1">IFERROR(__xludf.DUMMYFUNCTION("""COMPUTED_VALUE"""),45669)</f>
        <v>45669</v>
      </c>
      <c r="I1183" s="5" t="str">
        <f ca="1">IFERROR(__xludf.DUMMYFUNCTION("""COMPUTED_VALUE"""),"Redfin")</f>
        <v>Redfin</v>
      </c>
      <c r="J1183" s="25" t="str">
        <f ca="1">IFERROR(__xludf.DUMMYFUNCTION("""COMPUTED_VALUE"""),"https://www.redfin.com/CA/Beverly-Hills/3182-Abington-Dr-90210/home/6834008")</f>
        <v>https://www.redfin.com/CA/Beverly-Hills/3182-Abington-Dr-90210/home/6834008</v>
      </c>
      <c r="K1183" s="5" t="str">
        <f ca="1">IFERROR(__xludf.DUMMYFUNCTION("""COMPUTED_VALUE"""),"Michael Fahimian")</f>
        <v>Michael Fahimian</v>
      </c>
      <c r="L1183" s="5"/>
      <c r="M1183" s="5"/>
      <c r="N1183" s="5" t="str">
        <f ca="1">IFERROR(__xludf.DUMMYFUNCTION("""COMPUTED_VALUE"""),"https://drive.google.com/open?id=1v0zf58TQ9geMO2RSTbojoUVuRvKlofxA, https://drive.google.com/open?id=1678VYLqftrgVexWEKxje7OauCx4yviEl")</f>
        <v>https://drive.google.com/open?id=1v0zf58TQ9geMO2RSTbojoUVuRvKlofxA, https://drive.google.com/open?id=1678VYLqftrgVexWEKxje7OauCx4yviEl</v>
      </c>
      <c r="O1183" s="5" t="str">
        <f ca="1">IFERROR(__xludf.DUMMYFUNCTION("""COMPUTED_VALUE"""),"NA")</f>
        <v>NA</v>
      </c>
      <c r="P1183" s="5">
        <f ca="1">IFERROR(__xludf.DUMMYFUNCTION("""COMPUTED_VALUE"""),3108820064)</f>
        <v>3108820064</v>
      </c>
      <c r="Q1183" s="5" t="str">
        <f ca="1">IFERROR(__xludf.DUMMYFUNCTION("""COMPUTED_VALUE"""),"mf@thebeverlyhillsestates.com")</f>
        <v>mf@thebeverlyhillsestates.com</v>
      </c>
      <c r="R1183" s="5"/>
      <c r="S1183" s="5"/>
      <c r="T1183" s="18">
        <f ca="1">IFERROR(__xludf.DUMMYFUNCTION("""COMPUTED_VALUE"""),45300)</f>
        <v>45300</v>
      </c>
    </row>
    <row r="1184" spans="1:20" ht="12.75">
      <c r="A1184" s="24">
        <f ca="1">IFERROR(__xludf.DUMMYFUNCTION("""COMPUTED_VALUE"""),45672.8175552662)</f>
        <v>45672.8175552662</v>
      </c>
      <c r="B1184" s="5" t="str">
        <f ca="1">IFERROR(__xludf.DUMMYFUNCTION("""COMPUTED_VALUE"""),"4141 Hayvenhurst Ave")</f>
        <v>4141 Hayvenhurst Ave</v>
      </c>
      <c r="C1184" s="5" t="str">
        <f ca="1">IFERROR(__xludf.DUMMYFUNCTION("""COMPUTED_VALUE"""),"Encino")</f>
        <v>Encino</v>
      </c>
      <c r="D1184" s="5" t="str">
        <f ca="1">IFERROR(__xludf.DUMMYFUNCTION("""COMPUTED_VALUE"""),"CA")</f>
        <v>CA</v>
      </c>
      <c r="E1184" s="5">
        <f ca="1">IFERROR(__xludf.DUMMYFUNCTION("""COMPUTED_VALUE"""),91436)</f>
        <v>91436</v>
      </c>
      <c r="F1184" s="19">
        <f ca="1">IFERROR(__xludf.DUMMYFUNCTION("""COMPUTED_VALUE"""),25000)</f>
        <v>25000</v>
      </c>
      <c r="G1184" s="19">
        <f ca="1">IFERROR(__xludf.DUMMYFUNCTION("""COMPUTED_VALUE"""),30000)</f>
        <v>30000</v>
      </c>
      <c r="H1184" s="18">
        <f ca="1">IFERROR(__xludf.DUMMYFUNCTION("""COMPUTED_VALUE"""),45667)</f>
        <v>45667</v>
      </c>
      <c r="I1184" s="5" t="str">
        <f ca="1">IFERROR(__xludf.DUMMYFUNCTION("""COMPUTED_VALUE"""),"Redfin")</f>
        <v>Redfin</v>
      </c>
      <c r="J1184" s="25" t="str">
        <f ca="1">IFERROR(__xludf.DUMMYFUNCTION("""COMPUTED_VALUE"""),"https://www.redfin.com/CA/Encino/4141-Hayvenhurst-Ave-91436/home/4942231")</f>
        <v>https://www.redfin.com/CA/Encino/4141-Hayvenhurst-Ave-91436/home/4942231</v>
      </c>
      <c r="K1184" s="5"/>
      <c r="L1184" s="5"/>
      <c r="M1184" s="5"/>
      <c r="N1184" s="5" t="str">
        <f ca="1">IFERROR(__xludf.DUMMYFUNCTION("""COMPUTED_VALUE"""),"https://drive.google.com/open?id=1cexzCfiBubTd7uM6GLsG0cY-U4YRUlyR, https://drive.google.com/open?id=1adV47-Q0b-5_KSz4vNPzhZOMA1imwLuH")</f>
        <v>https://drive.google.com/open?id=1cexzCfiBubTd7uM6GLsG0cY-U4YRUlyR, https://drive.google.com/open?id=1adV47-Q0b-5_KSz4vNPzhZOMA1imwLuH</v>
      </c>
      <c r="O1184" s="5" t="str">
        <f ca="1">IFERROR(__xludf.DUMMYFUNCTION("""COMPUTED_VALUE"""),"NA")</f>
        <v>NA</v>
      </c>
      <c r="P1184" s="5"/>
      <c r="Q1184" s="5"/>
      <c r="R1184" s="5"/>
      <c r="S1184" s="5"/>
      <c r="T1184" s="18">
        <f ca="1">IFERROR(__xludf.DUMMYFUNCTION("""COMPUTED_VALUE"""),45302)</f>
        <v>45302</v>
      </c>
    </row>
    <row r="1185" spans="1:20" ht="12.75">
      <c r="A1185" s="24">
        <f ca="1">IFERROR(__xludf.DUMMYFUNCTION("""COMPUTED_VALUE"""),45672.825279456)</f>
        <v>45672.825279456003</v>
      </c>
      <c r="B1185" s="5" t="str">
        <f ca="1">IFERROR(__xludf.DUMMYFUNCTION("""COMPUTED_VALUE"""),"8744 Skyline Dr")</f>
        <v>8744 Skyline Dr</v>
      </c>
      <c r="C1185" s="5" t="str">
        <f ca="1">IFERROR(__xludf.DUMMYFUNCTION("""COMPUTED_VALUE"""),"Los Angeles")</f>
        <v>Los Angeles</v>
      </c>
      <c r="D1185" s="5" t="str">
        <f ca="1">IFERROR(__xludf.DUMMYFUNCTION("""COMPUTED_VALUE"""),"CA")</f>
        <v>CA</v>
      </c>
      <c r="E1185" s="5">
        <f ca="1">IFERROR(__xludf.DUMMYFUNCTION("""COMPUTED_VALUE"""),90046)</f>
        <v>90046</v>
      </c>
      <c r="F1185" s="19">
        <f ca="1">IFERROR(__xludf.DUMMYFUNCTION("""COMPUTED_VALUE"""),18900)</f>
        <v>18900</v>
      </c>
      <c r="G1185" s="19">
        <f ca="1">IFERROR(__xludf.DUMMYFUNCTION("""COMPUTED_VALUE"""),29500)</f>
        <v>29500</v>
      </c>
      <c r="H1185" s="18">
        <f ca="1">IFERROR(__xludf.DUMMYFUNCTION("""COMPUTED_VALUE"""),45628)</f>
        <v>45628</v>
      </c>
      <c r="I1185" s="5" t="str">
        <f ca="1">IFERROR(__xludf.DUMMYFUNCTION("""COMPUTED_VALUE"""),"Redfin")</f>
        <v>Redfin</v>
      </c>
      <c r="J1185" s="25" t="str">
        <f ca="1">IFERROR(__xludf.DUMMYFUNCTION("""COMPUTED_VALUE"""),"https://www.redfin.com/CA/Los-Angeles/8744-Skyline-Dr-90046/home/7123091")</f>
        <v>https://www.redfin.com/CA/Los-Angeles/8744-Skyline-Dr-90046/home/7123091</v>
      </c>
      <c r="K1185" s="5" t="str">
        <f ca="1">IFERROR(__xludf.DUMMYFUNCTION("""COMPUTED_VALUE"""),"Mazda Hoghoughi")</f>
        <v>Mazda Hoghoughi</v>
      </c>
      <c r="L1185" s="5"/>
      <c r="M1185" s="5"/>
      <c r="N1185" s="5" t="str">
        <f ca="1">IFERROR(__xludf.DUMMYFUNCTION("""COMPUTED_VALUE"""),"https://drive.google.com/open?id=1vLaU39sMZtrKUEhTy7FkIBSp3Vn7JPqA, https://drive.google.com/open?id=1klIPLJ1aNNBNTnvt8xaOOLhAlBJ19iK1")</f>
        <v>https://drive.google.com/open?id=1vLaU39sMZtrKUEhTy7FkIBSp3Vn7JPqA, https://drive.google.com/open?id=1klIPLJ1aNNBNTnvt8xaOOLhAlBJ19iK1</v>
      </c>
      <c r="O1185" s="5" t="str">
        <f ca="1">IFERROR(__xludf.DUMMYFUNCTION("""COMPUTED_VALUE"""),"NA")</f>
        <v>NA</v>
      </c>
      <c r="P1185" s="5" t="str">
        <f ca="1">IFERROR(__xludf.DUMMYFUNCTION("""COMPUTED_VALUE"""),"310-210-2225 ")</f>
        <v xml:space="preserve">310-210-2225 </v>
      </c>
      <c r="Q1185" s="5" t="str">
        <f ca="1">IFERROR(__xludf.DUMMYFUNCTION("""COMPUTED_VALUE"""),"mazda@eliteproperty.com")</f>
        <v>mazda@eliteproperty.com</v>
      </c>
      <c r="R1185" s="5"/>
      <c r="S1185" s="5"/>
      <c r="T1185" s="18">
        <f ca="1">IFERROR(__xludf.DUMMYFUNCTION("""COMPUTED_VALUE"""),45613)</f>
        <v>45613</v>
      </c>
    </row>
    <row r="1186" spans="1:20" ht="12.75">
      <c r="A1186" s="24">
        <f ca="1">IFERROR(__xludf.DUMMYFUNCTION("""COMPUTED_VALUE"""),45672.8421783796)</f>
        <v>45672.8421783796</v>
      </c>
      <c r="B1186" s="5" t="str">
        <f ca="1">IFERROR(__xludf.DUMMYFUNCTION("""COMPUTED_VALUE"""),"1456 Newport Ave")</f>
        <v>1456 Newport Ave</v>
      </c>
      <c r="C1186" s="5" t="str">
        <f ca="1">IFERROR(__xludf.DUMMYFUNCTION("""COMPUTED_VALUE"""),"Long Beach")</f>
        <v>Long Beach</v>
      </c>
      <c r="D1186" s="5" t="str">
        <f ca="1">IFERROR(__xludf.DUMMYFUNCTION("""COMPUTED_VALUE"""),"CA")</f>
        <v>CA</v>
      </c>
      <c r="E1186" s="5">
        <f ca="1">IFERROR(__xludf.DUMMYFUNCTION("""COMPUTED_VALUE"""),90804)</f>
        <v>90804</v>
      </c>
      <c r="F1186" s="19">
        <f ca="1">IFERROR(__xludf.DUMMYFUNCTION("""COMPUTED_VALUE"""),7998)</f>
        <v>7998</v>
      </c>
      <c r="G1186" s="19">
        <f ca="1">IFERROR(__xludf.DUMMYFUNCTION("""COMPUTED_VALUE"""),8998)</f>
        <v>8998</v>
      </c>
      <c r="H1186" s="18">
        <f ca="1">IFERROR(__xludf.DUMMYFUNCTION("""COMPUTED_VALUE"""),45672)</f>
        <v>45672</v>
      </c>
      <c r="I1186" s="5" t="str">
        <f ca="1">IFERROR(__xludf.DUMMYFUNCTION("""COMPUTED_VALUE"""),"Zillow")</f>
        <v>Zillow</v>
      </c>
      <c r="J1186" s="25" t="str">
        <f ca="1">IFERROR(__xludf.DUMMYFUNCTION("""COMPUTED_VALUE"""),"https://www.zillow.com/homedetails/1456-Newport-Ave-Long-Beach-CA-90804/21226664_zpid/")</f>
        <v>https://www.zillow.com/homedetails/1456-Newport-Ave-Long-Beach-CA-90804/21226664_zpid/</v>
      </c>
      <c r="K1186" s="5"/>
      <c r="L1186" s="5" t="str">
        <f ca="1">IFERROR(__xludf.DUMMYFUNCTION("""COMPUTED_VALUE"""),"Kasey")</f>
        <v>Kasey</v>
      </c>
      <c r="M1186" s="5"/>
      <c r="N1186" s="5" t="str">
        <f ca="1">IFERROR(__xludf.DUMMYFUNCTION("""COMPUTED_VALUE"""),"https://drive.google.com/open?id=1ApJR8-HiVIT8e30twr-xI9pB3RR_gsJd, https://drive.google.com/open?id=1UqTqoSEPFB1zhEVWgQTkHy9uYh1NZGng, https://drive.google.com/open?id=1eUwBjSUjg_OgoZy8xQ0tmtfz2yn3GHjI")</f>
        <v>https://drive.google.com/open?id=1ApJR8-HiVIT8e30twr-xI9pB3RR_gsJd, https://drive.google.com/open?id=1UqTqoSEPFB1zhEVWgQTkHy9uYh1NZGng, https://drive.google.com/open?id=1eUwBjSUjg_OgoZy8xQ0tmtfz2yn3GHjI</v>
      </c>
      <c r="O1186" s="5">
        <f ca="1">IFERROR(__xludf.DUMMYFUNCTION("""COMPUTED_VALUE"""),7259012032)</f>
        <v>7259012032</v>
      </c>
      <c r="P1186" s="5"/>
      <c r="Q1186" s="5"/>
      <c r="R1186" s="5" t="str">
        <f ca="1">IFERROR(__xludf.DUMMYFUNCTION("""COMPUTED_VALUE"""),"(858) 245-0510")</f>
        <v>(858) 245-0510</v>
      </c>
      <c r="S1186" s="5"/>
      <c r="T1186" s="18">
        <f ca="1">IFERROR(__xludf.DUMMYFUNCTION("""COMPUTED_VALUE"""),45630)</f>
        <v>45630</v>
      </c>
    </row>
    <row r="1187" spans="1:20" ht="12.75">
      <c r="A1187" s="24">
        <f ca="1">IFERROR(__xludf.DUMMYFUNCTION("""COMPUTED_VALUE"""),45672.8433091203)</f>
        <v>45672.843309120297</v>
      </c>
      <c r="B1187" s="5" t="str">
        <f ca="1">IFERROR(__xludf.DUMMYFUNCTION("""COMPUTED_VALUE"""),"5237 Leghorn Ave")</f>
        <v>5237 Leghorn Ave</v>
      </c>
      <c r="C1187" s="5" t="str">
        <f ca="1">IFERROR(__xludf.DUMMYFUNCTION("""COMPUTED_VALUE"""),"Van Nuys")</f>
        <v>Van Nuys</v>
      </c>
      <c r="D1187" s="5" t="str">
        <f ca="1">IFERROR(__xludf.DUMMYFUNCTION("""COMPUTED_VALUE"""),"CA")</f>
        <v>CA</v>
      </c>
      <c r="E1187" s="5">
        <f ca="1">IFERROR(__xludf.DUMMYFUNCTION("""COMPUTED_VALUE"""),91401)</f>
        <v>91401</v>
      </c>
      <c r="F1187" s="19">
        <f ca="1">IFERROR(__xludf.DUMMYFUNCTION("""COMPUTED_VALUE"""),5500)</f>
        <v>5500</v>
      </c>
      <c r="G1187" s="19">
        <f ca="1">IFERROR(__xludf.DUMMYFUNCTION("""COMPUTED_VALUE"""),7000)</f>
        <v>7000</v>
      </c>
      <c r="H1187" s="18">
        <f ca="1">IFERROR(__xludf.DUMMYFUNCTION("""COMPUTED_VALUE"""),45672)</f>
        <v>45672</v>
      </c>
      <c r="I1187" s="5" t="str">
        <f ca="1">IFERROR(__xludf.DUMMYFUNCTION("""COMPUTED_VALUE"""),"Zillow")</f>
        <v>Zillow</v>
      </c>
      <c r="J1187" s="25" t="str">
        <f ca="1">IFERROR(__xludf.DUMMYFUNCTION("""COMPUTED_VALUE"""),"https://www.zillow.com/homedetails/5237-Leghorn-Ave-Van-Nuys-CA-91401/20015833_zpid/?utm_campaign=iosappmessage&amp;utm_medium=referral&amp;utm_source=txtshare")</f>
        <v>https://www.zillow.com/homedetails/5237-Leghorn-Ave-Van-Nuys-CA-91401/20015833_zpid/?utm_campaign=iosappmessage&amp;utm_medium=referral&amp;utm_source=txtshare</v>
      </c>
      <c r="K1187" s="5"/>
      <c r="L1187" s="5"/>
      <c r="M1187" s="5"/>
      <c r="N1187" s="26" t="str">
        <f ca="1">IFERROR(__xludf.DUMMYFUNCTION("""COMPUTED_VALUE"""),"https://drive.google.com/open?id=1cHAANbw2gcr6SH5qR2aTgl60D82FbJKX")</f>
        <v>https://drive.google.com/open?id=1cHAANbw2gcr6SH5qR2aTgl60D82FbJKX</v>
      </c>
      <c r="O1187" s="5">
        <f ca="1">IFERROR(__xludf.DUMMYFUNCTION("""COMPUTED_VALUE"""),2345018056)</f>
        <v>2345018056</v>
      </c>
      <c r="P1187" s="5"/>
      <c r="Q1187" s="5"/>
      <c r="R1187" s="5"/>
      <c r="S1187" s="5"/>
      <c r="T1187" s="18">
        <f ca="1">IFERROR(__xludf.DUMMYFUNCTION("""COMPUTED_VALUE"""),45658)</f>
        <v>45658</v>
      </c>
    </row>
    <row r="1188" spans="1:20" ht="12.75">
      <c r="A1188" s="24">
        <f ca="1">IFERROR(__xludf.DUMMYFUNCTION("""COMPUTED_VALUE"""),45672.8507233217)</f>
        <v>45672.850723321702</v>
      </c>
      <c r="B1188" s="5" t="str">
        <f ca="1">IFERROR(__xludf.DUMMYFUNCTION("""COMPUTED_VALUE"""),"213 17th St APT A")</f>
        <v>213 17th St APT A</v>
      </c>
      <c r="C1188" s="5" t="str">
        <f ca="1">IFERROR(__xludf.DUMMYFUNCTION("""COMPUTED_VALUE"""),"Huntington Beach")</f>
        <v>Huntington Beach</v>
      </c>
      <c r="D1188" s="5" t="str">
        <f ca="1">IFERROR(__xludf.DUMMYFUNCTION("""COMPUTED_VALUE"""),"CA")</f>
        <v>CA</v>
      </c>
      <c r="E1188" s="5">
        <f ca="1">IFERROR(__xludf.DUMMYFUNCTION("""COMPUTED_VALUE"""),92648)</f>
        <v>92648</v>
      </c>
      <c r="F1188" s="19">
        <f ca="1">IFERROR(__xludf.DUMMYFUNCTION("""COMPUTED_VALUE"""),7800)</f>
        <v>7800</v>
      </c>
      <c r="G1188" s="19">
        <f ca="1">IFERROR(__xludf.DUMMYFUNCTION("""COMPUTED_VALUE"""),9000)</f>
        <v>9000</v>
      </c>
      <c r="H1188" s="18">
        <f ca="1">IFERROR(__xludf.DUMMYFUNCTION("""COMPUTED_VALUE"""),45666)</f>
        <v>45666</v>
      </c>
      <c r="I1188" s="5" t="str">
        <f ca="1">IFERROR(__xludf.DUMMYFUNCTION("""COMPUTED_VALUE"""),"Zillow")</f>
        <v>Zillow</v>
      </c>
      <c r="J1188" s="25" t="str">
        <f ca="1">IFERROR(__xludf.DUMMYFUNCTION("""COMPUTED_VALUE"""),"https://www.zillow.com/homedetails/213-17th-St-APT-A-Huntington-Beach-CA-92648/2062460252_zpid/")</f>
        <v>https://www.zillow.com/homedetails/213-17th-St-APT-A-Huntington-Beach-CA-92648/2062460252_zpid/</v>
      </c>
      <c r="K1188" s="5" t="str">
        <f ca="1">IFERROR(__xludf.DUMMYFUNCTION("""COMPUTED_VALUE"""),"Victor(323) 304-6058")</f>
        <v>Victor(323) 304-6058</v>
      </c>
      <c r="L1188" s="5"/>
      <c r="M1188" s="5"/>
      <c r="N1188" s="5" t="str">
        <f ca="1">IFERROR(__xludf.DUMMYFUNCTION("""COMPUTED_VALUE"""),"https://drive.google.com/open?id=1IsY9pfDt_gJAddelHdZTyft9M9nNSFnq, https://drive.google.com/open?id=1zOES_lNPW6RfOgzNj0TEpkvXIPjl5dDC, https://drive.google.com/open?id=1cuRZT3nBw_l-G_-3cd01yPSsihJbGK4-")</f>
        <v>https://drive.google.com/open?id=1IsY9pfDt_gJAddelHdZTyft9M9nNSFnq, https://drive.google.com/open?id=1zOES_lNPW6RfOgzNj0TEpkvXIPjl5dDC, https://drive.google.com/open?id=1cuRZT3nBw_l-G_-3cd01yPSsihJbGK4-</v>
      </c>
      <c r="O1188" s="5" t="str">
        <f ca="1">IFERROR(__xludf.DUMMYFUNCTION("""COMPUTED_VALUE"""),"NA")</f>
        <v>NA</v>
      </c>
      <c r="P1188" s="5"/>
      <c r="Q1188" s="5"/>
      <c r="R1188" s="5"/>
      <c r="S1188" s="5"/>
      <c r="T1188" s="18">
        <f ca="1">IFERROR(__xludf.DUMMYFUNCTION("""COMPUTED_VALUE"""),45578)</f>
        <v>45578</v>
      </c>
    </row>
    <row r="1189" spans="1:20" ht="12.75">
      <c r="A1189" s="24">
        <f ca="1">IFERROR(__xludf.DUMMYFUNCTION("""COMPUTED_VALUE"""),45672.8737745254)</f>
        <v>45672.873774525397</v>
      </c>
      <c r="B1189" s="5" t="str">
        <f ca="1">IFERROR(__xludf.DUMMYFUNCTION("""COMPUTED_VALUE"""),"7501 S Central Ave")</f>
        <v>7501 S Central Ave</v>
      </c>
      <c r="C1189" s="5" t="str">
        <f ca="1">IFERROR(__xludf.DUMMYFUNCTION("""COMPUTED_VALUE"""),"Los Angeles")</f>
        <v>Los Angeles</v>
      </c>
      <c r="D1189" s="5" t="str">
        <f ca="1">IFERROR(__xludf.DUMMYFUNCTION("""COMPUTED_VALUE"""),"CA")</f>
        <v>CA</v>
      </c>
      <c r="E1189" s="5">
        <f ca="1">IFERROR(__xludf.DUMMYFUNCTION("""COMPUTED_VALUE"""),90001)</f>
        <v>90001</v>
      </c>
      <c r="F1189" s="19">
        <f ca="1">IFERROR(__xludf.DUMMYFUNCTION("""COMPUTED_VALUE"""),1500)</f>
        <v>1500</v>
      </c>
      <c r="G1189" s="19">
        <f ca="1">IFERROR(__xludf.DUMMYFUNCTION("""COMPUTED_VALUE"""),1950)</f>
        <v>1950</v>
      </c>
      <c r="H1189" s="18">
        <f ca="1">IFERROR(__xludf.DUMMYFUNCTION("""COMPUTED_VALUE"""),45672)</f>
        <v>45672</v>
      </c>
      <c r="I1189" s="5" t="str">
        <f ca="1">IFERROR(__xludf.DUMMYFUNCTION("""COMPUTED_VALUE"""),"Apartments.com and Prime West Management site")</f>
        <v>Apartments.com and Prime West Management site</v>
      </c>
      <c r="J1189" s="25" t="str">
        <f ca="1">IFERROR(__xludf.DUMMYFUNCTION("""COMPUTED_VALUE"""),"https://primewestmanagement.appfolio.com/listings/detail/0bec5fc5-cb0e-46d4-aa75-d2179b307429")</f>
        <v>https://primewestmanagement.appfolio.com/listings/detail/0bec5fc5-cb0e-46d4-aa75-d2179b307429</v>
      </c>
      <c r="K1189" s="5" t="str">
        <f ca="1">IFERROR(__xludf.DUMMYFUNCTION("""COMPUTED_VALUE"""),"Jocelyn")</f>
        <v>Jocelyn</v>
      </c>
      <c r="L1189" s="5"/>
      <c r="M1189" s="5" t="str">
        <f ca="1">IFERROR(__xludf.DUMMYFUNCTION("""COMPUTED_VALUE"""),"2 weeks ago described as “renting for $1500” on apartments.com; Prime West Management has history of tenant exploitation")</f>
        <v>2 weeks ago described as “renting for $1500” on apartments.com; Prime West Management has history of tenant exploitation</v>
      </c>
      <c r="N1189" s="5" t="str">
        <f ca="1">IFERROR(__xludf.DUMMYFUNCTION("""COMPUTED_VALUE"""),"https://drive.google.com/open?id=1KxJQsLx-n-ah5-aMpbTBJpCzvDIcKdMy, https://drive.google.com/open?id=1wffy_rBq22vTUGm5vRJQg1-Oa_wobkoJ, https://drive.google.com/open?id=1tpX9fQNkngZjR7kKpQYI5uJgQrTJkRJ2")</f>
        <v>https://drive.google.com/open?id=1KxJQsLx-n-ah5-aMpbTBJpCzvDIcKdMy, https://drive.google.com/open?id=1wffy_rBq22vTUGm5vRJQg1-Oa_wobkoJ, https://drive.google.com/open?id=1tpX9fQNkngZjR7kKpQYI5uJgQrTJkRJ2</v>
      </c>
      <c r="O1189" s="5" t="str">
        <f ca="1">IFERROR(__xludf.DUMMYFUNCTION("""COMPUTED_VALUE"""),"NA")</f>
        <v>NA</v>
      </c>
      <c r="P1189" s="5" t="str">
        <f ca="1">IFERROR(__xludf.DUMMYFUNCTION("""COMPUTED_VALUE"""),"323-574-2642")</f>
        <v>323-574-2642</v>
      </c>
      <c r="Q1189" s="5"/>
      <c r="R1189" s="5"/>
      <c r="S1189" s="5"/>
      <c r="T1189" s="18">
        <f ca="1">IFERROR(__xludf.DUMMYFUNCTION("""COMPUTED_VALUE"""),45658)</f>
        <v>45658</v>
      </c>
    </row>
    <row r="1190" spans="1:20" ht="12.75">
      <c r="A1190" s="24">
        <f ca="1">IFERROR(__xludf.DUMMYFUNCTION("""COMPUTED_VALUE"""),45672.9112022916)</f>
        <v>45672.911202291602</v>
      </c>
      <c r="B1190" s="5" t="str">
        <f ca="1">IFERROR(__xludf.DUMMYFUNCTION("""COMPUTED_VALUE"""),"8262 Woodshill Trl")</f>
        <v>8262 Woodshill Trl</v>
      </c>
      <c r="C1190" s="5" t="str">
        <f ca="1">IFERROR(__xludf.DUMMYFUNCTION("""COMPUTED_VALUE"""),"Los Angeles")</f>
        <v>Los Angeles</v>
      </c>
      <c r="D1190" s="5" t="str">
        <f ca="1">IFERROR(__xludf.DUMMYFUNCTION("""COMPUTED_VALUE"""),"CA")</f>
        <v>CA</v>
      </c>
      <c r="E1190" s="5">
        <f ca="1">IFERROR(__xludf.DUMMYFUNCTION("""COMPUTED_VALUE"""),90069)</f>
        <v>90069</v>
      </c>
      <c r="F1190" s="19">
        <f ca="1">IFERROR(__xludf.DUMMYFUNCTION("""COMPUTED_VALUE"""),22995)</f>
        <v>22995</v>
      </c>
      <c r="G1190" s="19">
        <f ca="1">IFERROR(__xludf.DUMMYFUNCTION("""COMPUTED_VALUE"""),40000)</f>
        <v>40000</v>
      </c>
      <c r="H1190" s="18">
        <f ca="1">IFERROR(__xludf.DUMMYFUNCTION("""COMPUTED_VALUE"""),45672)</f>
        <v>45672</v>
      </c>
      <c r="I1190" s="5" t="str">
        <f ca="1">IFERROR(__xludf.DUMMYFUNCTION("""COMPUTED_VALUE"""),"Zillow")</f>
        <v>Zillow</v>
      </c>
      <c r="J1190" s="25" t="str">
        <f ca="1">IFERROR(__xludf.DUMMYFUNCTION("""COMPUTED_VALUE"""),"https://www.zillow.com/homedetails/8262-Woodshill-Trl-Los-Angeles-CA-90069/20797509_zpid/?utm_campaign=iosappmessage&amp;utm_medium=referral&amp;utm_source=txtshare")</f>
        <v>https://www.zillow.com/homedetails/8262-Woodshill-Trl-Los-Angeles-CA-90069/20797509_zpid/?utm_campaign=iosappmessage&amp;utm_medium=referral&amp;utm_source=txtshare</v>
      </c>
      <c r="K1190" s="5"/>
      <c r="L1190" s="5"/>
      <c r="M1190" s="5" t="str">
        <f ca="1">IFERROR(__xludf.DUMMYFUNCTION("""COMPUTED_VALUE"""),"74% rental price increase in days after tragic fires. ")</f>
        <v xml:space="preserve">74% rental price increase in days after tragic fires. </v>
      </c>
      <c r="N1190" s="5" t="str">
        <f ca="1">IFERROR(__xludf.DUMMYFUNCTION("""COMPUTED_VALUE"""),"https://drive.google.com/open?id=1D7GpyqKdNpeqb-dHhqnOPqzk14wBOJpi, https://drive.google.com/open?id=1b09pkzQEbj1Ho74xScJg_VphEfjQErVg")</f>
        <v>https://drive.google.com/open?id=1D7GpyqKdNpeqb-dHhqnOPqzk14wBOJpi, https://drive.google.com/open?id=1b09pkzQEbj1Ho74xScJg_VphEfjQErVg</v>
      </c>
      <c r="O1190" s="5">
        <f ca="1">IFERROR(__xludf.DUMMYFUNCTION("""COMPUTED_VALUE"""),5555028013)</f>
        <v>5555028013</v>
      </c>
      <c r="P1190" s="5"/>
      <c r="Q1190" s="5"/>
      <c r="R1190" s="5"/>
      <c r="S1190" s="5"/>
      <c r="T1190" s="18">
        <f ca="1">IFERROR(__xludf.DUMMYFUNCTION("""COMPUTED_VALUE"""),45659)</f>
        <v>45659</v>
      </c>
    </row>
    <row r="1191" spans="1:20" ht="12.75">
      <c r="A1191" s="24">
        <f ca="1">IFERROR(__xludf.DUMMYFUNCTION("""COMPUTED_VALUE"""),45672.9137950694)</f>
        <v>45672.913795069398</v>
      </c>
      <c r="B1191" s="5" t="str">
        <f ca="1">IFERROR(__xludf.DUMMYFUNCTION("""COMPUTED_VALUE"""),"817 N Whittier Dr")</f>
        <v>817 N Whittier Dr</v>
      </c>
      <c r="C1191" s="5" t="str">
        <f ca="1">IFERROR(__xludf.DUMMYFUNCTION("""COMPUTED_VALUE"""),"Beverly Hills")</f>
        <v>Beverly Hills</v>
      </c>
      <c r="D1191" s="5" t="str">
        <f ca="1">IFERROR(__xludf.DUMMYFUNCTION("""COMPUTED_VALUE"""),"CA")</f>
        <v>CA</v>
      </c>
      <c r="E1191" s="5">
        <f ca="1">IFERROR(__xludf.DUMMYFUNCTION("""COMPUTED_VALUE"""),90210)</f>
        <v>90210</v>
      </c>
      <c r="F1191" s="19">
        <f ca="1">IFERROR(__xludf.DUMMYFUNCTION("""COMPUTED_VALUE"""),150000)</f>
        <v>150000</v>
      </c>
      <c r="G1191" s="19">
        <f ca="1">IFERROR(__xludf.DUMMYFUNCTION("""COMPUTED_VALUE"""),195000)</f>
        <v>195000</v>
      </c>
      <c r="H1191" s="18">
        <f ca="1">IFERROR(__xludf.DUMMYFUNCTION("""COMPUTED_VALUE"""),45671)</f>
        <v>45671</v>
      </c>
      <c r="I1191" s="5" t="str">
        <f ca="1">IFERROR(__xludf.DUMMYFUNCTION("""COMPUTED_VALUE"""),"Zillow")</f>
        <v>Zillow</v>
      </c>
      <c r="J1191" s="25" t="str">
        <f ca="1">IFERROR(__xludf.DUMMYFUNCTION("""COMPUTED_VALUE"""),"https://www.zillow.com/homedetails/817-N-Whittier-Dr-Beverly-Hills-CA-90210/20521923_zpid/?utm_campaign=iosappmessage&amp;utm_medium=referral&amp;utm_source=txtshare")</f>
        <v>https://www.zillow.com/homedetails/817-N-Whittier-Dr-Beverly-Hills-CA-90210/20521923_zpid/?utm_campaign=iosappmessage&amp;utm_medium=referral&amp;utm_source=txtshare</v>
      </c>
      <c r="K1191" s="5"/>
      <c r="L1191" s="5"/>
      <c r="M1191" s="5"/>
      <c r="N1191" s="5" t="str">
        <f ca="1">IFERROR(__xludf.DUMMYFUNCTION("""COMPUTED_VALUE"""),"https://drive.google.com/open?id=1X7kdT7l-5kW56fhJLx6tBWZpyWnJOlU5, https://drive.google.com/open?id=1N1NXug0oMhH_TFZVtGqLhwEV-OXmQ_rz")</f>
        <v>https://drive.google.com/open?id=1X7kdT7l-5kW56fhJLx6tBWZpyWnJOlU5, https://drive.google.com/open?id=1N1NXug0oMhH_TFZVtGqLhwEV-OXmQ_rz</v>
      </c>
      <c r="O1191" s="5">
        <f ca="1">IFERROR(__xludf.DUMMYFUNCTION("""COMPUTED_VALUE"""),4345034006)</f>
        <v>4345034006</v>
      </c>
      <c r="P1191" s="5"/>
      <c r="Q1191" s="5"/>
      <c r="R1191" s="5"/>
      <c r="S1191" s="5"/>
      <c r="T1191" s="18">
        <f ca="1">IFERROR(__xludf.DUMMYFUNCTION("""COMPUTED_VALUE"""),45619)</f>
        <v>45619</v>
      </c>
    </row>
    <row r="1192" spans="1:20" ht="12.75">
      <c r="A1192" s="24">
        <f ca="1">IFERROR(__xludf.DUMMYFUNCTION("""COMPUTED_VALUE"""),45672.9268581597)</f>
        <v>45672.926858159699</v>
      </c>
      <c r="B1192" s="5" t="str">
        <f ca="1">IFERROR(__xludf.DUMMYFUNCTION("""COMPUTED_VALUE"""),"12311 Deana Street")</f>
        <v>12311 Deana Street</v>
      </c>
      <c r="C1192" s="5" t="str">
        <f ca="1">IFERROR(__xludf.DUMMYFUNCTION("""COMPUTED_VALUE"""),"El Monte")</f>
        <v>El Monte</v>
      </c>
      <c r="D1192" s="5" t="str">
        <f ca="1">IFERROR(__xludf.DUMMYFUNCTION("""COMPUTED_VALUE"""),"CA")</f>
        <v>CA</v>
      </c>
      <c r="E1192" s="5">
        <f ca="1">IFERROR(__xludf.DUMMYFUNCTION("""COMPUTED_VALUE"""),91732)</f>
        <v>91732</v>
      </c>
      <c r="F1192" s="19">
        <f ca="1">IFERROR(__xludf.DUMMYFUNCTION("""COMPUTED_VALUE"""),7000)</f>
        <v>7000</v>
      </c>
      <c r="G1192" s="19">
        <f ca="1">IFERROR(__xludf.DUMMYFUNCTION("""COMPUTED_VALUE"""),11200)</f>
        <v>11200</v>
      </c>
      <c r="H1192" s="18">
        <f ca="1">IFERROR(__xludf.DUMMYFUNCTION("""COMPUTED_VALUE"""),45666)</f>
        <v>45666</v>
      </c>
      <c r="I1192" s="5" t="str">
        <f ca="1">IFERROR(__xludf.DUMMYFUNCTION("""COMPUTED_VALUE"""),"Zillow")</f>
        <v>Zillow</v>
      </c>
      <c r="J1192" s="25" t="str">
        <f ca="1">IFERROR(__xludf.DUMMYFUNCTION("""COMPUTED_VALUE"""),"https://www.zillow.com/homedetails/12311-Deana-St-El-Monte-CA-91732/21598789_zpid/")</f>
        <v>https://www.zillow.com/homedetails/12311-Deana-St-El-Monte-CA-91732/21598789_zpid/</v>
      </c>
      <c r="K1192" s="5"/>
      <c r="L1192" s="5"/>
      <c r="M1192" s="5" t="str">
        <f ca="1">IFERROR(__xludf.DUMMYFUNCTION("""COMPUTED_VALUE"""),"this house has been empty since novish? its  in the same area as me.  way above marketing price for the area. they removed the listing but they put this listing on airbnb so it might be rented off of there.")</f>
        <v>this house has been empty since novish? its  in the same area as me.  way above marketing price for the area. they removed the listing but they put this listing on airbnb so it might be rented off of there.</v>
      </c>
      <c r="N1192" s="26" t="str">
        <f ca="1">IFERROR(__xludf.DUMMYFUNCTION("""COMPUTED_VALUE"""),"https://drive.google.com/open?id=1QldayyfhKdFxGjFiwrbSxyRBSnLSSlJ9")</f>
        <v>https://drive.google.com/open?id=1QldayyfhKdFxGjFiwrbSxyRBSnLSSlJ9</v>
      </c>
      <c r="O1192" s="5">
        <f ca="1">IFERROR(__xludf.DUMMYFUNCTION("""COMPUTED_VALUE"""),8549006042)</f>
        <v>8549006042</v>
      </c>
      <c r="P1192" s="5"/>
      <c r="Q1192" s="5"/>
      <c r="R1192" s="5"/>
      <c r="S1192" s="5"/>
      <c r="T1192" s="18">
        <f ca="1">IFERROR(__xludf.DUMMYFUNCTION("""COMPUTED_VALUE"""),45478)</f>
        <v>45478</v>
      </c>
    </row>
    <row r="1193" spans="1:20" ht="12.75">
      <c r="A1193" s="24">
        <f ca="1">IFERROR(__xludf.DUMMYFUNCTION("""COMPUTED_VALUE"""),45672.9311383101)</f>
        <v>45672.931138310101</v>
      </c>
      <c r="B1193" s="5" t="str">
        <f ca="1">IFERROR(__xludf.DUMMYFUNCTION("""COMPUTED_VALUE"""),"4661 Bedel St")</f>
        <v>4661 Bedel St</v>
      </c>
      <c r="C1193" s="5" t="str">
        <f ca="1">IFERROR(__xludf.DUMMYFUNCTION("""COMPUTED_VALUE"""),"Woodland Hills")</f>
        <v>Woodland Hills</v>
      </c>
      <c r="D1193" s="5" t="str">
        <f ca="1">IFERROR(__xludf.DUMMYFUNCTION("""COMPUTED_VALUE"""),"CA")</f>
        <v>CA</v>
      </c>
      <c r="E1193" s="5">
        <f ca="1">IFERROR(__xludf.DUMMYFUNCTION("""COMPUTED_VALUE"""),91364)</f>
        <v>91364</v>
      </c>
      <c r="F1193" s="19">
        <f ca="1">IFERROR(__xludf.DUMMYFUNCTION("""COMPUTED_VALUE"""),1)</f>
        <v>1</v>
      </c>
      <c r="G1193" s="19">
        <f ca="1">IFERROR(__xludf.DUMMYFUNCTION("""COMPUTED_VALUE"""),12500)</f>
        <v>12500</v>
      </c>
      <c r="H1193" s="18">
        <f ca="1">IFERROR(__xludf.DUMMYFUNCTION("""COMPUTED_VALUE"""),45668)</f>
        <v>45668</v>
      </c>
      <c r="I1193" s="5" t="str">
        <f ca="1">IFERROR(__xludf.DUMMYFUNCTION("""COMPUTED_VALUE"""),"Zillow")</f>
        <v>Zillow</v>
      </c>
      <c r="J1193" s="25" t="str">
        <f ca="1">IFERROR(__xludf.DUMMYFUNCTION("""COMPUTED_VALUE"""),"https://www.zillow.com/homedetails/4661-Bedel-St-Woodland-Hills-CA-91364/19944813_zpid/?utm_campaign=iosappmessage&amp;utm_medium=referral&amp;utm_source=txtshare")</f>
        <v>https://www.zillow.com/homedetails/4661-Bedel-St-Woodland-Hills-CA-91364/19944813_zpid/?utm_campaign=iosappmessage&amp;utm_medium=referral&amp;utm_source=txtshare</v>
      </c>
      <c r="K1193" s="5" t="str">
        <f ca="1">IFERROR(__xludf.DUMMYFUNCTION("""COMPUTED_VALUE"""),"Mackenzie Stone")</f>
        <v>Mackenzie Stone</v>
      </c>
      <c r="L1193" s="5"/>
      <c r="M1193" s="5" t="str">
        <f ca="1">IFERROR(__xludf.DUMMYFUNCTION("""COMPUTED_VALUE"""),"Sold in 2021 and suddenly listed for rent at an astronomically above market rate for this type and size of dwelling 5 days after the fires began. ")</f>
        <v xml:space="preserve">Sold in 2021 and suddenly listed for rent at an astronomically above market rate for this type and size of dwelling 5 days after the fires began. </v>
      </c>
      <c r="N1193" s="5" t="str">
        <f ca="1">IFERROR(__xludf.DUMMYFUNCTION("""COMPUTED_VALUE"""),"https://drive.google.com/open?id=1frki5TvYkPaEq3kLeB9L9H645pu5J98u, https://drive.google.com/open?id=1QozVkkU-A_lXcXYrzwdzJvHVEqa8DlxX")</f>
        <v>https://drive.google.com/open?id=1frki5TvYkPaEq3kLeB9L9H645pu5J98u, https://drive.google.com/open?id=1QozVkkU-A_lXcXYrzwdzJvHVEqa8DlxX</v>
      </c>
      <c r="O1193" s="5">
        <f ca="1">IFERROR(__xludf.DUMMYFUNCTION("""COMPUTED_VALUE"""),2172010048)</f>
        <v>2172010048</v>
      </c>
      <c r="P1193" s="5">
        <f ca="1">IFERROR(__xludf.DUMMYFUNCTION("""COMPUTED_VALUE"""),3108496775)</f>
        <v>3108496775</v>
      </c>
      <c r="Q1193" s="5"/>
      <c r="R1193" s="5"/>
      <c r="S1193" s="5"/>
      <c r="T1193" s="18">
        <f ca="1">IFERROR(__xludf.DUMMYFUNCTION("""COMPUTED_VALUE"""),45667)</f>
        <v>45667</v>
      </c>
    </row>
    <row r="1194" spans="1:20" ht="12.75">
      <c r="A1194" s="24">
        <f ca="1">IFERROR(__xludf.DUMMYFUNCTION("""COMPUTED_VALUE"""),45672.9481996527)</f>
        <v>45672.948199652703</v>
      </c>
      <c r="B1194" s="5" t="str">
        <f ca="1">IFERROR(__xludf.DUMMYFUNCTION("""COMPUTED_VALUE"""),"137 S Wilson Ave #209")</f>
        <v>137 S Wilson Ave #209</v>
      </c>
      <c r="C1194" s="5" t="str">
        <f ca="1">IFERROR(__xludf.DUMMYFUNCTION("""COMPUTED_VALUE"""),"Pasadena")</f>
        <v>Pasadena</v>
      </c>
      <c r="D1194" s="5" t="str">
        <f ca="1">IFERROR(__xludf.DUMMYFUNCTION("""COMPUTED_VALUE"""),"CA")</f>
        <v>CA</v>
      </c>
      <c r="E1194" s="5">
        <f ca="1">IFERROR(__xludf.DUMMYFUNCTION("""COMPUTED_VALUE"""),91106)</f>
        <v>91106</v>
      </c>
      <c r="F1194" s="19">
        <f ca="1">IFERROR(__xludf.DUMMYFUNCTION("""COMPUTED_VALUE"""),3999)</f>
        <v>3999</v>
      </c>
      <c r="G1194" s="19">
        <f ca="1">IFERROR(__xludf.DUMMYFUNCTION("""COMPUTED_VALUE"""),4498)</f>
        <v>4498</v>
      </c>
      <c r="H1194" s="18">
        <f ca="1">IFERROR(__xludf.DUMMYFUNCTION("""COMPUTED_VALUE"""),45666)</f>
        <v>45666</v>
      </c>
      <c r="I1194" s="5" t="str">
        <f ca="1">IFERROR(__xludf.DUMMYFUNCTION("""COMPUTED_VALUE"""),"Compass")</f>
        <v>Compass</v>
      </c>
      <c r="J1194" s="25" t="str">
        <f ca="1">IFERROR(__xludf.DUMMYFUNCTION("""COMPUTED_VALUE"""),"https://www.compass.com/listing/137-south-wilson-avenue-unit-209-pasadena-ca-91106/1221120925965769353/")</f>
        <v>https://www.compass.com/listing/137-south-wilson-avenue-unit-209-pasadena-ca-91106/1221120925965769353/</v>
      </c>
      <c r="K1194" s="5"/>
      <c r="L1194" s="5" t="str">
        <f ca="1">IFERROR(__xludf.DUMMYFUNCTION("""COMPUTED_VALUE"""),"Wiland Investment / Hengmao ")</f>
        <v xml:space="preserve">Wiland Investment / Hengmao </v>
      </c>
      <c r="M1194" s="5"/>
      <c r="N1194" s="26" t="str">
        <f ca="1">IFERROR(__xludf.DUMMYFUNCTION("""COMPUTED_VALUE"""),"https://drive.google.com/open?id=1KVX094PPRAmC_HXJq2E2gsQhMTeCUYQh")</f>
        <v>https://drive.google.com/open?id=1KVX094PPRAmC_HXJq2E2gsQhMTeCUYQh</v>
      </c>
      <c r="O1194" s="5" t="str">
        <f ca="1">IFERROR(__xludf.DUMMYFUNCTION("""COMPUTED_VALUE"""),"NA")</f>
        <v>NA</v>
      </c>
      <c r="P1194" s="5"/>
      <c r="Q1194" s="5"/>
      <c r="R1194" s="5"/>
      <c r="S1194" s="5"/>
      <c r="T1194" s="5"/>
    </row>
    <row r="1195" spans="1:20" ht="12.75">
      <c r="A1195" s="24">
        <f ca="1">IFERROR(__xludf.DUMMYFUNCTION("""COMPUTED_VALUE"""),45672.9527686226)</f>
        <v>45672.952768622599</v>
      </c>
      <c r="B1195" s="5" t="str">
        <f ca="1">IFERROR(__xludf.DUMMYFUNCTION("""COMPUTED_VALUE"""),"137 S. Wilson Ave #301")</f>
        <v>137 S. Wilson Ave #301</v>
      </c>
      <c r="C1195" s="5" t="str">
        <f ca="1">IFERROR(__xludf.DUMMYFUNCTION("""COMPUTED_VALUE"""),"Pasadena")</f>
        <v>Pasadena</v>
      </c>
      <c r="D1195" s="5" t="str">
        <f ca="1">IFERROR(__xludf.DUMMYFUNCTION("""COMPUTED_VALUE"""),"CA")</f>
        <v>CA</v>
      </c>
      <c r="E1195" s="5">
        <f ca="1">IFERROR(__xludf.DUMMYFUNCTION("""COMPUTED_VALUE"""),91106)</f>
        <v>91106</v>
      </c>
      <c r="F1195" s="19">
        <f ca="1">IFERROR(__xludf.DUMMYFUNCTION("""COMPUTED_VALUE"""),3995)</f>
        <v>3995</v>
      </c>
      <c r="G1195" s="19">
        <f ca="1">IFERROR(__xludf.DUMMYFUNCTION("""COMPUTED_VALUE"""),4195)</f>
        <v>4195</v>
      </c>
      <c r="H1195" s="18">
        <f ca="1">IFERROR(__xludf.DUMMYFUNCTION("""COMPUTED_VALUE"""),45666)</f>
        <v>45666</v>
      </c>
      <c r="I1195" s="5" t="str">
        <f ca="1">IFERROR(__xludf.DUMMYFUNCTION("""COMPUTED_VALUE"""),"Zillow")</f>
        <v>Zillow</v>
      </c>
      <c r="J1195" s="25" t="str">
        <f ca="1">IFERROR(__xludf.DUMMYFUNCTION("""COMPUTED_VALUE"""),"https://www.zillow.com/homedetails/137-S-Wilson-Ave-UNIT-301-Pasadena-CA-91106/325797670_zpid/")</f>
        <v>https://www.zillow.com/homedetails/137-S-Wilson-Ave-UNIT-301-Pasadena-CA-91106/325797670_zpid/</v>
      </c>
      <c r="K1195" s="5"/>
      <c r="L1195" s="5"/>
      <c r="M1195" s="5" t="str">
        <f ca="1">IFERROR(__xludf.DUMMYFUNCTION("""COMPUTED_VALUE"""),"Just delisted, I think they got spooked...")</f>
        <v>Just delisted, I think they got spooked...</v>
      </c>
      <c r="N1195" s="26" t="str">
        <f ca="1">IFERROR(__xludf.DUMMYFUNCTION("""COMPUTED_VALUE"""),"https://drive.google.com/open?id=1NxzsuG-9CBbhiKm_DVPAredkrcWGGCl2")</f>
        <v>https://drive.google.com/open?id=1NxzsuG-9CBbhiKm_DVPAredkrcWGGCl2</v>
      </c>
      <c r="O1195" s="5" t="str">
        <f ca="1">IFERROR(__xludf.DUMMYFUNCTION("""COMPUTED_VALUE"""),"NA")</f>
        <v>NA</v>
      </c>
      <c r="P1195" s="5"/>
      <c r="Q1195" s="5"/>
      <c r="R1195" s="5"/>
      <c r="S1195" s="5"/>
      <c r="T1195" s="5"/>
    </row>
    <row r="1196" spans="1:20" ht="12.75">
      <c r="A1196" s="24">
        <f ca="1">IFERROR(__xludf.DUMMYFUNCTION("""COMPUTED_VALUE"""),45672.9700967824)</f>
        <v>45672.970096782403</v>
      </c>
      <c r="B1196" s="5" t="str">
        <f ca="1">IFERROR(__xludf.DUMMYFUNCTION("""COMPUTED_VALUE"""),"617 N Plymouth Blvd.")</f>
        <v>617 N Plymouth Blvd.</v>
      </c>
      <c r="C1196" s="5" t="str">
        <f ca="1">IFERROR(__xludf.DUMMYFUNCTION("""COMPUTED_VALUE"""),"Los Angeles")</f>
        <v>Los Angeles</v>
      </c>
      <c r="D1196" s="5" t="str">
        <f ca="1">IFERROR(__xludf.DUMMYFUNCTION("""COMPUTED_VALUE"""),"CA")</f>
        <v>CA</v>
      </c>
      <c r="E1196" s="5">
        <f ca="1">IFERROR(__xludf.DUMMYFUNCTION("""COMPUTED_VALUE"""),90004)</f>
        <v>90004</v>
      </c>
      <c r="F1196" s="19">
        <f ca="1">IFERROR(__xludf.DUMMYFUNCTION("""COMPUTED_VALUE"""),3800)</f>
        <v>3800</v>
      </c>
      <c r="G1196" s="19">
        <f ca="1">IFERROR(__xludf.DUMMYFUNCTION("""COMPUTED_VALUE"""),5400)</f>
        <v>5400</v>
      </c>
      <c r="H1196" s="18">
        <f ca="1">IFERROR(__xludf.DUMMYFUNCTION("""COMPUTED_VALUE"""),45670)</f>
        <v>45670</v>
      </c>
      <c r="I1196" s="5" t="str">
        <f ca="1">IFERROR(__xludf.DUMMYFUNCTION("""COMPUTED_VALUE"""),"Zillow")</f>
        <v>Zillow</v>
      </c>
      <c r="J1196" s="25" t="str">
        <f ca="1">IFERROR(__xludf.DUMMYFUNCTION("""COMPUTED_VALUE"""),"https://www.zillow.com/homedetails/Los-Angeles-CA-90004/2089738197_zpid/")</f>
        <v>https://www.zillow.com/homedetails/Los-Angeles-CA-90004/2089738197_zpid/</v>
      </c>
      <c r="K1196" s="5" t="str">
        <f ca="1">IFERROR(__xludf.DUMMYFUNCTION("""COMPUTED_VALUE"""),"Keri Johnson West, Creative Housing Group Inc. Management company")</f>
        <v>Keri Johnson West, Creative Housing Group Inc. Management company</v>
      </c>
      <c r="L1196" s="5"/>
      <c r="M1196" s="5" t="str">
        <f ca="1">IFERROR(__xludf.DUMMYFUNCTION("""COMPUTED_VALUE"""),"Price increased by 42% from December 2024 on Jan. 13, 2025. It's listed on Zillow with ""(Undisclosed address),"" which may be to make it more difficult to report. A quick Google search of the description led me to the listing and address on the leasing s"&amp;"ite (https://creativehousinggroup.com/property/larchmont-lucy/); while they don't specify apartment number, the listing indicates they have four furnished units available like this one. ")</f>
        <v xml:space="preserve">Price increased by 42% from December 2024 on Jan. 13, 2025. It's listed on Zillow with "(Undisclosed address)," which may be to make it more difficult to report. A quick Google search of the description led me to the listing and address on the leasing site (https://creativehousinggroup.com/property/larchmont-lucy/); while they don't specify apartment number, the listing indicates they have four furnished units available like this one. </v>
      </c>
      <c r="N1196" s="5" t="str">
        <f ca="1">IFERROR(__xludf.DUMMYFUNCTION("""COMPUTED_VALUE"""),"https://drive.google.com/open?id=1hz_Zmufnwgk5DrFaKmudUAjGkuc_hetM, https://drive.google.com/open?id=1QOXQXZ9U1DR-4-9Yzds6SSlZ88K4Sfl9")</f>
        <v>https://drive.google.com/open?id=1hz_Zmufnwgk5DrFaKmudUAjGkuc_hetM, https://drive.google.com/open?id=1QOXQXZ9U1DR-4-9Yzds6SSlZ88K4Sfl9</v>
      </c>
      <c r="O1196" s="5" t="str">
        <f ca="1">IFERROR(__xludf.DUMMYFUNCTION("""COMPUTED_VALUE"""),"NA")</f>
        <v>NA</v>
      </c>
      <c r="P1196" s="5" t="str">
        <f ca="1">IFERROR(__xludf.DUMMYFUNCTION("""COMPUTED_VALUE"""),"(888) 705-5378")</f>
        <v>(888) 705-5378</v>
      </c>
      <c r="Q1196" s="5"/>
      <c r="R1196" s="5"/>
      <c r="S1196" s="5"/>
      <c r="T1196" s="18">
        <f ca="1">IFERROR(__xludf.DUMMYFUNCTION("""COMPUTED_VALUE"""),45635)</f>
        <v>45635</v>
      </c>
    </row>
    <row r="1197" spans="1:20" ht="12.75">
      <c r="A1197" s="24">
        <f ca="1">IFERROR(__xludf.DUMMYFUNCTION("""COMPUTED_VALUE"""),45672.9838268634)</f>
        <v>45672.983826863398</v>
      </c>
      <c r="B1197" s="5" t="str">
        <f ca="1">IFERROR(__xludf.DUMMYFUNCTION("""COMPUTED_VALUE"""),"3321 E Colorado Blvd #25")</f>
        <v>3321 E Colorado Blvd #25</v>
      </c>
      <c r="C1197" s="5" t="str">
        <f ca="1">IFERROR(__xludf.DUMMYFUNCTION("""COMPUTED_VALUE"""),"Pasadena")</f>
        <v>Pasadena</v>
      </c>
      <c r="D1197" s="5" t="str">
        <f ca="1">IFERROR(__xludf.DUMMYFUNCTION("""COMPUTED_VALUE"""),"CA")</f>
        <v>CA</v>
      </c>
      <c r="E1197" s="5">
        <f ca="1">IFERROR(__xludf.DUMMYFUNCTION("""COMPUTED_VALUE"""),91107)</f>
        <v>91107</v>
      </c>
      <c r="F1197" s="19">
        <f ca="1">IFERROR(__xludf.DUMMYFUNCTION("""COMPUTED_VALUE"""),1900)</f>
        <v>1900</v>
      </c>
      <c r="G1197" s="19">
        <f ca="1">IFERROR(__xludf.DUMMYFUNCTION("""COMPUTED_VALUE"""),2300)</f>
        <v>2300</v>
      </c>
      <c r="H1197" s="18">
        <f ca="1">IFERROR(__xludf.DUMMYFUNCTION("""COMPUTED_VALUE"""),45672)</f>
        <v>45672</v>
      </c>
      <c r="I1197" s="5" t="str">
        <f ca="1">IFERROR(__xludf.DUMMYFUNCTION("""COMPUTED_VALUE"""),"Zillow")</f>
        <v>Zillow</v>
      </c>
      <c r="J1197" s="25" t="str">
        <f ca="1">IFERROR(__xludf.DUMMYFUNCTION("""COMPUTED_VALUE"""),"https://www.zillow.com/homedetails/3321-E-Colorado-Blvd-25-Pasadena-CA-91107/353727409_zpid/")</f>
        <v>https://www.zillow.com/homedetails/3321-E-Colorado-Blvd-25-Pasadena-CA-91107/353727409_zpid/</v>
      </c>
      <c r="K1197" s="5"/>
      <c r="L1197" s="5" t="str">
        <f ca="1">IFERROR(__xludf.DUMMYFUNCTION("""COMPUTED_VALUE"""),"Richard Ceja (may be agent - listing doesn't specify title)")</f>
        <v>Richard Ceja (may be agent - listing doesn't specify title)</v>
      </c>
      <c r="M1197" s="5" t="str">
        <f ca="1">IFERROR(__xludf.DUMMYFUNCTION("""COMPUTED_VALUE"""),"Price jumped 21.1% on 1/15/2025 from previous listing on 10/21/2024. Note that this location is particularly close to a fire/evac zone. Additionally, the post offers a ""special rate for fire evacuated victims"" of $2100, which is still a 10.5% increase f"&amp;"rom the previous listing price in October. Also note that this is listed as a ""micro studio"" at just 340 sq ft of livable area. ")</f>
        <v xml:space="preserve">Price jumped 21.1% on 1/15/2025 from previous listing on 10/21/2024. Note that this location is particularly close to a fire/evac zone. Additionally, the post offers a "special rate for fire evacuated victims" of $2100, which is still a 10.5% increase from the previous listing price in October. Also note that this is listed as a "micro studio" at just 340 sq ft of livable area. </v>
      </c>
      <c r="N1197" s="5" t="str">
        <f ca="1">IFERROR(__xludf.DUMMYFUNCTION("""COMPUTED_VALUE"""),"https://drive.google.com/open?id=1HkIBE3pr79mAGHuWbDDPQXMkJaKdHkII, https://drive.google.com/open?id=1GynxPx6q0L8j0TL12xaZrCReuJgusshm, https://drive.google.com/open?id=142IRXs6p6Bj6qu_0FWbbafUzpQcKUEOC, https://drive.google.com/open?id=1uy9F8-FwIX5VXCFZg"&amp;"6pRN5YP4uEC-5t_")</f>
        <v>https://drive.google.com/open?id=1HkIBE3pr79mAGHuWbDDPQXMkJaKdHkII, https://drive.google.com/open?id=1GynxPx6q0L8j0TL12xaZrCReuJgusshm, https://drive.google.com/open?id=142IRXs6p6Bj6qu_0FWbbafUzpQcKUEOC, https://drive.google.com/open?id=1uy9F8-FwIX5VXCFZg6pRN5YP4uEC-5t_</v>
      </c>
      <c r="O1197" s="5" t="str">
        <f ca="1">IFERROR(__xludf.DUMMYFUNCTION("""COMPUTED_VALUE"""),"NA")</f>
        <v>NA</v>
      </c>
      <c r="P1197" s="5"/>
      <c r="Q1197" s="5"/>
      <c r="R1197" s="5"/>
      <c r="S1197" s="5"/>
      <c r="T1197" s="18">
        <f ca="1">IFERROR(__xludf.DUMMYFUNCTION("""COMPUTED_VALUE"""),45577)</f>
        <v>45577</v>
      </c>
    </row>
    <row r="1198" spans="1:20" ht="12.75">
      <c r="A1198" s="24">
        <f ca="1">IFERROR(__xludf.DUMMYFUNCTION("""COMPUTED_VALUE"""),45672.9875111458)</f>
        <v>45672.987511145802</v>
      </c>
      <c r="B1198" s="5" t="str">
        <f ca="1">IFERROR(__xludf.DUMMYFUNCTION("""COMPUTED_VALUE"""),"141 HOLLISTER AVENUE")</f>
        <v>141 HOLLISTER AVENUE</v>
      </c>
      <c r="C1198" s="5" t="str">
        <f ca="1">IFERROR(__xludf.DUMMYFUNCTION("""COMPUTED_VALUE"""),"Santa Monica ")</f>
        <v xml:space="preserve">Santa Monica </v>
      </c>
      <c r="D1198" s="5" t="str">
        <f ca="1">IFERROR(__xludf.DUMMYFUNCTION("""COMPUTED_VALUE"""),"CA")</f>
        <v>CA</v>
      </c>
      <c r="E1198" s="5">
        <f ca="1">IFERROR(__xludf.DUMMYFUNCTION("""COMPUTED_VALUE"""),90405)</f>
        <v>90405</v>
      </c>
      <c r="F1198" s="19">
        <f ca="1">IFERROR(__xludf.DUMMYFUNCTION("""COMPUTED_VALUE"""),25000)</f>
        <v>25000</v>
      </c>
      <c r="G1198" s="19">
        <f ca="1">IFERROR(__xludf.DUMMYFUNCTION("""COMPUTED_VALUE"""),30000)</f>
        <v>30000</v>
      </c>
      <c r="H1198" s="18">
        <f ca="1">IFERROR(__xludf.DUMMYFUNCTION("""COMPUTED_VALUE"""),45664)</f>
        <v>45664</v>
      </c>
      <c r="I1198" s="5" t="str">
        <f ca="1">IFERROR(__xludf.DUMMYFUNCTION("""COMPUTED_VALUE"""),"Zillow")</f>
        <v>Zillow</v>
      </c>
      <c r="J1198" s="25" t="str">
        <f ca="1">IFERROR(__xludf.DUMMYFUNCTION("""COMPUTED_VALUE"""),"https://www.realtor.com/realestateandhomes-detail/141-Hollister-Ave_Santa-Monica_CA_90405_M90293-37928")</f>
        <v>https://www.realtor.com/realestateandhomes-detail/141-Hollister-Ave_Santa-Monica_CA_90405_M90293-37928</v>
      </c>
      <c r="K1198" s="5" t="str">
        <f ca="1">IFERROR(__xludf.DUMMYFUNCTION("""COMPUTED_VALUE"""),"Ben Lee ")</f>
        <v xml:space="preserve">Ben Lee </v>
      </c>
      <c r="L1198" s="5"/>
      <c r="M1198" s="5" t="str">
        <f ca="1">IFERROR(__xludf.DUMMYFUNCTION("""COMPUTED_VALUE"""),"Leased for $48,000")</f>
        <v>Leased for $48,000</v>
      </c>
      <c r="N1198" s="26" t="str">
        <f ca="1">IFERROR(__xludf.DUMMYFUNCTION("""COMPUTED_VALUE"""),"https://drive.google.com/open?id=1IC6udXZ-Ieynnht1WcMLPyrpj4MsL8E8")</f>
        <v>https://drive.google.com/open?id=1IC6udXZ-Ieynnht1WcMLPyrpj4MsL8E8</v>
      </c>
      <c r="O1198" s="5" t="str">
        <f ca="1">IFERROR(__xludf.DUMMYFUNCTION("""COMPUTED_VALUE"""),"NA")</f>
        <v>NA</v>
      </c>
      <c r="P1198" s="5"/>
      <c r="Q1198" s="5" t="str">
        <f ca="1">IFERROR(__xludf.DUMMYFUNCTION("""COMPUTED_VALUE"""),"ben@benleeproperties.com")</f>
        <v>ben@benleeproperties.com</v>
      </c>
      <c r="R1198" s="5"/>
      <c r="S1198" s="5"/>
      <c r="T1198" s="18">
        <f ca="1">IFERROR(__xludf.DUMMYFUNCTION("""COMPUTED_VALUE"""),45629)</f>
        <v>45629</v>
      </c>
    </row>
    <row r="1199" spans="1:20" ht="12.75">
      <c r="A1199" s="24">
        <f ca="1">IFERROR(__xludf.DUMMYFUNCTION("""COMPUTED_VALUE"""),45673.0087295833)</f>
        <v>45673.0087295833</v>
      </c>
      <c r="B1199" s="5" t="str">
        <f ca="1">IFERROR(__xludf.DUMMYFUNCTION("""COMPUTED_VALUE"""),"10780 Andora Ave")</f>
        <v>10780 Andora Ave</v>
      </c>
      <c r="C1199" s="5" t="str">
        <f ca="1">IFERROR(__xludf.DUMMYFUNCTION("""COMPUTED_VALUE"""),"Chatsworth")</f>
        <v>Chatsworth</v>
      </c>
      <c r="D1199" s="5" t="str">
        <f ca="1">IFERROR(__xludf.DUMMYFUNCTION("""COMPUTED_VALUE"""),"CA")</f>
        <v>CA</v>
      </c>
      <c r="E1199" s="5">
        <f ca="1">IFERROR(__xludf.DUMMYFUNCTION("""COMPUTED_VALUE"""),91311)</f>
        <v>91311</v>
      </c>
      <c r="F1199" s="19">
        <f ca="1">IFERROR(__xludf.DUMMYFUNCTION("""COMPUTED_VALUE"""),3995)</f>
        <v>3995</v>
      </c>
      <c r="G1199" s="19">
        <f ca="1">IFERROR(__xludf.DUMMYFUNCTION("""COMPUTED_VALUE"""),4800)</f>
        <v>4800</v>
      </c>
      <c r="H1199" s="18">
        <f ca="1">IFERROR(__xludf.DUMMYFUNCTION("""COMPUTED_VALUE"""),45672)</f>
        <v>45672</v>
      </c>
      <c r="I1199" s="5" t="str">
        <f ca="1">IFERROR(__xludf.DUMMYFUNCTION("""COMPUTED_VALUE"""),"Zillow")</f>
        <v>Zillow</v>
      </c>
      <c r="J1199" s="25" t="str">
        <f ca="1">IFERROR(__xludf.DUMMYFUNCTION("""COMPUTED_VALUE"""),"https://www.zillow.com/homedetails/10780-Andora-Ave-Chatsworth-CA-91311/2068802822_zpid/")</f>
        <v>https://www.zillow.com/homedetails/10780-Andora-Ave-Chatsworth-CA-91311/2068802822_zpid/</v>
      </c>
      <c r="K1199" s="5"/>
      <c r="L1199" s="5" t="str">
        <f ca="1">IFERROR(__xludf.DUMMYFUNCTION("""COMPUTED_VALUE"""),"Mark and Tatiana Nayfeld")</f>
        <v>Mark and Tatiana Nayfeld</v>
      </c>
      <c r="M1199" s="5" t="str">
        <f ca="1">IFERROR(__xludf.DUMMYFUNCTION("""COMPUTED_VALUE"""),"Listing priced jumped 20.2% from previous listing date of 10/1/24 to new listing date of 1/15/25; lease appears to be month-to-month (could be targeting evacuees) ")</f>
        <v xml:space="preserve">Listing priced jumped 20.2% from previous listing date of 10/1/24 to new listing date of 1/15/25; lease appears to be month-to-month (could be targeting evacuees) </v>
      </c>
      <c r="N1199" s="5" t="str">
        <f ca="1">IFERROR(__xludf.DUMMYFUNCTION("""COMPUTED_VALUE"""),"https://drive.google.com/open?id=1L1h8Maix5gJ7CM85bIjeRAMaUMGX7314, https://drive.google.com/open?id=1t_QSoAS9FUwRIgw1e78Z7KvBoIh5r4mE")</f>
        <v>https://drive.google.com/open?id=1L1h8Maix5gJ7CM85bIjeRAMaUMGX7314, https://drive.google.com/open?id=1t_QSoAS9FUwRIgw1e78Z7KvBoIh5r4mE</v>
      </c>
      <c r="O1199" s="5" t="str">
        <f ca="1">IFERROR(__xludf.DUMMYFUNCTION("""COMPUTED_VALUE"""),"NA")</f>
        <v>NA</v>
      </c>
      <c r="P1199" s="5"/>
      <c r="Q1199" s="5"/>
      <c r="R1199" s="5" t="str">
        <f ca="1">IFERROR(__xludf.DUMMYFUNCTION("""COMPUTED_VALUE"""),"(628) 265-3277")</f>
        <v>(628) 265-3277</v>
      </c>
      <c r="S1199" s="5"/>
      <c r="T1199" s="18">
        <f ca="1">IFERROR(__xludf.DUMMYFUNCTION("""COMPUTED_VALUE"""),45566)</f>
        <v>45566</v>
      </c>
    </row>
    <row r="1200" spans="1:20" ht="12.75">
      <c r="A1200" s="24">
        <f ca="1">IFERROR(__xludf.DUMMYFUNCTION("""COMPUTED_VALUE"""),45673.0094369907)</f>
        <v>45673.009436990702</v>
      </c>
      <c r="B1200" s="5" t="str">
        <f ca="1">IFERROR(__xludf.DUMMYFUNCTION("""COMPUTED_VALUE"""),"6160 San Vicente Blvd")</f>
        <v>6160 San Vicente Blvd</v>
      </c>
      <c r="C1200" s="5" t="str">
        <f ca="1">IFERROR(__xludf.DUMMYFUNCTION("""COMPUTED_VALUE"""),"Los Angeles")</f>
        <v>Los Angeles</v>
      </c>
      <c r="D1200" s="5" t="str">
        <f ca="1">IFERROR(__xludf.DUMMYFUNCTION("""COMPUTED_VALUE"""),"CA")</f>
        <v>CA</v>
      </c>
      <c r="E1200" s="5">
        <f ca="1">IFERROR(__xludf.DUMMYFUNCTION("""COMPUTED_VALUE"""),90048)</f>
        <v>90048</v>
      </c>
      <c r="F1200" s="19">
        <f ca="1">IFERROR(__xludf.DUMMYFUNCTION("""COMPUTED_VALUE"""),8750)</f>
        <v>8750</v>
      </c>
      <c r="G1200" s="19">
        <f ca="1">IFERROR(__xludf.DUMMYFUNCTION("""COMPUTED_VALUE"""),11000)</f>
        <v>11000</v>
      </c>
      <c r="H1200" s="18">
        <f ca="1">IFERROR(__xludf.DUMMYFUNCTION("""COMPUTED_VALUE"""),45673)</f>
        <v>45673</v>
      </c>
      <c r="I1200" s="5" t="str">
        <f ca="1">IFERROR(__xludf.DUMMYFUNCTION("""COMPUTED_VALUE"""),"Zillow")</f>
        <v>Zillow</v>
      </c>
      <c r="J1200" s="25" t="str">
        <f ca="1">IFERROR(__xludf.DUMMYFUNCTION("""COMPUTED_VALUE"""),"https://www.zillow.com/homedetails/6160-San-Vicente-Blvd-Los-Angeles-CA-90048/20609742_zpid/")</f>
        <v>https://www.zillow.com/homedetails/6160-San-Vicente-Blvd-Los-Angeles-CA-90048/20609742_zpid/</v>
      </c>
      <c r="K1200" s="5"/>
      <c r="L1200" s="5" t="str">
        <f ca="1">IFERROR(__xludf.DUMMYFUNCTION("""COMPUTED_VALUE"""),"Chad Cohen")</f>
        <v>Chad Cohen</v>
      </c>
      <c r="M1200" s="5"/>
      <c r="N1200" s="26" t="str">
        <f ca="1">IFERROR(__xludf.DUMMYFUNCTION("""COMPUTED_VALUE"""),"https://drive.google.com/open?id=1bMHneq-CtEqEaBIaxu44cT-nmSWzHygN")</f>
        <v>https://drive.google.com/open?id=1bMHneq-CtEqEaBIaxu44cT-nmSWzHygN</v>
      </c>
      <c r="O1200" s="5">
        <f ca="1">IFERROR(__xludf.DUMMYFUNCTION("""COMPUTED_VALUE"""),5576007041)</f>
        <v>5576007041</v>
      </c>
      <c r="P1200" s="5"/>
      <c r="Q1200" s="5"/>
      <c r="R1200" s="5" t="str">
        <f ca="1">IFERROR(__xludf.DUMMYFUNCTION("""COMPUTED_VALUE"""),"(310) 497-1505")</f>
        <v>(310) 497-1505</v>
      </c>
      <c r="S1200" s="5"/>
      <c r="T1200" s="18">
        <f ca="1">IFERROR(__xludf.DUMMYFUNCTION("""COMPUTED_VALUE"""),44679)</f>
        <v>44679</v>
      </c>
    </row>
    <row r="1201" spans="1:20" ht="12.75">
      <c r="A1201" s="24">
        <f ca="1">IFERROR(__xludf.DUMMYFUNCTION("""COMPUTED_VALUE"""),45673.0113024537)</f>
        <v>45673.011302453699</v>
      </c>
      <c r="B1201" s="5" t="str">
        <f ca="1">IFERROR(__xludf.DUMMYFUNCTION("""COMPUTED_VALUE"""),"6446 Deep Dell Pl")</f>
        <v>6446 Deep Dell Pl</v>
      </c>
      <c r="C1201" s="5" t="str">
        <f ca="1">IFERROR(__xludf.DUMMYFUNCTION("""COMPUTED_VALUE"""),"Los Angeles")</f>
        <v>Los Angeles</v>
      </c>
      <c r="D1201" s="5" t="str">
        <f ca="1">IFERROR(__xludf.DUMMYFUNCTION("""COMPUTED_VALUE"""),"CA")</f>
        <v>CA</v>
      </c>
      <c r="E1201" s="5">
        <f ca="1">IFERROR(__xludf.DUMMYFUNCTION("""COMPUTED_VALUE"""),90068)</f>
        <v>90068</v>
      </c>
      <c r="F1201" s="19">
        <f ca="1">IFERROR(__xludf.DUMMYFUNCTION("""COMPUTED_VALUE"""),26800)</f>
        <v>26800</v>
      </c>
      <c r="G1201" s="19">
        <f ca="1">IFERROR(__xludf.DUMMYFUNCTION("""COMPUTED_VALUE"""),31000)</f>
        <v>31000</v>
      </c>
      <c r="H1201" s="18">
        <f ca="1">IFERROR(__xludf.DUMMYFUNCTION("""COMPUTED_VALUE"""),45673)</f>
        <v>45673</v>
      </c>
      <c r="I1201" s="5" t="str">
        <f ca="1">IFERROR(__xludf.DUMMYFUNCTION("""COMPUTED_VALUE"""),"Zillow")</f>
        <v>Zillow</v>
      </c>
      <c r="J1201" s="25" t="str">
        <f ca="1">IFERROR(__xludf.DUMMYFUNCTION("""COMPUTED_VALUE"""),"https://www.zillow.com/homedetails/6446-Deep-Dell-Pl-Los-Angeles-CA-90068/68978731_zpid/")</f>
        <v>https://www.zillow.com/homedetails/6446-Deep-Dell-Pl-Los-Angeles-CA-90068/68978731_zpid/</v>
      </c>
      <c r="K1201" s="5" t="str">
        <f ca="1">IFERROR(__xludf.DUMMYFUNCTION("""COMPUTED_VALUE"""),"EZ")</f>
        <v>EZ</v>
      </c>
      <c r="L1201" s="5"/>
      <c r="M1201" s="5"/>
      <c r="N1201" s="26" t="str">
        <f ca="1">IFERROR(__xludf.DUMMYFUNCTION("""COMPUTED_VALUE"""),"https://drive.google.com/open?id=1n682evfJ0ztpvU7MOVN9_uHbwiso1Ssu")</f>
        <v>https://drive.google.com/open?id=1n682evfJ0ztpvU7MOVN9_uHbwiso1Ssu</v>
      </c>
      <c r="O1201" s="5">
        <f ca="1">IFERROR(__xludf.DUMMYFUNCTION("""COMPUTED_VALUE"""),5576007041)</f>
        <v>5576007041</v>
      </c>
      <c r="P1201" s="5" t="str">
        <f ca="1">IFERROR(__xludf.DUMMYFUNCTION("""COMPUTED_VALUE"""),"(240) 896-4113")</f>
        <v>(240) 896-4113</v>
      </c>
      <c r="Q1201" s="5"/>
      <c r="R1201" s="5"/>
      <c r="S1201" s="5"/>
      <c r="T1201" s="18">
        <f ca="1">IFERROR(__xludf.DUMMYFUNCTION("""COMPUTED_VALUE"""),45109)</f>
        <v>45109</v>
      </c>
    </row>
    <row r="1202" spans="1:20" ht="12.75">
      <c r="A1202" s="24">
        <f ca="1">IFERROR(__xludf.DUMMYFUNCTION("""COMPUTED_VALUE"""),45673.0205273263)</f>
        <v>45673.020527326298</v>
      </c>
      <c r="B1202" s="5" t="str">
        <f ca="1">IFERROR(__xludf.DUMMYFUNCTION("""COMPUTED_VALUE"""),"801 S Grand Ave APT 2010")</f>
        <v>801 S Grand Ave APT 2010</v>
      </c>
      <c r="C1202" s="5" t="str">
        <f ca="1">IFERROR(__xludf.DUMMYFUNCTION("""COMPUTED_VALUE"""),"Los Angeles")</f>
        <v>Los Angeles</v>
      </c>
      <c r="D1202" s="5" t="str">
        <f ca="1">IFERROR(__xludf.DUMMYFUNCTION("""COMPUTED_VALUE"""),"CA")</f>
        <v>CA</v>
      </c>
      <c r="E1202" s="5">
        <f ca="1">IFERROR(__xludf.DUMMYFUNCTION("""COMPUTED_VALUE"""),90017)</f>
        <v>90017</v>
      </c>
      <c r="F1202" s="19">
        <f ca="1">IFERROR(__xludf.DUMMYFUNCTION("""COMPUTED_VALUE"""),5500)</f>
        <v>5500</v>
      </c>
      <c r="G1202" s="19">
        <f ca="1">IFERROR(__xludf.DUMMYFUNCTION("""COMPUTED_VALUE"""),8500)</f>
        <v>8500</v>
      </c>
      <c r="H1202" s="18">
        <f ca="1">IFERROR(__xludf.DUMMYFUNCTION("""COMPUTED_VALUE"""),45671)</f>
        <v>45671</v>
      </c>
      <c r="I1202" s="5" t="str">
        <f ca="1">IFERROR(__xludf.DUMMYFUNCTION("""COMPUTED_VALUE"""),"Zillow")</f>
        <v>Zillow</v>
      </c>
      <c r="J1202" s="25" t="str">
        <f ca="1">IFERROR(__xludf.DUMMYFUNCTION("""COMPUTED_VALUE"""),"https://www.zillow.com/homedetails/801-S-Grand-Ave-APT-2010-Los-Angeles-CA-90017/67420686_zpid/")</f>
        <v>https://www.zillow.com/homedetails/801-S-Grand-Ave-APT-2010-Los-Angeles-CA-90017/67420686_zpid/</v>
      </c>
      <c r="K1202" s="5" t="str">
        <f ca="1">IFERROR(__xludf.DUMMYFUNCTION("""COMPUTED_VALUE"""),"Javier Hernandez, Premier Real Estate Broker Inc.")</f>
        <v>Javier Hernandez, Premier Real Estate Broker Inc.</v>
      </c>
      <c r="L1202" s="5"/>
      <c r="M1202" s="5" t="str">
        <f ca="1">IFERROR(__xludf.DUMMYFUNCTION("""COMPUTED_VALUE"""),"Price jumped 54.5% on 1/14/25, from last listing price in Oct. 2024")</f>
        <v>Price jumped 54.5% on 1/14/25, from last listing price in Oct. 2024</v>
      </c>
      <c r="N1202" s="5" t="str">
        <f ca="1">IFERROR(__xludf.DUMMYFUNCTION("""COMPUTED_VALUE"""),"https://drive.google.com/open?id=1B8zIf3oQNzdkzuU3scY39PsrCIFRKMmy, https://drive.google.com/open?id=1CHKFxwh27IiLvbqDCwRfpjg6o-DvJFlb")</f>
        <v>https://drive.google.com/open?id=1B8zIf3oQNzdkzuU3scY39PsrCIFRKMmy, https://drive.google.com/open?id=1CHKFxwh27IiLvbqDCwRfpjg6o-DvJFlb</v>
      </c>
      <c r="O1202" s="5">
        <f ca="1">IFERROR(__xludf.DUMMYFUNCTION("""COMPUTED_VALUE"""),5144020145)</f>
        <v>5144020145</v>
      </c>
      <c r="P1202" s="5"/>
      <c r="Q1202" s="5"/>
      <c r="R1202" s="5"/>
      <c r="S1202" s="5"/>
      <c r="T1202" s="18">
        <f ca="1">IFERROR(__xludf.DUMMYFUNCTION("""COMPUTED_VALUE"""),45570)</f>
        <v>45570</v>
      </c>
    </row>
    <row r="1203" spans="1:20" ht="12.75">
      <c r="A1203" s="24">
        <f ca="1">IFERROR(__xludf.DUMMYFUNCTION("""COMPUTED_VALUE"""),45673.0217130787)</f>
        <v>45673.021713078699</v>
      </c>
      <c r="B1203" s="5" t="str">
        <f ca="1">IFERROR(__xludf.DUMMYFUNCTION("""COMPUTED_VALUE"""),"1210 N Country Hollow Dr")</f>
        <v>1210 N Country Hollow Dr</v>
      </c>
      <c r="C1203" s="5" t="str">
        <f ca="1">IFERROR(__xludf.DUMMYFUNCTION("""COMPUTED_VALUE"""),"Walnut")</f>
        <v>Walnut</v>
      </c>
      <c r="D1203" s="5" t="str">
        <f ca="1">IFERROR(__xludf.DUMMYFUNCTION("""COMPUTED_VALUE"""),"CA")</f>
        <v>CA</v>
      </c>
      <c r="E1203" s="5">
        <f ca="1">IFERROR(__xludf.DUMMYFUNCTION("""COMPUTED_VALUE"""),91789)</f>
        <v>91789</v>
      </c>
      <c r="F1203" s="19">
        <f ca="1">IFERROR(__xludf.DUMMYFUNCTION("""COMPUTED_VALUE"""),7500)</f>
        <v>7500</v>
      </c>
      <c r="G1203" s="19">
        <f ca="1">IFERROR(__xludf.DUMMYFUNCTION("""COMPUTED_VALUE"""),9000)</f>
        <v>9000</v>
      </c>
      <c r="H1203" s="18">
        <f ca="1">IFERROR(__xludf.DUMMYFUNCTION("""COMPUTED_VALUE"""),45673)</f>
        <v>45673</v>
      </c>
      <c r="I1203" s="5" t="str">
        <f ca="1">IFERROR(__xludf.DUMMYFUNCTION("""COMPUTED_VALUE"""),"Zillow")</f>
        <v>Zillow</v>
      </c>
      <c r="J1203" s="25" t="str">
        <f ca="1">IFERROR(__xludf.DUMMYFUNCTION("""COMPUTED_VALUE"""),"https://www.zillow.com/homedetails/1210-N-Country-Hollow-Dr-Walnut-CA-91789/21672332_zpid/")</f>
        <v>https://www.zillow.com/homedetails/1210-N-Country-Hollow-Dr-Walnut-CA-91789/21672332_zpid/</v>
      </c>
      <c r="K1203" s="5" t="str">
        <f ca="1">IFERROR(__xludf.DUMMYFUNCTION("""COMPUTED_VALUE"""),"Month2month")</f>
        <v>Month2month</v>
      </c>
      <c r="L1203" s="5"/>
      <c r="M1203" s="5"/>
      <c r="N1203" s="26" t="str">
        <f ca="1">IFERROR(__xludf.DUMMYFUNCTION("""COMPUTED_VALUE"""),"https://drive.google.com/open?id=1G79jxYF_3OPFQNPXXdd7y9sJ4kQvFXET")</f>
        <v>https://drive.google.com/open?id=1G79jxYF_3OPFQNPXXdd7y9sJ4kQvFXET</v>
      </c>
      <c r="O1203" s="5">
        <f ca="1">IFERROR(__xludf.DUMMYFUNCTION("""COMPUTED_VALUE"""),8712037001)</f>
        <v>8712037001</v>
      </c>
      <c r="P1203" s="5" t="str">
        <f ca="1">IFERROR(__xludf.DUMMYFUNCTION("""COMPUTED_VALUE"""),"(949) 649-4946")</f>
        <v>(949) 649-4946</v>
      </c>
      <c r="Q1203" s="5"/>
      <c r="R1203" s="5"/>
      <c r="S1203" s="5"/>
      <c r="T1203" s="18">
        <f ca="1">IFERROR(__xludf.DUMMYFUNCTION("""COMPUTED_VALUE"""),45324)</f>
        <v>45324</v>
      </c>
    </row>
    <row r="1204" spans="1:20" ht="12.75">
      <c r="A1204" s="24">
        <f ca="1">IFERROR(__xludf.DUMMYFUNCTION("""COMPUTED_VALUE"""),45673.0234290856)</f>
        <v>45673.023429085602</v>
      </c>
      <c r="B1204" s="5" t="str">
        <f ca="1">IFERROR(__xludf.DUMMYFUNCTION("""COMPUTED_VALUE"""),"126 Donati")</f>
        <v>126 Donati</v>
      </c>
      <c r="C1204" s="5" t="str">
        <f ca="1">IFERROR(__xludf.DUMMYFUNCTION("""COMPUTED_VALUE"""),"Irvine")</f>
        <v>Irvine</v>
      </c>
      <c r="D1204" s="5" t="str">
        <f ca="1">IFERROR(__xludf.DUMMYFUNCTION("""COMPUTED_VALUE"""),"CA")</f>
        <v>CA</v>
      </c>
      <c r="E1204" s="5">
        <f ca="1">IFERROR(__xludf.DUMMYFUNCTION("""COMPUTED_VALUE"""),92602)</f>
        <v>92602</v>
      </c>
      <c r="F1204" s="19">
        <f ca="1">IFERROR(__xludf.DUMMYFUNCTION("""COMPUTED_VALUE"""),9600)</f>
        <v>9600</v>
      </c>
      <c r="G1204" s="19">
        <f ca="1">IFERROR(__xludf.DUMMYFUNCTION("""COMPUTED_VALUE"""),14400)</f>
        <v>14400</v>
      </c>
      <c r="H1204" s="18">
        <f ca="1">IFERROR(__xludf.DUMMYFUNCTION("""COMPUTED_VALUE"""),45673)</f>
        <v>45673</v>
      </c>
      <c r="I1204" s="5" t="str">
        <f ca="1">IFERROR(__xludf.DUMMYFUNCTION("""COMPUTED_VALUE"""),"Zillow")</f>
        <v>Zillow</v>
      </c>
      <c r="J1204" s="25" t="str">
        <f ca="1">IFERROR(__xludf.DUMMYFUNCTION("""COMPUTED_VALUE"""),"https://www.zillow.com/homedetails/126-Donati-Irvine-CA-92602/325861553_zpid/")</f>
        <v>https://www.zillow.com/homedetails/126-Donati-Irvine-CA-92602/325861553_zpid/</v>
      </c>
      <c r="K1204" s="5" t="str">
        <f ca="1">IFERROR(__xludf.DUMMYFUNCTION("""COMPUTED_VALUE"""),"Month2month")</f>
        <v>Month2month</v>
      </c>
      <c r="L1204" s="5"/>
      <c r="M1204" s="5"/>
      <c r="N1204" s="26" t="str">
        <f ca="1">IFERROR(__xludf.DUMMYFUNCTION("""COMPUTED_VALUE"""),"https://drive.google.com/open?id=1umf8eLy_7nJDanVSlbpSHv2WdQuaFmL4")</f>
        <v>https://drive.google.com/open?id=1umf8eLy_7nJDanVSlbpSHv2WdQuaFmL4</v>
      </c>
      <c r="O1204" s="5">
        <f ca="1">IFERROR(__xludf.DUMMYFUNCTION("""COMPUTED_VALUE"""),93819315)</f>
        <v>93819315</v>
      </c>
      <c r="P1204" s="5" t="str">
        <f ca="1">IFERROR(__xludf.DUMMYFUNCTION("""COMPUTED_VALUE"""),"(949) 649-4946")</f>
        <v>(949) 649-4946</v>
      </c>
      <c r="Q1204" s="5"/>
      <c r="R1204" s="5"/>
      <c r="S1204" s="5"/>
      <c r="T1204" s="18">
        <f ca="1">IFERROR(__xludf.DUMMYFUNCTION("""COMPUTED_VALUE"""),45654)</f>
        <v>45654</v>
      </c>
    </row>
    <row r="1205" spans="1:20" ht="12.75">
      <c r="A1205" s="24">
        <f ca="1">IFERROR(__xludf.DUMMYFUNCTION("""COMPUTED_VALUE"""),45673.0277072453)</f>
        <v>45673.027707245303</v>
      </c>
      <c r="B1205" s="5" t="str">
        <f ca="1">IFERROR(__xludf.DUMMYFUNCTION("""COMPUTED_VALUE"""),"21 Lakefront")</f>
        <v>21 Lakefront</v>
      </c>
      <c r="C1205" s="5" t="str">
        <f ca="1">IFERROR(__xludf.DUMMYFUNCTION("""COMPUTED_VALUE"""),"Irvine")</f>
        <v>Irvine</v>
      </c>
      <c r="D1205" s="5" t="str">
        <f ca="1">IFERROR(__xludf.DUMMYFUNCTION("""COMPUTED_VALUE"""),"CA")</f>
        <v>CA</v>
      </c>
      <c r="E1205" s="5">
        <f ca="1">IFERROR(__xludf.DUMMYFUNCTION("""COMPUTED_VALUE"""),92604)</f>
        <v>92604</v>
      </c>
      <c r="F1205" s="19">
        <f ca="1">IFERROR(__xludf.DUMMYFUNCTION("""COMPUTED_VALUE"""),7200)</f>
        <v>7200</v>
      </c>
      <c r="G1205" s="19">
        <f ca="1">IFERROR(__xludf.DUMMYFUNCTION("""COMPUTED_VALUE"""),14454)</f>
        <v>14454</v>
      </c>
      <c r="H1205" s="18">
        <f ca="1">IFERROR(__xludf.DUMMYFUNCTION("""COMPUTED_VALUE"""),45673)</f>
        <v>45673</v>
      </c>
      <c r="I1205" s="5" t="str">
        <f ca="1">IFERROR(__xludf.DUMMYFUNCTION("""COMPUTED_VALUE"""),"Zillow")</f>
        <v>Zillow</v>
      </c>
      <c r="J1205" s="25" t="str">
        <f ca="1">IFERROR(__xludf.DUMMYFUNCTION("""COMPUTED_VALUE"""),"https://www.zillow.com/homedetails/21-Lakefront-Irvine-CA-92604/2126557441_zpid/")</f>
        <v>https://www.zillow.com/homedetails/21-Lakefront-Irvine-CA-92604/2126557441_zpid/</v>
      </c>
      <c r="K1205" s="5" t="str">
        <f ca="1">IFERROR(__xludf.DUMMYFUNCTION("""COMPUTED_VALUE"""),"Month2month ")</f>
        <v xml:space="preserve">Month2month </v>
      </c>
      <c r="L1205" s="5"/>
      <c r="M1205" s="5"/>
      <c r="N1205" s="26" t="str">
        <f ca="1">IFERROR(__xludf.DUMMYFUNCTION("""COMPUTED_VALUE"""),"https://drive.google.com/open?id=1DQ4uQNz32ojUh6ej8qhmkFtOlMb9wxz4")</f>
        <v>https://drive.google.com/open?id=1DQ4uQNz32ojUh6ej8qhmkFtOlMb9wxz4</v>
      </c>
      <c r="O1205" s="5" t="str">
        <f ca="1">IFERROR(__xludf.DUMMYFUNCTION("""COMPUTED_VALUE"""),"NA")</f>
        <v>NA</v>
      </c>
      <c r="P1205" s="5" t="str">
        <f ca="1">IFERROR(__xludf.DUMMYFUNCTION("""COMPUTED_VALUE"""),"(949) 649-4946")</f>
        <v>(949) 649-4946</v>
      </c>
      <c r="Q1205" s="5"/>
      <c r="R1205" s="5"/>
      <c r="S1205" s="5"/>
      <c r="T1205" s="18">
        <f ca="1">IFERROR(__xludf.DUMMYFUNCTION("""COMPUTED_VALUE"""),45570)</f>
        <v>45570</v>
      </c>
    </row>
    <row r="1206" spans="1:20" ht="12.75">
      <c r="A1206" s="24">
        <f ca="1">IFERROR(__xludf.DUMMYFUNCTION("""COMPUTED_VALUE"""),45673.0281632407)</f>
        <v>45673.028163240699</v>
      </c>
      <c r="B1206" s="5" t="str">
        <f ca="1">IFERROR(__xludf.DUMMYFUNCTION("""COMPUTED_VALUE"""),"10660 W Wilshire Blvd #309")</f>
        <v>10660 W Wilshire Blvd #309</v>
      </c>
      <c r="C1206" s="5" t="str">
        <f ca="1">IFERROR(__xludf.DUMMYFUNCTION("""COMPUTED_VALUE"""),"Los Angeles")</f>
        <v>Los Angeles</v>
      </c>
      <c r="D1206" s="5" t="str">
        <f ca="1">IFERROR(__xludf.DUMMYFUNCTION("""COMPUTED_VALUE"""),"CA")</f>
        <v>CA</v>
      </c>
      <c r="E1206" s="5">
        <f ca="1">IFERROR(__xludf.DUMMYFUNCTION("""COMPUTED_VALUE"""),90024)</f>
        <v>90024</v>
      </c>
      <c r="F1206" s="19">
        <f ca="1">IFERROR(__xludf.DUMMYFUNCTION("""COMPUTED_VALUE"""),7700)</f>
        <v>7700</v>
      </c>
      <c r="G1206" s="19">
        <f ca="1">IFERROR(__xludf.DUMMYFUNCTION("""COMPUTED_VALUE"""),9000)</f>
        <v>9000</v>
      </c>
      <c r="H1206" s="18">
        <f ca="1">IFERROR(__xludf.DUMMYFUNCTION("""COMPUTED_VALUE"""),45671)</f>
        <v>45671</v>
      </c>
      <c r="I1206" s="5" t="str">
        <f ca="1">IFERROR(__xludf.DUMMYFUNCTION("""COMPUTED_VALUE"""),"Zillow")</f>
        <v>Zillow</v>
      </c>
      <c r="J1206" s="25" t="str">
        <f ca="1">IFERROR(__xludf.DUMMYFUNCTION("""COMPUTED_VALUE"""),"https://www.zillow.com/homedetails/10660-W-Wilshire-Blvd-309-Los-Angeles-CA-90024/444004097_zpid/")</f>
        <v>https://www.zillow.com/homedetails/10660-W-Wilshire-Blvd-309-Los-Angeles-CA-90024/444004097_zpid/</v>
      </c>
      <c r="K1206" s="5" t="str">
        <f ca="1">IFERROR(__xludf.DUMMYFUNCTION("""COMPUTED_VALUE"""),"Brian Tanenbaum, Federal Financial Management company")</f>
        <v>Brian Tanenbaum, Federal Financial Management company</v>
      </c>
      <c r="L1206" s="5"/>
      <c r="M1206" s="5" t="str">
        <f ca="1">IFERROR(__xludf.DUMMYFUNCTION("""COMPUTED_VALUE"""),"Rent raised 16.9% on 1/14/25 from previous price on 11/3/24")</f>
        <v>Rent raised 16.9% on 1/14/25 from previous price on 11/3/24</v>
      </c>
      <c r="N1206" s="5" t="str">
        <f ca="1">IFERROR(__xludf.DUMMYFUNCTION("""COMPUTED_VALUE"""),"https://drive.google.com/open?id=1ikemHOQvsjgVqYYWnDjL0f5LnVVo7_D3, https://drive.google.com/open?id=1spd4XmHH9zgscR6bWjNYl_VblT-aSThF")</f>
        <v>https://drive.google.com/open?id=1ikemHOQvsjgVqYYWnDjL0f5LnVVo7_D3, https://drive.google.com/open?id=1spd4XmHH9zgscR6bWjNYl_VblT-aSThF</v>
      </c>
      <c r="O1206" s="5" t="str">
        <f ca="1">IFERROR(__xludf.DUMMYFUNCTION("""COMPUTED_VALUE"""),"NA")</f>
        <v>NA</v>
      </c>
      <c r="P1206" s="5" t="str">
        <f ca="1">IFERROR(__xludf.DUMMYFUNCTION("""COMPUTED_VALUE"""),"(310) 980-2261")</f>
        <v>(310) 980-2261</v>
      </c>
      <c r="Q1206" s="5"/>
      <c r="R1206" s="5"/>
      <c r="S1206" s="5"/>
      <c r="T1206" s="18">
        <f ca="1">IFERROR(__xludf.DUMMYFUNCTION("""COMPUTED_VALUE"""),45599)</f>
        <v>45599</v>
      </c>
    </row>
    <row r="1207" spans="1:20" ht="12.75">
      <c r="A1207" s="24">
        <f ca="1">IFERROR(__xludf.DUMMYFUNCTION("""COMPUTED_VALUE"""),45673.0312984606)</f>
        <v>45673.031298460599</v>
      </c>
      <c r="B1207" s="5" t="str">
        <f ca="1">IFERROR(__xludf.DUMMYFUNCTION("""COMPUTED_VALUE"""),"3298 Sunset Hills Blvd")</f>
        <v>3298 Sunset Hills Blvd</v>
      </c>
      <c r="C1207" s="5" t="str">
        <f ca="1">IFERROR(__xludf.DUMMYFUNCTION("""COMPUTED_VALUE"""),"Thousand Oaks")</f>
        <v>Thousand Oaks</v>
      </c>
      <c r="D1207" s="5" t="str">
        <f ca="1">IFERROR(__xludf.DUMMYFUNCTION("""COMPUTED_VALUE"""),"CA")</f>
        <v>CA</v>
      </c>
      <c r="E1207" s="5">
        <f ca="1">IFERROR(__xludf.DUMMYFUNCTION("""COMPUTED_VALUE"""),91362)</f>
        <v>91362</v>
      </c>
      <c r="F1207" s="19">
        <f ca="1">IFERROR(__xludf.DUMMYFUNCTION("""COMPUTED_VALUE"""),5900)</f>
        <v>5900</v>
      </c>
      <c r="G1207" s="19">
        <f ca="1">IFERROR(__xludf.DUMMYFUNCTION("""COMPUTED_VALUE"""),13500)</f>
        <v>13500</v>
      </c>
      <c r="H1207" s="18">
        <f ca="1">IFERROR(__xludf.DUMMYFUNCTION("""COMPUTED_VALUE"""),45672)</f>
        <v>45672</v>
      </c>
      <c r="I1207" s="5" t="str">
        <f ca="1">IFERROR(__xludf.DUMMYFUNCTION("""COMPUTED_VALUE"""),"Zillow")</f>
        <v>Zillow</v>
      </c>
      <c r="J1207" s="25" t="str">
        <f ca="1">IFERROR(__xludf.DUMMYFUNCTION("""COMPUTED_VALUE"""),"https://www.zillow.com/homedetails/3298-Sunset-Hills-Blvd-Thousand-Oaks-CA-91362/52466191_zpid/")</f>
        <v>https://www.zillow.com/homedetails/3298-Sunset-Hills-Blvd-Thousand-Oaks-CA-91362/52466191_zpid/</v>
      </c>
      <c r="K1207" s="5" t="str">
        <f ca="1">IFERROR(__xludf.DUMMYFUNCTION("""COMPUTED_VALUE"""),"Hannah Yin")</f>
        <v>Hannah Yin</v>
      </c>
      <c r="L1207" s="5"/>
      <c r="M1207" s="5"/>
      <c r="N1207" s="26" t="str">
        <f ca="1">IFERROR(__xludf.DUMMYFUNCTION("""COMPUTED_VALUE"""),"https://drive.google.com/open?id=1BkB_9yvdxXUW2E98oAs-1Jn2uGk3pjrq")</f>
        <v>https://drive.google.com/open?id=1BkB_9yvdxXUW2E98oAs-1Jn2uGk3pjrq</v>
      </c>
      <c r="O1207" s="5">
        <f ca="1">IFERROR(__xludf.DUMMYFUNCTION("""COMPUTED_VALUE"""),5970060115)</f>
        <v>5970060115</v>
      </c>
      <c r="P1207" s="5" t="str">
        <f ca="1">IFERROR(__xludf.DUMMYFUNCTION("""COMPUTED_VALUE"""),"(805) 341-7944")</f>
        <v>(805) 341-7944</v>
      </c>
      <c r="Q1207" s="5"/>
      <c r="R1207" s="5"/>
      <c r="S1207" s="5"/>
      <c r="T1207" s="18">
        <f ca="1">IFERROR(__xludf.DUMMYFUNCTION("""COMPUTED_VALUE"""),44006)</f>
        <v>44006</v>
      </c>
    </row>
    <row r="1208" spans="1:20" ht="12.75">
      <c r="A1208" s="24">
        <f ca="1">IFERROR(__xludf.DUMMYFUNCTION("""COMPUTED_VALUE"""),45673.032430706)</f>
        <v>45673.032430706</v>
      </c>
      <c r="B1208" s="5" t="str">
        <f ca="1">IFERROR(__xludf.DUMMYFUNCTION("""COMPUTED_VALUE"""),"9243 Cordell Dr")</f>
        <v>9243 Cordell Dr</v>
      </c>
      <c r="C1208" s="5" t="str">
        <f ca="1">IFERROR(__xludf.DUMMYFUNCTION("""COMPUTED_VALUE"""),"Los Angeles")</f>
        <v>Los Angeles</v>
      </c>
      <c r="D1208" s="5" t="str">
        <f ca="1">IFERROR(__xludf.DUMMYFUNCTION("""COMPUTED_VALUE"""),"CA")</f>
        <v>CA</v>
      </c>
      <c r="E1208" s="5">
        <f ca="1">IFERROR(__xludf.DUMMYFUNCTION("""COMPUTED_VALUE"""),90069)</f>
        <v>90069</v>
      </c>
      <c r="F1208" s="19">
        <f ca="1">IFERROR(__xludf.DUMMYFUNCTION("""COMPUTED_VALUE"""),16000)</f>
        <v>16000</v>
      </c>
      <c r="G1208" s="19">
        <f ca="1">IFERROR(__xludf.DUMMYFUNCTION("""COMPUTED_VALUE"""),29000)</f>
        <v>29000</v>
      </c>
      <c r="H1208" s="18">
        <f ca="1">IFERROR(__xludf.DUMMYFUNCTION("""COMPUTED_VALUE"""),45671)</f>
        <v>45671</v>
      </c>
      <c r="I1208" s="5" t="str">
        <f ca="1">IFERROR(__xludf.DUMMYFUNCTION("""COMPUTED_VALUE"""),"Zillow")</f>
        <v>Zillow</v>
      </c>
      <c r="J1208" s="25" t="str">
        <f ca="1">IFERROR(__xludf.DUMMYFUNCTION("""COMPUTED_VALUE"""),"https://www.zillow.com/homedetails/9243-Cordell-Dr-Los-Angeles-CA-90069/20534852_zpid/")</f>
        <v>https://www.zillow.com/homedetails/9243-Cordell-Dr-Los-Angeles-CA-90069/20534852_zpid/</v>
      </c>
      <c r="K1208" s="5" t="str">
        <f ca="1">IFERROR(__xludf.DUMMYFUNCTION("""COMPUTED_VALUE"""),"Oraklus Rental Properties, Management company")</f>
        <v>Oraklus Rental Properties, Management company</v>
      </c>
      <c r="L1208" s="5"/>
      <c r="M1208" s="5" t="str">
        <f ca="1">IFERROR(__xludf.DUMMYFUNCTION("""COMPUTED_VALUE"""),"Rent increase of 81.3% on 1/14/25 from previous listing price in Sept. 2024")</f>
        <v>Rent increase of 81.3% on 1/14/25 from previous listing price in Sept. 2024</v>
      </c>
      <c r="N1208" s="5" t="str">
        <f ca="1">IFERROR(__xludf.DUMMYFUNCTION("""COMPUTED_VALUE"""),"https://drive.google.com/open?id=1r1p_4zhDs9MBEpq9VC7t_eQLAuxCqci1, https://drive.google.com/open?id=1emrY1vJAVSqtM0sK-1lLjeSWwCtkOSjZ")</f>
        <v>https://drive.google.com/open?id=1r1p_4zhDs9MBEpq9VC7t_eQLAuxCqci1, https://drive.google.com/open?id=1emrY1vJAVSqtM0sK-1lLjeSWwCtkOSjZ</v>
      </c>
      <c r="O1208" s="5">
        <f ca="1">IFERROR(__xludf.DUMMYFUNCTION("""COMPUTED_VALUE"""),4392009014)</f>
        <v>4392009014</v>
      </c>
      <c r="P1208" s="5" t="str">
        <f ca="1">IFERROR(__xludf.DUMMYFUNCTION("""COMPUTED_VALUE"""),"(424) 388-9703")</f>
        <v>(424) 388-9703</v>
      </c>
      <c r="Q1208" s="5"/>
      <c r="R1208" s="5"/>
      <c r="S1208" s="5"/>
      <c r="T1208" s="18">
        <f ca="1">IFERROR(__xludf.DUMMYFUNCTION("""COMPUTED_VALUE"""),45553)</f>
        <v>45553</v>
      </c>
    </row>
    <row r="1209" spans="1:20" ht="12.75">
      <c r="A1209" s="24">
        <f ca="1">IFERROR(__xludf.DUMMYFUNCTION("""COMPUTED_VALUE"""),45673.0359739351)</f>
        <v>45673.035973935097</v>
      </c>
      <c r="B1209" s="5" t="str">
        <f ca="1">IFERROR(__xludf.DUMMYFUNCTION("""COMPUTED_VALUE"""),"8875 Cynthia St #B,")</f>
        <v>8875 Cynthia St #B,</v>
      </c>
      <c r="C1209" s="5" t="str">
        <f ca="1">IFERROR(__xludf.DUMMYFUNCTION("""COMPUTED_VALUE"""),"West Hollywood")</f>
        <v>West Hollywood</v>
      </c>
      <c r="D1209" s="5" t="str">
        <f ca="1">IFERROR(__xludf.DUMMYFUNCTION("""COMPUTED_VALUE"""),"CA")</f>
        <v>CA</v>
      </c>
      <c r="E1209" s="5">
        <f ca="1">IFERROR(__xludf.DUMMYFUNCTION("""COMPUTED_VALUE"""),90069)</f>
        <v>90069</v>
      </c>
      <c r="F1209" s="19">
        <f ca="1">IFERROR(__xludf.DUMMYFUNCTION("""COMPUTED_VALUE"""),7999)</f>
        <v>7999</v>
      </c>
      <c r="G1209" s="19">
        <f ca="1">IFERROR(__xludf.DUMMYFUNCTION("""COMPUTED_VALUE"""),9995)</f>
        <v>9995</v>
      </c>
      <c r="H1209" s="18">
        <f ca="1">IFERROR(__xludf.DUMMYFUNCTION("""COMPUTED_VALUE"""),45672)</f>
        <v>45672</v>
      </c>
      <c r="I1209" s="5" t="str">
        <f ca="1">IFERROR(__xludf.DUMMYFUNCTION("""COMPUTED_VALUE"""),"Zillow")</f>
        <v>Zillow</v>
      </c>
      <c r="J1209" s="25" t="str">
        <f ca="1">IFERROR(__xludf.DUMMYFUNCTION("""COMPUTED_VALUE"""),"https://www.zillow.com/homedetails/8875-Cynthia-St-B-West-Hollywood-CA-90069/244500425_zpid/")</f>
        <v>https://www.zillow.com/homedetails/8875-Cynthia-St-B-West-Hollywood-CA-90069/244500425_zpid/</v>
      </c>
      <c r="K1209" s="5" t="str">
        <f ca="1">IFERROR(__xludf.DUMMYFUNCTION("""COMPUTED_VALUE"""),"Joshua Gaunya, Management company")</f>
        <v>Joshua Gaunya, Management company</v>
      </c>
      <c r="L1209" s="5"/>
      <c r="M1209" s="5" t="str">
        <f ca="1">IFERROR(__xludf.DUMMYFUNCTION("""COMPUTED_VALUE"""),"Rent increased 25% on 1/15/25 from previous listing price on 12/1/2024")</f>
        <v>Rent increased 25% on 1/15/25 from previous listing price on 12/1/2024</v>
      </c>
      <c r="N1209" s="5" t="str">
        <f ca="1">IFERROR(__xludf.DUMMYFUNCTION("""COMPUTED_VALUE"""),"https://drive.google.com/open?id=11NJVwz3QEt-hCPbvN-VAzpCbxwgGYsr7, https://drive.google.com/open?id=1vevo9KSnHxQLcFtxIaxiZqBV6qZJExM5")</f>
        <v>https://drive.google.com/open?id=11NJVwz3QEt-hCPbvN-VAzpCbxwgGYsr7, https://drive.google.com/open?id=1vevo9KSnHxQLcFtxIaxiZqBV6qZJExM5</v>
      </c>
      <c r="O1209" s="5">
        <f ca="1">IFERROR(__xludf.DUMMYFUNCTION("""COMPUTED_VALUE"""),4339018038)</f>
        <v>4339018038</v>
      </c>
      <c r="P1209" s="5" t="str">
        <f ca="1">IFERROR(__xludf.DUMMYFUNCTION("""COMPUTED_VALUE"""),"(310) 275-2223")</f>
        <v>(310) 275-2223</v>
      </c>
      <c r="Q1209" s="5"/>
      <c r="R1209" s="5"/>
      <c r="S1209" s="5"/>
      <c r="T1209" s="18">
        <f ca="1">IFERROR(__xludf.DUMMYFUNCTION("""COMPUTED_VALUE"""),45627)</f>
        <v>45627</v>
      </c>
    </row>
    <row r="1210" spans="1:20" ht="12.75">
      <c r="A1210" s="24">
        <f ca="1">IFERROR(__xludf.DUMMYFUNCTION("""COMPUTED_VALUE"""),45673.0373403125)</f>
        <v>45673.037340312498</v>
      </c>
      <c r="B1210" s="5" t="str">
        <f ca="1">IFERROR(__xludf.DUMMYFUNCTION("""COMPUTED_VALUE"""),"2398 Leeward Cir")</f>
        <v>2398 Leeward Cir</v>
      </c>
      <c r="C1210" s="5" t="str">
        <f ca="1">IFERROR(__xludf.DUMMYFUNCTION("""COMPUTED_VALUE"""),"Westlake Village")</f>
        <v>Westlake Village</v>
      </c>
      <c r="D1210" s="5" t="str">
        <f ca="1">IFERROR(__xludf.DUMMYFUNCTION("""COMPUTED_VALUE"""),"CA")</f>
        <v>CA</v>
      </c>
      <c r="E1210" s="5">
        <f ca="1">IFERROR(__xludf.DUMMYFUNCTION("""COMPUTED_VALUE"""),91361)</f>
        <v>91361</v>
      </c>
      <c r="F1210" s="19">
        <f ca="1">IFERROR(__xludf.DUMMYFUNCTION("""COMPUTED_VALUE"""),8500)</f>
        <v>8500</v>
      </c>
      <c r="G1210" s="19">
        <f ca="1">IFERROR(__xludf.DUMMYFUNCTION("""COMPUTED_VALUE"""),12000)</f>
        <v>12000</v>
      </c>
      <c r="H1210" s="18">
        <f ca="1">IFERROR(__xludf.DUMMYFUNCTION("""COMPUTED_VALUE"""),45667)</f>
        <v>45667</v>
      </c>
      <c r="I1210" s="5" t="str">
        <f ca="1">IFERROR(__xludf.DUMMYFUNCTION("""COMPUTED_VALUE"""),"Zillow")</f>
        <v>Zillow</v>
      </c>
      <c r="J1210" s="25" t="str">
        <f ca="1">IFERROR(__xludf.DUMMYFUNCTION("""COMPUTED_VALUE"""),"https://www.zillow.com/homedetails/2398-Leeward-Cir-Westlake-Village-CA-91361/16493568_zpid/")</f>
        <v>https://www.zillow.com/homedetails/2398-Leeward-Cir-Westlake-Village-CA-91361/16493568_zpid/</v>
      </c>
      <c r="K1210" s="5"/>
      <c r="L1210" s="5" t="str">
        <f ca="1">IFERROR(__xludf.DUMMYFUNCTION("""COMPUTED_VALUE"""),"Bradley Schwartz")</f>
        <v>Bradley Schwartz</v>
      </c>
      <c r="M1210" s="5"/>
      <c r="N1210" s="26" t="str">
        <f ca="1">IFERROR(__xludf.DUMMYFUNCTION("""COMPUTED_VALUE"""),"https://drive.google.com/open?id=1YJ9iNjd2jqgBhTMWO0MaET0eSm_iY3sV")</f>
        <v>https://drive.google.com/open?id=1YJ9iNjd2jqgBhTMWO0MaET0eSm_iY3sV</v>
      </c>
      <c r="O1210" s="5">
        <f ca="1">IFERROR(__xludf.DUMMYFUNCTION("""COMPUTED_VALUE"""),6990190645)</f>
        <v>6990190645</v>
      </c>
      <c r="P1210" s="5"/>
      <c r="Q1210" s="5"/>
      <c r="R1210" s="5" t="str">
        <f ca="1">IFERROR(__xludf.DUMMYFUNCTION("""COMPUTED_VALUE"""),"(213) 561-6562")</f>
        <v>(213) 561-6562</v>
      </c>
      <c r="S1210" s="5"/>
      <c r="T1210" s="18">
        <f ca="1">IFERROR(__xludf.DUMMYFUNCTION("""COMPUTED_VALUE"""),45078)</f>
        <v>45078</v>
      </c>
    </row>
    <row r="1211" spans="1:20" ht="12.75">
      <c r="A1211" s="24">
        <f ca="1">IFERROR(__xludf.DUMMYFUNCTION("""COMPUTED_VALUE"""),45673.0416178472)</f>
        <v>45673.041617847201</v>
      </c>
      <c r="B1211" s="5" t="str">
        <f ca="1">IFERROR(__xludf.DUMMYFUNCTION("""COMPUTED_VALUE"""),"6447 Surfside Way")</f>
        <v>6447 Surfside Way</v>
      </c>
      <c r="C1211" s="5" t="str">
        <f ca="1">IFERROR(__xludf.DUMMYFUNCTION("""COMPUTED_VALUE"""),"Malibu")</f>
        <v>Malibu</v>
      </c>
      <c r="D1211" s="5" t="str">
        <f ca="1">IFERROR(__xludf.DUMMYFUNCTION("""COMPUTED_VALUE"""),"CA")</f>
        <v>CA</v>
      </c>
      <c r="E1211" s="5">
        <f ca="1">IFERROR(__xludf.DUMMYFUNCTION("""COMPUTED_VALUE"""),90265)</f>
        <v>90265</v>
      </c>
      <c r="F1211" s="19">
        <f ca="1">IFERROR(__xludf.DUMMYFUNCTION("""COMPUTED_VALUE"""),11250)</f>
        <v>11250</v>
      </c>
      <c r="G1211" s="19">
        <f ca="1">IFERROR(__xludf.DUMMYFUNCTION("""COMPUTED_VALUE"""),20000)</f>
        <v>20000</v>
      </c>
      <c r="H1211" s="18">
        <f ca="1">IFERROR(__xludf.DUMMYFUNCTION("""COMPUTED_VALUE"""),45667)</f>
        <v>45667</v>
      </c>
      <c r="I1211" s="5" t="str">
        <f ca="1">IFERROR(__xludf.DUMMYFUNCTION("""COMPUTED_VALUE"""),"Zillow")</f>
        <v>Zillow</v>
      </c>
      <c r="J1211" s="25" t="str">
        <f ca="1">IFERROR(__xludf.DUMMYFUNCTION("""COMPUTED_VALUE"""),"https://www.zillow.com/homedetails/6447-Surfside-Way-Malibu-CA-90265/20557273_zpid/")</f>
        <v>https://www.zillow.com/homedetails/6447-Surfside-Way-Malibu-CA-90265/20557273_zpid/</v>
      </c>
      <c r="K1211" s="5" t="str">
        <f ca="1">IFERROR(__xludf.DUMMYFUNCTION("""COMPUTED_VALUE"""),"Russell Grether")</f>
        <v>Russell Grether</v>
      </c>
      <c r="L1211" s="5"/>
      <c r="M1211" s="5"/>
      <c r="N1211" s="26" t="str">
        <f ca="1">IFERROR(__xludf.DUMMYFUNCTION("""COMPUTED_VALUE"""),"https://drive.google.com/open?id=1GeTxm_cLGD3yDaRjUm4Hicz8Hsot9cqo")</f>
        <v>https://drive.google.com/open?id=1GeTxm_cLGD3yDaRjUm4Hicz8Hsot9cqo</v>
      </c>
      <c r="O1211" s="5">
        <f ca="1">IFERROR(__xludf.DUMMYFUNCTION("""COMPUTED_VALUE"""),4469031003)</f>
        <v>4469031003</v>
      </c>
      <c r="P1211" s="5" t="str">
        <f ca="1">IFERROR(__xludf.DUMMYFUNCTION("""COMPUTED_VALUE"""),"(310) 230-5771")</f>
        <v>(310) 230-5771</v>
      </c>
      <c r="Q1211" s="5"/>
      <c r="R1211" s="5"/>
      <c r="S1211" s="5"/>
      <c r="T1211" s="18">
        <f ca="1">IFERROR(__xludf.DUMMYFUNCTION("""COMPUTED_VALUE"""),43427)</f>
        <v>43427</v>
      </c>
    </row>
    <row r="1212" spans="1:20" ht="12.75">
      <c r="A1212" s="24">
        <f ca="1">IFERROR(__xludf.DUMMYFUNCTION("""COMPUTED_VALUE"""),45673.3263992939)</f>
        <v>45673.326399293903</v>
      </c>
      <c r="B1212" s="5" t="str">
        <f ca="1">IFERROR(__xludf.DUMMYFUNCTION("""COMPUTED_VALUE"""),"636 N Juanita Ave #403, Los Angeles, CA 90004")</f>
        <v>636 N Juanita Ave #403, Los Angeles, CA 90004</v>
      </c>
      <c r="C1212" s="5" t="str">
        <f ca="1">IFERROR(__xludf.DUMMYFUNCTION("""COMPUTED_VALUE"""),"Los Angeles")</f>
        <v>Los Angeles</v>
      </c>
      <c r="D1212" s="5" t="str">
        <f ca="1">IFERROR(__xludf.DUMMYFUNCTION("""COMPUTED_VALUE"""),"CA")</f>
        <v>CA</v>
      </c>
      <c r="E1212" s="5">
        <f ca="1">IFERROR(__xludf.DUMMYFUNCTION("""COMPUTED_VALUE"""),90004)</f>
        <v>90004</v>
      </c>
      <c r="F1212" s="19">
        <f ca="1">IFERROR(__xludf.DUMMYFUNCTION("""COMPUTED_VALUE"""),2665)</f>
        <v>2665</v>
      </c>
      <c r="G1212" s="19">
        <f ca="1">IFERROR(__xludf.DUMMYFUNCTION("""COMPUTED_VALUE"""),4700)</f>
        <v>4700</v>
      </c>
      <c r="H1212" s="18">
        <f ca="1">IFERROR(__xludf.DUMMYFUNCTION("""COMPUTED_VALUE"""),45673)</f>
        <v>45673</v>
      </c>
      <c r="I1212" s="5" t="str">
        <f ca="1">IFERROR(__xludf.DUMMYFUNCTION("""COMPUTED_VALUE"""),"Zillow")</f>
        <v>Zillow</v>
      </c>
      <c r="J1212" s="25" t="str">
        <f ca="1">IFERROR(__xludf.DUMMYFUNCTION("""COMPUTED_VALUE"""),"https://www.zillow.com/homedetails/636-N-Juanita-Ave-403-Los-Angeles-CA-90004/2057680065_zpid/?rtoken=4410dfb7-5713-4eac-b85f-6427b5ecb6ea~X1-ZU14plpe7gk4kjt_uwi3&amp;utm_campaign=emo-propertyalertnew&amp;utm_source=email&amp;utm_term=urn:msg:20250116011407f52da3683e"&amp;"0bc485&amp;utm_medium=email&amp;utm_content=forrentaddress")</f>
        <v>https://www.zillow.com/homedetails/636-N-Juanita-Ave-403-Los-Angeles-CA-90004/2057680065_zpid/?rtoken=4410dfb7-5713-4eac-b85f-6427b5ecb6ea~X1-ZU14plpe7gk4kjt_uwi3&amp;utm_campaign=emo-propertyalertnew&amp;utm_source=email&amp;utm_term=urn:msg:20250116011407f52da3683e0bc485&amp;utm_medium=email&amp;utm_content=forrentaddress</v>
      </c>
      <c r="K1212" s="5" t="str">
        <f ca="1">IFERROR(__xludf.DUMMYFUNCTION("""COMPUTED_VALUE"""),"Leasing Agent Oliver James Management")</f>
        <v>Leasing Agent Oliver James Management</v>
      </c>
      <c r="L1212" s="5"/>
      <c r="M1212" s="5"/>
      <c r="N1212" s="5" t="str">
        <f ca="1">IFERROR(__xludf.DUMMYFUNCTION("""COMPUTED_VALUE"""),"https://drive.google.com/open?id=1V6ndgpiESDbHRe2oBOx2H3i7YLxwvamp, https://drive.google.com/open?id=1a-gAXhxtuUNF1U8QVQtIewTR-3EjeAsF")</f>
        <v>https://drive.google.com/open?id=1V6ndgpiESDbHRe2oBOx2H3i7YLxwvamp, https://drive.google.com/open?id=1a-gAXhxtuUNF1U8QVQtIewTR-3EjeAsF</v>
      </c>
      <c r="O1212" s="5" t="str">
        <f ca="1">IFERROR(__xludf.DUMMYFUNCTION("""COMPUTED_VALUE"""),"N/A")</f>
        <v>N/A</v>
      </c>
      <c r="P1212" s="5" t="str">
        <f ca="1">IFERROR(__xludf.DUMMYFUNCTION("""COMPUTED_VALUE"""),"(310) 498-8300")</f>
        <v>(310) 498-8300</v>
      </c>
      <c r="Q1212" s="5"/>
      <c r="R1212" s="5"/>
      <c r="S1212" s="5"/>
      <c r="T1212" s="18">
        <f ca="1">IFERROR(__xludf.DUMMYFUNCTION("""COMPUTED_VALUE"""),45628)</f>
        <v>45628</v>
      </c>
    </row>
    <row r="1213" spans="1:20" ht="12.75">
      <c r="A1213" s="24">
        <f ca="1">IFERROR(__xludf.DUMMYFUNCTION("""COMPUTED_VALUE"""),45673.3424890625)</f>
        <v>45673.342489062503</v>
      </c>
      <c r="B1213" s="5" t="str">
        <f ca="1">IFERROR(__xludf.DUMMYFUNCTION("""COMPUTED_VALUE"""),"6241 W 6th St")</f>
        <v>6241 W 6th St</v>
      </c>
      <c r="C1213" s="5" t="str">
        <f ca="1">IFERROR(__xludf.DUMMYFUNCTION("""COMPUTED_VALUE"""),"Los Angeles")</f>
        <v>Los Angeles</v>
      </c>
      <c r="D1213" s="5" t="str">
        <f ca="1">IFERROR(__xludf.DUMMYFUNCTION("""COMPUTED_VALUE"""),"CA")</f>
        <v>CA</v>
      </c>
      <c r="E1213" s="5">
        <f ca="1">IFERROR(__xludf.DUMMYFUNCTION("""COMPUTED_VALUE"""),90048)</f>
        <v>90048</v>
      </c>
      <c r="F1213" s="19">
        <f ca="1">IFERROR(__xludf.DUMMYFUNCTION("""COMPUTED_VALUE"""),5495)</f>
        <v>5495</v>
      </c>
      <c r="G1213" s="19">
        <f ca="1">IFERROR(__xludf.DUMMYFUNCTION("""COMPUTED_VALUE"""),5695)</f>
        <v>5695</v>
      </c>
      <c r="H1213" s="18">
        <f ca="1">IFERROR(__xludf.DUMMYFUNCTION("""COMPUTED_VALUE"""),45669)</f>
        <v>45669</v>
      </c>
      <c r="I1213" s="5" t="str">
        <f ca="1">IFERROR(__xludf.DUMMYFUNCTION("""COMPUTED_VALUE"""),"Zillow")</f>
        <v>Zillow</v>
      </c>
      <c r="J1213" s="25" t="str">
        <f ca="1">IFERROR(__xludf.DUMMYFUNCTION("""COMPUTED_VALUE"""),"https://www.zillow.com/homedetails/6241-W-6th-St-Los-Angeles-CA-90048/20776463_zpid/?utm_campaign=iosappmessage&amp;utm_medium=referral&amp;utm_source=txtshare")</f>
        <v>https://www.zillow.com/homedetails/6241-W-6th-St-Los-Angeles-CA-90048/20776463_zpid/?utm_campaign=iosappmessage&amp;utm_medium=referral&amp;utm_source=txtshare</v>
      </c>
      <c r="K1213" s="5" t="str">
        <f ca="1">IFERROR(__xludf.DUMMYFUNCTION("""COMPUTED_VALUE"""),"Jefferson Hendrick")</f>
        <v>Jefferson Hendrick</v>
      </c>
      <c r="L1213" s="5"/>
      <c r="M1213" s="5"/>
      <c r="N1213" s="26" t="str">
        <f ca="1">IFERROR(__xludf.DUMMYFUNCTION("""COMPUTED_VALUE"""),"https://drive.google.com/open?id=1O4hukGAbYepv5E9wkJake0gzmfBH4qxJ")</f>
        <v>https://drive.google.com/open?id=1O4hukGAbYepv5E9wkJake0gzmfBH4qxJ</v>
      </c>
      <c r="O1213" s="5">
        <f ca="1">IFERROR(__xludf.DUMMYFUNCTION("""COMPUTED_VALUE"""),5510019017)</f>
        <v>5510019017</v>
      </c>
      <c r="P1213" s="5" t="str">
        <f ca="1">IFERROR(__xludf.DUMMYFUNCTION("""COMPUTED_VALUE"""),"323-251-7883")</f>
        <v>323-251-7883</v>
      </c>
      <c r="Q1213" s="5"/>
      <c r="R1213" s="5"/>
      <c r="S1213" s="5"/>
      <c r="T1213" s="18">
        <f ca="1">IFERROR(__xludf.DUMMYFUNCTION("""COMPUTED_VALUE"""),45657)</f>
        <v>45657</v>
      </c>
    </row>
    <row r="1214" spans="1:20" ht="12.75">
      <c r="A1214" s="24">
        <f ca="1">IFERROR(__xludf.DUMMYFUNCTION("""COMPUTED_VALUE"""),45673.3451635532)</f>
        <v>45673.345163553196</v>
      </c>
      <c r="B1214" s="5" t="str">
        <f ca="1">IFERROR(__xludf.DUMMYFUNCTION("""COMPUTED_VALUE"""),"6369 Orange St #6369")</f>
        <v>6369 Orange St #6369</v>
      </c>
      <c r="C1214" s="5" t="str">
        <f ca="1">IFERROR(__xludf.DUMMYFUNCTION("""COMPUTED_VALUE"""),"Los Angeles")</f>
        <v>Los Angeles</v>
      </c>
      <c r="D1214" s="5" t="str">
        <f ca="1">IFERROR(__xludf.DUMMYFUNCTION("""COMPUTED_VALUE"""),"CA")</f>
        <v>CA</v>
      </c>
      <c r="E1214" s="5">
        <f ca="1">IFERROR(__xludf.DUMMYFUNCTION("""COMPUTED_VALUE"""),90048)</f>
        <v>90048</v>
      </c>
      <c r="F1214" s="19">
        <f ca="1">IFERROR(__xludf.DUMMYFUNCTION("""COMPUTED_VALUE"""),4995)</f>
        <v>4995</v>
      </c>
      <c r="G1214" s="19">
        <f ca="1">IFERROR(__xludf.DUMMYFUNCTION("""COMPUTED_VALUE"""),5200)</f>
        <v>5200</v>
      </c>
      <c r="H1214" s="18">
        <f ca="1">IFERROR(__xludf.DUMMYFUNCTION("""COMPUTED_VALUE"""),45672)</f>
        <v>45672</v>
      </c>
      <c r="I1214" s="5" t="str">
        <f ca="1">IFERROR(__xludf.DUMMYFUNCTION("""COMPUTED_VALUE"""),"Zillow")</f>
        <v>Zillow</v>
      </c>
      <c r="J1214" s="25" t="str">
        <f ca="1">IFERROR(__xludf.DUMMYFUNCTION("""COMPUTED_VALUE"""),"https://www.zillow.com/homedetails/6369-Orange-St-6369-Los-Angeles-CA-90048/443464708_zpid/?utm_campaign=iosappmessage&amp;utm_medium=referral&amp;utm_source=txtshare")</f>
        <v>https://www.zillow.com/homedetails/6369-Orange-St-6369-Los-Angeles-CA-90048/443464708_zpid/?utm_campaign=iosappmessage&amp;utm_medium=referral&amp;utm_source=txtshare</v>
      </c>
      <c r="K1214" s="5" t="str">
        <f ca="1">IFERROR(__xludf.DUMMYFUNCTION("""COMPUTED_VALUE"""),"Channa Wintner")</f>
        <v>Channa Wintner</v>
      </c>
      <c r="L1214" s="5"/>
      <c r="M1214" s="5"/>
      <c r="N1214" s="26" t="str">
        <f ca="1">IFERROR(__xludf.DUMMYFUNCTION("""COMPUTED_VALUE"""),"https://drive.google.com/open?id=1yAEl3WDQxfQbeFrvBUHYc6FwGkzHiw4F")</f>
        <v>https://drive.google.com/open?id=1yAEl3WDQxfQbeFrvBUHYc6FwGkzHiw4F</v>
      </c>
      <c r="O1214" s="5" t="str">
        <f ca="1">IFERROR(__xludf.DUMMYFUNCTION("""COMPUTED_VALUE"""),"NA")</f>
        <v>NA</v>
      </c>
      <c r="P1214" s="5" t="str">
        <f ca="1">IFERROR(__xludf.DUMMYFUNCTION("""COMPUTED_VALUE"""),"310-271-2229")</f>
        <v>310-271-2229</v>
      </c>
      <c r="Q1214" s="5"/>
      <c r="R1214" s="5"/>
      <c r="S1214" s="5"/>
      <c r="T1214" s="18">
        <f ca="1">IFERROR(__xludf.DUMMYFUNCTION("""COMPUTED_VALUE"""),45658)</f>
        <v>45658</v>
      </c>
    </row>
    <row r="1215" spans="1:20" ht="12.75">
      <c r="A1215" s="24">
        <f ca="1">IFERROR(__xludf.DUMMYFUNCTION("""COMPUTED_VALUE"""),45673.3732401504)</f>
        <v>45673.373240150402</v>
      </c>
      <c r="B1215" s="5" t="str">
        <f ca="1">IFERROR(__xludf.DUMMYFUNCTION("""COMPUTED_VALUE"""),"29712 zuma bay way")</f>
        <v>29712 zuma bay way</v>
      </c>
      <c r="C1215" s="5" t="str">
        <f ca="1">IFERROR(__xludf.DUMMYFUNCTION("""COMPUTED_VALUE"""),"malibu")</f>
        <v>malibu</v>
      </c>
      <c r="D1215" s="5" t="str">
        <f ca="1">IFERROR(__xludf.DUMMYFUNCTION("""COMPUTED_VALUE"""),"CA")</f>
        <v>CA</v>
      </c>
      <c r="E1215" s="5">
        <f ca="1">IFERROR(__xludf.DUMMYFUNCTION("""COMPUTED_VALUE"""),90265)</f>
        <v>90265</v>
      </c>
      <c r="F1215" s="19">
        <f ca="1">IFERROR(__xludf.DUMMYFUNCTION("""COMPUTED_VALUE"""),8995)</f>
        <v>8995</v>
      </c>
      <c r="G1215" s="19">
        <f ca="1">IFERROR(__xludf.DUMMYFUNCTION("""COMPUTED_VALUE"""),9995)</f>
        <v>9995</v>
      </c>
      <c r="H1215" s="18">
        <f ca="1">IFERROR(__xludf.DUMMYFUNCTION("""COMPUTED_VALUE"""),45668)</f>
        <v>45668</v>
      </c>
      <c r="I1215" s="5" t="str">
        <f ca="1">IFERROR(__xludf.DUMMYFUNCTION("""COMPUTED_VALUE"""),"Zillow")</f>
        <v>Zillow</v>
      </c>
      <c r="J1215" s="25" t="str">
        <f ca="1">IFERROR(__xludf.DUMMYFUNCTION("""COMPUTED_VALUE"""),"https://www.zillow.com/homedetails/29712-Zuma-Bay-Way-Malibu-CA-90265/20556841_zpid/")</f>
        <v>https://www.zillow.com/homedetails/29712-Zuma-Bay-Way-Malibu-CA-90265/20556841_zpid/</v>
      </c>
      <c r="K1215" s="5"/>
      <c r="L1215" s="5"/>
      <c r="M1215" s="5"/>
      <c r="N1215" s="26" t="str">
        <f ca="1">IFERROR(__xludf.DUMMYFUNCTION("""COMPUTED_VALUE"""),"https://drive.google.com/open?id=1Eabb__P4ztp-qWv06AT8ngLda3afOCtn")</f>
        <v>https://drive.google.com/open?id=1Eabb__P4ztp-qWv06AT8ngLda3afOCtn</v>
      </c>
      <c r="O1215" s="5">
        <f ca="1">IFERROR(__xludf.DUMMYFUNCTION("""COMPUTED_VALUE"""),4468022003)</f>
        <v>4468022003</v>
      </c>
      <c r="P1215" s="5"/>
      <c r="Q1215" s="5"/>
      <c r="R1215" s="5"/>
      <c r="S1215" s="5"/>
      <c r="T1215" s="18">
        <f ca="1">IFERROR(__xludf.DUMMYFUNCTION("""COMPUTED_VALUE"""),45613)</f>
        <v>45613</v>
      </c>
    </row>
    <row r="1216" spans="1:20" ht="12.75">
      <c r="A1216" s="24">
        <f ca="1">IFERROR(__xludf.DUMMYFUNCTION("""COMPUTED_VALUE"""),45673.3758657175)</f>
        <v>45673.375865717499</v>
      </c>
      <c r="B1216" s="5" t="str">
        <f ca="1">IFERROR(__xludf.DUMMYFUNCTION("""COMPUTED_VALUE"""),"2243 century hi")</f>
        <v>2243 century hi</v>
      </c>
      <c r="C1216" s="5" t="str">
        <f ca="1">IFERROR(__xludf.DUMMYFUNCTION("""COMPUTED_VALUE"""),"los angeles")</f>
        <v>los angeles</v>
      </c>
      <c r="D1216" s="5" t="str">
        <f ca="1">IFERROR(__xludf.DUMMYFUNCTION("""COMPUTED_VALUE"""),"CA")</f>
        <v>CA</v>
      </c>
      <c r="E1216" s="5">
        <f ca="1">IFERROR(__xludf.DUMMYFUNCTION("""COMPUTED_VALUE"""),90067)</f>
        <v>90067</v>
      </c>
      <c r="F1216" s="19">
        <f ca="1">IFERROR(__xludf.DUMMYFUNCTION("""COMPUTED_VALUE"""),8500)</f>
        <v>8500</v>
      </c>
      <c r="G1216" s="19">
        <f ca="1">IFERROR(__xludf.DUMMYFUNCTION("""COMPUTED_VALUE"""),9400)</f>
        <v>9400</v>
      </c>
      <c r="H1216" s="18">
        <f ca="1">IFERROR(__xludf.DUMMYFUNCTION("""COMPUTED_VALUE"""),45672)</f>
        <v>45672</v>
      </c>
      <c r="I1216" s="5" t="str">
        <f ca="1">IFERROR(__xludf.DUMMYFUNCTION("""COMPUTED_VALUE"""),"Zillow")</f>
        <v>Zillow</v>
      </c>
      <c r="J1216" s="25" t="str">
        <f ca="1">IFERROR(__xludf.DUMMYFUNCTION("""COMPUTED_VALUE"""),"https://www.zillow.com/homedetails/2243-Century-Hl-Los-Angeles-CA-90067/20510481_zpid/")</f>
        <v>https://www.zillow.com/homedetails/2243-Century-Hl-Los-Angeles-CA-90067/20510481_zpid/</v>
      </c>
      <c r="K1216" s="5"/>
      <c r="L1216" s="5"/>
      <c r="M1216" s="5"/>
      <c r="N1216" s="26" t="str">
        <f ca="1">IFERROR(__xludf.DUMMYFUNCTION("""COMPUTED_VALUE"""),"https://drive.google.com/open?id=1h4M8X_6o5IQbQzdj15uH-hyvzTTn3ZMG")</f>
        <v>https://drive.google.com/open?id=1h4M8X_6o5IQbQzdj15uH-hyvzTTn3ZMG</v>
      </c>
      <c r="O1216" s="5">
        <f ca="1">IFERROR(__xludf.DUMMYFUNCTION("""COMPUTED_VALUE"""),4329008163)</f>
        <v>4329008163</v>
      </c>
      <c r="P1216" s="5"/>
      <c r="Q1216" s="5"/>
      <c r="R1216" s="5"/>
      <c r="S1216" s="5"/>
      <c r="T1216" s="18">
        <f ca="1">IFERROR(__xludf.DUMMYFUNCTION("""COMPUTED_VALUE"""),45665)</f>
        <v>45665</v>
      </c>
    </row>
    <row r="1217" spans="1:20" ht="12.75">
      <c r="A1217" s="24">
        <f ca="1">IFERROR(__xludf.DUMMYFUNCTION("""COMPUTED_VALUE"""),45673.4006184375)</f>
        <v>45673.400618437503</v>
      </c>
      <c r="B1217" s="5" t="str">
        <f ca="1">IFERROR(__xludf.DUMMYFUNCTION("""COMPUTED_VALUE"""),"4450 Hayvenhurst Ave")</f>
        <v>4450 Hayvenhurst Ave</v>
      </c>
      <c r="C1217" s="5" t="str">
        <f ca="1">IFERROR(__xludf.DUMMYFUNCTION("""COMPUTED_VALUE"""),"Encino")</f>
        <v>Encino</v>
      </c>
      <c r="D1217" s="5" t="str">
        <f ca="1">IFERROR(__xludf.DUMMYFUNCTION("""COMPUTED_VALUE"""),"CA")</f>
        <v>CA</v>
      </c>
      <c r="E1217" s="5">
        <f ca="1">IFERROR(__xludf.DUMMYFUNCTION("""COMPUTED_VALUE"""),91436)</f>
        <v>91436</v>
      </c>
      <c r="F1217" s="19">
        <f ca="1">IFERROR(__xludf.DUMMYFUNCTION("""COMPUTED_VALUE"""),12000)</f>
        <v>12000</v>
      </c>
      <c r="G1217" s="19">
        <f ca="1">IFERROR(__xludf.DUMMYFUNCTION("""COMPUTED_VALUE"""),14000)</f>
        <v>14000</v>
      </c>
      <c r="H1217" s="18">
        <f ca="1">IFERROR(__xludf.DUMMYFUNCTION("""COMPUTED_VALUE"""),45670)</f>
        <v>45670</v>
      </c>
      <c r="I1217" s="5" t="str">
        <f ca="1">IFERROR(__xludf.DUMMYFUNCTION("""COMPUTED_VALUE"""),"Zillow")</f>
        <v>Zillow</v>
      </c>
      <c r="J1217" s="25" t="str">
        <f ca="1">IFERROR(__xludf.DUMMYFUNCTION("""COMPUTED_VALUE"""),"https://www.zillow.com/homedetails/4450-Hayvenhurst-Ave-Encino-CA-91436/19991832_zpid/")</f>
        <v>https://www.zillow.com/homedetails/4450-Hayvenhurst-Ave-Encino-CA-91436/19991832_zpid/</v>
      </c>
      <c r="K1217" s="5" t="str">
        <f ca="1">IFERROR(__xludf.DUMMYFUNCTION("""COMPUTED_VALUE"""),"Lee")</f>
        <v>Lee</v>
      </c>
      <c r="L1217" s="5"/>
      <c r="M1217" s="5"/>
      <c r="N1217" s="26" t="str">
        <f ca="1">IFERROR(__xludf.DUMMYFUNCTION("""COMPUTED_VALUE"""),"https://drive.google.com/open?id=15djCDg66BmipuKOms9d8G8gJSk7W72He")</f>
        <v>https://drive.google.com/open?id=15djCDg66BmipuKOms9d8G8gJSk7W72He</v>
      </c>
      <c r="O1217" s="5">
        <f ca="1">IFERROR(__xludf.DUMMYFUNCTION("""COMPUTED_VALUE"""),2284014014)</f>
        <v>2284014014</v>
      </c>
      <c r="P1217" s="5" t="str">
        <f ca="1">IFERROR(__xludf.DUMMYFUNCTION("""COMPUTED_VALUE"""),"(786) 525-8898")</f>
        <v>(786) 525-8898</v>
      </c>
      <c r="Q1217" s="5"/>
      <c r="R1217" s="5"/>
      <c r="S1217" s="5"/>
      <c r="T1217" s="18">
        <f ca="1">IFERROR(__xludf.DUMMYFUNCTION("""COMPUTED_VALUE"""),45639)</f>
        <v>45639</v>
      </c>
    </row>
    <row r="1218" spans="1:20" ht="12.75">
      <c r="A1218" s="24">
        <f ca="1">IFERROR(__xludf.DUMMYFUNCTION("""COMPUTED_VALUE"""),45673.4060205439)</f>
        <v>45673.406020543902</v>
      </c>
      <c r="B1218" s="5" t="str">
        <f ca="1">IFERROR(__xludf.DUMMYFUNCTION("""COMPUTED_VALUE"""),"1859 Bel Air Rd")</f>
        <v>1859 Bel Air Rd</v>
      </c>
      <c r="C1218" s="5" t="str">
        <f ca="1">IFERROR(__xludf.DUMMYFUNCTION("""COMPUTED_VALUE"""),"Los Angeles")</f>
        <v>Los Angeles</v>
      </c>
      <c r="D1218" s="5" t="str">
        <f ca="1">IFERROR(__xludf.DUMMYFUNCTION("""COMPUTED_VALUE"""),"CA")</f>
        <v>CA</v>
      </c>
      <c r="E1218" s="5">
        <f ca="1">IFERROR(__xludf.DUMMYFUNCTION("""COMPUTED_VALUE"""),90077)</f>
        <v>90077</v>
      </c>
      <c r="F1218" s="19">
        <f ca="1">IFERROR(__xludf.DUMMYFUNCTION("""COMPUTED_VALUE"""),58000)</f>
        <v>58000</v>
      </c>
      <c r="G1218" s="19">
        <f ca="1">IFERROR(__xludf.DUMMYFUNCTION("""COMPUTED_VALUE"""),198000)</f>
        <v>198000</v>
      </c>
      <c r="H1218" s="18">
        <f ca="1">IFERROR(__xludf.DUMMYFUNCTION("""COMPUTED_VALUE"""),45665)</f>
        <v>45665</v>
      </c>
      <c r="I1218" s="5" t="str">
        <f ca="1">IFERROR(__xludf.DUMMYFUNCTION("""COMPUTED_VALUE"""),"Zillow")</f>
        <v>Zillow</v>
      </c>
      <c r="J1218" s="25" t="str">
        <f ca="1">IFERROR(__xludf.DUMMYFUNCTION("""COMPUTED_VALUE"""),"https://www.zillow.com/homedetails/1859-Bel-Air-Rd-Los-Angeles-CA-90077/95660959_zpid/")</f>
        <v>https://www.zillow.com/homedetails/1859-Bel-Air-Rd-Los-Angeles-CA-90077/95660959_zpid/</v>
      </c>
      <c r="K1218" s="5" t="str">
        <f ca="1">IFERROR(__xludf.DUMMYFUNCTION("""COMPUTED_VALUE"""),"Levik Stephan")</f>
        <v>Levik Stephan</v>
      </c>
      <c r="L1218" s="5"/>
      <c r="M1218" s="5"/>
      <c r="N1218" s="5" t="str">
        <f ca="1">IFERROR(__xludf.DUMMYFUNCTION("""COMPUTED_VALUE"""),"https://drive.google.com/open?id=1FZhvsjaBl3Ps1vI0rSiFykd2PbN0y-IT, https://drive.google.com/open?id=1wzr6DWvuI5kB7KAzWkPeJajrvTFpaDtA, https://drive.google.com/open?id=1kqlMOGCgrXl3fm8wkg2kcd_97AlPL3Q4, https://drive.google.com/open?id=1Hm4Lhu1EqFybteRPT"&amp;"kSLdicJ7Orysz8g")</f>
        <v>https://drive.google.com/open?id=1FZhvsjaBl3Ps1vI0rSiFykd2PbN0y-IT, https://drive.google.com/open?id=1wzr6DWvuI5kB7KAzWkPeJajrvTFpaDtA, https://drive.google.com/open?id=1kqlMOGCgrXl3fm8wkg2kcd_97AlPL3Q4, https://drive.google.com/open?id=1Hm4Lhu1EqFybteRPTkSLdicJ7Orysz8g</v>
      </c>
      <c r="O1218" s="5">
        <f ca="1">IFERROR(__xludf.DUMMYFUNCTION("""COMPUTED_VALUE"""),4370013050)</f>
        <v>4370013050</v>
      </c>
      <c r="P1218" s="5"/>
      <c r="Q1218" s="5"/>
      <c r="R1218" s="5"/>
      <c r="S1218" s="5"/>
      <c r="T1218" s="18">
        <f ca="1">IFERROR(__xludf.DUMMYFUNCTION("""COMPUTED_VALUE"""),45366)</f>
        <v>45366</v>
      </c>
    </row>
    <row r="1219" spans="1:20" ht="12.75">
      <c r="A1219" s="24">
        <f ca="1">IFERROR(__xludf.DUMMYFUNCTION("""COMPUTED_VALUE"""),45673.4072770254)</f>
        <v>45673.407277025399</v>
      </c>
      <c r="B1219" s="5" t="str">
        <f ca="1">IFERROR(__xludf.DUMMYFUNCTION("""COMPUTED_VALUE"""),"3548 Poppy Drive")</f>
        <v>3548 Poppy Drive</v>
      </c>
      <c r="C1219" s="5" t="str">
        <f ca="1">IFERROR(__xludf.DUMMYFUNCTION("""COMPUTED_VALUE"""),"Calabasas")</f>
        <v>Calabasas</v>
      </c>
      <c r="D1219" s="5" t="str">
        <f ca="1">IFERROR(__xludf.DUMMYFUNCTION("""COMPUTED_VALUE"""),"CA")</f>
        <v>CA</v>
      </c>
      <c r="E1219" s="5">
        <f ca="1">IFERROR(__xludf.DUMMYFUNCTION("""COMPUTED_VALUE"""),91302)</f>
        <v>91302</v>
      </c>
      <c r="F1219" s="19">
        <f ca="1">IFERROR(__xludf.DUMMYFUNCTION("""COMPUTED_VALUE"""),6500)</f>
        <v>6500</v>
      </c>
      <c r="G1219" s="19">
        <f ca="1">IFERROR(__xludf.DUMMYFUNCTION("""COMPUTED_VALUE"""),7500)</f>
        <v>7500</v>
      </c>
      <c r="H1219" s="18">
        <f ca="1">IFERROR(__xludf.DUMMYFUNCTION("""COMPUTED_VALUE"""),45671)</f>
        <v>45671</v>
      </c>
      <c r="I1219" s="5" t="str">
        <f ca="1">IFERROR(__xludf.DUMMYFUNCTION("""COMPUTED_VALUE"""),"Zillow")</f>
        <v>Zillow</v>
      </c>
      <c r="J1219" s="25" t="str">
        <f ca="1">IFERROR(__xludf.DUMMYFUNCTION("""COMPUTED_VALUE"""),"https://www.zillow.com/homedetails/3548-Poppy-Dr-Calabasas-CA-91302/63086404_zpid/")</f>
        <v>https://www.zillow.com/homedetails/3548-Poppy-Dr-Calabasas-CA-91302/63086404_zpid/</v>
      </c>
      <c r="K1219" s="5" t="str">
        <f ca="1">IFERROR(__xludf.DUMMYFUNCTION("""COMPUTED_VALUE"""),"Joel Fajardo")</f>
        <v>Joel Fajardo</v>
      </c>
      <c r="L1219" s="5"/>
      <c r="M1219" s="5"/>
      <c r="N1219" s="26" t="str">
        <f ca="1">IFERROR(__xludf.DUMMYFUNCTION("""COMPUTED_VALUE"""),"https://drive.google.com/open?id=1OcdmPB655eGCAnCdLQuN9mxRTCXLK6yk")</f>
        <v>https://drive.google.com/open?id=1OcdmPB655eGCAnCdLQuN9mxRTCXLK6yk</v>
      </c>
      <c r="O1219" s="5">
        <f ca="1">IFERROR(__xludf.DUMMYFUNCTION("""COMPUTED_VALUE"""),2072007082)</f>
        <v>2072007082</v>
      </c>
      <c r="P1219" s="5" t="str">
        <f ca="1">IFERROR(__xludf.DUMMYFUNCTION("""COMPUTED_VALUE"""),"(310) 461-4340")</f>
        <v>(310) 461-4340</v>
      </c>
      <c r="Q1219" s="5"/>
      <c r="R1219" s="5"/>
      <c r="S1219" s="5"/>
      <c r="T1219" s="18">
        <f ca="1">IFERROR(__xludf.DUMMYFUNCTION("""COMPUTED_VALUE"""),45668)</f>
        <v>45668</v>
      </c>
    </row>
    <row r="1220" spans="1:20" ht="12.75">
      <c r="A1220" s="24">
        <f ca="1">IFERROR(__xludf.DUMMYFUNCTION("""COMPUTED_VALUE"""),45673.4082649305)</f>
        <v>45673.408264930498</v>
      </c>
      <c r="B1220" s="5" t="str">
        <f ca="1">IFERROR(__xludf.DUMMYFUNCTION("""COMPUTED_VALUE"""),"500 St Cloud Rd")</f>
        <v>500 St Cloud Rd</v>
      </c>
      <c r="C1220" s="5" t="str">
        <f ca="1">IFERROR(__xludf.DUMMYFUNCTION("""COMPUTED_VALUE"""),"Los Angeles")</f>
        <v>Los Angeles</v>
      </c>
      <c r="D1220" s="5" t="str">
        <f ca="1">IFERROR(__xludf.DUMMYFUNCTION("""COMPUTED_VALUE"""),"CA")</f>
        <v>CA</v>
      </c>
      <c r="E1220" s="5">
        <f ca="1">IFERROR(__xludf.DUMMYFUNCTION("""COMPUTED_VALUE"""),90077)</f>
        <v>90077</v>
      </c>
      <c r="F1220" s="19">
        <f ca="1">IFERROR(__xludf.DUMMYFUNCTION("""COMPUTED_VALUE"""),46000)</f>
        <v>46000</v>
      </c>
      <c r="G1220" s="19">
        <f ca="1">IFERROR(__xludf.DUMMYFUNCTION("""COMPUTED_VALUE"""),175000)</f>
        <v>175000</v>
      </c>
      <c r="H1220" s="18">
        <f ca="1">IFERROR(__xludf.DUMMYFUNCTION("""COMPUTED_VALUE"""),45666)</f>
        <v>45666</v>
      </c>
      <c r="I1220" s="5" t="str">
        <f ca="1">IFERROR(__xludf.DUMMYFUNCTION("""COMPUTED_VALUE"""),"Zillow")</f>
        <v>Zillow</v>
      </c>
      <c r="J1220" s="25" t="str">
        <f ca="1">IFERROR(__xludf.DUMMYFUNCTION("""COMPUTED_VALUE"""),"https://www.zillow.com/homedetails/500-St-Cloud-Rd-Los-Angeles-CA-90077/2116907957_zpid/")</f>
        <v>https://www.zillow.com/homedetails/500-St-Cloud-Rd-Los-Angeles-CA-90077/2116907957_zpid/</v>
      </c>
      <c r="K1220" s="5" t="str">
        <f ca="1">IFERROR(__xludf.DUMMYFUNCTION("""COMPUTED_VALUE"""),"Joyce Rey")</f>
        <v>Joyce Rey</v>
      </c>
      <c r="L1220" s="5"/>
      <c r="M1220" s="5" t="str">
        <f ca="1">IFERROR(__xludf.DUMMYFUNCTION("""COMPUTED_VALUE"""),"Probably doesn't count but it should")</f>
        <v>Probably doesn't count but it should</v>
      </c>
      <c r="N1220" s="5" t="str">
        <f ca="1">IFERROR(__xludf.DUMMYFUNCTION("""COMPUTED_VALUE"""),"https://drive.google.com/open?id=1n5j0nPiIcgtRMB54-t6q9IaT9tt0-iJY, https://drive.google.com/open?id=13rwfCGjAobYKM3gSB7mDxGl5Z-shF4Rw")</f>
        <v>https://drive.google.com/open?id=1n5j0nPiIcgtRMB54-t6q9IaT9tt0-iJY, https://drive.google.com/open?id=13rwfCGjAobYKM3gSB7mDxGl5Z-shF4Rw</v>
      </c>
      <c r="O1220" s="5" t="str">
        <f ca="1">IFERROR(__xludf.DUMMYFUNCTION("""COMPUTED_VALUE"""),"NA")</f>
        <v>NA</v>
      </c>
      <c r="P1220" s="5"/>
      <c r="Q1220" s="5"/>
      <c r="R1220" s="5"/>
      <c r="S1220" s="5"/>
      <c r="T1220" s="18">
        <f ca="1">IFERROR(__xludf.DUMMYFUNCTION("""COMPUTED_VALUE"""),41253)</f>
        <v>41253</v>
      </c>
    </row>
    <row r="1221" spans="1:20" ht="12.75">
      <c r="A1221" s="24">
        <f ca="1">IFERROR(__xludf.DUMMYFUNCTION("""COMPUTED_VALUE"""),45673.4111813657)</f>
        <v>45673.4111813657</v>
      </c>
      <c r="B1221" s="5" t="str">
        <f ca="1">IFERROR(__xludf.DUMMYFUNCTION("""COMPUTED_VALUE"""),"1369 Londonderry Pl")</f>
        <v>1369 Londonderry Pl</v>
      </c>
      <c r="C1221" s="5" t="str">
        <f ca="1">IFERROR(__xludf.DUMMYFUNCTION("""COMPUTED_VALUE"""),"Los Angeles")</f>
        <v>Los Angeles</v>
      </c>
      <c r="D1221" s="5" t="str">
        <f ca="1">IFERROR(__xludf.DUMMYFUNCTION("""COMPUTED_VALUE"""),"CA")</f>
        <v>CA</v>
      </c>
      <c r="E1221" s="5">
        <f ca="1">IFERROR(__xludf.DUMMYFUNCTION("""COMPUTED_VALUE"""),90069)</f>
        <v>90069</v>
      </c>
      <c r="F1221" s="19">
        <f ca="1">IFERROR(__xludf.DUMMYFUNCTION("""COMPUTED_VALUE"""),33000)</f>
        <v>33000</v>
      </c>
      <c r="G1221" s="19">
        <f ca="1">IFERROR(__xludf.DUMMYFUNCTION("""COMPUTED_VALUE"""),125000)</f>
        <v>125000</v>
      </c>
      <c r="H1221" s="18">
        <f ca="1">IFERROR(__xludf.DUMMYFUNCTION("""COMPUTED_VALUE"""),45666)</f>
        <v>45666</v>
      </c>
      <c r="I1221" s="5" t="str">
        <f ca="1">IFERROR(__xludf.DUMMYFUNCTION("""COMPUTED_VALUE"""),"Zillow")</f>
        <v>Zillow</v>
      </c>
      <c r="J1221" s="25" t="str">
        <f ca="1">IFERROR(__xludf.DUMMYFUNCTION("""COMPUTED_VALUE"""),"https://www.zillow.com/homedetails/1369-Londonderry-Pl-Los-Angeles-CA-90069/20798985_zpid/")</f>
        <v>https://www.zillow.com/homedetails/1369-Londonderry-Pl-Los-Angeles-CA-90069/20798985_zpid/</v>
      </c>
      <c r="K1221" s="5" t="str">
        <f ca="1">IFERROR(__xludf.DUMMYFUNCTION("""COMPUTED_VALUE"""),"Barak Maimon")</f>
        <v>Barak Maimon</v>
      </c>
      <c r="L1221" s="5"/>
      <c r="M1221" s="5"/>
      <c r="N1221" s="5" t="str">
        <f ca="1">IFERROR(__xludf.DUMMYFUNCTION("""COMPUTED_VALUE"""),"https://drive.google.com/open?id=1OnnQdORkxaxcJRlA9DGK_BwKhI7VYMmG, https://drive.google.com/open?id=1hkJELmSZW24K3WvSWjhZOIJOQMRyZlFt")</f>
        <v>https://drive.google.com/open?id=1OnnQdORkxaxcJRlA9DGK_BwKhI7VYMmG, https://drive.google.com/open?id=1hkJELmSZW24K3WvSWjhZOIJOQMRyZlFt</v>
      </c>
      <c r="O1221" s="5">
        <f ca="1">IFERROR(__xludf.DUMMYFUNCTION("""COMPUTED_VALUE"""),5559010021)</f>
        <v>5559010021</v>
      </c>
      <c r="P1221" s="5"/>
      <c r="Q1221" s="5"/>
      <c r="R1221" s="5"/>
      <c r="S1221" s="5"/>
      <c r="T1221" s="18">
        <f ca="1">IFERROR(__xludf.DUMMYFUNCTION("""COMPUTED_VALUE"""),44741)</f>
        <v>44741</v>
      </c>
    </row>
    <row r="1222" spans="1:20" ht="12.75">
      <c r="A1222" s="24">
        <f ca="1">IFERROR(__xludf.DUMMYFUNCTION("""COMPUTED_VALUE"""),45673.4127604976)</f>
        <v>45673.412760497602</v>
      </c>
      <c r="B1222" s="5" t="str">
        <f ca="1">IFERROR(__xludf.DUMMYFUNCTION("""COMPUTED_VALUE"""),"3534 Weslin Avenue")</f>
        <v>3534 Weslin Avenue</v>
      </c>
      <c r="C1222" s="5" t="str">
        <f ca="1">IFERROR(__xludf.DUMMYFUNCTION("""COMPUTED_VALUE"""),"Sherman Oaks")</f>
        <v>Sherman Oaks</v>
      </c>
      <c r="D1222" s="5" t="str">
        <f ca="1">IFERROR(__xludf.DUMMYFUNCTION("""COMPUTED_VALUE"""),"CA")</f>
        <v>CA</v>
      </c>
      <c r="E1222" s="5">
        <f ca="1">IFERROR(__xludf.DUMMYFUNCTION("""COMPUTED_VALUE"""),91423)</f>
        <v>91423</v>
      </c>
      <c r="F1222" s="19">
        <f ca="1">IFERROR(__xludf.DUMMYFUNCTION("""COMPUTED_VALUE"""),14000)</f>
        <v>14000</v>
      </c>
      <c r="G1222" s="19">
        <f ca="1">IFERROR(__xludf.DUMMYFUNCTION("""COMPUTED_VALUE"""),16000)</f>
        <v>16000</v>
      </c>
      <c r="H1222" s="18">
        <f ca="1">IFERROR(__xludf.DUMMYFUNCTION("""COMPUTED_VALUE"""),45672)</f>
        <v>45672</v>
      </c>
      <c r="I1222" s="5" t="str">
        <f ca="1">IFERROR(__xludf.DUMMYFUNCTION("""COMPUTED_VALUE"""),"Zillow")</f>
        <v>Zillow</v>
      </c>
      <c r="J1222" s="25" t="str">
        <f ca="1">IFERROR(__xludf.DUMMYFUNCTION("""COMPUTED_VALUE"""),"https://www.zillow.com/homedetails/3534-Weslin-Ave-Sherman-Oaks-CA-91423/20033259_zpid/")</f>
        <v>https://www.zillow.com/homedetails/3534-Weslin-Ave-Sherman-Oaks-CA-91423/20033259_zpid/</v>
      </c>
      <c r="K1222" s="5" t="str">
        <f ca="1">IFERROR(__xludf.DUMMYFUNCTION("""COMPUTED_VALUE"""),"Jack Turturici Jr.")</f>
        <v>Jack Turturici Jr.</v>
      </c>
      <c r="L1222" s="5"/>
      <c r="M1222" s="5"/>
      <c r="N1222" s="26" t="str">
        <f ca="1">IFERROR(__xludf.DUMMYFUNCTION("""COMPUTED_VALUE"""),"https://drive.google.com/open?id=1pkZpf8y6i00bkyiFlj3TBXgSJvLtRM7C")</f>
        <v>https://drive.google.com/open?id=1pkZpf8y6i00bkyiFlj3TBXgSJvLtRM7C</v>
      </c>
      <c r="O1222" s="5">
        <f ca="1">IFERROR(__xludf.DUMMYFUNCTION("""COMPUTED_VALUE"""),2386012029)</f>
        <v>2386012029</v>
      </c>
      <c r="P1222" s="5" t="str">
        <f ca="1">IFERROR(__xludf.DUMMYFUNCTION("""COMPUTED_VALUE"""),"(310) 291-1517")</f>
        <v>(310) 291-1517</v>
      </c>
      <c r="Q1222" s="5"/>
      <c r="R1222" s="5"/>
      <c r="S1222" s="5"/>
      <c r="T1222" s="18">
        <f ca="1">IFERROR(__xludf.DUMMYFUNCTION("""COMPUTED_VALUE"""),45581)</f>
        <v>45581</v>
      </c>
    </row>
    <row r="1223" spans="1:20" ht="12.75">
      <c r="A1223" s="24">
        <f ca="1">IFERROR(__xludf.DUMMYFUNCTION("""COMPUTED_VALUE"""),45673.4133731828)</f>
        <v>45673.413373182797</v>
      </c>
      <c r="B1223" s="5" t="str">
        <f ca="1">IFERROR(__xludf.DUMMYFUNCTION("""COMPUTED_VALUE"""),"1531 Summitridge Dr")</f>
        <v>1531 Summitridge Dr</v>
      </c>
      <c r="C1223" s="5" t="str">
        <f ca="1">IFERROR(__xludf.DUMMYFUNCTION("""COMPUTED_VALUE"""),"Los Angeles")</f>
        <v>Los Angeles</v>
      </c>
      <c r="D1223" s="5" t="str">
        <f ca="1">IFERROR(__xludf.DUMMYFUNCTION("""COMPUTED_VALUE"""),"CA")</f>
        <v>CA</v>
      </c>
      <c r="E1223" s="5">
        <f ca="1">IFERROR(__xludf.DUMMYFUNCTION("""COMPUTED_VALUE"""),90210)</f>
        <v>90210</v>
      </c>
      <c r="F1223" s="19">
        <f ca="1">IFERROR(__xludf.DUMMYFUNCTION("""COMPUTED_VALUE"""),17500)</f>
        <v>17500</v>
      </c>
      <c r="G1223" s="19">
        <f ca="1">IFERROR(__xludf.DUMMYFUNCTION("""COMPUTED_VALUE"""),110000)</f>
        <v>110000</v>
      </c>
      <c r="H1223" s="18">
        <f ca="1">IFERROR(__xludf.DUMMYFUNCTION("""COMPUTED_VALUE"""),45667)</f>
        <v>45667</v>
      </c>
      <c r="I1223" s="5" t="str">
        <f ca="1">IFERROR(__xludf.DUMMYFUNCTION("""COMPUTED_VALUE"""),"Zillow")</f>
        <v>Zillow</v>
      </c>
      <c r="J1223" s="25" t="str">
        <f ca="1">IFERROR(__xludf.DUMMYFUNCTION("""COMPUTED_VALUE"""),"https://www.zillow.com/homedetails/1531-Summitridge-Dr-Beverly-Hills-CA-90210/20523085_zpid/")</f>
        <v>https://www.zillow.com/homedetails/1531-Summitridge-Dr-Beverly-Hills-CA-90210/20523085_zpid/</v>
      </c>
      <c r="K1223" s="5"/>
      <c r="L1223" s="5"/>
      <c r="M1223" s="5"/>
      <c r="N1223" s="5" t="str">
        <f ca="1">IFERROR(__xludf.DUMMYFUNCTION("""COMPUTED_VALUE"""),"https://drive.google.com/open?id=1T14zBoFXnrqUvBkFOq3l8WiYj-LGRpMH, https://drive.google.com/open?id=189pBrAdzA94n73T1RQtLtXq9nuVB5RUJ")</f>
        <v>https://drive.google.com/open?id=1T14zBoFXnrqUvBkFOq3l8WiYj-LGRpMH, https://drive.google.com/open?id=189pBrAdzA94n73T1RQtLtXq9nuVB5RUJ</v>
      </c>
      <c r="O1223" s="5">
        <f ca="1">IFERROR(__xludf.DUMMYFUNCTION("""COMPUTED_VALUE"""),4355005013)</f>
        <v>4355005013</v>
      </c>
      <c r="P1223" s="5"/>
      <c r="Q1223" s="5"/>
      <c r="R1223" s="5"/>
      <c r="S1223" s="5"/>
      <c r="T1223" s="18">
        <f ca="1">IFERROR(__xludf.DUMMYFUNCTION("""COMPUTED_VALUE"""),45481)</f>
        <v>45481</v>
      </c>
    </row>
    <row r="1224" spans="1:20" ht="12.75">
      <c r="A1224" s="24">
        <f ca="1">IFERROR(__xludf.DUMMYFUNCTION("""COMPUTED_VALUE"""),45673.4137845486)</f>
        <v>45673.413784548597</v>
      </c>
      <c r="B1224" s="5" t="str">
        <f ca="1">IFERROR(__xludf.DUMMYFUNCTION("""COMPUTED_VALUE"""),"923 20th st apt A")</f>
        <v>923 20th st apt A</v>
      </c>
      <c r="C1224" s="5" t="str">
        <f ca="1">IFERROR(__xludf.DUMMYFUNCTION("""COMPUTED_VALUE"""),"santa monica")</f>
        <v>santa monica</v>
      </c>
      <c r="D1224" s="5" t="str">
        <f ca="1">IFERROR(__xludf.DUMMYFUNCTION("""COMPUTED_VALUE"""),"CA")</f>
        <v>CA</v>
      </c>
      <c r="E1224" s="5">
        <f ca="1">IFERROR(__xludf.DUMMYFUNCTION("""COMPUTED_VALUE"""),90403)</f>
        <v>90403</v>
      </c>
      <c r="F1224" s="19">
        <f ca="1">IFERROR(__xludf.DUMMYFUNCTION("""COMPUTED_VALUE"""),10000)</f>
        <v>10000</v>
      </c>
      <c r="G1224" s="19">
        <f ca="1">IFERROR(__xludf.DUMMYFUNCTION("""COMPUTED_VALUE"""),12000)</f>
        <v>12000</v>
      </c>
      <c r="H1224" s="18">
        <f ca="1">IFERROR(__xludf.DUMMYFUNCTION("""COMPUTED_VALUE"""),45673)</f>
        <v>45673</v>
      </c>
      <c r="I1224" s="5" t="str">
        <f ca="1">IFERROR(__xludf.DUMMYFUNCTION("""COMPUTED_VALUE"""),"Zillow")</f>
        <v>Zillow</v>
      </c>
      <c r="J1224" s="25" t="str">
        <f ca="1">IFERROR(__xludf.DUMMYFUNCTION("""COMPUTED_VALUE"""),"https://www.zillow.com/homedetails/923-20th-St-APT-A-Santa-Monica-CA-90403/2123889522_zpid/")</f>
        <v>https://www.zillow.com/homedetails/923-20th-St-APT-A-Santa-Monica-CA-90403/2123889522_zpid/</v>
      </c>
      <c r="K1224" s="5"/>
      <c r="L1224" s="5"/>
      <c r="M1224" s="5"/>
      <c r="N1224" s="26" t="str">
        <f ca="1">IFERROR(__xludf.DUMMYFUNCTION("""COMPUTED_VALUE"""),"https://drive.google.com/open?id=1NjHwKyX1CIZvOIl4fg07vpSSiPVkl9RY")</f>
        <v>https://drive.google.com/open?id=1NjHwKyX1CIZvOIl4fg07vpSSiPVkl9RY</v>
      </c>
      <c r="O1224" s="5" t="str">
        <f ca="1">IFERROR(__xludf.DUMMYFUNCTION("""COMPUTED_VALUE"""),"na")</f>
        <v>na</v>
      </c>
      <c r="P1224" s="5"/>
      <c r="Q1224" s="5"/>
      <c r="R1224" s="5"/>
      <c r="S1224" s="5"/>
      <c r="T1224" s="18">
        <f ca="1">IFERROR(__xludf.DUMMYFUNCTION("""COMPUTED_VALUE"""),45640)</f>
        <v>45640</v>
      </c>
    </row>
    <row r="1225" spans="1:20" ht="12.75">
      <c r="A1225" s="24">
        <f ca="1">IFERROR(__xludf.DUMMYFUNCTION("""COMPUTED_VALUE"""),45673.4160692476)</f>
        <v>45673.4160692476</v>
      </c>
      <c r="B1225" s="5" t="str">
        <f ca="1">IFERROR(__xludf.DUMMYFUNCTION("""COMPUTED_VALUE"""),"30556 Rainbow View Drive")</f>
        <v>30556 Rainbow View Drive</v>
      </c>
      <c r="C1225" s="5" t="str">
        <f ca="1">IFERROR(__xludf.DUMMYFUNCTION("""COMPUTED_VALUE"""),"Agoura Hills")</f>
        <v>Agoura Hills</v>
      </c>
      <c r="D1225" s="5" t="str">
        <f ca="1">IFERROR(__xludf.DUMMYFUNCTION("""COMPUTED_VALUE"""),"CA")</f>
        <v>CA</v>
      </c>
      <c r="E1225" s="5">
        <f ca="1">IFERROR(__xludf.DUMMYFUNCTION("""COMPUTED_VALUE"""),91301)</f>
        <v>91301</v>
      </c>
      <c r="F1225" s="19">
        <f ca="1">IFERROR(__xludf.DUMMYFUNCTION("""COMPUTED_VALUE"""),6500)</f>
        <v>6500</v>
      </c>
      <c r="G1225" s="19">
        <f ca="1">IFERROR(__xludf.DUMMYFUNCTION("""COMPUTED_VALUE"""),8500)</f>
        <v>8500</v>
      </c>
      <c r="H1225" s="18">
        <f ca="1">IFERROR(__xludf.DUMMYFUNCTION("""COMPUTED_VALUE"""),45672)</f>
        <v>45672</v>
      </c>
      <c r="I1225" s="5" t="str">
        <f ca="1">IFERROR(__xludf.DUMMYFUNCTION("""COMPUTED_VALUE"""),"Zillow")</f>
        <v>Zillow</v>
      </c>
      <c r="J1225" s="25" t="str">
        <f ca="1">IFERROR(__xludf.DUMMYFUNCTION("""COMPUTED_VALUE"""),"https://www.zillow.com/homedetails/30556-Rainbow-View-Dr-Agoura-Hills-CA-91301/19889303_zpid/")</f>
        <v>https://www.zillow.com/homedetails/30556-Rainbow-View-Dr-Agoura-Hills-CA-91301/19889303_zpid/</v>
      </c>
      <c r="K1225" s="5" t="str">
        <f ca="1">IFERROR(__xludf.DUMMYFUNCTION("""COMPUTED_VALUE"""),"Anat Erster")</f>
        <v>Anat Erster</v>
      </c>
      <c r="L1225" s="5"/>
      <c r="M1225" s="5"/>
      <c r="N1225" s="26" t="str">
        <f ca="1">IFERROR(__xludf.DUMMYFUNCTION("""COMPUTED_VALUE"""),"https://drive.google.com/open?id=1FDZP_WQ00pWgpndyZjrIFKIG1862CBu2")</f>
        <v>https://drive.google.com/open?id=1FDZP_WQ00pWgpndyZjrIFKIG1862CBu2</v>
      </c>
      <c r="O1225" s="5">
        <f ca="1">IFERROR(__xludf.DUMMYFUNCTION("""COMPUTED_VALUE"""),2056012030)</f>
        <v>2056012030</v>
      </c>
      <c r="P1225" s="5" t="str">
        <f ca="1">IFERROR(__xludf.DUMMYFUNCTION("""COMPUTED_VALUE"""),"(818) 943-8001")</f>
        <v>(818) 943-8001</v>
      </c>
      <c r="Q1225" s="5"/>
      <c r="R1225" s="5"/>
      <c r="S1225" s="5"/>
      <c r="T1225" s="18">
        <f ca="1">IFERROR(__xludf.DUMMYFUNCTION("""COMPUTED_VALUE"""),45649)</f>
        <v>45649</v>
      </c>
    </row>
    <row r="1226" spans="1:20" ht="12.75">
      <c r="A1226" s="24">
        <f ca="1">IFERROR(__xludf.DUMMYFUNCTION("""COMPUTED_VALUE"""),45673.4193622685)</f>
        <v>45673.419362268498</v>
      </c>
      <c r="B1226" s="5" t="str">
        <f ca="1">IFERROR(__xludf.DUMMYFUNCTION("""COMPUTED_VALUE"""),"1288 Angelo Dr")</f>
        <v>1288 Angelo Dr</v>
      </c>
      <c r="C1226" s="5" t="str">
        <f ca="1">IFERROR(__xludf.DUMMYFUNCTION("""COMPUTED_VALUE"""),"Los Angeles")</f>
        <v>Los Angeles</v>
      </c>
      <c r="D1226" s="5" t="str">
        <f ca="1">IFERROR(__xludf.DUMMYFUNCTION("""COMPUTED_VALUE"""),"CA")</f>
        <v>CA</v>
      </c>
      <c r="E1226" s="5">
        <f ca="1">IFERROR(__xludf.DUMMYFUNCTION("""COMPUTED_VALUE"""),90210)</f>
        <v>90210</v>
      </c>
      <c r="F1226" s="19">
        <f ca="1">IFERROR(__xludf.DUMMYFUNCTION("""COMPUTED_VALUE"""),12000)</f>
        <v>12000</v>
      </c>
      <c r="G1226" s="19">
        <f ca="1">IFERROR(__xludf.DUMMYFUNCTION("""COMPUTED_VALUE"""),100000)</f>
        <v>100000</v>
      </c>
      <c r="H1226" s="18">
        <f ca="1">IFERROR(__xludf.DUMMYFUNCTION("""COMPUTED_VALUE"""),45666)</f>
        <v>45666</v>
      </c>
      <c r="I1226" s="5" t="str">
        <f ca="1">IFERROR(__xludf.DUMMYFUNCTION("""COMPUTED_VALUE"""),"Zillow")</f>
        <v>Zillow</v>
      </c>
      <c r="J1226" s="25" t="str">
        <f ca="1">IFERROR(__xludf.DUMMYFUNCTION("""COMPUTED_VALUE"""),"https://www.zillow.com/homedetails/1288-Angelo-Dr-Beverly-Hills-CA-90210/20523794_zpid/")</f>
        <v>https://www.zillow.com/homedetails/1288-Angelo-Dr-Beverly-Hills-CA-90210/20523794_zpid/</v>
      </c>
      <c r="K1226" s="5" t="str">
        <f ca="1">IFERROR(__xludf.DUMMYFUNCTION("""COMPUTED_VALUE"""),"Levik Stephan")</f>
        <v>Levik Stephan</v>
      </c>
      <c r="L1226" s="5"/>
      <c r="M1226" s="5"/>
      <c r="N1226" s="5" t="str">
        <f ca="1">IFERROR(__xludf.DUMMYFUNCTION("""COMPUTED_VALUE"""),"https://drive.google.com/open?id=1423qCflcTxqlNBQ-Uwub3ilJhL1-VYv4, https://drive.google.com/open?id=1KVvnh3Sbl8hsVPvjgvnd0pSDHczIm08u, https://drive.google.com/open?id=1ohXQL_RmXxjxG0vt-MCuPM35eLr98g4F")</f>
        <v>https://drive.google.com/open?id=1423qCflcTxqlNBQ-Uwub3ilJhL1-VYv4, https://drive.google.com/open?id=1KVvnh3Sbl8hsVPvjgvnd0pSDHczIm08u, https://drive.google.com/open?id=1ohXQL_RmXxjxG0vt-MCuPM35eLr98g4F</v>
      </c>
      <c r="O1226" s="5">
        <f ca="1">IFERROR(__xludf.DUMMYFUNCTION("""COMPUTED_VALUE"""),4357014006)</f>
        <v>4357014006</v>
      </c>
      <c r="P1226" s="5"/>
      <c r="Q1226" s="5"/>
      <c r="R1226" s="5"/>
      <c r="S1226" s="5"/>
      <c r="T1226" s="18">
        <f ca="1">IFERROR(__xludf.DUMMYFUNCTION("""COMPUTED_VALUE"""),44767)</f>
        <v>44767</v>
      </c>
    </row>
    <row r="1227" spans="1:20" ht="12.75">
      <c r="A1227" s="24">
        <f ca="1">IFERROR(__xludf.DUMMYFUNCTION("""COMPUTED_VALUE"""),45673.4325544328)</f>
        <v>45673.432554432802</v>
      </c>
      <c r="B1227" s="5" t="str">
        <f ca="1">IFERROR(__xludf.DUMMYFUNCTION("""COMPUTED_VALUE"""),"6740 colgate ave")</f>
        <v>6740 colgate ave</v>
      </c>
      <c r="C1227" s="5" t="str">
        <f ca="1">IFERROR(__xludf.DUMMYFUNCTION("""COMPUTED_VALUE"""),"los angeles")</f>
        <v>los angeles</v>
      </c>
      <c r="D1227" s="5" t="str">
        <f ca="1">IFERROR(__xludf.DUMMYFUNCTION("""COMPUTED_VALUE"""),"CA")</f>
        <v>CA</v>
      </c>
      <c r="E1227" s="5">
        <f ca="1">IFERROR(__xludf.DUMMYFUNCTION("""COMPUTED_VALUE"""),90048)</f>
        <v>90048</v>
      </c>
      <c r="F1227" s="19">
        <f ca="1">IFERROR(__xludf.DUMMYFUNCTION("""COMPUTED_VALUE"""),8000)</f>
        <v>8000</v>
      </c>
      <c r="G1227" s="19">
        <f ca="1">IFERROR(__xludf.DUMMYFUNCTION("""COMPUTED_VALUE"""),6500)</f>
        <v>6500</v>
      </c>
      <c r="H1227" s="18">
        <f ca="1">IFERROR(__xludf.DUMMYFUNCTION("""COMPUTED_VALUE"""),45657)</f>
        <v>45657</v>
      </c>
      <c r="I1227" s="5" t="str">
        <f ca="1">IFERROR(__xludf.DUMMYFUNCTION("""COMPUTED_VALUE"""),"Zillow")</f>
        <v>Zillow</v>
      </c>
      <c r="J1227" s="25" t="str">
        <f ca="1">IFERROR(__xludf.DUMMYFUNCTION("""COMPUTED_VALUE"""),"https://www.zillow.com/homedetails/6740-Colgate-Ave-Los-Angeles-CA-90048/20776032_zpid/")</f>
        <v>https://www.zillow.com/homedetails/6740-Colgate-Ave-Los-Angeles-CA-90048/20776032_zpid/</v>
      </c>
      <c r="K1227" s="5"/>
      <c r="L1227" s="5"/>
      <c r="M1227" s="5"/>
      <c r="N1227" s="26" t="str">
        <f ca="1">IFERROR(__xludf.DUMMYFUNCTION("""COMPUTED_VALUE"""),"https://drive.google.com/open?id=10GkFmLi2BJ6nr81aJjepqYZM_XbyTE7G")</f>
        <v>https://drive.google.com/open?id=10GkFmLi2BJ6nr81aJjepqYZM_XbyTE7G</v>
      </c>
      <c r="O1227" s="5">
        <f ca="1">IFERROR(__xludf.DUMMYFUNCTION("""COMPUTED_VALUE"""),5510005014)</f>
        <v>5510005014</v>
      </c>
      <c r="P1227" s="5"/>
      <c r="Q1227" s="5"/>
      <c r="R1227" s="5"/>
      <c r="S1227" s="5"/>
      <c r="T1227" s="18">
        <f ca="1">IFERROR(__xludf.DUMMYFUNCTION("""COMPUTED_VALUE"""),45667)</f>
        <v>45667</v>
      </c>
    </row>
    <row r="1228" spans="1:20" ht="12.75">
      <c r="A1228" s="24">
        <f ca="1">IFERROR(__xludf.DUMMYFUNCTION("""COMPUTED_VALUE"""),45673.4347592708)</f>
        <v>45673.4347592708</v>
      </c>
      <c r="B1228" s="5" t="str">
        <f ca="1">IFERROR(__xludf.DUMMYFUNCTION("""COMPUTED_VALUE"""),"18730 hatteras st unit 49")</f>
        <v>18730 hatteras st unit 49</v>
      </c>
      <c r="C1228" s="5" t="str">
        <f ca="1">IFERROR(__xludf.DUMMYFUNCTION("""COMPUTED_VALUE"""),"tarzana")</f>
        <v>tarzana</v>
      </c>
      <c r="D1228" s="5" t="str">
        <f ca="1">IFERROR(__xludf.DUMMYFUNCTION("""COMPUTED_VALUE"""),"CA")</f>
        <v>CA</v>
      </c>
      <c r="E1228" s="5">
        <f ca="1">IFERROR(__xludf.DUMMYFUNCTION("""COMPUTED_VALUE"""),91356)</f>
        <v>91356</v>
      </c>
      <c r="F1228" s="19">
        <f ca="1">IFERROR(__xludf.DUMMYFUNCTION("""COMPUTED_VALUE"""),3650)</f>
        <v>3650</v>
      </c>
      <c r="G1228" s="19">
        <f ca="1">IFERROR(__xludf.DUMMYFUNCTION("""COMPUTED_VALUE"""),7500)</f>
        <v>7500</v>
      </c>
      <c r="H1228" s="18">
        <f ca="1">IFERROR(__xludf.DUMMYFUNCTION("""COMPUTED_VALUE"""),45673)</f>
        <v>45673</v>
      </c>
      <c r="I1228" s="5" t="str">
        <f ca="1">IFERROR(__xludf.DUMMYFUNCTION("""COMPUTED_VALUE"""),"Zillow")</f>
        <v>Zillow</v>
      </c>
      <c r="J1228" s="25" t="str">
        <f ca="1">IFERROR(__xludf.DUMMYFUNCTION("""COMPUTED_VALUE"""),"https://www.zillow.com/homedetails/18730-Hatteras-St-UNIT-49-Tarzana-CA-91356/19933668_zpid/")</f>
        <v>https://www.zillow.com/homedetails/18730-Hatteras-St-UNIT-49-Tarzana-CA-91356/19933668_zpid/</v>
      </c>
      <c r="K1228" s="5"/>
      <c r="L1228" s="5"/>
      <c r="M1228" s="5"/>
      <c r="N1228" s="26" t="str">
        <f ca="1">IFERROR(__xludf.DUMMYFUNCTION("""COMPUTED_VALUE"""),"https://drive.google.com/open?id=1a5-qqq8477KGNtQL35U1oFPI8Q6-Zq09")</f>
        <v>https://drive.google.com/open?id=1a5-qqq8477KGNtQL35U1oFPI8Q6-Zq09</v>
      </c>
      <c r="O1228" s="5">
        <f ca="1">IFERROR(__xludf.DUMMYFUNCTION("""COMPUTED_VALUE"""),2156021113)</f>
        <v>2156021113</v>
      </c>
      <c r="P1228" s="5"/>
      <c r="Q1228" s="5"/>
      <c r="R1228" s="5"/>
      <c r="S1228" s="5"/>
      <c r="T1228" s="18">
        <f ca="1">IFERROR(__xludf.DUMMYFUNCTION("""COMPUTED_VALUE"""),43844)</f>
        <v>43844</v>
      </c>
    </row>
    <row r="1229" spans="1:20" ht="12.75">
      <c r="A1229" s="24">
        <f ca="1">IFERROR(__xludf.DUMMYFUNCTION("""COMPUTED_VALUE"""),45673.4377800463)</f>
        <v>45673.437780046297</v>
      </c>
      <c r="B1229" s="5" t="str">
        <f ca="1">IFERROR(__xludf.DUMMYFUNCTION("""COMPUTED_VALUE"""),"111 waterview st")</f>
        <v>111 waterview st</v>
      </c>
      <c r="C1229" s="5" t="str">
        <f ca="1">IFERROR(__xludf.DUMMYFUNCTION("""COMPUTED_VALUE"""),"playa del rey")</f>
        <v>playa del rey</v>
      </c>
      <c r="D1229" s="5" t="str">
        <f ca="1">IFERROR(__xludf.DUMMYFUNCTION("""COMPUTED_VALUE"""),"CA")</f>
        <v>CA</v>
      </c>
      <c r="E1229" s="5">
        <f ca="1">IFERROR(__xludf.DUMMYFUNCTION("""COMPUTED_VALUE"""),90293)</f>
        <v>90293</v>
      </c>
      <c r="F1229" s="19">
        <f ca="1">IFERROR(__xludf.DUMMYFUNCTION("""COMPUTED_VALUE"""),8995)</f>
        <v>8995</v>
      </c>
      <c r="G1229" s="19">
        <f ca="1">IFERROR(__xludf.DUMMYFUNCTION("""COMPUTED_VALUE"""),9995)</f>
        <v>9995</v>
      </c>
      <c r="H1229" s="18">
        <f ca="1">IFERROR(__xludf.DUMMYFUNCTION("""COMPUTED_VALUE"""),45671)</f>
        <v>45671</v>
      </c>
      <c r="I1229" s="5" t="str">
        <f ca="1">IFERROR(__xludf.DUMMYFUNCTION("""COMPUTED_VALUE"""),"Zillow")</f>
        <v>Zillow</v>
      </c>
      <c r="J1229" s="25" t="str">
        <f ca="1">IFERROR(__xludf.DUMMYFUNCTION("""COMPUTED_VALUE"""),"https://www.zillow.com/homedetails/111-Waterview-St-Playa-Del-Rey-CA-90293/20386625_zpid/")</f>
        <v>https://www.zillow.com/homedetails/111-Waterview-St-Playa-Del-Rey-CA-90293/20386625_zpid/</v>
      </c>
      <c r="K1229" s="5"/>
      <c r="L1229" s="5"/>
      <c r="M1229" s="5"/>
      <c r="N1229" s="26" t="str">
        <f ca="1">IFERROR(__xludf.DUMMYFUNCTION("""COMPUTED_VALUE"""),"https://drive.google.com/open?id=1u1xZXmFDraMzHslTPiYMW7YViWa5Zwzt")</f>
        <v>https://drive.google.com/open?id=1u1xZXmFDraMzHslTPiYMW7YViWa5Zwzt</v>
      </c>
      <c r="O1229" s="5">
        <f ca="1">IFERROR(__xludf.DUMMYFUNCTION("""COMPUTED_VALUE"""),4117002013)</f>
        <v>4117002013</v>
      </c>
      <c r="P1229" s="5"/>
      <c r="Q1229" s="5"/>
      <c r="R1229" s="5"/>
      <c r="S1229" s="5"/>
      <c r="T1229" s="18">
        <f ca="1">IFERROR(__xludf.DUMMYFUNCTION("""COMPUTED_VALUE"""),45659)</f>
        <v>45659</v>
      </c>
    </row>
    <row r="1230" spans="1:20" ht="12.75">
      <c r="A1230" s="24">
        <f ca="1">IFERROR(__xludf.DUMMYFUNCTION("""COMPUTED_VALUE"""),45673.439584155)</f>
        <v>45673.439584154999</v>
      </c>
      <c r="B1230" s="5" t="str">
        <f ca="1">IFERROR(__xludf.DUMMYFUNCTION("""COMPUTED_VALUE"""),"449 29th st")</f>
        <v>449 29th st</v>
      </c>
      <c r="C1230" s="5" t="str">
        <f ca="1">IFERROR(__xludf.DUMMYFUNCTION("""COMPUTED_VALUE"""),"hermosa beach")</f>
        <v>hermosa beach</v>
      </c>
      <c r="D1230" s="5" t="str">
        <f ca="1">IFERROR(__xludf.DUMMYFUNCTION("""COMPUTED_VALUE"""),"CA")</f>
        <v>CA</v>
      </c>
      <c r="E1230" s="5">
        <f ca="1">IFERROR(__xludf.DUMMYFUNCTION("""COMPUTED_VALUE"""),90254)</f>
        <v>90254</v>
      </c>
      <c r="F1230" s="19">
        <f ca="1">IFERROR(__xludf.DUMMYFUNCTION("""COMPUTED_VALUE"""),7500)</f>
        <v>7500</v>
      </c>
      <c r="G1230" s="19">
        <f ca="1">IFERROR(__xludf.DUMMYFUNCTION("""COMPUTED_VALUE"""),8500)</f>
        <v>8500</v>
      </c>
      <c r="H1230" s="18">
        <f ca="1">IFERROR(__xludf.DUMMYFUNCTION("""COMPUTED_VALUE"""),45671)</f>
        <v>45671</v>
      </c>
      <c r="I1230" s="5" t="str">
        <f ca="1">IFERROR(__xludf.DUMMYFUNCTION("""COMPUTED_VALUE"""),"Zillow")</f>
        <v>Zillow</v>
      </c>
      <c r="J1230" s="25" t="str">
        <f ca="1">IFERROR(__xludf.DUMMYFUNCTION("""COMPUTED_VALUE"""),"https://www.zillow.com/homedetails/449-29th-St-Hermosa-Beach-CA-90254/20423433_zpid/")</f>
        <v>https://www.zillow.com/homedetails/449-29th-St-Hermosa-Beach-CA-90254/20423433_zpid/</v>
      </c>
      <c r="K1230" s="5"/>
      <c r="L1230" s="5"/>
      <c r="M1230" s="5"/>
      <c r="N1230" s="26" t="str">
        <f ca="1">IFERROR(__xludf.DUMMYFUNCTION("""COMPUTED_VALUE"""),"https://drive.google.com/open?id=13lRpiiSfa790k5dxiANGm0DWA5QHrsnH")</f>
        <v>https://drive.google.com/open?id=13lRpiiSfa790k5dxiANGm0DWA5QHrsnH</v>
      </c>
      <c r="O1230" s="5">
        <f ca="1">IFERROR(__xludf.DUMMYFUNCTION("""COMPUTED_VALUE"""),4181008022)</f>
        <v>4181008022</v>
      </c>
      <c r="P1230" s="5"/>
      <c r="Q1230" s="5"/>
      <c r="R1230" s="5"/>
      <c r="S1230" s="5"/>
      <c r="T1230" s="18">
        <f ca="1">IFERROR(__xludf.DUMMYFUNCTION("""COMPUTED_VALUE"""),45210)</f>
        <v>45210</v>
      </c>
    </row>
    <row r="1231" spans="1:20" ht="12.75">
      <c r="A1231" s="24">
        <f ca="1">IFERROR(__xludf.DUMMYFUNCTION("""COMPUTED_VALUE"""),45673.4413493055)</f>
        <v>45673.441349305504</v>
      </c>
      <c r="B1231" s="5" t="str">
        <f ca="1">IFERROR(__xludf.DUMMYFUNCTION("""COMPUTED_VALUE"""),"920 beverly glen blvd")</f>
        <v>920 beverly glen blvd</v>
      </c>
      <c r="C1231" s="5" t="str">
        <f ca="1">IFERROR(__xludf.DUMMYFUNCTION("""COMPUTED_VALUE"""),"los angeles")</f>
        <v>los angeles</v>
      </c>
      <c r="D1231" s="5" t="str">
        <f ca="1">IFERROR(__xludf.DUMMYFUNCTION("""COMPUTED_VALUE"""),"CA")</f>
        <v>CA</v>
      </c>
      <c r="E1231" s="5">
        <f ca="1">IFERROR(__xludf.DUMMYFUNCTION("""COMPUTED_VALUE"""),90077)</f>
        <v>90077</v>
      </c>
      <c r="F1231" s="19">
        <f ca="1">IFERROR(__xludf.DUMMYFUNCTION("""COMPUTED_VALUE"""),9000)</f>
        <v>9000</v>
      </c>
      <c r="G1231" s="19">
        <f ca="1">IFERROR(__xludf.DUMMYFUNCTION("""COMPUTED_VALUE"""),12000)</f>
        <v>12000</v>
      </c>
      <c r="H1231" s="18">
        <f ca="1">IFERROR(__xludf.DUMMYFUNCTION("""COMPUTED_VALUE"""),45673)</f>
        <v>45673</v>
      </c>
      <c r="I1231" s="5" t="str">
        <f ca="1">IFERROR(__xludf.DUMMYFUNCTION("""COMPUTED_VALUE"""),"Zillow")</f>
        <v>Zillow</v>
      </c>
      <c r="J1231" s="25" t="str">
        <f ca="1">IFERROR(__xludf.DUMMYFUNCTION("""COMPUTED_VALUE"""),"https://www.zillow.com/homedetails/920-N-Beverly-Glen-Blvd-Los-Angeles-CA-90077/20529879_zpid/")</f>
        <v>https://www.zillow.com/homedetails/920-N-Beverly-Glen-Blvd-Los-Angeles-CA-90077/20529879_zpid/</v>
      </c>
      <c r="K1231" s="5"/>
      <c r="L1231" s="5"/>
      <c r="M1231" s="5"/>
      <c r="N1231" s="26" t="str">
        <f ca="1">IFERROR(__xludf.DUMMYFUNCTION("""COMPUTED_VALUE"""),"https://drive.google.com/open?id=1B30SRMYzxQ6r-oFd6pEVSqj5qu-WHFJg")</f>
        <v>https://drive.google.com/open?id=1B30SRMYzxQ6r-oFd6pEVSqj5qu-WHFJg</v>
      </c>
      <c r="O1231" s="5">
        <f ca="1">IFERROR(__xludf.DUMMYFUNCTION("""COMPUTED_VALUE"""),4371024018)</f>
        <v>4371024018</v>
      </c>
      <c r="P1231" s="5"/>
      <c r="Q1231" s="5"/>
      <c r="R1231" s="5"/>
      <c r="S1231" s="5"/>
      <c r="T1231" s="18">
        <f ca="1">IFERROR(__xludf.DUMMYFUNCTION("""COMPUTED_VALUE"""),45671)</f>
        <v>45671</v>
      </c>
    </row>
    <row r="1232" spans="1:20" ht="12.75">
      <c r="A1232" s="24">
        <f ca="1">IFERROR(__xludf.DUMMYFUNCTION("""COMPUTED_VALUE"""),45673.4438403356)</f>
        <v>45673.443840335603</v>
      </c>
      <c r="B1232" s="5" t="str">
        <f ca="1">IFERROR(__xludf.DUMMYFUNCTION("""COMPUTED_VALUE"""),"5829 e 2nd st")</f>
        <v>5829 e 2nd st</v>
      </c>
      <c r="C1232" s="5" t="str">
        <f ca="1">IFERROR(__xludf.DUMMYFUNCTION("""COMPUTED_VALUE"""),"long beach")</f>
        <v>long beach</v>
      </c>
      <c r="D1232" s="5" t="str">
        <f ca="1">IFERROR(__xludf.DUMMYFUNCTION("""COMPUTED_VALUE"""),"CA")</f>
        <v>CA</v>
      </c>
      <c r="E1232" s="5">
        <f ca="1">IFERROR(__xludf.DUMMYFUNCTION("""COMPUTED_VALUE"""),90803)</f>
        <v>90803</v>
      </c>
      <c r="F1232" s="19">
        <f ca="1">IFERROR(__xludf.DUMMYFUNCTION("""COMPUTED_VALUE"""),8000)</f>
        <v>8000</v>
      </c>
      <c r="G1232" s="19">
        <f ca="1">IFERROR(__xludf.DUMMYFUNCTION("""COMPUTED_VALUE"""),9000)</f>
        <v>9000</v>
      </c>
      <c r="H1232" s="18">
        <f ca="1">IFERROR(__xludf.DUMMYFUNCTION("""COMPUTED_VALUE"""),45665)</f>
        <v>45665</v>
      </c>
      <c r="I1232" s="5" t="str">
        <f ca="1">IFERROR(__xludf.DUMMYFUNCTION("""COMPUTED_VALUE"""),"Zillow")</f>
        <v>Zillow</v>
      </c>
      <c r="J1232" s="25" t="str">
        <f ca="1">IFERROR(__xludf.DUMMYFUNCTION("""COMPUTED_VALUE"""),"https://www.zillow.com/homedetails/5829-E-2nd-St-Long-Beach-CA-90803/21215596_zpid/")</f>
        <v>https://www.zillow.com/homedetails/5829-E-2nd-St-Long-Beach-CA-90803/21215596_zpid/</v>
      </c>
      <c r="K1232" s="5"/>
      <c r="L1232" s="5"/>
      <c r="M1232" s="5"/>
      <c r="N1232" s="26" t="str">
        <f ca="1">IFERROR(__xludf.DUMMYFUNCTION("""COMPUTED_VALUE"""),"https://drive.google.com/open?id=1juywM-kym7nVdk0LY0cLItTI0eYA1WdR")</f>
        <v>https://drive.google.com/open?id=1juywM-kym7nVdk0LY0cLItTI0eYA1WdR</v>
      </c>
      <c r="O1232" s="5">
        <f ca="1">IFERROR(__xludf.DUMMYFUNCTION("""COMPUTED_VALUE"""),7243003020)</f>
        <v>7243003020</v>
      </c>
      <c r="P1232" s="5"/>
      <c r="Q1232" s="5"/>
      <c r="R1232" s="5"/>
      <c r="S1232" s="5"/>
      <c r="T1232" s="18">
        <f ca="1">IFERROR(__xludf.DUMMYFUNCTION("""COMPUTED_VALUE"""),45595)</f>
        <v>45595</v>
      </c>
    </row>
    <row r="1233" spans="1:20" ht="12.75">
      <c r="A1233" s="24">
        <f ca="1">IFERROR(__xludf.DUMMYFUNCTION("""COMPUTED_VALUE"""),45673.4446667245)</f>
        <v>45673.444666724499</v>
      </c>
      <c r="B1233" s="5" t="str">
        <f ca="1">IFERROR(__xludf.DUMMYFUNCTION("""COMPUTED_VALUE"""),"2027 1/2 N Vermont Ave ")</f>
        <v xml:space="preserve">2027 1/2 N Vermont Ave </v>
      </c>
      <c r="C1233" s="5" t="str">
        <f ca="1">IFERROR(__xludf.DUMMYFUNCTION("""COMPUTED_VALUE"""),"Los Angeles")</f>
        <v>Los Angeles</v>
      </c>
      <c r="D1233" s="5" t="str">
        <f ca="1">IFERROR(__xludf.DUMMYFUNCTION("""COMPUTED_VALUE"""),"CA")</f>
        <v>CA</v>
      </c>
      <c r="E1233" s="5">
        <f ca="1">IFERROR(__xludf.DUMMYFUNCTION("""COMPUTED_VALUE"""),90027)</f>
        <v>90027</v>
      </c>
      <c r="F1233" s="19">
        <f ca="1">IFERROR(__xludf.DUMMYFUNCTION("""COMPUTED_VALUE"""),2480)</f>
        <v>2480</v>
      </c>
      <c r="G1233" s="19">
        <f ca="1">IFERROR(__xludf.DUMMYFUNCTION("""COMPUTED_VALUE"""),3195)</f>
        <v>3195</v>
      </c>
      <c r="H1233" s="18">
        <f ca="1">IFERROR(__xludf.DUMMYFUNCTION("""COMPUTED_VALUE"""),45666)</f>
        <v>45666</v>
      </c>
      <c r="I1233" s="5" t="str">
        <f ca="1">IFERROR(__xludf.DUMMYFUNCTION("""COMPUTED_VALUE"""),"Zillow")</f>
        <v>Zillow</v>
      </c>
      <c r="J1233" s="25" t="str">
        <f ca="1">IFERROR(__xludf.DUMMYFUNCTION("""COMPUTED_VALUE"""),"https://www.zillow.com/homedetails/2027-1-2-N-Vermont-Ave-Los-Angeles-CA-90027/2085028200_zpid/")</f>
        <v>https://www.zillow.com/homedetails/2027-1-2-N-Vermont-Ave-Los-Angeles-CA-90027/2085028200_zpid/</v>
      </c>
      <c r="K1233" s="5" t="str">
        <f ca="1">IFERROR(__xludf.DUMMYFUNCTION("""COMPUTED_VALUE"""),"Manval Tabakian")</f>
        <v>Manval Tabakian</v>
      </c>
      <c r="L1233" s="5"/>
      <c r="M1233" s="5"/>
      <c r="N1233" s="5" t="str">
        <f ca="1">IFERROR(__xludf.DUMMYFUNCTION("""COMPUTED_VALUE"""),"https://drive.google.com/open?id=1qsI3RA2pKfHDwQdNy9VsPsycaBUFUSRz, https://drive.google.com/open?id=1lrnuOAtbrM7fOVSAueVaSBZPOjizJ1QW, https://drive.google.com/open?id=1EwKZiPYfN_rvf_v8HDEgk_e8tCLxRtWQ")</f>
        <v>https://drive.google.com/open?id=1qsI3RA2pKfHDwQdNy9VsPsycaBUFUSRz, https://drive.google.com/open?id=1lrnuOAtbrM7fOVSAueVaSBZPOjizJ1QW, https://drive.google.com/open?id=1EwKZiPYfN_rvf_v8HDEgk_e8tCLxRtWQ</v>
      </c>
      <c r="O1233" s="5" t="str">
        <f ca="1">IFERROR(__xludf.DUMMYFUNCTION("""COMPUTED_VALUE"""),"N/A")</f>
        <v>N/A</v>
      </c>
      <c r="P1233" s="5">
        <f ca="1">IFERROR(__xludf.DUMMYFUNCTION("""COMPUTED_VALUE"""),3238712337)</f>
        <v>3238712337</v>
      </c>
      <c r="Q1233" s="5"/>
      <c r="R1233" s="5"/>
      <c r="S1233" s="5"/>
      <c r="T1233" s="18">
        <f ca="1">IFERROR(__xludf.DUMMYFUNCTION("""COMPUTED_VALUE"""),43564)</f>
        <v>43564</v>
      </c>
    </row>
    <row r="1234" spans="1:20" ht="12.75">
      <c r="A1234" s="24">
        <f ca="1">IFERROR(__xludf.DUMMYFUNCTION("""COMPUTED_VALUE"""),45673.4485624421)</f>
        <v>45673.4485624421</v>
      </c>
      <c r="B1234" s="5" t="str">
        <f ca="1">IFERROR(__xludf.DUMMYFUNCTION("""COMPUTED_VALUE"""),"2006 N Commonwealth Ave")</f>
        <v>2006 N Commonwealth Ave</v>
      </c>
      <c r="C1234" s="5" t="str">
        <f ca="1">IFERROR(__xludf.DUMMYFUNCTION("""COMPUTED_VALUE"""),"Los Angeles")</f>
        <v>Los Angeles</v>
      </c>
      <c r="D1234" s="5" t="str">
        <f ca="1">IFERROR(__xludf.DUMMYFUNCTION("""COMPUTED_VALUE"""),"CA")</f>
        <v>CA</v>
      </c>
      <c r="E1234" s="5">
        <f ca="1">IFERROR(__xludf.DUMMYFUNCTION("""COMPUTED_VALUE"""),90027)</f>
        <v>90027</v>
      </c>
      <c r="F1234" s="19">
        <f ca="1">IFERROR(__xludf.DUMMYFUNCTION("""COMPUTED_VALUE"""),2450)</f>
        <v>2450</v>
      </c>
      <c r="G1234" s="19">
        <f ca="1">IFERROR(__xludf.DUMMYFUNCTION("""COMPUTED_VALUE"""),2700)</f>
        <v>2700</v>
      </c>
      <c r="H1234" s="18">
        <f ca="1">IFERROR(__xludf.DUMMYFUNCTION("""COMPUTED_VALUE"""),45672)</f>
        <v>45672</v>
      </c>
      <c r="I1234" s="5" t="str">
        <f ca="1">IFERROR(__xludf.DUMMYFUNCTION("""COMPUTED_VALUE"""),"Zillow")</f>
        <v>Zillow</v>
      </c>
      <c r="J1234" s="25" t="str">
        <f ca="1">IFERROR(__xludf.DUMMYFUNCTION("""COMPUTED_VALUE"""),"https://www.zillow.com/homedetails/2006-N-Commonwealth-Ave-Los-Angeles-CA-90027/20811028_zpid/")</f>
        <v>https://www.zillow.com/homedetails/2006-N-Commonwealth-Ave-Los-Angeles-CA-90027/20811028_zpid/</v>
      </c>
      <c r="K1234" s="5"/>
      <c r="L1234" s="5" t="str">
        <f ca="1">IFERROR(__xludf.DUMMYFUNCTION("""COMPUTED_VALUE"""),"Ana")</f>
        <v>Ana</v>
      </c>
      <c r="M1234" s="5"/>
      <c r="N1234" s="5" t="str">
        <f ca="1">IFERROR(__xludf.DUMMYFUNCTION("""COMPUTED_VALUE"""),"https://drive.google.com/open?id=11Rxfbxboxh0KifN5i6qM0XtGHit-CUwq, https://drive.google.com/open?id=1r0MLvqvyCDO_ORUpJvqpa4UAzo0_srgl, https://drive.google.com/open?id=1qQBW5rFHkDBQxt2cT0Tca9riJqwRcr5Y")</f>
        <v>https://drive.google.com/open?id=11Rxfbxboxh0KifN5i6qM0XtGHit-CUwq, https://drive.google.com/open?id=1r0MLvqvyCDO_ORUpJvqpa4UAzo0_srgl, https://drive.google.com/open?id=1qQBW5rFHkDBQxt2cT0Tca9riJqwRcr5Y</v>
      </c>
      <c r="O1234" s="5" t="str">
        <f ca="1">IFERROR(__xludf.DUMMYFUNCTION("""COMPUTED_VALUE"""),"NA")</f>
        <v>NA</v>
      </c>
      <c r="P1234" s="5"/>
      <c r="Q1234" s="5"/>
      <c r="R1234" s="5" t="str">
        <f ca="1">IFERROR(__xludf.DUMMYFUNCTION("""COMPUTED_VALUE"""),"(323) 660-0242")</f>
        <v>(323) 660-0242</v>
      </c>
      <c r="S1234" s="5"/>
      <c r="T1234" s="18">
        <f ca="1">IFERROR(__xludf.DUMMYFUNCTION("""COMPUTED_VALUE"""),44400)</f>
        <v>44400</v>
      </c>
    </row>
    <row r="1235" spans="1:20" ht="12.75">
      <c r="A1235" s="24">
        <f ca="1">IFERROR(__xludf.DUMMYFUNCTION("""COMPUTED_VALUE"""),45673.452648125)</f>
        <v>45673.452648125</v>
      </c>
      <c r="B1235" s="5" t="str">
        <f ca="1">IFERROR(__xludf.DUMMYFUNCTION("""COMPUTED_VALUE"""),"6258 Shirley Avenue")</f>
        <v>6258 Shirley Avenue</v>
      </c>
      <c r="C1235" s="5" t="str">
        <f ca="1">IFERROR(__xludf.DUMMYFUNCTION("""COMPUTED_VALUE"""),"Tarzana")</f>
        <v>Tarzana</v>
      </c>
      <c r="D1235" s="5" t="str">
        <f ca="1">IFERROR(__xludf.DUMMYFUNCTION("""COMPUTED_VALUE"""),"CA")</f>
        <v>CA</v>
      </c>
      <c r="E1235" s="5">
        <f ca="1">IFERROR(__xludf.DUMMYFUNCTION("""COMPUTED_VALUE"""),91335)</f>
        <v>91335</v>
      </c>
      <c r="F1235" s="19">
        <f ca="1">IFERROR(__xludf.DUMMYFUNCTION("""COMPUTED_VALUE"""),3650)</f>
        <v>3650</v>
      </c>
      <c r="G1235" s="19">
        <f ca="1">IFERROR(__xludf.DUMMYFUNCTION("""COMPUTED_VALUE"""),6200)</f>
        <v>6200</v>
      </c>
      <c r="H1235" s="18">
        <f ca="1">IFERROR(__xludf.DUMMYFUNCTION("""COMPUTED_VALUE"""),45673)</f>
        <v>45673</v>
      </c>
      <c r="I1235" s="5" t="str">
        <f ca="1">IFERROR(__xludf.DUMMYFUNCTION("""COMPUTED_VALUE"""),"Redfin")</f>
        <v>Redfin</v>
      </c>
      <c r="J1235" s="25" t="str">
        <f ca="1">IFERROR(__xludf.DUMMYFUNCTION("""COMPUTED_VALUE"""),"https://www.redfin.com/CA/Tarzana/6258-Shirley-Ave-91335/home/3903305#property-history")</f>
        <v>https://www.redfin.com/CA/Tarzana/6258-Shirley-Ave-91335/home/3903305#property-history</v>
      </c>
      <c r="K1235" s="5" t="str">
        <f ca="1">IFERROR(__xludf.DUMMYFUNCTION("""COMPUTED_VALUE"""),"Ailine Valkian")</f>
        <v>Ailine Valkian</v>
      </c>
      <c r="L1235" s="5"/>
      <c r="M1235" s="5"/>
      <c r="N1235" s="26" t="str">
        <f ca="1">IFERROR(__xludf.DUMMYFUNCTION("""COMPUTED_VALUE"""),"https://drive.google.com/open?id=1kzJYnURAxN5I0_P90YA1Ha1bO_qyGxS4")</f>
        <v>https://drive.google.com/open?id=1kzJYnURAxN5I0_P90YA1Ha1bO_qyGxS4</v>
      </c>
      <c r="O1235" s="5" t="str">
        <f ca="1">IFERROR(__xludf.DUMMYFUNCTION("""COMPUTED_VALUE"""),"NA")</f>
        <v>NA</v>
      </c>
      <c r="P1235" s="5" t="str">
        <f ca="1">IFERROR(__xludf.DUMMYFUNCTION("""COMPUTED_VALUE"""),"818-399-0060")</f>
        <v>818-399-0060</v>
      </c>
      <c r="Q1235" s="5"/>
      <c r="R1235" s="5"/>
      <c r="S1235" s="5"/>
      <c r="T1235" s="18">
        <f ca="1">IFERROR(__xludf.DUMMYFUNCTION("""COMPUTED_VALUE"""),45131)</f>
        <v>45131</v>
      </c>
    </row>
    <row r="1236" spans="1:20" ht="12.75">
      <c r="A1236" s="24">
        <f ca="1">IFERROR(__xludf.DUMMYFUNCTION("""COMPUTED_VALUE"""),45673.4577263888)</f>
        <v>45673.457726388799</v>
      </c>
      <c r="B1236" s="5" t="str">
        <f ca="1">IFERROR(__xludf.DUMMYFUNCTION("""COMPUTED_VALUE"""),"13730 Community St")</f>
        <v>13730 Community St</v>
      </c>
      <c r="C1236" s="5" t="str">
        <f ca="1">IFERROR(__xludf.DUMMYFUNCTION("""COMPUTED_VALUE"""),"Panorama City")</f>
        <v>Panorama City</v>
      </c>
      <c r="D1236" s="5" t="str">
        <f ca="1">IFERROR(__xludf.DUMMYFUNCTION("""COMPUTED_VALUE"""),"CA")</f>
        <v>CA</v>
      </c>
      <c r="E1236" s="5">
        <f ca="1">IFERROR(__xludf.DUMMYFUNCTION("""COMPUTED_VALUE"""),91402)</f>
        <v>91402</v>
      </c>
      <c r="F1236" s="19">
        <f ca="1">IFERROR(__xludf.DUMMYFUNCTION("""COMPUTED_VALUE"""),12700)</f>
        <v>12700</v>
      </c>
      <c r="G1236" s="19">
        <f ca="1">IFERROR(__xludf.DUMMYFUNCTION("""COMPUTED_VALUE"""),14700)</f>
        <v>14700</v>
      </c>
      <c r="H1236" s="18">
        <f ca="1">IFERROR(__xludf.DUMMYFUNCTION("""COMPUTED_VALUE"""),45665)</f>
        <v>45665</v>
      </c>
      <c r="I1236" s="5" t="str">
        <f ca="1">IFERROR(__xludf.DUMMYFUNCTION("""COMPUTED_VALUE"""),"Zillow")</f>
        <v>Zillow</v>
      </c>
      <c r="J1236" s="25" t="str">
        <f ca="1">IFERROR(__xludf.DUMMYFUNCTION("""COMPUTED_VALUE"""),"https://www.zillow.com/homedetails/13730-Community-St-Panorama-City-CA-91402/20123762_zpid/?rtoken=49f8339d-934a-4351-b21f-b989aedbf4f8~X1-ZUzfpzrsig6x3d_4234t&amp;utm_campaign=emo-propertyalertnew&amp;utm_source=email&amp;utm_term=urn:msg:20250116175322a1e75d2448cb4"&amp;"d8b&amp;utm_medium=email&amp;utm_content=forrentimage")</f>
        <v>https://www.zillow.com/homedetails/13730-Community-St-Panorama-City-CA-91402/20123762_zpid/?rtoken=49f8339d-934a-4351-b21f-b989aedbf4f8~X1-ZUzfpzrsig6x3d_4234t&amp;utm_campaign=emo-propertyalertnew&amp;utm_source=email&amp;utm_term=urn:msg:20250116175322a1e75d2448cb4d8b&amp;utm_medium=email&amp;utm_content=forrentimage</v>
      </c>
      <c r="K1236" s="5"/>
      <c r="L1236" s="5"/>
      <c r="M1236" s="5"/>
      <c r="N1236" s="26" t="str">
        <f ca="1">IFERROR(__xludf.DUMMYFUNCTION("""COMPUTED_VALUE"""),"https://drive.google.com/open?id=1MPlixm_zmXjtr8DgaZZXLBChJ0iO8H68")</f>
        <v>https://drive.google.com/open?id=1MPlixm_zmXjtr8DgaZZXLBChJ0iO8H68</v>
      </c>
      <c r="O1236" s="5">
        <f ca="1">IFERROR(__xludf.DUMMYFUNCTION("""COMPUTED_VALUE"""),2637018015)</f>
        <v>2637018015</v>
      </c>
      <c r="P1236" s="5"/>
      <c r="Q1236" s="5"/>
      <c r="R1236" s="5"/>
      <c r="S1236" s="5"/>
      <c r="T1236" s="18">
        <f ca="1">IFERROR(__xludf.DUMMYFUNCTION("""COMPUTED_VALUE"""),45589)</f>
        <v>45589</v>
      </c>
    </row>
    <row r="1237" spans="1:20" ht="12.75">
      <c r="A1237" s="24">
        <f ca="1">IFERROR(__xludf.DUMMYFUNCTION("""COMPUTED_VALUE"""),45673.4597793981)</f>
        <v>45673.459779398101</v>
      </c>
      <c r="B1237" s="5" t="str">
        <f ca="1">IFERROR(__xludf.DUMMYFUNCTION("""COMPUTED_VALUE"""),"4001 Clarinda Drive")</f>
        <v>4001 Clarinda Drive</v>
      </c>
      <c r="C1237" s="5" t="str">
        <f ca="1">IFERROR(__xludf.DUMMYFUNCTION("""COMPUTED_VALUE"""),"Tarzana")</f>
        <v>Tarzana</v>
      </c>
      <c r="D1237" s="5" t="str">
        <f ca="1">IFERROR(__xludf.DUMMYFUNCTION("""COMPUTED_VALUE"""),"CA")</f>
        <v>CA</v>
      </c>
      <c r="E1237" s="5">
        <f ca="1">IFERROR(__xludf.DUMMYFUNCTION("""COMPUTED_VALUE"""),91356)</f>
        <v>91356</v>
      </c>
      <c r="F1237" s="19">
        <f ca="1">IFERROR(__xludf.DUMMYFUNCTION("""COMPUTED_VALUE"""),27000)</f>
        <v>27000</v>
      </c>
      <c r="G1237" s="19">
        <f ca="1">IFERROR(__xludf.DUMMYFUNCTION("""COMPUTED_VALUE"""),34000)</f>
        <v>34000</v>
      </c>
      <c r="H1237" s="18">
        <f ca="1">IFERROR(__xludf.DUMMYFUNCTION("""COMPUTED_VALUE"""),45673)</f>
        <v>45673</v>
      </c>
      <c r="I1237" s="5" t="str">
        <f ca="1">IFERROR(__xludf.DUMMYFUNCTION("""COMPUTED_VALUE"""),"Redfin")</f>
        <v>Redfin</v>
      </c>
      <c r="J1237" s="25" t="str">
        <f ca="1">IFERROR(__xludf.DUMMYFUNCTION("""COMPUTED_VALUE"""),"https://www.redfin.com/CA/Tarzana/4001-Clarinda-Dr-91356/home/4261210#property-history")</f>
        <v>https://www.redfin.com/CA/Tarzana/4001-Clarinda-Dr-91356/home/4261210#property-history</v>
      </c>
      <c r="K1237" s="5" t="str">
        <f ca="1">IFERROR(__xludf.DUMMYFUNCTION("""COMPUTED_VALUE"""),"Tomer Fridman")</f>
        <v>Tomer Fridman</v>
      </c>
      <c r="L1237" s="5"/>
      <c r="M1237" s="5"/>
      <c r="N1237" s="26" t="str">
        <f ca="1">IFERROR(__xludf.DUMMYFUNCTION("""COMPUTED_VALUE"""),"https://drive.google.com/open?id=1pF3aKQru8lHcK-TEJ_soKD-_Yc7noi_g")</f>
        <v>https://drive.google.com/open?id=1pF3aKQru8lHcK-TEJ_soKD-_Yc7noi_g</v>
      </c>
      <c r="O1237" s="5" t="str">
        <f ca="1">IFERROR(__xludf.DUMMYFUNCTION("""COMPUTED_VALUE"""),"NA")</f>
        <v>NA</v>
      </c>
      <c r="P1237" s="5" t="str">
        <f ca="1">IFERROR(__xludf.DUMMYFUNCTION("""COMPUTED_VALUE"""),"310-919-1038")</f>
        <v>310-919-1038</v>
      </c>
      <c r="Q1237" s="5" t="str">
        <f ca="1">IFERROR(__xludf.DUMMYFUNCTION("""COMPUTED_VALUE"""),"tomer@thefridmangroup.com")</f>
        <v>tomer@thefridmangroup.com</v>
      </c>
      <c r="R1237" s="5"/>
      <c r="S1237" s="5"/>
      <c r="T1237" s="18">
        <f ca="1">IFERROR(__xludf.DUMMYFUNCTION("""COMPUTED_VALUE"""),45644)</f>
        <v>45644</v>
      </c>
    </row>
    <row r="1238" spans="1:20" ht="12.75">
      <c r="A1238" s="24">
        <f ca="1">IFERROR(__xludf.DUMMYFUNCTION("""COMPUTED_VALUE"""),45673.4604249074)</f>
        <v>45673.460424907396</v>
      </c>
      <c r="B1238" s="5" t="str">
        <f ca="1">IFERROR(__xludf.DUMMYFUNCTION("""COMPUTED_VALUE"""),"2324 N Vermont Ave")</f>
        <v>2324 N Vermont Ave</v>
      </c>
      <c r="C1238" s="5" t="str">
        <f ca="1">IFERROR(__xludf.DUMMYFUNCTION("""COMPUTED_VALUE"""),"Los Angeles")</f>
        <v>Los Angeles</v>
      </c>
      <c r="D1238" s="5" t="str">
        <f ca="1">IFERROR(__xludf.DUMMYFUNCTION("""COMPUTED_VALUE"""),"CA")</f>
        <v>CA</v>
      </c>
      <c r="E1238" s="5">
        <f ca="1">IFERROR(__xludf.DUMMYFUNCTION("""COMPUTED_VALUE"""),90027)</f>
        <v>90027</v>
      </c>
      <c r="F1238" s="19">
        <f ca="1">IFERROR(__xludf.DUMMYFUNCTION("""COMPUTED_VALUE"""),17850)</f>
        <v>17850</v>
      </c>
      <c r="G1238" s="19">
        <f ca="1">IFERROR(__xludf.DUMMYFUNCTION("""COMPUTED_VALUE"""),20000)</f>
        <v>20000</v>
      </c>
      <c r="H1238" s="18">
        <f ca="1">IFERROR(__xludf.DUMMYFUNCTION("""COMPUTED_VALUE"""),45671)</f>
        <v>45671</v>
      </c>
      <c r="I1238" s="5" t="str">
        <f ca="1">IFERROR(__xludf.DUMMYFUNCTION("""COMPUTED_VALUE"""),"Zillow")</f>
        <v>Zillow</v>
      </c>
      <c r="J1238" s="25" t="str">
        <f ca="1">IFERROR(__xludf.DUMMYFUNCTION("""COMPUTED_VALUE"""),"https://www.zillow.com/homedetails/2324-N-Vermont-Ave-Los-Angeles-CA-90027/20809114_zpid/")</f>
        <v>https://www.zillow.com/homedetails/2324-N-Vermont-Ave-Los-Angeles-CA-90027/20809114_zpid/</v>
      </c>
      <c r="K1238" s="5" t="str">
        <f ca="1">IFERROR(__xludf.DUMMYFUNCTION("""COMPUTED_VALUE"""),"Carlos Villega")</f>
        <v>Carlos Villega</v>
      </c>
      <c r="L1238" s="5"/>
      <c r="M1238" s="5"/>
      <c r="N1238" s="5" t="str">
        <f ca="1">IFERROR(__xludf.DUMMYFUNCTION("""COMPUTED_VALUE"""),"https://drive.google.com/open?id=1dhC1UZ7V-tV1qsSHLGpstwyCzZM_B6Db, https://drive.google.com/open?id=1EKmCZZZo1gflAnz2bI68alAtE6K4Q1Jh, https://drive.google.com/open?id=1bs6LEoiLGpdY6Yyhm84fyACwx8YaxUly")</f>
        <v>https://drive.google.com/open?id=1dhC1UZ7V-tV1qsSHLGpstwyCzZM_B6Db, https://drive.google.com/open?id=1EKmCZZZo1gflAnz2bI68alAtE6K4Q1Jh, https://drive.google.com/open?id=1bs6LEoiLGpdY6Yyhm84fyACwx8YaxUly</v>
      </c>
      <c r="O1238" s="5">
        <f ca="1">IFERROR(__xludf.DUMMYFUNCTION("""COMPUTED_VALUE"""),5588024017)</f>
        <v>5588024017</v>
      </c>
      <c r="P1238" s="5" t="str">
        <f ca="1">IFERROR(__xludf.DUMMYFUNCTION("""COMPUTED_VALUE"""),"(661) 619-7335")</f>
        <v>(661) 619-7335</v>
      </c>
      <c r="Q1238" s="5"/>
      <c r="R1238" s="5"/>
      <c r="S1238" s="5"/>
      <c r="T1238" s="18">
        <f ca="1">IFERROR(__xludf.DUMMYFUNCTION("""COMPUTED_VALUE"""),45465)</f>
        <v>45465</v>
      </c>
    </row>
    <row r="1239" spans="1:20" ht="12.75">
      <c r="A1239" s="24">
        <f ca="1">IFERROR(__xludf.DUMMYFUNCTION("""COMPUTED_VALUE"""),45673.4693694444)</f>
        <v>45673.469369444399</v>
      </c>
      <c r="B1239" s="5" t="str">
        <f ca="1">IFERROR(__xludf.DUMMYFUNCTION("""COMPUTED_VALUE"""),"625 S Burnside Ave #625.5")</f>
        <v>625 S Burnside Ave #625.5</v>
      </c>
      <c r="C1239" s="5" t="str">
        <f ca="1">IFERROR(__xludf.DUMMYFUNCTION("""COMPUTED_VALUE"""),"Los Angeles")</f>
        <v>Los Angeles</v>
      </c>
      <c r="D1239" s="5" t="str">
        <f ca="1">IFERROR(__xludf.DUMMYFUNCTION("""COMPUTED_VALUE"""),"CA")</f>
        <v>CA</v>
      </c>
      <c r="E1239" s="5">
        <f ca="1">IFERROR(__xludf.DUMMYFUNCTION("""COMPUTED_VALUE"""),90036)</f>
        <v>90036</v>
      </c>
      <c r="F1239" s="19">
        <f ca="1">IFERROR(__xludf.DUMMYFUNCTION("""COMPUTED_VALUE"""),4400)</f>
        <v>4400</v>
      </c>
      <c r="G1239" s="19">
        <f ca="1">IFERROR(__xludf.DUMMYFUNCTION("""COMPUTED_VALUE"""),5000)</f>
        <v>5000</v>
      </c>
      <c r="H1239" s="18">
        <f ca="1">IFERROR(__xludf.DUMMYFUNCTION("""COMPUTED_VALUE"""),45673)</f>
        <v>45673</v>
      </c>
      <c r="I1239" s="5" t="str">
        <f ca="1">IFERROR(__xludf.DUMMYFUNCTION("""COMPUTED_VALUE"""),"Zillow")</f>
        <v>Zillow</v>
      </c>
      <c r="J1239" s="25" t="str">
        <f ca="1">IFERROR(__xludf.DUMMYFUNCTION("""COMPUTED_VALUE"""),"https://www.zillow.com/homedetails/625-S-Burnside-Ave-625-5-Los-Angeles-CA-90036/2077200389_zpid/")</f>
        <v>https://www.zillow.com/homedetails/625-S-Burnside-Ave-625-5-Los-Angeles-CA-90036/2077200389_zpid/</v>
      </c>
      <c r="K1239" s="5" t="str">
        <f ca="1">IFERROR(__xludf.DUMMYFUNCTION("""COMPUTED_VALUE"""),"Lindsay Ratkovich")</f>
        <v>Lindsay Ratkovich</v>
      </c>
      <c r="L1239" s="5"/>
      <c r="M1239" s="5"/>
      <c r="N1239" s="5" t="str">
        <f ca="1">IFERROR(__xludf.DUMMYFUNCTION("""COMPUTED_VALUE"""),"https://drive.google.com/open?id=14t_4nawtUb0NGmJtYL6s2emAgIhw8PX0, https://drive.google.com/open?id=14aiUV34p9OdsZZSxaUvGYsypRJNdGGEV, https://drive.google.com/open?id=1ks2lnLOaOaroY3JJE4B1clVXSJzLd6kl")</f>
        <v>https://drive.google.com/open?id=14t_4nawtUb0NGmJtYL6s2emAgIhw8PX0, https://drive.google.com/open?id=14aiUV34p9OdsZZSxaUvGYsypRJNdGGEV, https://drive.google.com/open?id=1ks2lnLOaOaroY3JJE4B1clVXSJzLd6kl</v>
      </c>
      <c r="O1239" s="5" t="str">
        <f ca="1">IFERROR(__xludf.DUMMYFUNCTION("""COMPUTED_VALUE"""),"NA")</f>
        <v>NA</v>
      </c>
      <c r="P1239" s="5" t="str">
        <f ca="1">IFERROR(__xludf.DUMMYFUNCTION("""COMPUTED_VALUE"""),"(323) 383-6285")</f>
        <v>(323) 383-6285</v>
      </c>
      <c r="Q1239" s="5"/>
      <c r="R1239" s="5"/>
      <c r="S1239" s="5"/>
      <c r="T1239" s="18">
        <f ca="1">IFERROR(__xludf.DUMMYFUNCTION("""COMPUTED_VALUE"""),45030)</f>
        <v>45030</v>
      </c>
    </row>
    <row r="1240" spans="1:20" ht="12.75">
      <c r="A1240" s="24">
        <f ca="1">IFERROR(__xludf.DUMMYFUNCTION("""COMPUTED_VALUE"""),45673.4696267824)</f>
        <v>45673.469626782397</v>
      </c>
      <c r="B1240" s="5" t="str">
        <f ca="1">IFERROR(__xludf.DUMMYFUNCTION("""COMPUTED_VALUE"""),"8107 Loyola Boulevard")</f>
        <v>8107 Loyola Boulevard</v>
      </c>
      <c r="C1240" s="5" t="str">
        <f ca="1">IFERROR(__xludf.DUMMYFUNCTION("""COMPUTED_VALUE"""),"Los Angeles")</f>
        <v>Los Angeles</v>
      </c>
      <c r="D1240" s="5" t="str">
        <f ca="1">IFERROR(__xludf.DUMMYFUNCTION("""COMPUTED_VALUE"""),"CA")</f>
        <v>CA</v>
      </c>
      <c r="E1240" s="5">
        <f ca="1">IFERROR(__xludf.DUMMYFUNCTION("""COMPUTED_VALUE"""),90045)</f>
        <v>90045</v>
      </c>
      <c r="F1240" s="19">
        <f ca="1">IFERROR(__xludf.DUMMYFUNCTION("""COMPUTED_VALUE"""),7368)</f>
        <v>7368</v>
      </c>
      <c r="G1240" s="19">
        <f ca="1">IFERROR(__xludf.DUMMYFUNCTION("""COMPUTED_VALUE"""),17000)</f>
        <v>17000</v>
      </c>
      <c r="H1240" s="18">
        <f ca="1">IFERROR(__xludf.DUMMYFUNCTION("""COMPUTED_VALUE"""),45672)</f>
        <v>45672</v>
      </c>
      <c r="I1240" s="5" t="str">
        <f ca="1">IFERROR(__xludf.DUMMYFUNCTION("""COMPUTED_VALUE"""),"Redfin")</f>
        <v>Redfin</v>
      </c>
      <c r="J1240" s="25" t="str">
        <f ca="1">IFERROR(__xludf.DUMMYFUNCTION("""COMPUTED_VALUE"""),"https://www.redfin.com/CA/Los-Angeles/8107-Loyola-Blvd-90045/home/6620001")</f>
        <v>https://www.redfin.com/CA/Los-Angeles/8107-Loyola-Blvd-90045/home/6620001</v>
      </c>
      <c r="K1240" s="5" t="str">
        <f ca="1">IFERROR(__xludf.DUMMYFUNCTION("""COMPUTED_VALUE"""),"8107 Loyola Blvd. aka Jason Vanclef")</f>
        <v>8107 Loyola Blvd. aka Jason Vanclef</v>
      </c>
      <c r="L1240" s="5" t="str">
        <f ca="1">IFERROR(__xludf.DUMMYFUNCTION("""COMPUTED_VALUE"""),"Vanclef Financial Group")</f>
        <v>Vanclef Financial Group</v>
      </c>
      <c r="M1240" s="5" t="str">
        <f ca="1">IFERROR(__xludf.DUMMYFUNCTION("""COMPUTED_VALUE"""),"Property's rental history has been wiped clean, but a house DOUBLE the size down the street is being listed for less. Redfin lists comps on 8107 Loyola as $10,000 less than asking price.")</f>
        <v>Property's rental history has been wiped clean, but a house DOUBLE the size down the street is being listed for less. Redfin lists comps on 8107 Loyola as $10,000 less than asking price.</v>
      </c>
      <c r="N1240" s="5" t="str">
        <f ca="1">IFERROR(__xludf.DUMMYFUNCTION("""COMPUTED_VALUE"""),"https://drive.google.com/open?id=1pTNWOw2ZyCHuKDiHi7g65L4-RffnbM9d, https://drive.google.com/open?id=1mIKw8dDsAJoe7ezyyQ_pglS6fsvx3cc0, https://drive.google.com/open?id=1l_6hsInTwo10VAvdB8xyk16R4CETp2_e")</f>
        <v>https://drive.google.com/open?id=1pTNWOw2ZyCHuKDiHi7g65L4-RffnbM9d, https://drive.google.com/open?id=1mIKw8dDsAJoe7ezyyQ_pglS6fsvx3cc0, https://drive.google.com/open?id=1l_6hsInTwo10VAvdB8xyk16R4CETp2_e</v>
      </c>
      <c r="O1240" s="5" t="str">
        <f ca="1">IFERROR(__xludf.DUMMYFUNCTION("""COMPUTED_VALUE"""),"NA")</f>
        <v>NA</v>
      </c>
      <c r="P1240" s="5" t="str">
        <f ca="1">IFERROR(__xludf.DUMMYFUNCTION("""COMPUTED_VALUE"""),"310-621-6541")</f>
        <v>310-621-6541</v>
      </c>
      <c r="Q1240" s="5" t="str">
        <f ca="1">IFERROR(__xludf.DUMMYFUNCTION("""COMPUTED_VALUE"""),"NA@NA.com")</f>
        <v>NA@NA.com</v>
      </c>
      <c r="R1240" s="5" t="str">
        <f ca="1">IFERROR(__xludf.DUMMYFUNCTION("""COMPUTED_VALUE"""),"310-410-8341")</f>
        <v>310-410-8341</v>
      </c>
      <c r="S1240" s="5" t="str">
        <f ca="1">IFERROR(__xludf.DUMMYFUNCTION("""COMPUTED_VALUE"""),"jason@vfgroup.net")</f>
        <v>jason@vfgroup.net</v>
      </c>
      <c r="T1240" s="18">
        <f ca="1">IFERROR(__xludf.DUMMYFUNCTION("""COMPUTED_VALUE"""),45671)</f>
        <v>45671</v>
      </c>
    </row>
    <row r="1241" spans="1:20" ht="12.75">
      <c r="A1241" s="24">
        <f ca="1">IFERROR(__xludf.DUMMYFUNCTION("""COMPUTED_VALUE"""),45673.5107930787)</f>
        <v>45673.510793078698</v>
      </c>
      <c r="B1241" s="5" t="str">
        <f ca="1">IFERROR(__xludf.DUMMYFUNCTION("""COMPUTED_VALUE"""),"6370 E Tamarind")</f>
        <v>6370 E Tamarind</v>
      </c>
      <c r="C1241" s="5" t="str">
        <f ca="1">IFERROR(__xludf.DUMMYFUNCTION("""COMPUTED_VALUE"""),"Oak Park")</f>
        <v>Oak Park</v>
      </c>
      <c r="D1241" s="5" t="str">
        <f ca="1">IFERROR(__xludf.DUMMYFUNCTION("""COMPUTED_VALUE"""),"CA")</f>
        <v>CA</v>
      </c>
      <c r="E1241" s="5">
        <f ca="1">IFERROR(__xludf.DUMMYFUNCTION("""COMPUTED_VALUE"""),91377)</f>
        <v>91377</v>
      </c>
      <c r="F1241" s="19">
        <f ca="1">IFERROR(__xludf.DUMMYFUNCTION("""COMPUTED_VALUE"""),5900)</f>
        <v>5900</v>
      </c>
      <c r="G1241" s="19">
        <f ca="1">IFERROR(__xludf.DUMMYFUNCTION("""COMPUTED_VALUE"""),6500)</f>
        <v>6500</v>
      </c>
      <c r="H1241" s="18">
        <f ca="1">IFERROR(__xludf.DUMMYFUNCTION("""COMPUTED_VALUE"""),45673)</f>
        <v>45673</v>
      </c>
      <c r="I1241" s="5" t="str">
        <f ca="1">IFERROR(__xludf.DUMMYFUNCTION("""COMPUTED_VALUE"""),"Zillow")</f>
        <v>Zillow</v>
      </c>
      <c r="J1241" s="25" t="str">
        <f ca="1">IFERROR(__xludf.DUMMYFUNCTION("""COMPUTED_VALUE"""),"https://www.zillow.com/homedetails/6370-E-Tamarind-St-Oak-Park-CA-91377/2056151679_zpid/")</f>
        <v>https://www.zillow.com/homedetails/6370-E-Tamarind-St-Oak-Park-CA-91377/2056151679_zpid/</v>
      </c>
      <c r="K1241" s="5" t="str">
        <f ca="1">IFERROR(__xludf.DUMMYFUNCTION("""COMPUTED_VALUE"""),"Natalie Furman (Keller Williams Studio City)")</f>
        <v>Natalie Furman (Keller Williams Studio City)</v>
      </c>
      <c r="L1241" s="5"/>
      <c r="M1241" s="5"/>
      <c r="N1241" s="26" t="str">
        <f ca="1">IFERROR(__xludf.DUMMYFUNCTION("""COMPUTED_VALUE"""),"https://drive.google.com/open?id=1PGfhoTfpe7r5FeUTaj2DDYi20FY-fxta")</f>
        <v>https://drive.google.com/open?id=1PGfhoTfpe7r5FeUTaj2DDYi20FY-fxta</v>
      </c>
      <c r="O1241" s="5" t="str">
        <f ca="1">IFERROR(__xludf.DUMMYFUNCTION("""COMPUTED_VALUE"""),"NA")</f>
        <v>NA</v>
      </c>
      <c r="P1241" s="5" t="str">
        <f ca="1">IFERROR(__xludf.DUMMYFUNCTION("""COMPUTED_VALUE""")," (213) 642-1140")</f>
        <v xml:space="preserve"> (213) 642-1140</v>
      </c>
      <c r="Q1241" s="5"/>
      <c r="R1241" s="5"/>
      <c r="S1241" s="5"/>
      <c r="T1241" s="18">
        <f ca="1">IFERROR(__xludf.DUMMYFUNCTION("""COMPUTED_VALUE"""),45568)</f>
        <v>45568</v>
      </c>
    </row>
    <row r="1242" spans="1:20" ht="12.75">
      <c r="A1242" s="24">
        <f ca="1">IFERROR(__xludf.DUMMYFUNCTION("""COMPUTED_VALUE"""),45673.5113064699)</f>
        <v>45673.511306469904</v>
      </c>
      <c r="B1242" s="5" t="str">
        <f ca="1">IFERROR(__xludf.DUMMYFUNCTION("""COMPUTED_VALUE"""),"18050 Industrial Street")</f>
        <v>18050 Industrial Street</v>
      </c>
      <c r="C1242" s="5" t="str">
        <f ca="1">IFERROR(__xludf.DUMMYFUNCTION("""COMPUTED_VALUE"""),"Downtown LA")</f>
        <v>Downtown LA</v>
      </c>
      <c r="D1242" s="5" t="str">
        <f ca="1">IFERROR(__xludf.DUMMYFUNCTION("""COMPUTED_VALUE"""),"CA")</f>
        <v>CA</v>
      </c>
      <c r="E1242" s="5">
        <f ca="1">IFERROR(__xludf.DUMMYFUNCTION("""COMPUTED_VALUE"""),90021)</f>
        <v>90021</v>
      </c>
      <c r="F1242" s="19">
        <f ca="1">IFERROR(__xludf.DUMMYFUNCTION("""COMPUTED_VALUE"""),5000)</f>
        <v>5000</v>
      </c>
      <c r="G1242" s="19">
        <f ca="1">IFERROR(__xludf.DUMMYFUNCTION("""COMPUTED_VALUE"""),9495)</f>
        <v>9495</v>
      </c>
      <c r="H1242" s="18">
        <f ca="1">IFERROR(__xludf.DUMMYFUNCTION("""COMPUTED_VALUE"""),45673)</f>
        <v>45673</v>
      </c>
      <c r="I1242" s="5" t="str">
        <f ca="1">IFERROR(__xludf.DUMMYFUNCTION("""COMPUTED_VALUE"""),"Redfin")</f>
        <v>Redfin</v>
      </c>
      <c r="J1242" s="25" t="str">
        <f ca="1">IFERROR(__xludf.DUMMYFUNCTION("""COMPUTED_VALUE"""),"https://www.redfin.com/CA/Los-Angeles/1850-Industrial-St-90021/home/194276793#property-history")</f>
        <v>https://www.redfin.com/CA/Los-Angeles/1850-Industrial-St-90021/home/194276793#property-history</v>
      </c>
      <c r="K1242" s="5" t="str">
        <f ca="1">IFERROR(__xludf.DUMMYFUNCTION("""COMPUTED_VALUE"""),"Joshua Stein-Sapir")</f>
        <v>Joshua Stein-Sapir</v>
      </c>
      <c r="L1242" s="5"/>
      <c r="M1242" s="5"/>
      <c r="N1242" s="26" t="str">
        <f ca="1">IFERROR(__xludf.DUMMYFUNCTION("""COMPUTED_VALUE"""),"https://drive.google.com/open?id=1jful6JWBXQ3jPKA-QreKrR6Q-X2Bys-5")</f>
        <v>https://drive.google.com/open?id=1jful6JWBXQ3jPKA-QreKrR6Q-X2Bys-5</v>
      </c>
      <c r="O1242" s="5" t="str">
        <f ca="1">IFERROR(__xludf.DUMMYFUNCTION("""COMPUTED_VALUE"""),"NA")</f>
        <v>NA</v>
      </c>
      <c r="P1242" s="5" t="str">
        <f ca="1">IFERROR(__xludf.DUMMYFUNCTION("""COMPUTED_VALUE"""),"424-401-6165 ")</f>
        <v xml:space="preserve">424-401-6165 </v>
      </c>
      <c r="Q1242" s="5" t="str">
        <f ca="1">IFERROR(__xludf.DUMMYFUNCTION("""COMPUTED_VALUE"""),"josh@keyesla.com")</f>
        <v>josh@keyesla.com</v>
      </c>
      <c r="R1242" s="5"/>
      <c r="S1242" s="5"/>
      <c r="T1242" s="18">
        <f ca="1">IFERROR(__xludf.DUMMYFUNCTION("""COMPUTED_VALUE"""),45586)</f>
        <v>45586</v>
      </c>
    </row>
    <row r="1243" spans="1:20" ht="12.75">
      <c r="A1243" s="24">
        <f ca="1">IFERROR(__xludf.DUMMYFUNCTION("""COMPUTED_VALUE"""),45673.5167938425)</f>
        <v>45673.5167938425</v>
      </c>
      <c r="B1243" s="5" t="str">
        <f ca="1">IFERROR(__xludf.DUMMYFUNCTION("""COMPUTED_VALUE"""),"15316 Del Gado Dr")</f>
        <v>15316 Del Gado Dr</v>
      </c>
      <c r="C1243" s="5" t="str">
        <f ca="1">IFERROR(__xludf.DUMMYFUNCTION("""COMPUTED_VALUE"""),"Sherman Oaks")</f>
        <v>Sherman Oaks</v>
      </c>
      <c r="D1243" s="5" t="str">
        <f ca="1">IFERROR(__xludf.DUMMYFUNCTION("""COMPUTED_VALUE"""),"CA")</f>
        <v>CA</v>
      </c>
      <c r="E1243" s="5">
        <f ca="1">IFERROR(__xludf.DUMMYFUNCTION("""COMPUTED_VALUE"""),91403)</f>
        <v>91403</v>
      </c>
      <c r="F1243" s="19">
        <f ca="1">IFERROR(__xludf.DUMMYFUNCTION("""COMPUTED_VALUE"""),11500)</f>
        <v>11500</v>
      </c>
      <c r="G1243" s="19">
        <f ca="1">IFERROR(__xludf.DUMMYFUNCTION("""COMPUTED_VALUE"""),12650)</f>
        <v>12650</v>
      </c>
      <c r="H1243" s="18">
        <f ca="1">IFERROR(__xludf.DUMMYFUNCTION("""COMPUTED_VALUE"""),45673)</f>
        <v>45673</v>
      </c>
      <c r="I1243" s="5" t="str">
        <f ca="1">IFERROR(__xludf.DUMMYFUNCTION("""COMPUTED_VALUE"""),"Zillow")</f>
        <v>Zillow</v>
      </c>
      <c r="J1243" s="25" t="str">
        <f ca="1">IFERROR(__xludf.DUMMYFUNCTION("""COMPUTED_VALUE"""),"https://www.zillow.com/homedetails/15316-Del-Gado-Dr-Sherman-Oaks-CA-91403/19990949_zpid/")</f>
        <v>https://www.zillow.com/homedetails/15316-Del-Gado-Dr-Sherman-Oaks-CA-91403/19990949_zpid/</v>
      </c>
      <c r="K1243" s="5"/>
      <c r="L1243" s="5" t="str">
        <f ca="1">IFERROR(__xludf.DUMMYFUNCTION("""COMPUTED_VALUE"""),"Rosalie Heller")</f>
        <v>Rosalie Heller</v>
      </c>
      <c r="M1243" s="5"/>
      <c r="N1243" s="5" t="str">
        <f ca="1">IFERROR(__xludf.DUMMYFUNCTION("""COMPUTED_VALUE"""),"https://drive.google.com/open?id=1e1juMbmQYXbjzV0TqRaPFoyAQdwGxKNa, https://drive.google.com/open?id=1xnZlACAT-V0-IIFuJPwy4E_RS_KiCqJa")</f>
        <v>https://drive.google.com/open?id=1e1juMbmQYXbjzV0TqRaPFoyAQdwGxKNa, https://drive.google.com/open?id=1xnZlACAT-V0-IIFuJPwy4E_RS_KiCqJa</v>
      </c>
      <c r="O1243" s="5">
        <f ca="1">IFERROR(__xludf.DUMMYFUNCTION("""COMPUTED_VALUE"""),2281007004)</f>
        <v>2281007004</v>
      </c>
      <c r="P1243" s="5"/>
      <c r="Q1243" s="5"/>
      <c r="R1243" s="5" t="str">
        <f ca="1">IFERROR(__xludf.DUMMYFUNCTION("""COMPUTED_VALUE"""),"(646) 212-0456")</f>
        <v>(646) 212-0456</v>
      </c>
      <c r="S1243" s="5"/>
      <c r="T1243" s="18">
        <f ca="1">IFERROR(__xludf.DUMMYFUNCTION("""COMPUTED_VALUE"""),45527)</f>
        <v>45527</v>
      </c>
    </row>
    <row r="1244" spans="1:20" ht="12.75">
      <c r="A1244" s="24">
        <f ca="1">IFERROR(__xludf.DUMMYFUNCTION("""COMPUTED_VALUE"""),45673.5168419213)</f>
        <v>45673.516841921301</v>
      </c>
      <c r="B1244" s="5" t="str">
        <f ca="1">IFERROR(__xludf.DUMMYFUNCTION("""COMPUTED_VALUE"""),"5467 Clermont Court")</f>
        <v>5467 Clermont Court</v>
      </c>
      <c r="C1244" s="5" t="str">
        <f ca="1">IFERROR(__xludf.DUMMYFUNCTION("""COMPUTED_VALUE"""),"Westlake Village")</f>
        <v>Westlake Village</v>
      </c>
      <c r="D1244" s="5" t="str">
        <f ca="1">IFERROR(__xludf.DUMMYFUNCTION("""COMPUTED_VALUE"""),"CA")</f>
        <v>CA</v>
      </c>
      <c r="E1244" s="5">
        <f ca="1">IFERROR(__xludf.DUMMYFUNCTION("""COMPUTED_VALUE"""),91362)</f>
        <v>91362</v>
      </c>
      <c r="F1244" s="19">
        <f ca="1">IFERROR(__xludf.DUMMYFUNCTION("""COMPUTED_VALUE"""),3550)</f>
        <v>3550</v>
      </c>
      <c r="G1244" s="19">
        <f ca="1">IFERROR(__xludf.DUMMYFUNCTION("""COMPUTED_VALUE"""),4500)</f>
        <v>4500</v>
      </c>
      <c r="H1244" s="18">
        <f ca="1">IFERROR(__xludf.DUMMYFUNCTION("""COMPUTED_VALUE"""),45667)</f>
        <v>45667</v>
      </c>
      <c r="I1244" s="5" t="str">
        <f ca="1">IFERROR(__xludf.DUMMYFUNCTION("""COMPUTED_VALUE"""),"Zillow")</f>
        <v>Zillow</v>
      </c>
      <c r="J1244" s="25" t="str">
        <f ca="1">IFERROR(__xludf.DUMMYFUNCTION("""COMPUTED_VALUE"""),"https://www.zillow.com/homedetails/5467-Clermont-Ct-Westlake-Village-CA-91362/19888355_zpid/")</f>
        <v>https://www.zillow.com/homedetails/5467-Clermont-Ct-Westlake-Village-CA-91362/19888355_zpid/</v>
      </c>
      <c r="K1244" s="5" t="str">
        <f ca="1">IFERROR(__xludf.DUMMYFUNCTION("""COMPUTED_VALUE"""),"Erica Helms (Ventura Property Group)")</f>
        <v>Erica Helms (Ventura Property Group)</v>
      </c>
      <c r="L1244" s="5"/>
      <c r="M1244" s="5"/>
      <c r="N1244" s="26" t="str">
        <f ca="1">IFERROR(__xludf.DUMMYFUNCTION("""COMPUTED_VALUE"""),"https://drive.google.com/open?id=1QX2RVllJKIS0G3G-ScWXJK7oyN0ULOsO")</f>
        <v>https://drive.google.com/open?id=1QX2RVllJKIS0G3G-ScWXJK7oyN0ULOsO</v>
      </c>
      <c r="O1244" s="5">
        <f ca="1">IFERROR(__xludf.DUMMYFUNCTION("""COMPUTED_VALUE"""),2054034115)</f>
        <v>2054034115</v>
      </c>
      <c r="P1244" s="5" t="str">
        <f ca="1">IFERROR(__xludf.DUMMYFUNCTION("""COMPUTED_VALUE""")," (820) 777-1109")</f>
        <v xml:space="preserve"> (820) 777-1109</v>
      </c>
      <c r="Q1244" s="5"/>
      <c r="R1244" s="5"/>
      <c r="S1244" s="5"/>
      <c r="T1244" s="18">
        <f ca="1">IFERROR(__xludf.DUMMYFUNCTION("""COMPUTED_VALUE"""),45610)</f>
        <v>45610</v>
      </c>
    </row>
    <row r="1245" spans="1:20" ht="12.75">
      <c r="A1245" s="24">
        <f ca="1">IFERROR(__xludf.DUMMYFUNCTION("""COMPUTED_VALUE"""),45673.5251734375)</f>
        <v>45673.525173437498</v>
      </c>
      <c r="B1245" s="5" t="str">
        <f ca="1">IFERROR(__xludf.DUMMYFUNCTION("""COMPUTED_VALUE"""),"109 N Lima St")</f>
        <v>109 N Lima St</v>
      </c>
      <c r="C1245" s="5" t="str">
        <f ca="1">IFERROR(__xludf.DUMMYFUNCTION("""COMPUTED_VALUE"""),"Sierra Madre")</f>
        <v>Sierra Madre</v>
      </c>
      <c r="D1245" s="5" t="str">
        <f ca="1">IFERROR(__xludf.DUMMYFUNCTION("""COMPUTED_VALUE"""),"CA")</f>
        <v>CA</v>
      </c>
      <c r="E1245" s="5">
        <f ca="1">IFERROR(__xludf.DUMMYFUNCTION("""COMPUTED_VALUE"""),91024)</f>
        <v>91024</v>
      </c>
      <c r="F1245" s="19">
        <f ca="1">IFERROR(__xludf.DUMMYFUNCTION("""COMPUTED_VALUE"""),5500)</f>
        <v>5500</v>
      </c>
      <c r="G1245" s="19">
        <f ca="1">IFERROR(__xludf.DUMMYFUNCTION("""COMPUTED_VALUE"""),5900)</f>
        <v>5900</v>
      </c>
      <c r="H1245" s="18">
        <f ca="1">IFERROR(__xludf.DUMMYFUNCTION("""COMPUTED_VALUE"""),45672)</f>
        <v>45672</v>
      </c>
      <c r="I1245" s="5" t="str">
        <f ca="1">IFERROR(__xludf.DUMMYFUNCTION("""COMPUTED_VALUE"""),"Zillow")</f>
        <v>Zillow</v>
      </c>
      <c r="J1245" s="25" t="str">
        <f ca="1">IFERROR(__xludf.DUMMYFUNCTION("""COMPUTED_VALUE"""),"https://www.zillow.com/homedetails/109-N-Lima-St-Sierra-Madre-CA-91024/20885611_zpid/")</f>
        <v>https://www.zillow.com/homedetails/109-N-Lima-St-Sierra-Madre-CA-91024/20885611_zpid/</v>
      </c>
      <c r="K1245" s="5" t="str">
        <f ca="1">IFERROR(__xludf.DUMMYFUNCTION("""COMPUTED_VALUE"""),"Erik Kirakosyan")</f>
        <v>Erik Kirakosyan</v>
      </c>
      <c r="L1245" s="5" t="str">
        <f ca="1">IFERROR(__xludf.DUMMYFUNCTION("""COMPUTED_VALUE"""),"RPO: 109 N Lima LLC. Payment collected by GOR GRISHYAN")</f>
        <v>RPO: 109 N Lima LLC. Payment collected by GOR GRISHYAN</v>
      </c>
      <c r="M1245" s="5" t="str">
        <f ca="1">IFERROR(__xludf.DUMMYFUNCTION("""COMPUTED_VALUE"""),"They're technically within the 10% increase allowance to not be considered gouging, but compared to similar home rental prices from earlier this week, they were already listed higher than most would find reasonable. ")</f>
        <v xml:space="preserve">They're technically within the 10% increase allowance to not be considered gouging, but compared to similar home rental prices from earlier this week, they were already listed higher than most would find reasonable. </v>
      </c>
      <c r="N1245" s="5" t="str">
        <f ca="1">IFERROR(__xludf.DUMMYFUNCTION("""COMPUTED_VALUE"""),"https://drive.google.com/open?id=1feold7PgY-kUktQZpIDbUpjc1Y_3b4p7, https://drive.google.com/open?id=1DV4s6cte5YhaTeTrHfBtsdwxyLeDbHIJ")</f>
        <v>https://drive.google.com/open?id=1feold7PgY-kUktQZpIDbUpjc1Y_3b4p7, https://drive.google.com/open?id=1DV4s6cte5YhaTeTrHfBtsdwxyLeDbHIJ</v>
      </c>
      <c r="O1245" s="5">
        <f ca="1">IFERROR(__xludf.DUMMYFUNCTION("""COMPUTED_VALUE"""),5768011011)</f>
        <v>5768011011</v>
      </c>
      <c r="P1245" s="5" t="str">
        <f ca="1">IFERROR(__xludf.DUMMYFUNCTION("""COMPUTED_VALUE"""),"(747) 477-6757")</f>
        <v>(747) 477-6757</v>
      </c>
      <c r="Q1245" s="5"/>
      <c r="R1245" s="5"/>
      <c r="S1245" s="5"/>
      <c r="T1245" s="18">
        <f ca="1">IFERROR(__xludf.DUMMYFUNCTION("""COMPUTED_VALUE"""),45669)</f>
        <v>45669</v>
      </c>
    </row>
    <row r="1246" spans="1:20" ht="12.75">
      <c r="A1246" s="24">
        <f ca="1">IFERROR(__xludf.DUMMYFUNCTION("""COMPUTED_VALUE"""),45673.5385040046)</f>
        <v>45673.538504004602</v>
      </c>
      <c r="B1246" s="5" t="str">
        <f ca="1">IFERROR(__xludf.DUMMYFUNCTION("""COMPUTED_VALUE"""),"8660 Edwin Dr")</f>
        <v>8660 Edwin Dr</v>
      </c>
      <c r="C1246" s="5" t="str">
        <f ca="1">IFERROR(__xludf.DUMMYFUNCTION("""COMPUTED_VALUE"""),"Los Angeles")</f>
        <v>Los Angeles</v>
      </c>
      <c r="D1246" s="5" t="str">
        <f ca="1">IFERROR(__xludf.DUMMYFUNCTION("""COMPUTED_VALUE"""),"CA")</f>
        <v>CA</v>
      </c>
      <c r="E1246" s="5">
        <f ca="1">IFERROR(__xludf.DUMMYFUNCTION("""COMPUTED_VALUE"""),90046)</f>
        <v>90046</v>
      </c>
      <c r="F1246" s="19">
        <f ca="1">IFERROR(__xludf.DUMMYFUNCTION("""COMPUTED_VALUE"""),7500)</f>
        <v>7500</v>
      </c>
      <c r="G1246" s="19">
        <f ca="1">IFERROR(__xludf.DUMMYFUNCTION("""COMPUTED_VALUE"""),11000)</f>
        <v>11000</v>
      </c>
      <c r="H1246" s="18">
        <f ca="1">IFERROR(__xludf.DUMMYFUNCTION("""COMPUTED_VALUE"""),45670)</f>
        <v>45670</v>
      </c>
      <c r="I1246" s="5" t="str">
        <f ca="1">IFERROR(__xludf.DUMMYFUNCTION("""COMPUTED_VALUE"""),"Zillow")</f>
        <v>Zillow</v>
      </c>
      <c r="J1246" s="25" t="str">
        <f ca="1">IFERROR(__xludf.DUMMYFUNCTION("""COMPUTED_VALUE"""),"https://www.zillow.com/homedetails/8660-Edwin-Dr-Los-Angeles-CA-90046/20800482_zpid/")</f>
        <v>https://www.zillow.com/homedetails/8660-Edwin-Dr-Los-Angeles-CA-90046/20800482_zpid/</v>
      </c>
      <c r="K1246" s="5" t="str">
        <f ca="1">IFERROR(__xludf.DUMMYFUNCTION("""COMPUTED_VALUE"""),"Rory Barish")</f>
        <v>Rory Barish</v>
      </c>
      <c r="L1246" s="5"/>
      <c r="M1246" s="5"/>
      <c r="N1246" s="26" t="str">
        <f ca="1">IFERROR(__xludf.DUMMYFUNCTION("""COMPUTED_VALUE"""),"https://drive.google.com/open?id=1yGA-2paV3GpPe0xT2xiWI2PzrNk1zZY4")</f>
        <v>https://drive.google.com/open?id=1yGA-2paV3GpPe0xT2xiWI2PzrNk1zZY4</v>
      </c>
      <c r="O1246" s="5">
        <f ca="1">IFERROR(__xludf.DUMMYFUNCTION("""COMPUTED_VALUE"""),5564008044)</f>
        <v>5564008044</v>
      </c>
      <c r="P1246" s="5">
        <f ca="1">IFERROR(__xludf.DUMMYFUNCTION("""COMPUTED_VALUE"""),3105028797)</f>
        <v>3105028797</v>
      </c>
      <c r="Q1246" s="5" t="str">
        <f ca="1">IFERROR(__xludf.DUMMYFUNCTION("""COMPUTED_VALUE"""),"Rory@Lane4RealEstate.com")</f>
        <v>Rory@Lane4RealEstate.com</v>
      </c>
      <c r="R1246" s="5"/>
      <c r="S1246" s="5"/>
      <c r="T1246" s="18">
        <f ca="1">IFERROR(__xludf.DUMMYFUNCTION("""COMPUTED_VALUE"""),43366)</f>
        <v>43366</v>
      </c>
    </row>
    <row r="1247" spans="1:20" ht="12.75">
      <c r="A1247" s="24">
        <f ca="1">IFERROR(__xludf.DUMMYFUNCTION("""COMPUTED_VALUE"""),45673.5478760532)</f>
        <v>45673.547876053199</v>
      </c>
      <c r="B1247" s="5" t="str">
        <f ca="1">IFERROR(__xludf.DUMMYFUNCTION("""COMPUTED_VALUE"""),"921 Georgina Ave")</f>
        <v>921 Georgina Ave</v>
      </c>
      <c r="C1247" s="5" t="str">
        <f ca="1">IFERROR(__xludf.DUMMYFUNCTION("""COMPUTED_VALUE"""),"Santa Monica")</f>
        <v>Santa Monica</v>
      </c>
      <c r="D1247" s="5" t="str">
        <f ca="1">IFERROR(__xludf.DUMMYFUNCTION("""COMPUTED_VALUE"""),"CA")</f>
        <v>CA</v>
      </c>
      <c r="E1247" s="5">
        <f ca="1">IFERROR(__xludf.DUMMYFUNCTION("""COMPUTED_VALUE"""),90402)</f>
        <v>90402</v>
      </c>
      <c r="F1247" s="19">
        <f ca="1">IFERROR(__xludf.DUMMYFUNCTION("""COMPUTED_VALUE"""),20000)</f>
        <v>20000</v>
      </c>
      <c r="G1247" s="19">
        <f ca="1">IFERROR(__xludf.DUMMYFUNCTION("""COMPUTED_VALUE"""),30000)</f>
        <v>30000</v>
      </c>
      <c r="H1247" s="18">
        <f ca="1">IFERROR(__xludf.DUMMYFUNCTION("""COMPUTED_VALUE"""),45673)</f>
        <v>45673</v>
      </c>
      <c r="I1247" s="5" t="str">
        <f ca="1">IFERROR(__xludf.DUMMYFUNCTION("""COMPUTED_VALUE"""),"Zillow")</f>
        <v>Zillow</v>
      </c>
      <c r="J1247" s="25" t="str">
        <f ca="1">IFERROR(__xludf.DUMMYFUNCTION("""COMPUTED_VALUE"""),"https://www.zillow.com/homedetails/921-Georgina-Ave-Santa-Monica-CA-90402/20477436_zpid/")</f>
        <v>https://www.zillow.com/homedetails/921-Georgina-Ave-Santa-Monica-CA-90402/20477436_zpid/</v>
      </c>
      <c r="K1247" s="5" t="str">
        <f ca="1">IFERROR(__xludf.DUMMYFUNCTION("""COMPUTED_VALUE"""),"Farnaaz Tar")</f>
        <v>Farnaaz Tar</v>
      </c>
      <c r="L1247" s="5"/>
      <c r="M1247" s="5" t="str">
        <f ca="1">IFERROR(__xludf.DUMMYFUNCTION("""COMPUTED_VALUE"""),"Price history remained the same from Sep 2023 - Aug 2024 at $20,000/month. Suddenly on 1/16/25, there was a 50% increase price, now listed at $30,000")</f>
        <v>Price history remained the same from Sep 2023 - Aug 2024 at $20,000/month. Suddenly on 1/16/25, there was a 50% increase price, now listed at $30,000</v>
      </c>
      <c r="N1247" s="26" t="str">
        <f ca="1">IFERROR(__xludf.DUMMYFUNCTION("""COMPUTED_VALUE"""),"https://drive.google.com/open?id=1HghB2n4gRNFJs2eSwiURfSggeFvKicMp")</f>
        <v>https://drive.google.com/open?id=1HghB2n4gRNFJs2eSwiURfSggeFvKicMp</v>
      </c>
      <c r="O1247" s="5">
        <f ca="1">IFERROR(__xludf.DUMMYFUNCTION("""COMPUTED_VALUE"""),4280006033)</f>
        <v>4280006033</v>
      </c>
      <c r="P1247" s="5" t="str">
        <f ca="1">IFERROR(__xludf.DUMMYFUNCTION("""COMPUTED_VALUE"""),"(310) 940-2581")</f>
        <v>(310) 940-2581</v>
      </c>
      <c r="Q1247" s="5"/>
      <c r="R1247" s="5"/>
      <c r="S1247" s="5"/>
      <c r="T1247" s="18">
        <f ca="1">IFERROR(__xludf.DUMMYFUNCTION("""COMPUTED_VALUE"""),45531)</f>
        <v>45531</v>
      </c>
    </row>
    <row r="1248" spans="1:20" ht="12.75">
      <c r="A1248" s="24">
        <f ca="1">IFERROR(__xludf.DUMMYFUNCTION("""COMPUTED_VALUE"""),45673.5576422685)</f>
        <v>45673.557642268497</v>
      </c>
      <c r="B1248" s="5" t="str">
        <f ca="1">IFERROR(__xludf.DUMMYFUNCTION("""COMPUTED_VALUE"""),"7400 Hollywood Blvd APT 717")</f>
        <v>7400 Hollywood Blvd APT 717</v>
      </c>
      <c r="C1248" s="5" t="str">
        <f ca="1">IFERROR(__xludf.DUMMYFUNCTION("""COMPUTED_VALUE"""),"Los Angeles")</f>
        <v>Los Angeles</v>
      </c>
      <c r="D1248" s="5" t="str">
        <f ca="1">IFERROR(__xludf.DUMMYFUNCTION("""COMPUTED_VALUE"""),"CA")</f>
        <v>CA</v>
      </c>
      <c r="E1248" s="5">
        <f ca="1">IFERROR(__xludf.DUMMYFUNCTION("""COMPUTED_VALUE"""),90046)</f>
        <v>90046</v>
      </c>
      <c r="F1248" s="19">
        <f ca="1">IFERROR(__xludf.DUMMYFUNCTION("""COMPUTED_VALUE"""),2835)</f>
        <v>2835</v>
      </c>
      <c r="G1248" s="19">
        <f ca="1">IFERROR(__xludf.DUMMYFUNCTION("""COMPUTED_VALUE"""),3250)</f>
        <v>3250</v>
      </c>
      <c r="H1248" s="18">
        <f ca="1">IFERROR(__xludf.DUMMYFUNCTION("""COMPUTED_VALUE"""),45664)</f>
        <v>45664</v>
      </c>
      <c r="I1248" s="5" t="str">
        <f ca="1">IFERROR(__xludf.DUMMYFUNCTION("""COMPUTED_VALUE"""),"Zillow")</f>
        <v>Zillow</v>
      </c>
      <c r="J1248" s="25" t="str">
        <f ca="1">IFERROR(__xludf.DUMMYFUNCTION("""COMPUTED_VALUE"""),"https://www.zillow.com/homedetails/7400-Hollywood-Blvd-APT-717-Los-Angeles-CA-90046/2082573438_zpid/")</f>
        <v>https://www.zillow.com/homedetails/7400-Hollywood-Blvd-APT-717-Los-Angeles-CA-90046/2082573438_zpid/</v>
      </c>
      <c r="K1248" s="5" t="str">
        <f ca="1">IFERROR(__xludf.DUMMYFUNCTION("""COMPUTED_VALUE"""),"RCMI-Realty Center Management, Inc.")</f>
        <v>RCMI-Realty Center Management, Inc.</v>
      </c>
      <c r="L1248" s="5"/>
      <c r="M1248" s="5" t="str">
        <f ca="1">IFERROR(__xludf.DUMMYFUNCTION("""COMPUTED_VALUE"""),"They have the same listing on their website (https://www.hollywoodplaceapts.com) with a different contact phone number (323) 443-7046")</f>
        <v>They have the same listing on their website (https://www.hollywoodplaceapts.com) with a different contact phone number (323) 443-7046</v>
      </c>
      <c r="N1248" s="5" t="str">
        <f ca="1">IFERROR(__xludf.DUMMYFUNCTION("""COMPUTED_VALUE"""),"https://drive.google.com/open?id=1Ix82L1nR0wutNEHVnbgaiyRMIMUpUHnz, https://drive.google.com/open?id=1NmovtrYig-sNXMWfxF8q7BQ_dUNUFd_L, https://drive.google.com/open?id=1GrCUEP1NZflhdYft5IygTHVM_pfjK3cD")</f>
        <v>https://drive.google.com/open?id=1Ix82L1nR0wutNEHVnbgaiyRMIMUpUHnz, https://drive.google.com/open?id=1NmovtrYig-sNXMWfxF8q7BQ_dUNUFd_L, https://drive.google.com/open?id=1GrCUEP1NZflhdYft5IygTHVM_pfjK3cD</v>
      </c>
      <c r="O1248" s="5" t="str">
        <f ca="1">IFERROR(__xludf.DUMMYFUNCTION("""COMPUTED_VALUE"""),"NA")</f>
        <v>NA</v>
      </c>
      <c r="P1248" s="5" t="str">
        <f ca="1">IFERROR(__xludf.DUMMYFUNCTION("""COMPUTED_VALUE"""),"(323) 784-1318")</f>
        <v>(323) 784-1318</v>
      </c>
      <c r="Q1248" s="5"/>
      <c r="R1248" s="5"/>
      <c r="S1248" s="5"/>
      <c r="T1248" s="18">
        <f ca="1">IFERROR(__xludf.DUMMYFUNCTION("""COMPUTED_VALUE"""),43842)</f>
        <v>43842</v>
      </c>
    </row>
    <row r="1249" spans="1:20" ht="12.75">
      <c r="A1249" s="24">
        <f ca="1">IFERROR(__xludf.DUMMYFUNCTION("""COMPUTED_VALUE"""),45673.5601369444)</f>
        <v>45673.560136944398</v>
      </c>
      <c r="B1249" s="5" t="str">
        <f ca="1">IFERROR(__xludf.DUMMYFUNCTION("""COMPUTED_VALUE"""),"5903 Tellefson Rd")</f>
        <v>5903 Tellefson Rd</v>
      </c>
      <c r="C1249" s="5" t="str">
        <f ca="1">IFERROR(__xludf.DUMMYFUNCTION("""COMPUTED_VALUE"""),"Culver City")</f>
        <v>Culver City</v>
      </c>
      <c r="D1249" s="5" t="str">
        <f ca="1">IFERROR(__xludf.DUMMYFUNCTION("""COMPUTED_VALUE"""),"CA")</f>
        <v>CA</v>
      </c>
      <c r="E1249" s="5">
        <f ca="1">IFERROR(__xludf.DUMMYFUNCTION("""COMPUTED_VALUE"""),90230)</f>
        <v>90230</v>
      </c>
      <c r="F1249" s="19">
        <f ca="1">IFERROR(__xludf.DUMMYFUNCTION("""COMPUTED_VALUE"""),12500)</f>
        <v>12500</v>
      </c>
      <c r="G1249" s="19">
        <f ca="1">IFERROR(__xludf.DUMMYFUNCTION("""COMPUTED_VALUE"""),15000)</f>
        <v>15000</v>
      </c>
      <c r="H1249" s="18">
        <f ca="1">IFERROR(__xludf.DUMMYFUNCTION("""COMPUTED_VALUE"""),45673)</f>
        <v>45673</v>
      </c>
      <c r="I1249" s="5" t="str">
        <f ca="1">IFERROR(__xludf.DUMMYFUNCTION("""COMPUTED_VALUE"""),"Zillow")</f>
        <v>Zillow</v>
      </c>
      <c r="J1249" s="25" t="str">
        <f ca="1">IFERROR(__xludf.DUMMYFUNCTION("""COMPUTED_VALUE"""),"https://www.zillow.com/homedetails/5903-Tellefson-Rd-Culver-City-CA-90230/20430281_zpid/")</f>
        <v>https://www.zillow.com/homedetails/5903-Tellefson-Rd-Culver-City-CA-90230/20430281_zpid/</v>
      </c>
      <c r="K1249" s="5"/>
      <c r="L1249" s="5" t="str">
        <f ca="1">IFERROR(__xludf.DUMMYFUNCTION("""COMPUTED_VALUE"""),"Laura Vandeweghe")</f>
        <v>Laura Vandeweghe</v>
      </c>
      <c r="M1249" s="5"/>
      <c r="N1249" s="26" t="str">
        <f ca="1">IFERROR(__xludf.DUMMYFUNCTION("""COMPUTED_VALUE"""),"https://drive.google.com/open?id=1lYjc3Uo1xzRPiF45aC9YHNclpvTiVGrQ")</f>
        <v>https://drive.google.com/open?id=1lYjc3Uo1xzRPiF45aC9YHNclpvTiVGrQ</v>
      </c>
      <c r="O1249" s="5">
        <f ca="1">IFERROR(__xludf.DUMMYFUNCTION("""COMPUTED_VALUE"""),4203017072)</f>
        <v>4203017072</v>
      </c>
      <c r="P1249" s="5"/>
      <c r="Q1249" s="5"/>
      <c r="R1249" s="5" t="str">
        <f ca="1">IFERROR(__xludf.DUMMYFUNCTION("""COMPUTED_VALUE"""),"(213) 463-8145")</f>
        <v>(213) 463-8145</v>
      </c>
      <c r="S1249" s="5"/>
      <c r="T1249" s="18">
        <f ca="1">IFERROR(__xludf.DUMMYFUNCTION("""COMPUTED_VALUE"""),45399)</f>
        <v>45399</v>
      </c>
    </row>
    <row r="1250" spans="1:20" ht="12.75">
      <c r="A1250" s="24">
        <f ca="1">IFERROR(__xludf.DUMMYFUNCTION("""COMPUTED_VALUE"""),45673.5727903125)</f>
        <v>45673.572790312501</v>
      </c>
      <c r="B1250" s="5" t="str">
        <f ca="1">IFERROR(__xludf.DUMMYFUNCTION("""COMPUTED_VALUE"""),"10740 Moorpark St APT 205")</f>
        <v>10740 Moorpark St APT 205</v>
      </c>
      <c r="C1250" s="5" t="str">
        <f ca="1">IFERROR(__xludf.DUMMYFUNCTION("""COMPUTED_VALUE"""),"North Hollywood")</f>
        <v>North Hollywood</v>
      </c>
      <c r="D1250" s="5" t="str">
        <f ca="1">IFERROR(__xludf.DUMMYFUNCTION("""COMPUTED_VALUE"""),"CA")</f>
        <v>CA</v>
      </c>
      <c r="E1250" s="5">
        <f ca="1">IFERROR(__xludf.DUMMYFUNCTION("""COMPUTED_VALUE"""),91602)</f>
        <v>91602</v>
      </c>
      <c r="F1250" s="19">
        <f ca="1">IFERROR(__xludf.DUMMYFUNCTION("""COMPUTED_VALUE"""),3495)</f>
        <v>3495</v>
      </c>
      <c r="G1250" s="19">
        <f ca="1">IFERROR(__xludf.DUMMYFUNCTION("""COMPUTED_VALUE"""),4950)</f>
        <v>4950</v>
      </c>
      <c r="H1250" s="18">
        <f ca="1">IFERROR(__xludf.DUMMYFUNCTION("""COMPUTED_VALUE"""),45673)</f>
        <v>45673</v>
      </c>
      <c r="I1250" s="5" t="str">
        <f ca="1">IFERROR(__xludf.DUMMYFUNCTION("""COMPUTED_VALUE"""),"Zillow")</f>
        <v>Zillow</v>
      </c>
      <c r="J1250" s="25" t="str">
        <f ca="1">IFERROR(__xludf.DUMMYFUNCTION("""COMPUTED_VALUE"""),"https://www.zillow.com/homedetails/10740-Moorpark-St-APT-205-North-Hollywood-CA-91602/68991353_zpid/?rtoken=00cbf238-4ba5-45ca-8065-422e12a01cb4~X1-ZUwzmpmyjxdatl_4n5nw&amp;utm_campaign=emo-propertyalertnew&amp;utm_source=email&amp;utm_term=urn:msg:2025011620411523e9"&amp;"a75ddc52494d&amp;utm_medium=email&amp;utm_content=forrentimage")</f>
        <v>https://www.zillow.com/homedetails/10740-Moorpark-St-APT-205-North-Hollywood-CA-91602/68991353_zpid/?rtoken=00cbf238-4ba5-45ca-8065-422e12a01cb4~X1-ZUwzmpmyjxdatl_4n5nw&amp;utm_campaign=emo-propertyalertnew&amp;utm_source=email&amp;utm_term=urn:msg:2025011620411523e9a75ddc52494d&amp;utm_medium=email&amp;utm_content=forrentimage</v>
      </c>
      <c r="K1250" s="5" t="str">
        <f ca="1">IFERROR(__xludf.DUMMYFUNCTION("""COMPUTED_VALUE"""),"Rob Stevens")</f>
        <v>Rob Stevens</v>
      </c>
      <c r="L1250" s="5"/>
      <c r="M1250" s="5"/>
      <c r="N1250" s="26" t="str">
        <f ca="1">IFERROR(__xludf.DUMMYFUNCTION("""COMPUTED_VALUE"""),"https://drive.google.com/open?id=1slpkaUYvSoHB05-MA3dWQKT1FKHOKBah")</f>
        <v>https://drive.google.com/open?id=1slpkaUYvSoHB05-MA3dWQKT1FKHOKBah</v>
      </c>
      <c r="O1250" s="5">
        <f ca="1">IFERROR(__xludf.DUMMYFUNCTION("""COMPUTED_VALUE"""),2423016066)</f>
        <v>2423016066</v>
      </c>
      <c r="P1250" s="5" t="str">
        <f ca="1">IFERROR(__xludf.DUMMYFUNCTION("""COMPUTED_VALUE"""),"(818) 583-7016")</f>
        <v>(818) 583-7016</v>
      </c>
      <c r="Q1250" s="5"/>
      <c r="R1250" s="5"/>
      <c r="S1250" s="5"/>
      <c r="T1250" s="18">
        <f ca="1">IFERROR(__xludf.DUMMYFUNCTION("""COMPUTED_VALUE"""),-619231)</f>
        <v>-619231</v>
      </c>
    </row>
    <row r="1251" spans="1:20" ht="12.75">
      <c r="A1251" s="24">
        <f ca="1">IFERROR(__xludf.DUMMYFUNCTION("""COMPUTED_VALUE"""),45673.5782414699)</f>
        <v>45673.578241469899</v>
      </c>
      <c r="B1251" s="5" t="str">
        <f ca="1">IFERROR(__xludf.DUMMYFUNCTION("""COMPUTED_VALUE"""),"4653 1/2 Lincoln Ave")</f>
        <v>4653 1/2 Lincoln Ave</v>
      </c>
      <c r="C1251" s="5" t="str">
        <f ca="1">IFERROR(__xludf.DUMMYFUNCTION("""COMPUTED_VALUE"""),"Los Angeles")</f>
        <v>Los Angeles</v>
      </c>
      <c r="D1251" s="5" t="str">
        <f ca="1">IFERROR(__xludf.DUMMYFUNCTION("""COMPUTED_VALUE"""),"CA")</f>
        <v>CA</v>
      </c>
      <c r="E1251" s="5">
        <f ca="1">IFERROR(__xludf.DUMMYFUNCTION("""COMPUTED_VALUE"""),90041)</f>
        <v>90041</v>
      </c>
      <c r="F1251" s="19">
        <f ca="1">IFERROR(__xludf.DUMMYFUNCTION("""COMPUTED_VALUE"""),3600)</f>
        <v>3600</v>
      </c>
      <c r="G1251" s="19">
        <f ca="1">IFERROR(__xludf.DUMMYFUNCTION("""COMPUTED_VALUE"""),4500)</f>
        <v>4500</v>
      </c>
      <c r="H1251" s="18">
        <f ca="1">IFERROR(__xludf.DUMMYFUNCTION("""COMPUTED_VALUE"""),45672)</f>
        <v>45672</v>
      </c>
      <c r="I1251" s="5" t="str">
        <f ca="1">IFERROR(__xludf.DUMMYFUNCTION("""COMPUTED_VALUE"""),"Zillow")</f>
        <v>Zillow</v>
      </c>
      <c r="J1251" s="25" t="str">
        <f ca="1">IFERROR(__xludf.DUMMYFUNCTION("""COMPUTED_VALUE"""),"https://www.zillow.com/homedetails/4653-12-Lincoln-Ave-Los-Angeles-CA-90041/2067550115_zpid/?utm_campaign=iosappmessage&amp;utm_medium=referral&amp;utm_source=txtshare")</f>
        <v>https://www.zillow.com/homedetails/4653-12-Lincoln-Ave-Los-Angeles-CA-90041/2067550115_zpid/?utm_campaign=iosappmessage&amp;utm_medium=referral&amp;utm_source=txtshare</v>
      </c>
      <c r="K1251" s="5" t="str">
        <f ca="1">IFERROR(__xludf.DUMMYFUNCTION("""COMPUTED_VALUE"""),"Matthew Manner")</f>
        <v>Matthew Manner</v>
      </c>
      <c r="L1251" s="5"/>
      <c r="M1251" s="5"/>
      <c r="N1251" s="5" t="str">
        <f ca="1">IFERROR(__xludf.DUMMYFUNCTION("""COMPUTED_VALUE"""),"https://drive.google.com/open?id=19uICBSTGHuQ8AUHw36Fx0h70Hq3IGEwu, https://drive.google.com/open?id=1ocyYcwifDn0Bct-tjeeQjdqo7Hze-dNb, https://drive.google.com/open?id=11gdFaWuxaLI7VySlHBxl5tkUjzlV-VzN")</f>
        <v>https://drive.google.com/open?id=19uICBSTGHuQ8AUHw36Fx0h70Hq3IGEwu, https://drive.google.com/open?id=1ocyYcwifDn0Bct-tjeeQjdqo7Hze-dNb, https://drive.google.com/open?id=11gdFaWuxaLI7VySlHBxl5tkUjzlV-VzN</v>
      </c>
      <c r="O1251" s="5" t="str">
        <f ca="1">IFERROR(__xludf.DUMMYFUNCTION("""COMPUTED_VALUE"""),"NA")</f>
        <v>NA</v>
      </c>
      <c r="P1251" s="5" t="str">
        <f ca="1">IFERROR(__xludf.DUMMYFUNCTION("""COMPUTED_VALUE"""),"(213) 321-7506")</f>
        <v>(213) 321-7506</v>
      </c>
      <c r="Q1251" s="5"/>
      <c r="R1251" s="5"/>
      <c r="S1251" s="5"/>
      <c r="T1251" s="18">
        <f ca="1">IFERROR(__xludf.DUMMYFUNCTION("""COMPUTED_VALUE"""),45636)</f>
        <v>45636</v>
      </c>
    </row>
    <row r="1252" spans="1:20" ht="12.75">
      <c r="A1252" s="24">
        <f ca="1">IFERROR(__xludf.DUMMYFUNCTION("""COMPUTED_VALUE"""),45673.5827404166)</f>
        <v>45673.582740416598</v>
      </c>
      <c r="B1252" s="5" t="str">
        <f ca="1">IFERROR(__xludf.DUMMYFUNCTION("""COMPUTED_VALUE"""),"2567 South Sepulveda Boulevard")</f>
        <v>2567 South Sepulveda Boulevard</v>
      </c>
      <c r="C1252" s="5" t="str">
        <f ca="1">IFERROR(__xludf.DUMMYFUNCTION("""COMPUTED_VALUE"""),"Los Angeles")</f>
        <v>Los Angeles</v>
      </c>
      <c r="D1252" s="5" t="str">
        <f ca="1">IFERROR(__xludf.DUMMYFUNCTION("""COMPUTED_VALUE"""),"CA")</f>
        <v>CA</v>
      </c>
      <c r="E1252" s="5">
        <f ca="1">IFERROR(__xludf.DUMMYFUNCTION("""COMPUTED_VALUE"""),90064)</f>
        <v>90064</v>
      </c>
      <c r="F1252" s="19">
        <f ca="1">IFERROR(__xludf.DUMMYFUNCTION("""COMPUTED_VALUE"""),2495)</f>
        <v>2495</v>
      </c>
      <c r="G1252" s="19">
        <f ca="1">IFERROR(__xludf.DUMMYFUNCTION("""COMPUTED_VALUE"""),2750)</f>
        <v>2750</v>
      </c>
      <c r="H1252" s="18">
        <f ca="1">IFERROR(__xludf.DUMMYFUNCTION("""COMPUTED_VALUE"""),45669)</f>
        <v>45669</v>
      </c>
      <c r="I1252" s="5" t="str">
        <f ca="1">IFERROR(__xludf.DUMMYFUNCTION("""COMPUTED_VALUE"""),"Zillow")</f>
        <v>Zillow</v>
      </c>
      <c r="J1252" s="25" t="str">
        <f ca="1">IFERROR(__xludf.DUMMYFUNCTION("""COMPUTED_VALUE"""),"https://www.zillow.com/homedetails/2567-S-Sepulveda-Blvd-Los-Angeles-CA-90064/20462191_zpid/?utm_campaign=iosappmessage&amp;utm_medium=referral&amp;utm_source=txtshare")</f>
        <v>https://www.zillow.com/homedetails/2567-S-Sepulveda-Blvd-Los-Angeles-CA-90064/20462191_zpid/?utm_campaign=iosappmessage&amp;utm_medium=referral&amp;utm_source=txtshare</v>
      </c>
      <c r="K1252" s="5" t="str">
        <f ca="1">IFERROR(__xludf.DUMMYFUNCTION("""COMPUTED_VALUE"""),"Yonathan Tefera")</f>
        <v>Yonathan Tefera</v>
      </c>
      <c r="L1252" s="5" t="str">
        <f ca="1">IFERROR(__xludf.DUMMYFUNCTION("""COMPUTED_VALUE"""),"Yonathan Tefera (listed on Zillow)")</f>
        <v>Yonathan Tefera (listed on Zillow)</v>
      </c>
      <c r="M1252" s="5" t="str">
        <f ca="1">IFERROR(__xludf.DUMMYFUNCTION("""COMPUTED_VALUE"""),"On Tuesday (01/07/2025), I was looking for apartments and saved this listing on Zillow. I decided to schedule a tour on Wednesday (01/08/2025), because it was newly renovated, had a washer and dryer in-unit, and the price was within my budget, $2,495. On "&amp;"Sunday (01/12/25), I checked the listing, to prepare for the tour, and noticed the price increased. On Monday (01/13/24), I met with Yonathan Tefera to tour the apartment. I asked him why the price had increased and if is set or if the previous price coul"&amp;"d be upheld. He stated that it was because of the renovations and new appliances, and it is a great price for what is being offered. However, when I first looked at the apartment, the description mentioned the renovations. Maybe I don’t understand how pri"&amp;"cing works when renovations are being done, but as a renter, I was under the impression those renovations were already completed at the time it was priced at $2,495. I did not clarify whether there was anything done over the weekend but the pictures on Zi"&amp;"llow do not have anything different from what I saw when I toured. I have videos of the property, if needed.
The building is small, with a maximum of around 5-6 units. Yonathan shared that the previous resident lived in the unit I was touring for, I belie"&amp;"ve, 10+ years.")</f>
        <v>On Tuesday (01/07/2025), I was looking for apartments and saved this listing on Zillow. I decided to schedule a tour on Wednesday (01/08/2025), because it was newly renovated, had a washer and dryer in-unit, and the price was within my budget, $2,495. On Sunday (01/12/25), I checked the listing, to prepare for the tour, and noticed the price increased. On Monday (01/13/24), I met with Yonathan Tefera to tour the apartment. I asked him why the price had increased and if is set or if the previous price could be upheld. He stated that it was because of the renovations and new appliances, and it is a great price for what is being offered. However, when I first looked at the apartment, the description mentioned the renovations. Maybe I don’t understand how pricing works when renovations are being done, but as a renter, I was under the impression those renovations were already completed at the time it was priced at $2,495. I did not clarify whether there was anything done over the weekend but the pictures on Zillow do not have anything different from what I saw when I toured. I have videos of the property, if needed.
The building is small, with a maximum of around 5-6 units. Yonathan shared that the previous resident lived in the unit I was touring for, I believe, 10+ years.</v>
      </c>
      <c r="N1252" s="5" t="str">
        <f ca="1">IFERROR(__xludf.DUMMYFUNCTION("""COMPUTED_VALUE"""),"https://drive.google.com/open?id=14YH-lXhwUnxmto9ocQyenn7m9AvKAolE, https://drive.google.com/open?id=1bETU0JNrG4yyfYlk-gKQ4bJombi9ybq0, https://drive.google.com/open?id=1DTU9qv7bD4oX2Q0-Vq3_arbVpUnW073r, https://drive.google.com/open?id=1qbFo_m4Fo6jphBBpd"&amp;"ZQl8TfJdwQ14ql1")</f>
        <v>https://drive.google.com/open?id=14YH-lXhwUnxmto9ocQyenn7m9AvKAolE, https://drive.google.com/open?id=1bETU0JNrG4yyfYlk-gKQ4bJombi9ybq0, https://drive.google.com/open?id=1DTU9qv7bD4oX2Q0-Vq3_arbVpUnW073r, https://drive.google.com/open?id=1qbFo_m4Fo6jphBBpdZQl8TfJdwQ14ql1</v>
      </c>
      <c r="O1252" s="5">
        <f ca="1">IFERROR(__xludf.DUMMYFUNCTION("""COMPUTED_VALUE"""),4256012013)</f>
        <v>4256012013</v>
      </c>
      <c r="P1252" s="5" t="str">
        <f ca="1">IFERROR(__xludf.DUMMYFUNCTION("""COMPUTED_VALUE"""),"(323)445-4567")</f>
        <v>(323)445-4567</v>
      </c>
      <c r="Q1252" s="5" t="str">
        <f ca="1">IFERROR(__xludf.DUMMYFUNCTION("""COMPUTED_VALUE"""),"yonathan_tefera@yahoo.com")</f>
        <v>yonathan_tefera@yahoo.com</v>
      </c>
      <c r="R1252" s="5" t="str">
        <f ca="1">IFERROR(__xludf.DUMMYFUNCTION("""COMPUTED_VALUE"""),"(323)991-7729")</f>
        <v>(323)991-7729</v>
      </c>
      <c r="S1252" s="5"/>
      <c r="T1252" s="18">
        <f ca="1">IFERROR(__xludf.DUMMYFUNCTION("""COMPUTED_VALUE"""),45665)</f>
        <v>45665</v>
      </c>
    </row>
    <row r="1253" spans="1:20" ht="12.75">
      <c r="A1253" s="24">
        <f ca="1">IFERROR(__xludf.DUMMYFUNCTION("""COMPUTED_VALUE"""),45673.5933798842)</f>
        <v>45673.593379884202</v>
      </c>
      <c r="B1253" s="5" t="str">
        <f ca="1">IFERROR(__xludf.DUMMYFUNCTION("""COMPUTED_VALUE"""),"2490 Cheremoya Ave")</f>
        <v>2490 Cheremoya Ave</v>
      </c>
      <c r="C1253" s="5" t="str">
        <f ca="1">IFERROR(__xludf.DUMMYFUNCTION("""COMPUTED_VALUE"""),"Los Angeles")</f>
        <v>Los Angeles</v>
      </c>
      <c r="D1253" s="5" t="str">
        <f ca="1">IFERROR(__xludf.DUMMYFUNCTION("""COMPUTED_VALUE"""),"CA")</f>
        <v>CA</v>
      </c>
      <c r="E1253" s="5">
        <f ca="1">IFERROR(__xludf.DUMMYFUNCTION("""COMPUTED_VALUE"""),90068)</f>
        <v>90068</v>
      </c>
      <c r="F1253" s="19">
        <f ca="1">IFERROR(__xludf.DUMMYFUNCTION("""COMPUTED_VALUE"""),4695)</f>
        <v>4695</v>
      </c>
      <c r="G1253" s="19">
        <f ca="1">IFERROR(__xludf.DUMMYFUNCTION("""COMPUTED_VALUE"""),10000)</f>
        <v>10000</v>
      </c>
      <c r="H1253" s="18">
        <f ca="1">IFERROR(__xludf.DUMMYFUNCTION("""COMPUTED_VALUE"""),45673)</f>
        <v>45673</v>
      </c>
      <c r="I1253" s="5" t="str">
        <f ca="1">IFERROR(__xludf.DUMMYFUNCTION("""COMPUTED_VALUE"""),"Zillow")</f>
        <v>Zillow</v>
      </c>
      <c r="J1253" s="25" t="str">
        <f ca="1">IFERROR(__xludf.DUMMYFUNCTION("""COMPUTED_VALUE"""),"https://www.zillow.com/homedetails/2490-Cheremoya-Ave-Los-Angeles-CA-90068/20805787_zpid/")</f>
        <v>https://www.zillow.com/homedetails/2490-Cheremoya-Ave-Los-Angeles-CA-90068/20805787_zpid/</v>
      </c>
      <c r="K1253" s="5" t="str">
        <f ca="1">IFERROR(__xludf.DUMMYFUNCTION("""COMPUTED_VALUE"""),"Rick Llanos")</f>
        <v>Rick Llanos</v>
      </c>
      <c r="L1253" s="5"/>
      <c r="M1253" s="5"/>
      <c r="N1253" s="26" t="str">
        <f ca="1">IFERROR(__xludf.DUMMYFUNCTION("""COMPUTED_VALUE"""),"https://drive.google.com/open?id=1heGGIUFBw0w8Va2u1_AmqF1zXZLC3kgu")</f>
        <v>https://drive.google.com/open?id=1heGGIUFBw0w8Va2u1_AmqF1zXZLC3kgu</v>
      </c>
      <c r="O1253" s="5">
        <f ca="1">IFERROR(__xludf.DUMMYFUNCTION("""COMPUTED_VALUE"""),5580005017)</f>
        <v>5580005017</v>
      </c>
      <c r="P1253" s="5" t="str">
        <f ca="1">IFERROR(__xludf.DUMMYFUNCTION("""COMPUTED_VALUE"""),"(323) 810-0828")</f>
        <v>(323) 810-0828</v>
      </c>
      <c r="Q1253" s="5"/>
      <c r="R1253" s="5"/>
      <c r="S1253" s="5"/>
      <c r="T1253" s="18">
        <f ca="1">IFERROR(__xludf.DUMMYFUNCTION("""COMPUTED_VALUE"""),42676)</f>
        <v>42676</v>
      </c>
    </row>
    <row r="1254" spans="1:20" ht="12.75">
      <c r="A1254" s="24">
        <f ca="1">IFERROR(__xludf.DUMMYFUNCTION("""COMPUTED_VALUE"""),45673.6267029861)</f>
        <v>45673.626702986097</v>
      </c>
      <c r="B1254" s="5" t="str">
        <f ca="1">IFERROR(__xludf.DUMMYFUNCTION("""COMPUTED_VALUE"""),"759 S Beverly Glen Blvd, ")</f>
        <v xml:space="preserve">759 S Beverly Glen Blvd, </v>
      </c>
      <c r="C1254" s="5" t="str">
        <f ca="1">IFERROR(__xludf.DUMMYFUNCTION("""COMPUTED_VALUE"""),"Los angeles")</f>
        <v>Los angeles</v>
      </c>
      <c r="D1254" s="5" t="str">
        <f ca="1">IFERROR(__xludf.DUMMYFUNCTION("""COMPUTED_VALUE"""),"CA")</f>
        <v>CA</v>
      </c>
      <c r="E1254" s="5">
        <f ca="1">IFERROR(__xludf.DUMMYFUNCTION("""COMPUTED_VALUE"""),90024)</f>
        <v>90024</v>
      </c>
      <c r="F1254" s="19">
        <f ca="1">IFERROR(__xludf.DUMMYFUNCTION("""COMPUTED_VALUE"""),16995)</f>
        <v>16995</v>
      </c>
      <c r="G1254" s="19">
        <f ca="1">IFERROR(__xludf.DUMMYFUNCTION("""COMPUTED_VALUE"""),25000)</f>
        <v>25000</v>
      </c>
      <c r="H1254" s="18">
        <f ca="1">IFERROR(__xludf.DUMMYFUNCTION("""COMPUTED_VALUE"""),45667)</f>
        <v>45667</v>
      </c>
      <c r="I1254" s="5" t="str">
        <f ca="1">IFERROR(__xludf.DUMMYFUNCTION("""COMPUTED_VALUE"""),"Zillow")</f>
        <v>Zillow</v>
      </c>
      <c r="J1254" s="25" t="str">
        <f ca="1">IFERROR(__xludf.DUMMYFUNCTION("""COMPUTED_VALUE"""),"https://www.zillow.com/homedetails/759-S-Beverly-Glen-Blvd-Los-Angeles-CA-90024/20526213_zpid/")</f>
        <v>https://www.zillow.com/homedetails/759-S-Beverly-Glen-Blvd-Los-Angeles-CA-90024/20526213_zpid/</v>
      </c>
      <c r="K1254" s="5" t="str">
        <f ca="1">IFERROR(__xludf.DUMMYFUNCTION("""COMPUTED_VALUE""")," Chad Lund")</f>
        <v xml:space="preserve"> Chad Lund</v>
      </c>
      <c r="L1254" s="5"/>
      <c r="M1254" s="5"/>
      <c r="N1254" s="5" t="str">
        <f ca="1">IFERROR(__xludf.DUMMYFUNCTION("""COMPUTED_VALUE"""),"https://drive.google.com/open?id=14_RV1CfYpjbTltO6kzMytD7BOrtMLrPr, https://drive.google.com/open?id=1gk7LyvFAHHm2nf8WMwYAkFPhCUcIzi-x, https://drive.google.com/open?id=1bqk-GROXB8beswiiKAROFAvMu_sEQhD1")</f>
        <v>https://drive.google.com/open?id=14_RV1CfYpjbTltO6kzMytD7BOrtMLrPr, https://drive.google.com/open?id=1gk7LyvFAHHm2nf8WMwYAkFPhCUcIzi-x, https://drive.google.com/open?id=1bqk-GROXB8beswiiKAROFAvMu_sEQhD1</v>
      </c>
      <c r="O1254" s="5">
        <f ca="1">IFERROR(__xludf.DUMMYFUNCTION("""COMPUTED_VALUE"""),4360026027)</f>
        <v>4360026027</v>
      </c>
      <c r="P1254" s="5">
        <f ca="1">IFERROR(__xludf.DUMMYFUNCTION("""COMPUTED_VALUE"""),3108012641)</f>
        <v>3108012641</v>
      </c>
      <c r="Q1254" s="5" t="str">
        <f ca="1">IFERROR(__xludf.DUMMYFUNCTION("""COMPUTED_VALUE"""),"mariah.garnett@gmail.com")</f>
        <v>mariah.garnett@gmail.com</v>
      </c>
      <c r="R1254" s="5"/>
      <c r="S1254" s="5"/>
      <c r="T1254" s="18">
        <f ca="1">IFERROR(__xludf.DUMMYFUNCTION("""COMPUTED_VALUE"""),44850)</f>
        <v>44850</v>
      </c>
    </row>
    <row r="1255" spans="1:20" ht="12.75">
      <c r="A1255" s="24">
        <f ca="1">IFERROR(__xludf.DUMMYFUNCTION("""COMPUTED_VALUE"""),45673.6402583796)</f>
        <v>45673.640258379601</v>
      </c>
      <c r="B1255" s="5" t="str">
        <f ca="1">IFERROR(__xludf.DUMMYFUNCTION("""COMPUTED_VALUE"""),"14808 Huston St, Sherman Oaks")</f>
        <v>14808 Huston St, Sherman Oaks</v>
      </c>
      <c r="C1255" s="5" t="str">
        <f ca="1">IFERROR(__xludf.DUMMYFUNCTION("""COMPUTED_VALUE"""),"CA")</f>
        <v>CA</v>
      </c>
      <c r="D1255" s="5" t="str">
        <f ca="1">IFERROR(__xludf.DUMMYFUNCTION("""COMPUTED_VALUE"""),"CA")</f>
        <v>CA</v>
      </c>
      <c r="E1255" s="5">
        <f ca="1">IFERROR(__xludf.DUMMYFUNCTION("""COMPUTED_VALUE"""),91403)</f>
        <v>91403</v>
      </c>
      <c r="F1255" s="19">
        <f ca="1">IFERROR(__xludf.DUMMYFUNCTION("""COMPUTED_VALUE"""),6488)</f>
        <v>6488</v>
      </c>
      <c r="G1255" s="19">
        <f ca="1">IFERROR(__xludf.DUMMYFUNCTION("""COMPUTED_VALUE"""),9500)</f>
        <v>9500</v>
      </c>
      <c r="H1255" s="18">
        <f ca="1">IFERROR(__xludf.DUMMYFUNCTION("""COMPUTED_VALUE"""),45673)</f>
        <v>45673</v>
      </c>
      <c r="I1255" s="5" t="str">
        <f ca="1">IFERROR(__xludf.DUMMYFUNCTION("""COMPUTED_VALUE"""),"Zillow")</f>
        <v>Zillow</v>
      </c>
      <c r="J1255" s="25" t="str">
        <f ca="1">IFERROR(__xludf.DUMMYFUNCTION("""COMPUTED_VALUE"""),"https://www.zillow.com/homedetails/14808-Huston-St-Sherman-Oaks-CA-91403/19982244_zpid/")</f>
        <v>https://www.zillow.com/homedetails/14808-Huston-St-Sherman-Oaks-CA-91403/19982244_zpid/</v>
      </c>
      <c r="K1255" s="26" t="str">
        <f ca="1">IFERROR(__xludf.DUMMYFUNCTION("""COMPUTED_VALUE"""),"https://www.zillow.com/homedetails/14808-Huston-St-Sherman-Oaks-CA-91403/19982244_zpid/")</f>
        <v>https://www.zillow.com/homedetails/14808-Huston-St-Sherman-Oaks-CA-91403/19982244_zpid/</v>
      </c>
      <c r="L1255" s="5" t="str">
        <f ca="1">IFERROR(__xludf.DUMMYFUNCTION("""COMPUTED_VALUE"""),"Julia Dvir")</f>
        <v>Julia Dvir</v>
      </c>
      <c r="M1255" s="5"/>
      <c r="N1255" s="5" t="str">
        <f ca="1">IFERROR(__xludf.DUMMYFUNCTION("""COMPUTED_VALUE"""),"https://drive.google.com/open?id=1frpmocz4_ELP1rjxcZx7hDiKLkQkqqDy, https://drive.google.com/open?id=1nWRRz38HCnCrsTQkR3HgS1wENdDxf9bE")</f>
        <v>https://drive.google.com/open?id=1frpmocz4_ELP1rjxcZx7hDiKLkQkqqDy, https://drive.google.com/open?id=1nWRRz38HCnCrsTQkR3HgS1wENdDxf9bE</v>
      </c>
      <c r="O1255" s="5">
        <f ca="1">IFERROR(__xludf.DUMMYFUNCTION("""COMPUTED_VALUE"""),2263020007)</f>
        <v>2263020007</v>
      </c>
      <c r="P1255" s="5"/>
      <c r="Q1255" s="5"/>
      <c r="R1255" s="5" t="str">
        <f ca="1">IFERROR(__xludf.DUMMYFUNCTION("""COMPUTED_VALUE"""),"(818) 633-6000")</f>
        <v>(818) 633-6000</v>
      </c>
      <c r="S1255" s="5"/>
      <c r="T1255" s="18">
        <f ca="1">IFERROR(__xludf.DUMMYFUNCTION("""COMPUTED_VALUE"""),45547)</f>
        <v>45547</v>
      </c>
    </row>
    <row r="1256" spans="1:20" ht="12.75">
      <c r="A1256" s="24">
        <f ca="1">IFERROR(__xludf.DUMMYFUNCTION("""COMPUTED_VALUE"""),45673.6496594791)</f>
        <v>45673.649659479102</v>
      </c>
      <c r="B1256" s="5" t="str">
        <f ca="1">IFERROR(__xludf.DUMMYFUNCTION("""COMPUTED_VALUE"""),"454 E Washington Blvd")</f>
        <v>454 E Washington Blvd</v>
      </c>
      <c r="C1256" s="5" t="str">
        <f ca="1">IFERROR(__xludf.DUMMYFUNCTION("""COMPUTED_VALUE"""),"Pasadena")</f>
        <v>Pasadena</v>
      </c>
      <c r="D1256" s="5" t="str">
        <f ca="1">IFERROR(__xludf.DUMMYFUNCTION("""COMPUTED_VALUE"""),"CA")</f>
        <v>CA</v>
      </c>
      <c r="E1256" s="5">
        <f ca="1">IFERROR(__xludf.DUMMYFUNCTION("""COMPUTED_VALUE"""),91104)</f>
        <v>91104</v>
      </c>
      <c r="F1256" s="19">
        <f ca="1">IFERROR(__xludf.DUMMYFUNCTION("""COMPUTED_VALUE"""),3495)</f>
        <v>3495</v>
      </c>
      <c r="G1256" s="19">
        <f ca="1">IFERROR(__xludf.DUMMYFUNCTION("""COMPUTED_VALUE"""),4000)</f>
        <v>4000</v>
      </c>
      <c r="H1256" s="18">
        <f ca="1">IFERROR(__xludf.DUMMYFUNCTION("""COMPUTED_VALUE"""),45673)</f>
        <v>45673</v>
      </c>
      <c r="I1256" s="5" t="str">
        <f ca="1">IFERROR(__xludf.DUMMYFUNCTION("""COMPUTED_VALUE"""),"Zillow")</f>
        <v>Zillow</v>
      </c>
      <c r="J1256" s="25" t="str">
        <f ca="1">IFERROR(__xludf.DUMMYFUNCTION("""COMPUTED_VALUE"""),"https://www.zillow.com/homedetails/454-E-Washington-Blvd-Pasadena-CA-91104/20865663_zpid/")</f>
        <v>https://www.zillow.com/homedetails/454-E-Washington-Blvd-Pasadena-CA-91104/20865663_zpid/</v>
      </c>
      <c r="K1256" s="5" t="str">
        <f ca="1">IFERROR(__xludf.DUMMYFUNCTION("""COMPUTED_VALUE"""),"Mikey Kobeissi - Kobeissi Properties")</f>
        <v>Mikey Kobeissi - Kobeissi Properties</v>
      </c>
      <c r="L1256" s="5"/>
      <c r="M1256" s="5" t="str">
        <f ca="1">IFERROR(__xludf.DUMMYFUNCTION("""COMPUTED_VALUE"""),"I enquired about a viewing on 7th Jan when the cost was 3495 - they got back to me today for the first time to try and organise a viewing and the price has gone up to 4000. I've screenshot the rental history - i don't know if they've managed to edit it to"&amp;" look like the listing was removed in December and only reuploaded today as that's what the screenshot looks like to me - however this listing has 100% been live throughout January as i have an enquiry message i sent on 7th Jan. I'll attach the screenshot"&amp;" so you can see what i mean. They've definitely price gouged today.")</f>
        <v>I enquired about a viewing on 7th Jan when the cost was 3495 - they got back to me today for the first time to try and organise a viewing and the price has gone up to 4000. I've screenshot the rental history - i don't know if they've managed to edit it to look like the listing was removed in December and only reuploaded today as that's what the screenshot looks like to me - however this listing has 100% been live throughout January as i have an enquiry message i sent on 7th Jan. I'll attach the screenshot so you can see what i mean. They've definitely price gouged today.</v>
      </c>
      <c r="N1256" s="26" t="str">
        <f ca="1">IFERROR(__xludf.DUMMYFUNCTION("""COMPUTED_VALUE"""),"https://drive.google.com/open?id=1J7ugfR93WEJeP-ZVaCDTWM3hfF_2Mlvg")</f>
        <v>https://drive.google.com/open?id=1J7ugfR93WEJeP-ZVaCDTWM3hfF_2Mlvg</v>
      </c>
      <c r="O1256" s="5">
        <f ca="1">IFERROR(__xludf.DUMMYFUNCTION("""COMPUTED_VALUE"""),5730001014)</f>
        <v>5730001014</v>
      </c>
      <c r="P1256" s="5" t="str">
        <f ca="1">IFERROR(__xludf.DUMMYFUNCTION("""COMPUTED_VALUE"""),"(818) 939-7852")</f>
        <v>(818) 939-7852</v>
      </c>
      <c r="Q1256" s="5"/>
      <c r="R1256" s="5"/>
      <c r="S1256" s="5"/>
      <c r="T1256" s="18">
        <f ca="1">IFERROR(__xludf.DUMMYFUNCTION("""COMPUTED_VALUE"""),45672)</f>
        <v>45672</v>
      </c>
    </row>
    <row r="1257" spans="1:20" ht="12.75">
      <c r="A1257" s="24">
        <f ca="1">IFERROR(__xludf.DUMMYFUNCTION("""COMPUTED_VALUE"""),45673.6608774189)</f>
        <v>45673.660877418901</v>
      </c>
      <c r="B1257" s="5" t="str">
        <f ca="1">IFERROR(__xludf.DUMMYFUNCTION("""COMPUTED_VALUE"""),"432 N Oakhurst Dr #407")</f>
        <v>432 N Oakhurst Dr #407</v>
      </c>
      <c r="C1257" s="5" t="str">
        <f ca="1">IFERROR(__xludf.DUMMYFUNCTION("""COMPUTED_VALUE"""),"Beverly Hills ")</f>
        <v xml:space="preserve">Beverly Hills </v>
      </c>
      <c r="D1257" s="5" t="str">
        <f ca="1">IFERROR(__xludf.DUMMYFUNCTION("""COMPUTED_VALUE"""),"CA")</f>
        <v>CA</v>
      </c>
      <c r="E1257" s="5">
        <f ca="1">IFERROR(__xludf.DUMMYFUNCTION("""COMPUTED_VALUE"""),90210)</f>
        <v>90210</v>
      </c>
      <c r="F1257" s="19">
        <f ca="1">IFERROR(__xludf.DUMMYFUNCTION("""COMPUTED_VALUE"""),18800)</f>
        <v>18800</v>
      </c>
      <c r="G1257" s="19">
        <f ca="1">IFERROR(__xludf.DUMMYFUNCTION("""COMPUTED_VALUE"""),25000)</f>
        <v>25000</v>
      </c>
      <c r="H1257" s="18">
        <f ca="1">IFERROR(__xludf.DUMMYFUNCTION("""COMPUTED_VALUE"""),-684819)</f>
        <v>-684819</v>
      </c>
      <c r="I1257" s="5" t="str">
        <f ca="1">IFERROR(__xludf.DUMMYFUNCTION("""COMPUTED_VALUE"""),"Zillow")</f>
        <v>Zillow</v>
      </c>
      <c r="J1257" s="25" t="str">
        <f ca="1">IFERROR(__xludf.DUMMYFUNCTION("""COMPUTED_VALUE"""),"https://www.zillow.com/homedetails/432-N-Oakhurst-Dr-407-Beverly-Hills-CA-90210/119677448_zpid/?utm_campaign=iosappmessage&amp;utm_medium=referral&amp;utm_source=txtshare")</f>
        <v>https://www.zillow.com/homedetails/432-N-Oakhurst-Dr-407-Beverly-Hills-CA-90210/119677448_zpid/?utm_campaign=iosappmessage&amp;utm_medium=referral&amp;utm_source=txtshare</v>
      </c>
      <c r="K1257" s="5" t="str">
        <f ca="1">IFERROR(__xludf.DUMMYFUNCTION("""COMPUTED_VALUE"""),"Aouri Makhlouf")</f>
        <v>Aouri Makhlouf</v>
      </c>
      <c r="L1257" s="5"/>
      <c r="M1257" s="5" t="str">
        <f ca="1">IFERROR(__xludf.DUMMYFUNCTION("""COMPUTED_VALUE"""),"The below listing was priced at $18,000 on 11/4/24 and then between 1/9,(when the fires were in full swing) and today 1/16 the price has been flip flopping up to $25,000 a 26.3% increase since the LA fires. This is illegal and sickening and this agent and"&amp;" the condo should be reprimanded. ")</f>
        <v xml:space="preserve">The below listing was priced at $18,000 on 11/4/24 and then between 1/9,(when the fires were in full swing) and today 1/16 the price has been flip flopping up to $25,000 a 26.3% increase since the LA fires. This is illegal and sickening and this agent and the condo should be reprimanded. </v>
      </c>
      <c r="N1257" s="5" t="str">
        <f ca="1">IFERROR(__xludf.DUMMYFUNCTION("""COMPUTED_VALUE"""),"https://drive.google.com/open?id=13gAbBkVBwaqxZGQDypWskI0ruO9qWsNx, https://drive.google.com/open?id=1zSTsdw-OOnpual1oikLBRWjBsWH3HAHz, https://drive.google.com/open?id=1W1zyDvv1KGodKHo6zK1v3pWuzYhzdZmK, https://drive.google.com/open?id=1LafcMCeNpPzHMd26J"&amp;"IMi1QaHJynSx-qD")</f>
        <v>https://drive.google.com/open?id=13gAbBkVBwaqxZGQDypWskI0ruO9qWsNx, https://drive.google.com/open?id=1zSTsdw-OOnpual1oikLBRWjBsWH3HAHz, https://drive.google.com/open?id=1W1zyDvv1KGodKHo6zK1v3pWuzYhzdZmK, https://drive.google.com/open?id=1LafcMCeNpPzHMd26JIMi1QaHJynSx-qD</v>
      </c>
      <c r="O1257" s="5">
        <f ca="1">IFERROR(__xludf.DUMMYFUNCTION("""COMPUTED_VALUE"""),4342037037)</f>
        <v>4342037037</v>
      </c>
      <c r="P1257" s="5">
        <f ca="1">IFERROR(__xludf.DUMMYFUNCTION("""COMPUTED_VALUE"""),3109271046)</f>
        <v>3109271046</v>
      </c>
      <c r="Q1257" s="5"/>
      <c r="R1257" s="5"/>
      <c r="S1257" s="5"/>
      <c r="T1257" s="18">
        <f ca="1">IFERROR(__xludf.DUMMYFUNCTION("""COMPUTED_VALUE"""),45600)</f>
        <v>45600</v>
      </c>
    </row>
    <row r="1258" spans="1:20" ht="12.75">
      <c r="A1258" s="24">
        <f ca="1">IFERROR(__xludf.DUMMYFUNCTION("""COMPUTED_VALUE"""),45673.6857987152)</f>
        <v>45673.685798715203</v>
      </c>
      <c r="B1258" s="5" t="str">
        <f ca="1">IFERROR(__xludf.DUMMYFUNCTION("""COMPUTED_VALUE"""),"608 N Alpine Dr")</f>
        <v>608 N Alpine Dr</v>
      </c>
      <c r="C1258" s="5" t="str">
        <f ca="1">IFERROR(__xludf.DUMMYFUNCTION("""COMPUTED_VALUE"""),"Beverly Hills ")</f>
        <v xml:space="preserve">Beverly Hills </v>
      </c>
      <c r="D1258" s="5" t="str">
        <f ca="1">IFERROR(__xludf.DUMMYFUNCTION("""COMPUTED_VALUE"""),"CA")</f>
        <v>CA</v>
      </c>
      <c r="E1258" s="5">
        <f ca="1">IFERROR(__xludf.DUMMYFUNCTION("""COMPUTED_VALUE"""),90210)</f>
        <v>90210</v>
      </c>
      <c r="F1258" s="19">
        <f ca="1">IFERROR(__xludf.DUMMYFUNCTION("""COMPUTED_VALUE"""),89950)</f>
        <v>89950</v>
      </c>
      <c r="G1258" s="19">
        <f ca="1">IFERROR(__xludf.DUMMYFUNCTION("""COMPUTED_VALUE"""),114950)</f>
        <v>114950</v>
      </c>
      <c r="H1258" s="18">
        <f ca="1">IFERROR(__xludf.DUMMYFUNCTION("""COMPUTED_VALUE"""),45667)</f>
        <v>45667</v>
      </c>
      <c r="I1258" s="5" t="str">
        <f ca="1">IFERROR(__xludf.DUMMYFUNCTION("""COMPUTED_VALUE"""),"Zillow")</f>
        <v>Zillow</v>
      </c>
      <c r="J1258" s="25" t="str">
        <f ca="1">IFERROR(__xludf.DUMMYFUNCTION("""COMPUTED_VALUE"""),"https://www.zillow.com/homedetails/608-N-Alpine-Dr-Beverly-Hills-CA-90210/20519739_zpid/?utm_campaign=iosappmessage&amp;utm_medium=referral&amp;utm_source=txtshare")</f>
        <v>https://www.zillow.com/homedetails/608-N-Alpine-Dr-Beverly-Hills-CA-90210/20519739_zpid/?utm_campaign=iosappmessage&amp;utm_medium=referral&amp;utm_source=txtshare</v>
      </c>
      <c r="K1258" s="5" t="str">
        <f ca="1">IFERROR(__xludf.DUMMYFUNCTION("""COMPUTED_VALUE"""),"David Akhtarzad")</f>
        <v>David Akhtarzad</v>
      </c>
      <c r="L1258" s="5"/>
      <c r="M1258" s="5"/>
      <c r="N1258" s="5" t="str">
        <f ca="1">IFERROR(__xludf.DUMMYFUNCTION("""COMPUTED_VALUE"""),"https://drive.google.com/open?id=1IMkdhYn-73iJxX9Fc85zxRGm37GpYgKt, https://drive.google.com/open?id=1b66-0GTSXr2o6TtY-MbU66CfpNQXLjN1")</f>
        <v>https://drive.google.com/open?id=1IMkdhYn-73iJxX9Fc85zxRGm37GpYgKt, https://drive.google.com/open?id=1b66-0GTSXr2o6TtY-MbU66CfpNQXLjN1</v>
      </c>
      <c r="O1258" s="5">
        <f ca="1">IFERROR(__xludf.DUMMYFUNCTION("""COMPUTED_VALUE"""),4341024004)</f>
        <v>4341024004</v>
      </c>
      <c r="P1258" s="5">
        <f ca="1">IFERROR(__xludf.DUMMYFUNCTION("""COMPUTED_VALUE"""),3108016632)</f>
        <v>3108016632</v>
      </c>
      <c r="Q1258" s="5"/>
      <c r="R1258" s="5"/>
      <c r="S1258" s="5"/>
      <c r="T1258" s="18">
        <f ca="1">IFERROR(__xludf.DUMMYFUNCTION("""COMPUTED_VALUE"""),45387)</f>
        <v>45387</v>
      </c>
    </row>
    <row r="1259" spans="1:20" ht="12.75">
      <c r="A1259" s="24">
        <f ca="1">IFERROR(__xludf.DUMMYFUNCTION("""COMPUTED_VALUE"""),45673.7139708101)</f>
        <v>45673.713970810102</v>
      </c>
      <c r="B1259" s="5" t="str">
        <f ca="1">IFERROR(__xludf.DUMMYFUNCTION("""COMPUTED_VALUE"""),"2939 W Leeward Ave UNIT 515")</f>
        <v>2939 W Leeward Ave UNIT 515</v>
      </c>
      <c r="C1259" s="5" t="str">
        <f ca="1">IFERROR(__xludf.DUMMYFUNCTION("""COMPUTED_VALUE"""),"Los Angeles")</f>
        <v>Los Angeles</v>
      </c>
      <c r="D1259" s="5" t="str">
        <f ca="1">IFERROR(__xludf.DUMMYFUNCTION("""COMPUTED_VALUE"""),"CA")</f>
        <v>CA</v>
      </c>
      <c r="E1259" s="5">
        <f ca="1">IFERROR(__xludf.DUMMYFUNCTION("""COMPUTED_VALUE"""),90005)</f>
        <v>90005</v>
      </c>
      <c r="F1259" s="19">
        <f ca="1">IFERROR(__xludf.DUMMYFUNCTION("""COMPUTED_VALUE"""),3600)</f>
        <v>3600</v>
      </c>
      <c r="G1259" s="19">
        <f ca="1">IFERROR(__xludf.DUMMYFUNCTION("""COMPUTED_VALUE"""),4800)</f>
        <v>4800</v>
      </c>
      <c r="H1259" s="18">
        <f ca="1">IFERROR(__xludf.DUMMYFUNCTION("""COMPUTED_VALUE"""),45673)</f>
        <v>45673</v>
      </c>
      <c r="I1259" s="5" t="str">
        <f ca="1">IFERROR(__xludf.DUMMYFUNCTION("""COMPUTED_VALUE"""),"Zillow")</f>
        <v>Zillow</v>
      </c>
      <c r="J1259" s="25" t="str">
        <f ca="1">IFERROR(__xludf.DUMMYFUNCTION("""COMPUTED_VALUE"""),"https://www.zillow.com/homedetails/2939-W-Leeward-Ave-UNIT-515-Los-Angeles-CA-90005/2061111287_zpid/")</f>
        <v>https://www.zillow.com/homedetails/2939-W-Leeward-Ave-UNIT-515-Los-Angeles-CA-90005/2061111287_zpid/</v>
      </c>
      <c r="K1259" s="5" t="str">
        <f ca="1">IFERROR(__xludf.DUMMYFUNCTION("""COMPUTED_VALUE"""),"Kim Chen")</f>
        <v>Kim Chen</v>
      </c>
      <c r="L1259" s="5"/>
      <c r="M1259" s="5" t="str">
        <f ca="1">IFERROR(__xludf.DUMMYFUNCTION("""COMPUTED_VALUE"""),"33.3% price increase from 12/6/24 on 1/16/25")</f>
        <v>33.3% price increase from 12/6/24 on 1/16/25</v>
      </c>
      <c r="N1259" s="5" t="str">
        <f ca="1">IFERROR(__xludf.DUMMYFUNCTION("""COMPUTED_VALUE"""),"https://drive.google.com/open?id=1rIh0-_lM9p0qEjjFaw4rjzdJFIXECYwn, https://drive.google.com/open?id=1inLqimtJLtMiR_mCU2v55TMBZPkK3-R0")</f>
        <v>https://drive.google.com/open?id=1rIh0-_lM9p0qEjjFaw4rjzdJFIXECYwn, https://drive.google.com/open?id=1inLqimtJLtMiR_mCU2v55TMBZPkK3-R0</v>
      </c>
      <c r="O1259" s="5" t="str">
        <f ca="1">IFERROR(__xludf.DUMMYFUNCTION("""COMPUTED_VALUE"""),"NA")</f>
        <v>NA</v>
      </c>
      <c r="P1259" s="5" t="str">
        <f ca="1">IFERROR(__xludf.DUMMYFUNCTION("""COMPUTED_VALUE"""),"(626) 673-2672")</f>
        <v>(626) 673-2672</v>
      </c>
      <c r="Q1259" s="5"/>
      <c r="R1259" s="5"/>
      <c r="S1259" s="5"/>
      <c r="T1259" s="18">
        <f ca="1">IFERROR(__xludf.DUMMYFUNCTION("""COMPUTED_VALUE"""),45632)</f>
        <v>45632</v>
      </c>
    </row>
    <row r="1260" spans="1:20" ht="12.75">
      <c r="A1260" s="24">
        <f ca="1">IFERROR(__xludf.DUMMYFUNCTION("""COMPUTED_VALUE"""),45673.7205222222)</f>
        <v>45673.720522222196</v>
      </c>
      <c r="B1260" s="5" t="str">
        <f ca="1">IFERROR(__xludf.DUMMYFUNCTION("""COMPUTED_VALUE"""),"837 S Harvard Blvd APT 603")</f>
        <v>837 S Harvard Blvd APT 603</v>
      </c>
      <c r="C1260" s="5" t="str">
        <f ca="1">IFERROR(__xludf.DUMMYFUNCTION("""COMPUTED_VALUE"""),"Los Angeles")</f>
        <v>Los Angeles</v>
      </c>
      <c r="D1260" s="5" t="str">
        <f ca="1">IFERROR(__xludf.DUMMYFUNCTION("""COMPUTED_VALUE"""),"CA")</f>
        <v>CA</v>
      </c>
      <c r="E1260" s="5">
        <f ca="1">IFERROR(__xludf.DUMMYFUNCTION("""COMPUTED_VALUE"""),90005)</f>
        <v>90005</v>
      </c>
      <c r="F1260" s="19">
        <f ca="1">IFERROR(__xludf.DUMMYFUNCTION("""COMPUTED_VALUE"""),2900)</f>
        <v>2900</v>
      </c>
      <c r="G1260" s="19">
        <f ca="1">IFERROR(__xludf.DUMMYFUNCTION("""COMPUTED_VALUE"""),4500)</f>
        <v>4500</v>
      </c>
      <c r="H1260" s="18">
        <f ca="1">IFERROR(__xludf.DUMMYFUNCTION("""COMPUTED_VALUE"""),45666)</f>
        <v>45666</v>
      </c>
      <c r="I1260" s="5" t="str">
        <f ca="1">IFERROR(__xludf.DUMMYFUNCTION("""COMPUTED_VALUE"""),"Zillow")</f>
        <v>Zillow</v>
      </c>
      <c r="J1260" s="25" t="str">
        <f ca="1">IFERROR(__xludf.DUMMYFUNCTION("""COMPUTED_VALUE"""),"https://www.zillow.com/homedetails/Los-Angeles-CA-90005/443872022_zpid/")</f>
        <v>https://www.zillow.com/homedetails/Los-Angeles-CA-90005/443872022_zpid/</v>
      </c>
      <c r="K1260" s="5" t="str">
        <f ca="1">IFERROR(__xludf.DUMMYFUNCTION("""COMPUTED_VALUE"""),"Joshua Shamoilia")</f>
        <v>Joshua Shamoilia</v>
      </c>
      <c r="L1260" s="5"/>
      <c r="M1260" s="5" t="str">
        <f ca="1">IFERROR(__xludf.DUMMYFUNCTION("""COMPUTED_VALUE"""),"Listed with undisclosed address on 1/9/25, previous listing of same address and unit can be found here: https://www.zillow.com/homedetails/837-S-Harvard-Blvd-APT-603-Los-Angeles-CA-90005/2083265553_zpid/")</f>
        <v>Listed with undisclosed address on 1/9/25, previous listing of same address and unit can be found here: https://www.zillow.com/homedetails/837-S-Harvard-Blvd-APT-603-Los-Angeles-CA-90005/2083265553_zpid/</v>
      </c>
      <c r="N1260" s="5" t="str">
        <f ca="1">IFERROR(__xludf.DUMMYFUNCTION("""COMPUTED_VALUE"""),"https://drive.google.com/open?id=1FggS0aAEOYWOv6B3H7Tgr3cAJcOM5uAv, https://drive.google.com/open?id=1KPW885XiX0s6Cyvm_Qh9wBXUfzZpFC_G, https://drive.google.com/open?id=1ZnYX9vv1jB56ZZC5gwkOwyEPEtUQGIJY")</f>
        <v>https://drive.google.com/open?id=1FggS0aAEOYWOv6B3H7Tgr3cAJcOM5uAv, https://drive.google.com/open?id=1KPW885XiX0s6Cyvm_Qh9wBXUfzZpFC_G, https://drive.google.com/open?id=1ZnYX9vv1jB56ZZC5gwkOwyEPEtUQGIJY</v>
      </c>
      <c r="O1260" s="5" t="str">
        <f ca="1">IFERROR(__xludf.DUMMYFUNCTION("""COMPUTED_VALUE"""),"NA")</f>
        <v>NA</v>
      </c>
      <c r="P1260" s="5" t="str">
        <f ca="1">IFERROR(__xludf.DUMMYFUNCTION("""COMPUTED_VALUE""")," (970) 591-9155")</f>
        <v xml:space="preserve"> (970) 591-9155</v>
      </c>
      <c r="Q1260" s="5"/>
      <c r="R1260" s="5"/>
      <c r="S1260" s="5"/>
      <c r="T1260" s="18">
        <f ca="1">IFERROR(__xludf.DUMMYFUNCTION("""COMPUTED_VALUE"""),44878)</f>
        <v>44878</v>
      </c>
    </row>
    <row r="1261" spans="1:20" ht="12.75">
      <c r="A1261" s="24">
        <f ca="1">IFERROR(__xludf.DUMMYFUNCTION("""COMPUTED_VALUE"""),45673.7469357986)</f>
        <v>45673.746935798597</v>
      </c>
      <c r="B1261" s="5" t="str">
        <f ca="1">IFERROR(__xludf.DUMMYFUNCTION("""COMPUTED_VALUE"""),"1248 Elden Ave APT 201")</f>
        <v>1248 Elden Ave APT 201</v>
      </c>
      <c r="C1261" s="5" t="str">
        <f ca="1">IFERROR(__xludf.DUMMYFUNCTION("""COMPUTED_VALUE"""),"Los Angeles")</f>
        <v>Los Angeles</v>
      </c>
      <c r="D1261" s="5" t="str">
        <f ca="1">IFERROR(__xludf.DUMMYFUNCTION("""COMPUTED_VALUE"""),"CA")</f>
        <v>CA</v>
      </c>
      <c r="E1261" s="5">
        <f ca="1">IFERROR(__xludf.DUMMYFUNCTION("""COMPUTED_VALUE"""),90006)</f>
        <v>90006</v>
      </c>
      <c r="F1261" s="19">
        <f ca="1">IFERROR(__xludf.DUMMYFUNCTION("""COMPUTED_VALUE"""),2375)</f>
        <v>2375</v>
      </c>
      <c r="G1261" s="19">
        <f ca="1">IFERROR(__xludf.DUMMYFUNCTION("""COMPUTED_VALUE"""),2975)</f>
        <v>2975</v>
      </c>
      <c r="H1261" s="18">
        <f ca="1">IFERROR(__xludf.DUMMYFUNCTION("""COMPUTED_VALUE"""),45673)</f>
        <v>45673</v>
      </c>
      <c r="I1261" s="5" t="str">
        <f ca="1">IFERROR(__xludf.DUMMYFUNCTION("""COMPUTED_VALUE"""),"Zillow")</f>
        <v>Zillow</v>
      </c>
      <c r="J1261" s="25" t="str">
        <f ca="1">IFERROR(__xludf.DUMMYFUNCTION("""COMPUTED_VALUE"""),"https://www.zillow.com/homedetails/1248-Elden-Ave-APT-201-Los-Angeles-CA-90006/2092286364_zpid/")</f>
        <v>https://www.zillow.com/homedetails/1248-Elden-Ave-APT-201-Los-Angeles-CA-90006/2092286364_zpid/</v>
      </c>
      <c r="K1261" s="5" t="str">
        <f ca="1">IFERROR(__xludf.DUMMYFUNCTION("""COMPUTED_VALUE"""),"Jeffrey Koenig")</f>
        <v>Jeffrey Koenig</v>
      </c>
      <c r="L1261" s="5" t="str">
        <f ca="1">IFERROR(__xludf.DUMMYFUNCTION("""COMPUTED_VALUE"""),"Jeffrey Koenig")</f>
        <v>Jeffrey Koenig</v>
      </c>
      <c r="M1261" s="5" t="str">
        <f ca="1">IFERROR(__xludf.DUMMYFUNCTION("""COMPUTED_VALUE"""),"26.3% price increase from 2020 on 1/14/25, then slight 0.8% decrease on 1/16/25")</f>
        <v>26.3% price increase from 2020 on 1/14/25, then slight 0.8% decrease on 1/16/25</v>
      </c>
      <c r="N1261" s="26" t="str">
        <f ca="1">IFERROR(__xludf.DUMMYFUNCTION("""COMPUTED_VALUE"""),"https://drive.google.com/open?id=1IBLJjh89YEcLXvvquDAtdf04LJ1T428t")</f>
        <v>https://drive.google.com/open?id=1IBLJjh89YEcLXvvquDAtdf04LJ1T428t</v>
      </c>
      <c r="O1261" s="5" t="str">
        <f ca="1">IFERROR(__xludf.DUMMYFUNCTION("""COMPUTED_VALUE"""),"NA")</f>
        <v>NA</v>
      </c>
      <c r="P1261" s="5" t="str">
        <f ca="1">IFERROR(__xludf.DUMMYFUNCTION("""COMPUTED_VALUE"""),"(213) 642-2694")</f>
        <v>(213) 642-2694</v>
      </c>
      <c r="Q1261" s="5"/>
      <c r="R1261" s="5" t="str">
        <f ca="1">IFERROR(__xludf.DUMMYFUNCTION("""COMPUTED_VALUE"""),"(213) 642-2694")</f>
        <v>(213) 642-2694</v>
      </c>
      <c r="S1261" s="5"/>
      <c r="T1261" s="18">
        <f ca="1">IFERROR(__xludf.DUMMYFUNCTION("""COMPUTED_VALUE"""),43869)</f>
        <v>43869</v>
      </c>
    </row>
    <row r="1262" spans="1:20" ht="12.75">
      <c r="A1262" s="24">
        <f ca="1">IFERROR(__xludf.DUMMYFUNCTION("""COMPUTED_VALUE"""),45673.754669155)</f>
        <v>45673.754669155001</v>
      </c>
      <c r="B1262" s="5" t="str">
        <f ca="1">IFERROR(__xludf.DUMMYFUNCTION("""COMPUTED_VALUE"""),"6249 Tapia Dr")</f>
        <v>6249 Tapia Dr</v>
      </c>
      <c r="C1262" s="5" t="str">
        <f ca="1">IFERROR(__xludf.DUMMYFUNCTION("""COMPUTED_VALUE"""),"Malibu")</f>
        <v>Malibu</v>
      </c>
      <c r="D1262" s="5" t="str">
        <f ca="1">IFERROR(__xludf.DUMMYFUNCTION("""COMPUTED_VALUE"""),"CA")</f>
        <v>CA</v>
      </c>
      <c r="E1262" s="5">
        <f ca="1">IFERROR(__xludf.DUMMYFUNCTION("""COMPUTED_VALUE"""),90265)</f>
        <v>90265</v>
      </c>
      <c r="F1262" s="19">
        <f ca="1">IFERROR(__xludf.DUMMYFUNCTION("""COMPUTED_VALUE"""),8500)</f>
        <v>8500</v>
      </c>
      <c r="G1262" s="19">
        <f ca="1">IFERROR(__xludf.DUMMYFUNCTION("""COMPUTED_VALUE"""),15000)</f>
        <v>15000</v>
      </c>
      <c r="H1262" s="18">
        <f ca="1">IFERROR(__xludf.DUMMYFUNCTION("""COMPUTED_VALUE"""),45670)</f>
        <v>45670</v>
      </c>
      <c r="I1262" s="5" t="str">
        <f ca="1">IFERROR(__xludf.DUMMYFUNCTION("""COMPUTED_VALUE"""),"Zillow")</f>
        <v>Zillow</v>
      </c>
      <c r="J1262" s="25" t="str">
        <f ca="1">IFERROR(__xludf.DUMMYFUNCTION("""COMPUTED_VALUE"""),"https://www.zillow.com/homedetails/6249-Tapia-Dr-Malibu-CA-90265/20557432_zpid/")</f>
        <v>https://www.zillow.com/homedetails/6249-Tapia-Dr-Malibu-CA-90265/20557432_zpid/</v>
      </c>
      <c r="K1262" s="5" t="str">
        <f ca="1">IFERROR(__xludf.DUMMYFUNCTION("""COMPUTED_VALUE"""),"Michael Cunningham")</f>
        <v>Michael Cunningham</v>
      </c>
      <c r="L1262" s="5"/>
      <c r="M1262" s="5"/>
      <c r="N1262" s="26" t="str">
        <f ca="1">IFERROR(__xludf.DUMMYFUNCTION("""COMPUTED_VALUE"""),"https://drive.google.com/open?id=1GSZB4hHnv2Tn6-LfsIPMMiW7rQx_QLO_")</f>
        <v>https://drive.google.com/open?id=1GSZB4hHnv2Tn6-LfsIPMMiW7rQx_QLO_</v>
      </c>
      <c r="O1262" s="5">
        <f ca="1">IFERROR(__xludf.DUMMYFUNCTION("""COMPUTED_VALUE"""),4469038026)</f>
        <v>4469038026</v>
      </c>
      <c r="P1262" s="5" t="str">
        <f ca="1">IFERROR(__xludf.DUMMYFUNCTION("""COMPUTED_VALUE"""),"(310) 456-0877")</f>
        <v>(310) 456-0877</v>
      </c>
      <c r="Q1262" s="5"/>
      <c r="R1262" s="5"/>
      <c r="S1262" s="5"/>
      <c r="T1262" s="18">
        <f ca="1">IFERROR(__xludf.DUMMYFUNCTION("""COMPUTED_VALUE"""),42689)</f>
        <v>42689</v>
      </c>
    </row>
    <row r="1263" spans="1:20" ht="12.75">
      <c r="A1263" s="24">
        <f ca="1">IFERROR(__xludf.DUMMYFUNCTION("""COMPUTED_VALUE"""),45673.7593971064)</f>
        <v>45673.759397106398</v>
      </c>
      <c r="B1263" s="5" t="str">
        <f ca="1">IFERROR(__xludf.DUMMYFUNCTION("""COMPUTED_VALUE"""),"149 Buckskin Rd")</f>
        <v>149 Buckskin Rd</v>
      </c>
      <c r="C1263" s="5" t="str">
        <f ca="1">IFERROR(__xludf.DUMMYFUNCTION("""COMPUTED_VALUE"""),"Bell Canyon")</f>
        <v>Bell Canyon</v>
      </c>
      <c r="D1263" s="5" t="str">
        <f ca="1">IFERROR(__xludf.DUMMYFUNCTION("""COMPUTED_VALUE"""),"CA")</f>
        <v>CA</v>
      </c>
      <c r="E1263" s="5">
        <f ca="1">IFERROR(__xludf.DUMMYFUNCTION("""COMPUTED_VALUE"""),91307)</f>
        <v>91307</v>
      </c>
      <c r="F1263" s="19">
        <f ca="1">IFERROR(__xludf.DUMMYFUNCTION("""COMPUTED_VALUE"""),6200)</f>
        <v>6200</v>
      </c>
      <c r="G1263" s="19">
        <f ca="1">IFERROR(__xludf.DUMMYFUNCTION("""COMPUTED_VALUE"""),15000)</f>
        <v>15000</v>
      </c>
      <c r="H1263" s="18">
        <f ca="1">IFERROR(__xludf.DUMMYFUNCTION("""COMPUTED_VALUE"""),45667)</f>
        <v>45667</v>
      </c>
      <c r="I1263" s="5" t="str">
        <f ca="1">IFERROR(__xludf.DUMMYFUNCTION("""COMPUTED_VALUE"""),"Zillow")</f>
        <v>Zillow</v>
      </c>
      <c r="J1263" s="25" t="str">
        <f ca="1">IFERROR(__xludf.DUMMYFUNCTION("""COMPUTED_VALUE"""),"https://www.zillow.com/homedetails/149-Buckskin-Rd-Bell-Canyon-CA-91307/16497518_zpid/")</f>
        <v>https://www.zillow.com/homedetails/149-Buckskin-Rd-Bell-Canyon-CA-91307/16497518_zpid/</v>
      </c>
      <c r="K1263" s="5" t="str">
        <f ca="1">IFERROR(__xludf.DUMMYFUNCTION("""COMPUTED_VALUE"""),"Kevin Godley")</f>
        <v>Kevin Godley</v>
      </c>
      <c r="L1263" s="5"/>
      <c r="M1263" s="5"/>
      <c r="N1263" s="26" t="str">
        <f ca="1">IFERROR(__xludf.DUMMYFUNCTION("""COMPUTED_VALUE"""),"https://drive.google.com/open?id=1F22R-XkiF258OmtkYEcm6ZSMG7LlGOOS")</f>
        <v>https://drive.google.com/open?id=1F22R-XkiF258OmtkYEcm6ZSMG7LlGOOS</v>
      </c>
      <c r="O1263" s="5">
        <f ca="1">IFERROR(__xludf.DUMMYFUNCTION("""COMPUTED_VALUE"""),8500032255)</f>
        <v>8500032255</v>
      </c>
      <c r="P1263" s="5" t="str">
        <f ca="1">IFERROR(__xludf.DUMMYFUNCTION("""COMPUTED_VALUE"""),"(213) 325-3166")</f>
        <v>(213) 325-3166</v>
      </c>
      <c r="Q1263" s="5"/>
      <c r="R1263" s="5"/>
      <c r="S1263" s="5"/>
      <c r="T1263" s="18">
        <f ca="1">IFERROR(__xludf.DUMMYFUNCTION("""COMPUTED_VALUE"""),42977)</f>
        <v>42977</v>
      </c>
    </row>
    <row r="1264" spans="1:20" ht="12.75">
      <c r="A1264" s="24">
        <f ca="1">IFERROR(__xludf.DUMMYFUNCTION("""COMPUTED_VALUE"""),45673.7616104051)</f>
        <v>45673.761610405098</v>
      </c>
      <c r="B1264" s="5" t="str">
        <f ca="1">IFERROR(__xludf.DUMMYFUNCTION("""COMPUTED_VALUE"""),"2506 Sapra St")</f>
        <v>2506 Sapra St</v>
      </c>
      <c r="C1264" s="5" t="str">
        <f ca="1">IFERROR(__xludf.DUMMYFUNCTION("""COMPUTED_VALUE"""),"Thousand Oaks")</f>
        <v>Thousand Oaks</v>
      </c>
      <c r="D1264" s="5" t="str">
        <f ca="1">IFERROR(__xludf.DUMMYFUNCTION("""COMPUTED_VALUE"""),"CA")</f>
        <v>CA</v>
      </c>
      <c r="E1264" s="5">
        <f ca="1">IFERROR(__xludf.DUMMYFUNCTION("""COMPUTED_VALUE"""),91362)</f>
        <v>91362</v>
      </c>
      <c r="F1264" s="19">
        <f ca="1">IFERROR(__xludf.DUMMYFUNCTION("""COMPUTED_VALUE"""),8200)</f>
        <v>8200</v>
      </c>
      <c r="G1264" s="19">
        <f ca="1">IFERROR(__xludf.DUMMYFUNCTION("""COMPUTED_VALUE"""),11000)</f>
        <v>11000</v>
      </c>
      <c r="H1264" s="18">
        <f ca="1">IFERROR(__xludf.DUMMYFUNCTION("""COMPUTED_VALUE"""),45673)</f>
        <v>45673</v>
      </c>
      <c r="I1264" s="5" t="str">
        <f ca="1">IFERROR(__xludf.DUMMYFUNCTION("""COMPUTED_VALUE"""),"Zillow")</f>
        <v>Zillow</v>
      </c>
      <c r="J1264" s="25" t="str">
        <f ca="1">IFERROR(__xludf.DUMMYFUNCTION("""COMPUTED_VALUE"""),"https://www.zillow.com/homedetails/2506-Sapra-St-Thousand-Oaks-CA-91362/16483365_zpid/")</f>
        <v>https://www.zillow.com/homedetails/2506-Sapra-St-Thousand-Oaks-CA-91362/16483365_zpid/</v>
      </c>
      <c r="K1264" s="5"/>
      <c r="L1264" s="5" t="str">
        <f ca="1">IFERROR(__xludf.DUMMYFUNCTION("""COMPUTED_VALUE"""),"Aryana")</f>
        <v>Aryana</v>
      </c>
      <c r="M1264" s="5"/>
      <c r="N1264" s="26" t="str">
        <f ca="1">IFERROR(__xludf.DUMMYFUNCTION("""COMPUTED_VALUE"""),"https://drive.google.com/open?id=1h96UzWVH25Q_gMCfT36ouX3gxRQ519Xv")</f>
        <v>https://drive.google.com/open?id=1h96UzWVH25Q_gMCfT36ouX3gxRQ519Xv</v>
      </c>
      <c r="O1264" s="5">
        <f ca="1">IFERROR(__xludf.DUMMYFUNCTION("""COMPUTED_VALUE"""),6790111065)</f>
        <v>6790111065</v>
      </c>
      <c r="P1264" s="5"/>
      <c r="Q1264" s="5"/>
      <c r="R1264" s="5" t="str">
        <f ca="1">IFERROR(__xludf.DUMMYFUNCTION("""COMPUTED_VALUE"""),"(310) 882-8388")</f>
        <v>(310) 882-8388</v>
      </c>
      <c r="S1264" s="5"/>
      <c r="T1264" s="18">
        <f ca="1">IFERROR(__xludf.DUMMYFUNCTION("""COMPUTED_VALUE"""),45548)</f>
        <v>45548</v>
      </c>
    </row>
    <row r="1265" spans="1:20" ht="12.75">
      <c r="A1265" s="24">
        <f ca="1">IFERROR(__xludf.DUMMYFUNCTION("""COMPUTED_VALUE"""),45673.7646810763)</f>
        <v>45673.764681076304</v>
      </c>
      <c r="B1265" s="5" t="str">
        <f ca="1">IFERROR(__xludf.DUMMYFUNCTION("""COMPUTED_VALUE"""),"2112 century park lane unit 408")</f>
        <v>2112 century park lane unit 408</v>
      </c>
      <c r="C1265" s="5" t="str">
        <f ca="1">IFERROR(__xludf.DUMMYFUNCTION("""COMPUTED_VALUE"""),"Los Angeles ")</f>
        <v xml:space="preserve">Los Angeles </v>
      </c>
      <c r="D1265" s="5" t="str">
        <f ca="1">IFERROR(__xludf.DUMMYFUNCTION("""COMPUTED_VALUE"""),"CA")</f>
        <v>CA</v>
      </c>
      <c r="E1265" s="5">
        <f ca="1">IFERROR(__xludf.DUMMYFUNCTION("""COMPUTED_VALUE"""),90067)</f>
        <v>90067</v>
      </c>
      <c r="F1265" s="19">
        <f ca="1">IFERROR(__xludf.DUMMYFUNCTION("""COMPUTED_VALUE"""),4575)</f>
        <v>4575</v>
      </c>
      <c r="G1265" s="19">
        <f ca="1">IFERROR(__xludf.DUMMYFUNCTION("""COMPUTED_VALUE"""),6500)</f>
        <v>6500</v>
      </c>
      <c r="H1265" s="18">
        <f ca="1">IFERROR(__xludf.DUMMYFUNCTION("""COMPUTED_VALUE"""),45674)</f>
        <v>45674</v>
      </c>
      <c r="I1265" s="5" t="str">
        <f ca="1">IFERROR(__xludf.DUMMYFUNCTION("""COMPUTED_VALUE"""),"Zillow")</f>
        <v>Zillow</v>
      </c>
      <c r="J1265" s="25" t="str">
        <f ca="1">IFERROR(__xludf.DUMMYFUNCTION("""COMPUTED_VALUE"""),"https://www.zillow.com/homedetails/2112-Century-Park-Ln-UNIT-408-Los-Angeles-CA-90067/20510711_zpid/?utm_campaign=iosappmessage&amp;utm_medium=referral&amp;utm_source=txtshare")</f>
        <v>https://www.zillow.com/homedetails/2112-Century-Park-Ln-UNIT-408-Los-Angeles-CA-90067/20510711_zpid/?utm_campaign=iosappmessage&amp;utm_medium=referral&amp;utm_source=txtshare</v>
      </c>
      <c r="K1265" s="5" t="str">
        <f ca="1">IFERROR(__xludf.DUMMYFUNCTION("""COMPUTED_VALUE"""),"Jill Epstein ")</f>
        <v xml:space="preserve">Jill Epstein </v>
      </c>
      <c r="L1265" s="5"/>
      <c r="M1265" s="5" t="str">
        <f ca="1">IFERROR(__xludf.DUMMYFUNCTION("""COMPUTED_VALUE"""),"It was for rent for 2 months for 4,750  and right after the fires they removed it for 6 days and put it back on for 30%+ increase ")</f>
        <v xml:space="preserve">It was for rent for 2 months for 4,750  and right after the fires they removed it for 6 days and put it back on for 30%+ increase </v>
      </c>
      <c r="N1265" s="26" t="str">
        <f ca="1">IFERROR(__xludf.DUMMYFUNCTION("""COMPUTED_VALUE"""),"https://drive.google.com/open?id=1UTbmVr-Nata3kl2h5A4V-Q7EUFz6L2-k")</f>
        <v>https://drive.google.com/open?id=1UTbmVr-Nata3kl2h5A4V-Q7EUFz6L2-k</v>
      </c>
      <c r="O1265" s="5">
        <f ca="1">IFERROR(__xludf.DUMMYFUNCTION("""COMPUTED_VALUE"""),4329009136)</f>
        <v>4329009136</v>
      </c>
      <c r="P1265" s="5">
        <f ca="1">IFERROR(__xludf.DUMMYFUNCTION("""COMPUTED_VALUE"""),3108883355)</f>
        <v>3108883355</v>
      </c>
      <c r="Q1265" s="5"/>
      <c r="R1265" s="5"/>
      <c r="S1265" s="5"/>
      <c r="T1265" s="18">
        <f ca="1">IFERROR(__xludf.DUMMYFUNCTION("""COMPUTED_VALUE"""),45668)</f>
        <v>45668</v>
      </c>
    </row>
    <row r="1266" spans="1:20" ht="12.75">
      <c r="A1266" s="24">
        <f ca="1">IFERROR(__xludf.DUMMYFUNCTION("""COMPUTED_VALUE"""),45673.7661259722)</f>
        <v>45673.766125972201</v>
      </c>
      <c r="B1266" s="5" t="str">
        <f ca="1">IFERROR(__xludf.DUMMYFUNCTION("""COMPUTED_VALUE"""),"5206 Topeka Dr")</f>
        <v>5206 Topeka Dr</v>
      </c>
      <c r="C1266" s="5" t="str">
        <f ca="1">IFERROR(__xludf.DUMMYFUNCTION("""COMPUTED_VALUE"""),"Tarzana")</f>
        <v>Tarzana</v>
      </c>
      <c r="D1266" s="5" t="str">
        <f ca="1">IFERROR(__xludf.DUMMYFUNCTION("""COMPUTED_VALUE"""),"CA")</f>
        <v>CA</v>
      </c>
      <c r="E1266" s="5">
        <f ca="1">IFERROR(__xludf.DUMMYFUNCTION("""COMPUTED_VALUE"""),91356)</f>
        <v>91356</v>
      </c>
      <c r="F1266" s="19">
        <f ca="1">IFERROR(__xludf.DUMMYFUNCTION("""COMPUTED_VALUE"""),10950)</f>
        <v>10950</v>
      </c>
      <c r="G1266" s="19">
        <f ca="1">IFERROR(__xludf.DUMMYFUNCTION("""COMPUTED_VALUE"""),14950)</f>
        <v>14950</v>
      </c>
      <c r="H1266" s="18">
        <f ca="1">IFERROR(__xludf.DUMMYFUNCTION("""COMPUTED_VALUE"""),45674)</f>
        <v>45674</v>
      </c>
      <c r="I1266" s="5" t="str">
        <f ca="1">IFERROR(__xludf.DUMMYFUNCTION("""COMPUTED_VALUE"""),"Zillow")</f>
        <v>Zillow</v>
      </c>
      <c r="J1266" s="25" t="str">
        <f ca="1">IFERROR(__xludf.DUMMYFUNCTION("""COMPUTED_VALUE"""),"https://www.zillow.com/homedetails/5206-Topeka-Dr-Tarzana-CA-91356/19937475_zpid/")</f>
        <v>https://www.zillow.com/homedetails/5206-Topeka-Dr-Tarzana-CA-91356/19937475_zpid/</v>
      </c>
      <c r="K1266" s="5" t="str">
        <f ca="1">IFERROR(__xludf.DUMMYFUNCTION("""COMPUTED_VALUE"""),"Houman Jahangard")</f>
        <v>Houman Jahangard</v>
      </c>
      <c r="L1266" s="5"/>
      <c r="M1266" s="5"/>
      <c r="N1266" s="26" t="str">
        <f ca="1">IFERROR(__xludf.DUMMYFUNCTION("""COMPUTED_VALUE"""),"https://drive.google.com/open?id=14OhzGbxEvBFN3nJb0kX87jzHPC6lLcdZ")</f>
        <v>https://drive.google.com/open?id=14OhzGbxEvBFN3nJb0kX87jzHPC6lLcdZ</v>
      </c>
      <c r="O1266" s="5">
        <f ca="1">IFERROR(__xludf.DUMMYFUNCTION("""COMPUTED_VALUE"""),2161004052)</f>
        <v>2161004052</v>
      </c>
      <c r="P1266" s="5" t="str">
        <f ca="1">IFERROR(__xludf.DUMMYFUNCTION("""COMPUTED_VALUE"""),"(310) 295-2204")</f>
        <v>(310) 295-2204</v>
      </c>
      <c r="Q1266" s="5"/>
      <c r="R1266" s="5"/>
      <c r="S1266" s="5"/>
      <c r="T1266" s="18">
        <f ca="1">IFERROR(__xludf.DUMMYFUNCTION("""COMPUTED_VALUE"""),45566)</f>
        <v>45566</v>
      </c>
    </row>
    <row r="1267" spans="1:20" ht="12.75">
      <c r="A1267" s="24">
        <f ca="1">IFERROR(__xludf.DUMMYFUNCTION("""COMPUTED_VALUE"""),45673.7674747685)</f>
        <v>45673.767474768501</v>
      </c>
      <c r="B1267" s="5" t="str">
        <f ca="1">IFERROR(__xludf.DUMMYFUNCTION("""COMPUTED_VALUE"""),"1127 Angelo Dr")</f>
        <v>1127 Angelo Dr</v>
      </c>
      <c r="C1267" s="5" t="str">
        <f ca="1">IFERROR(__xludf.DUMMYFUNCTION("""COMPUTED_VALUE"""),"Beverly Hills")</f>
        <v>Beverly Hills</v>
      </c>
      <c r="D1267" s="5" t="str">
        <f ca="1">IFERROR(__xludf.DUMMYFUNCTION("""COMPUTED_VALUE"""),"CA")</f>
        <v>CA</v>
      </c>
      <c r="E1267" s="5">
        <f ca="1">IFERROR(__xludf.DUMMYFUNCTION("""COMPUTED_VALUE"""),90210)</f>
        <v>90210</v>
      </c>
      <c r="F1267" s="19">
        <f ca="1">IFERROR(__xludf.DUMMYFUNCTION("""COMPUTED_VALUE"""),7900)</f>
        <v>7900</v>
      </c>
      <c r="G1267" s="19">
        <f ca="1">IFERROR(__xludf.DUMMYFUNCTION("""COMPUTED_VALUE"""),15000)</f>
        <v>15000</v>
      </c>
      <c r="H1267" s="18">
        <f ca="1">IFERROR(__xludf.DUMMYFUNCTION("""COMPUTED_VALUE"""),45674)</f>
        <v>45674</v>
      </c>
      <c r="I1267" s="5" t="str">
        <f ca="1">IFERROR(__xludf.DUMMYFUNCTION("""COMPUTED_VALUE"""),"Zillow")</f>
        <v>Zillow</v>
      </c>
      <c r="J1267" s="25" t="str">
        <f ca="1">IFERROR(__xludf.DUMMYFUNCTION("""COMPUTED_VALUE"""),"https://www.zillow.com/homedetails/1127-Angelo-Dr-Beverly-Hills-CA-90210/20524011_zpid/")</f>
        <v>https://www.zillow.com/homedetails/1127-Angelo-Dr-Beverly-Hills-CA-90210/20524011_zpid/</v>
      </c>
      <c r="K1267" s="5" t="str">
        <f ca="1">IFERROR(__xludf.DUMMYFUNCTION("""COMPUTED_VALUE"""),"Donald Heller")</f>
        <v>Donald Heller</v>
      </c>
      <c r="L1267" s="5"/>
      <c r="M1267" s="5"/>
      <c r="N1267" s="26" t="str">
        <f ca="1">IFERROR(__xludf.DUMMYFUNCTION("""COMPUTED_VALUE"""),"https://drive.google.com/open?id=1HosYjaAGCv8DAcYBHdPlQgGPxcuFuoaD")</f>
        <v>https://drive.google.com/open?id=1HosYjaAGCv8DAcYBHdPlQgGPxcuFuoaD</v>
      </c>
      <c r="O1267" s="5">
        <f ca="1">IFERROR(__xludf.DUMMYFUNCTION("""COMPUTED_VALUE"""),4358009005)</f>
        <v>4358009005</v>
      </c>
      <c r="P1267" s="5" t="str">
        <f ca="1">IFERROR(__xludf.DUMMYFUNCTION("""COMPUTED_VALUE"""),"(424) 349-3626")</f>
        <v>(424) 349-3626</v>
      </c>
      <c r="Q1267" s="5"/>
      <c r="R1267" s="5"/>
      <c r="S1267" s="5"/>
      <c r="T1267" s="18">
        <f ca="1">IFERROR(__xludf.DUMMYFUNCTION("""COMPUTED_VALUE"""),43151)</f>
        <v>43151</v>
      </c>
    </row>
    <row r="1268" spans="1:20" ht="12.75">
      <c r="A1268" s="24">
        <f ca="1">IFERROR(__xludf.DUMMYFUNCTION("""COMPUTED_VALUE"""),45673.7700184606)</f>
        <v>45673.7700184606</v>
      </c>
      <c r="B1268" s="5" t="str">
        <f ca="1">IFERROR(__xludf.DUMMYFUNCTION("""COMPUTED_VALUE"""),"10552 Andasol Ave")</f>
        <v>10552 Andasol Ave</v>
      </c>
      <c r="C1268" s="5" t="str">
        <f ca="1">IFERROR(__xludf.DUMMYFUNCTION("""COMPUTED_VALUE"""),"Granada Hills")</f>
        <v>Granada Hills</v>
      </c>
      <c r="D1268" s="5" t="str">
        <f ca="1">IFERROR(__xludf.DUMMYFUNCTION("""COMPUTED_VALUE"""),"CA")</f>
        <v>CA</v>
      </c>
      <c r="E1268" s="5">
        <f ca="1">IFERROR(__xludf.DUMMYFUNCTION("""COMPUTED_VALUE"""),91344)</f>
        <v>91344</v>
      </c>
      <c r="F1268" s="19">
        <f ca="1">IFERROR(__xludf.DUMMYFUNCTION("""COMPUTED_VALUE"""),5250)</f>
        <v>5250</v>
      </c>
      <c r="G1268" s="19">
        <f ca="1">IFERROR(__xludf.DUMMYFUNCTION("""COMPUTED_VALUE"""),8250)</f>
        <v>8250</v>
      </c>
      <c r="H1268" s="18">
        <f ca="1">IFERROR(__xludf.DUMMYFUNCTION("""COMPUTED_VALUE"""),45674)</f>
        <v>45674</v>
      </c>
      <c r="I1268" s="5" t="str">
        <f ca="1">IFERROR(__xludf.DUMMYFUNCTION("""COMPUTED_VALUE"""),"Zillow")</f>
        <v>Zillow</v>
      </c>
      <c r="J1268" s="25" t="str">
        <f ca="1">IFERROR(__xludf.DUMMYFUNCTION("""COMPUTED_VALUE"""),"https://www.zillow.com/homedetails/10552-Andasol-Ave-Granada-Hills-CA-91344/20169028_zpid/")</f>
        <v>https://www.zillow.com/homedetails/10552-Andasol-Ave-Granada-Hills-CA-91344/20169028_zpid/</v>
      </c>
      <c r="K1268" s="5"/>
      <c r="L1268" s="5" t="str">
        <f ca="1">IFERROR(__xludf.DUMMYFUNCTION("""COMPUTED_VALUE"""),"Steve")</f>
        <v>Steve</v>
      </c>
      <c r="M1268" s="5"/>
      <c r="N1268" s="26" t="str">
        <f ca="1">IFERROR(__xludf.DUMMYFUNCTION("""COMPUTED_VALUE"""),"https://drive.google.com/open?id=1t1_bKwIb8MjE5hHbsCASw7MKJZSs8wh6")</f>
        <v>https://drive.google.com/open?id=1t1_bKwIb8MjE5hHbsCASw7MKJZSs8wh6</v>
      </c>
      <c r="O1268" s="5">
        <f ca="1">IFERROR(__xludf.DUMMYFUNCTION("""COMPUTED_VALUE"""),2733026049)</f>
        <v>2733026049</v>
      </c>
      <c r="P1268" s="5"/>
      <c r="Q1268" s="5"/>
      <c r="R1268" s="5" t="str">
        <f ca="1">IFERROR(__xludf.DUMMYFUNCTION("""COMPUTED_VALUE"""),"(323) 899-8383")</f>
        <v>(323) 899-8383</v>
      </c>
      <c r="S1268" s="5"/>
      <c r="T1268" s="18">
        <f ca="1">IFERROR(__xludf.DUMMYFUNCTION("""COMPUTED_VALUE"""),44629)</f>
        <v>44629</v>
      </c>
    </row>
    <row r="1269" spans="1:20" ht="12.75">
      <c r="A1269" s="24">
        <f ca="1">IFERROR(__xludf.DUMMYFUNCTION("""COMPUTED_VALUE"""),45673.8012014004)</f>
        <v>45673.801201400398</v>
      </c>
      <c r="B1269" s="5" t="str">
        <f ca="1">IFERROR(__xludf.DUMMYFUNCTION("""COMPUTED_VALUE"""),"4653 1/2 Lincoln Ave, Los Angeles, CA 90041")</f>
        <v>4653 1/2 Lincoln Ave, Los Angeles, CA 90041</v>
      </c>
      <c r="C1269" s="5" t="str">
        <f ca="1">IFERROR(__xludf.DUMMYFUNCTION("""COMPUTED_VALUE"""),"Los Angeles")</f>
        <v>Los Angeles</v>
      </c>
      <c r="D1269" s="5" t="str">
        <f ca="1">IFERROR(__xludf.DUMMYFUNCTION("""COMPUTED_VALUE"""),"CA")</f>
        <v>CA</v>
      </c>
      <c r="E1269" s="5">
        <f ca="1">IFERROR(__xludf.DUMMYFUNCTION("""COMPUTED_VALUE"""),90041)</f>
        <v>90041</v>
      </c>
      <c r="F1269" s="19">
        <f ca="1">IFERROR(__xludf.DUMMYFUNCTION("""COMPUTED_VALUE"""),3600)</f>
        <v>3600</v>
      </c>
      <c r="G1269" s="19">
        <f ca="1">IFERROR(__xludf.DUMMYFUNCTION("""COMPUTED_VALUE"""),4500)</f>
        <v>4500</v>
      </c>
      <c r="H1269" s="18">
        <f ca="1">IFERROR(__xludf.DUMMYFUNCTION("""COMPUTED_VALUE"""),45673)</f>
        <v>45673</v>
      </c>
      <c r="I1269" s="5" t="str">
        <f ca="1">IFERROR(__xludf.DUMMYFUNCTION("""COMPUTED_VALUE"""),"Zillow")</f>
        <v>Zillow</v>
      </c>
      <c r="J1269" s="25" t="str">
        <f ca="1">IFERROR(__xludf.DUMMYFUNCTION("""COMPUTED_VALUE"""),"https://www.zillow.com/homedetails/4653-1-2-Lincoln-Ave-Los-Angeles-CA-90041/2067550115_zpid/")</f>
        <v>https://www.zillow.com/homedetails/4653-1-2-Lincoln-Ave-Los-Angeles-CA-90041/2067550115_zpid/</v>
      </c>
      <c r="K1269" s="5" t="str">
        <f ca="1">IFERROR(__xludf.DUMMYFUNCTION("""COMPUTED_VALUE"""),"Matthew Manner")</f>
        <v>Matthew Manner</v>
      </c>
      <c r="L1269" s="5"/>
      <c r="M1269" s="5" t="str">
        <f ca="1">IFERROR(__xludf.DUMMYFUNCTION("""COMPUTED_VALUE"""),"Looks like it's been vacant/unrented since at least Sept '24 according to Zillow pricing/availability")</f>
        <v>Looks like it's been vacant/unrented since at least Sept '24 according to Zillow pricing/availability</v>
      </c>
      <c r="N1269" s="26" t="str">
        <f ca="1">IFERROR(__xludf.DUMMYFUNCTION("""COMPUTED_VALUE"""),"https://drive.google.com/open?id=1xqqFlJjdxezZYig1oqGk0pj-ouD4t4iE")</f>
        <v>https://drive.google.com/open?id=1xqqFlJjdxezZYig1oqGk0pj-ouD4t4iE</v>
      </c>
      <c r="O1269" s="5" t="str">
        <f ca="1">IFERROR(__xludf.DUMMYFUNCTION("""COMPUTED_VALUE"""),"N/A")</f>
        <v>N/A</v>
      </c>
      <c r="P1269" s="5" t="str">
        <f ca="1">IFERROR(__xludf.DUMMYFUNCTION("""COMPUTED_VALUE"""),"(213) 321-7506")</f>
        <v>(213) 321-7506</v>
      </c>
      <c r="Q1269" s="5"/>
      <c r="R1269" s="5"/>
      <c r="S1269" s="5"/>
      <c r="T1269" s="18">
        <f ca="1">IFERROR(__xludf.DUMMYFUNCTION("""COMPUTED_VALUE"""),45636)</f>
        <v>45636</v>
      </c>
    </row>
    <row r="1270" spans="1:20" ht="12.75">
      <c r="A1270" s="24">
        <f ca="1">IFERROR(__xludf.DUMMYFUNCTION("""COMPUTED_VALUE"""),45673.8080398726)</f>
        <v>45673.808039872602</v>
      </c>
      <c r="B1270" s="5" t="str">
        <f ca="1">IFERROR(__xludf.DUMMYFUNCTION("""COMPUTED_VALUE"""),"1025 S Berendo St #402")</f>
        <v>1025 S Berendo St #402</v>
      </c>
      <c r="C1270" s="5" t="str">
        <f ca="1">IFERROR(__xludf.DUMMYFUNCTION("""COMPUTED_VALUE"""),"Los Angeles")</f>
        <v>Los Angeles</v>
      </c>
      <c r="D1270" s="5" t="str">
        <f ca="1">IFERROR(__xludf.DUMMYFUNCTION("""COMPUTED_VALUE"""),"CA")</f>
        <v>CA</v>
      </c>
      <c r="E1270" s="5">
        <f ca="1">IFERROR(__xludf.DUMMYFUNCTION("""COMPUTED_VALUE"""),90006)</f>
        <v>90006</v>
      </c>
      <c r="F1270" s="19">
        <f ca="1">IFERROR(__xludf.DUMMYFUNCTION("""COMPUTED_VALUE"""),1833)</f>
        <v>1833</v>
      </c>
      <c r="G1270" s="19">
        <f ca="1">IFERROR(__xludf.DUMMYFUNCTION("""COMPUTED_VALUE"""),2175)</f>
        <v>2175</v>
      </c>
      <c r="H1270" s="18">
        <f ca="1">IFERROR(__xludf.DUMMYFUNCTION("""COMPUTED_VALUE"""),45673)</f>
        <v>45673</v>
      </c>
      <c r="I1270" s="5" t="str">
        <f ca="1">IFERROR(__xludf.DUMMYFUNCTION("""COMPUTED_VALUE"""),"Zillow")</f>
        <v>Zillow</v>
      </c>
      <c r="J1270" s="25" t="str">
        <f ca="1">IFERROR(__xludf.DUMMYFUNCTION("""COMPUTED_VALUE"""),"https://www.zillow.com/homedetails/1025-S-Berendo-St-402-Los-Angeles-CA-90006/2078084718_zpid/")</f>
        <v>https://www.zillow.com/homedetails/1025-S-Berendo-St-402-Los-Angeles-CA-90006/2078084718_zpid/</v>
      </c>
      <c r="K1270" s="5" t="str">
        <f ca="1">IFERROR(__xludf.DUMMYFUNCTION("""COMPUTED_VALUE"""),"A. Jessica Shin")</f>
        <v>A. Jessica Shin</v>
      </c>
      <c r="L1270" s="5"/>
      <c r="M1270" s="5" t="str">
        <f ca="1">IFERROR(__xludf.DUMMYFUNCTION("""COMPUTED_VALUE"""),"18.7% price increase from 9/4/2020 on 1/16/25")</f>
        <v>18.7% price increase from 9/4/2020 on 1/16/25</v>
      </c>
      <c r="N1270" s="26" t="str">
        <f ca="1">IFERROR(__xludf.DUMMYFUNCTION("""COMPUTED_VALUE"""),"https://drive.google.com/open?id=1QZFaF5bhgnFjiLPXAHz2p9xk_xWI9IyP")</f>
        <v>https://drive.google.com/open?id=1QZFaF5bhgnFjiLPXAHz2p9xk_xWI9IyP</v>
      </c>
      <c r="O1270" s="5" t="str">
        <f ca="1">IFERROR(__xludf.DUMMYFUNCTION("""COMPUTED_VALUE"""),"NA")</f>
        <v>NA</v>
      </c>
      <c r="P1270" s="5" t="str">
        <f ca="1">IFERROR(__xludf.DUMMYFUNCTION("""COMPUTED_VALUE"""),"(310) 866-9978")</f>
        <v>(310) 866-9978</v>
      </c>
      <c r="Q1270" s="5"/>
      <c r="R1270" s="5"/>
      <c r="S1270" s="5"/>
      <c r="T1270" s="18">
        <f ca="1">IFERROR(__xludf.DUMMYFUNCTION("""COMPUTED_VALUE"""),44078)</f>
        <v>44078</v>
      </c>
    </row>
    <row r="1271" spans="1:20" ht="12.75">
      <c r="A1271" s="24">
        <f ca="1">IFERROR(__xludf.DUMMYFUNCTION("""COMPUTED_VALUE"""),45673.8222252662)</f>
        <v>45673.822225266202</v>
      </c>
      <c r="B1271" s="5" t="str">
        <f ca="1">IFERROR(__xludf.DUMMYFUNCTION("""COMPUTED_VALUE"""),"1255 Hilldale Ave")</f>
        <v>1255 Hilldale Ave</v>
      </c>
      <c r="C1271" s="5" t="str">
        <f ca="1">IFERROR(__xludf.DUMMYFUNCTION("""COMPUTED_VALUE"""),"West Hollywood")</f>
        <v>West Hollywood</v>
      </c>
      <c r="D1271" s="5" t="str">
        <f ca="1">IFERROR(__xludf.DUMMYFUNCTION("""COMPUTED_VALUE"""),"CA")</f>
        <v>CA</v>
      </c>
      <c r="E1271" s="5">
        <f ca="1">IFERROR(__xludf.DUMMYFUNCTION("""COMPUTED_VALUE"""),90069)</f>
        <v>90069</v>
      </c>
      <c r="F1271" s="19">
        <f ca="1">IFERROR(__xludf.DUMMYFUNCTION("""COMPUTED_VALUE"""),14995)</f>
        <v>14995</v>
      </c>
      <c r="G1271" s="19">
        <f ca="1">IFERROR(__xludf.DUMMYFUNCTION("""COMPUTED_VALUE"""),16495)</f>
        <v>16495</v>
      </c>
      <c r="H1271" s="18">
        <f ca="1">IFERROR(__xludf.DUMMYFUNCTION("""COMPUTED_VALUE"""),45673)</f>
        <v>45673</v>
      </c>
      <c r="I1271" s="5" t="str">
        <f ca="1">IFERROR(__xludf.DUMMYFUNCTION("""COMPUTED_VALUE"""),"Redfin")</f>
        <v>Redfin</v>
      </c>
      <c r="J1271" s="25" t="str">
        <f ca="1">IFERROR(__xludf.DUMMYFUNCTION("""COMPUTED_VALUE"""),"https://www.redfin.com/CA/West-Hollywood/1255-Hilldale-Ave-90069/home/7121595#overview")</f>
        <v>https://www.redfin.com/CA/West-Hollywood/1255-Hilldale-Ave-90069/home/7121595#overview</v>
      </c>
      <c r="K1271" s="5" t="str">
        <f ca="1">IFERROR(__xludf.DUMMYFUNCTION("""COMPUTED_VALUE"""),"Arman Shamilian")</f>
        <v>Arman Shamilian</v>
      </c>
      <c r="L1271" s="5"/>
      <c r="M1271" s="5" t="str">
        <f ca="1">IFERROR(__xludf.DUMMYFUNCTION("""COMPUTED_VALUE"""),"Listed (and removed) several times last year, always at $14995; removed in December, at that price, then added post-fires at $16495")</f>
        <v>Listed (and removed) several times last year, always at $14995; removed in December, at that price, then added post-fires at $16495</v>
      </c>
      <c r="N1271" s="26" t="str">
        <f ca="1">IFERROR(__xludf.DUMMYFUNCTION("""COMPUTED_VALUE"""),"https://drive.google.com/open?id=1afFbyx7a-LYjIto1A52DVf7ivAfnOlnY")</f>
        <v>https://drive.google.com/open?id=1afFbyx7a-LYjIto1A52DVf7ivAfnOlnY</v>
      </c>
      <c r="O1271" s="5">
        <f ca="1">IFERROR(__xludf.DUMMYFUNCTION("""COMPUTED_VALUE"""),5560026011)</f>
        <v>5560026011</v>
      </c>
      <c r="P1271" s="5" t="str">
        <f ca="1">IFERROR(__xludf.DUMMYFUNCTION("""COMPUTED_VALUE"""),"310-966-7803")</f>
        <v>310-966-7803</v>
      </c>
      <c r="Q1271" s="5"/>
      <c r="R1271" s="5"/>
      <c r="S1271" s="5"/>
      <c r="T1271" s="18">
        <f ca="1">IFERROR(__xludf.DUMMYFUNCTION("""COMPUTED_VALUE"""),45639)</f>
        <v>45639</v>
      </c>
    </row>
    <row r="1272" spans="1:20" ht="12.75">
      <c r="A1272" s="24">
        <f ca="1">IFERROR(__xludf.DUMMYFUNCTION("""COMPUTED_VALUE"""),45673.825646956)</f>
        <v>45673.825646956</v>
      </c>
      <c r="B1272" s="5" t="str">
        <f ca="1">IFERROR(__xludf.DUMMYFUNCTION("""COMPUTED_VALUE"""),"2222 Canalda Drive")</f>
        <v>2222 Canalda Drive</v>
      </c>
      <c r="C1272" s="5" t="str">
        <f ca="1">IFERROR(__xludf.DUMMYFUNCTION("""COMPUTED_VALUE"""),"La Canada Flintridge")</f>
        <v>La Canada Flintridge</v>
      </c>
      <c r="D1272" s="5" t="str">
        <f ca="1">IFERROR(__xludf.DUMMYFUNCTION("""COMPUTED_VALUE"""),"CA")</f>
        <v>CA</v>
      </c>
      <c r="E1272" s="5">
        <f ca="1">IFERROR(__xludf.DUMMYFUNCTION("""COMPUTED_VALUE"""),91011)</f>
        <v>91011</v>
      </c>
      <c r="F1272" s="19">
        <f ca="1">IFERROR(__xludf.DUMMYFUNCTION("""COMPUTED_VALUE"""),8700)</f>
        <v>8700</v>
      </c>
      <c r="G1272" s="19">
        <f ca="1">IFERROR(__xludf.DUMMYFUNCTION("""COMPUTED_VALUE"""),12000)</f>
        <v>12000</v>
      </c>
      <c r="H1272" s="18">
        <f ca="1">IFERROR(__xludf.DUMMYFUNCTION("""COMPUTED_VALUE"""),45667)</f>
        <v>45667</v>
      </c>
      <c r="I1272" s="26" t="str">
        <f ca="1">IFERROR(__xludf.DUMMYFUNCTION("""COMPUTED_VALUE"""),"Compass.com")</f>
        <v>Compass.com</v>
      </c>
      <c r="J1272" s="25" t="str">
        <f ca="1">IFERROR(__xludf.DUMMYFUNCTION("""COMPUTED_VALUE"""),"https://www.compass.com/app/listing/2222-canalda-drive-la-canada-flintridge-ca-91011/1722841017790625713")</f>
        <v>https://www.compass.com/app/listing/2222-canalda-drive-la-canada-flintridge-ca-91011/1722841017790625713</v>
      </c>
      <c r="K1272" s="5" t="str">
        <f ca="1">IFERROR(__xludf.DUMMYFUNCTION("""COMPUTED_VALUE"""),"Mike Kobeissi")</f>
        <v>Mike Kobeissi</v>
      </c>
      <c r="L1272" s="5" t="str">
        <f ca="1">IFERROR(__xludf.DUMMYFUNCTION("""COMPUTED_VALUE"""),"Michael M. Moore, Franklin, TN")</f>
        <v>Michael M. Moore, Franklin, TN</v>
      </c>
      <c r="M1272" s="5" t="str">
        <f ca="1">IFERROR(__xludf.DUMMYFUNCTION("""COMPUTED_VALUE"""),"Clients applied for it and were accepted at $8700. Then told the ""new price"" was $12k.")</f>
        <v>Clients applied for it and were accepted at $8700. Then told the "new price" was $12k.</v>
      </c>
      <c r="N1272" s="26" t="str">
        <f ca="1">IFERROR(__xludf.DUMMYFUNCTION("""COMPUTED_VALUE"""),"https://drive.google.com/open?id=1uBHI8XlmI-AmzXNoGWOKrr3xCJ8GxC5r")</f>
        <v>https://drive.google.com/open?id=1uBHI8XlmI-AmzXNoGWOKrr3xCJ8GxC5r</v>
      </c>
      <c r="O1272" s="5">
        <f ca="1">IFERROR(__xludf.DUMMYFUNCTION("""COMPUTED_VALUE"""),5870024002)</f>
        <v>5870024002</v>
      </c>
      <c r="P1272" s="26" t="str">
        <f ca="1">IFERROR(__xludf.DUMMYFUNCTION("""COMPUTED_VALUE"""),"https://www.compass.com/app/listing/2222-canalda-drive-la-canada-flintridge-ca-91011/1722841017790625713")</f>
        <v>https://www.compass.com/app/listing/2222-canalda-drive-la-canada-flintridge-ca-91011/1722841017790625713</v>
      </c>
      <c r="Q1272" s="5" t="str">
        <f ca="1">IFERROR(__xludf.DUMMYFUNCTION("""COMPUTED_VALUE"""),"mike@lacanada.com")</f>
        <v>mike@lacanada.com</v>
      </c>
      <c r="R1272" s="5"/>
      <c r="S1272" s="5"/>
      <c r="T1272" s="18">
        <f ca="1">IFERROR(__xludf.DUMMYFUNCTION("""COMPUTED_VALUE"""),45628)</f>
        <v>45628</v>
      </c>
    </row>
    <row r="1273" spans="1:20" ht="12.75">
      <c r="A1273" s="24">
        <f ca="1">IFERROR(__xludf.DUMMYFUNCTION("""COMPUTED_VALUE"""),45673.8299580208)</f>
        <v>45673.829958020797</v>
      </c>
      <c r="B1273" s="5" t="str">
        <f ca="1">IFERROR(__xludf.DUMMYFUNCTION("""COMPUTED_VALUE"""),"11906 Gorham Ave. Apt #8")</f>
        <v>11906 Gorham Ave. Apt #8</v>
      </c>
      <c r="C1273" s="5" t="str">
        <f ca="1">IFERROR(__xludf.DUMMYFUNCTION("""COMPUTED_VALUE"""),"Los Angeles")</f>
        <v>Los Angeles</v>
      </c>
      <c r="D1273" s="5" t="str">
        <f ca="1">IFERROR(__xludf.DUMMYFUNCTION("""COMPUTED_VALUE"""),"CA")</f>
        <v>CA</v>
      </c>
      <c r="E1273" s="5">
        <f ca="1">IFERROR(__xludf.DUMMYFUNCTION("""COMPUTED_VALUE"""),90049)</f>
        <v>90049</v>
      </c>
      <c r="F1273" s="19">
        <f ca="1">IFERROR(__xludf.DUMMYFUNCTION("""COMPUTED_VALUE"""),3450)</f>
        <v>3450</v>
      </c>
      <c r="G1273" s="19">
        <f ca="1">IFERROR(__xludf.DUMMYFUNCTION("""COMPUTED_VALUE"""),4345)</f>
        <v>4345</v>
      </c>
      <c r="H1273" s="18">
        <f ca="1">IFERROR(__xludf.DUMMYFUNCTION("""COMPUTED_VALUE"""),45674)</f>
        <v>45674</v>
      </c>
      <c r="I1273" s="5" t="str">
        <f ca="1">IFERROR(__xludf.DUMMYFUNCTION("""COMPUTED_VALUE"""),"Zillow")</f>
        <v>Zillow</v>
      </c>
      <c r="J1273" s="25" t="str">
        <f ca="1">IFERROR(__xludf.DUMMYFUNCTION("""COMPUTED_VALUE"""),"https://www.zillow.com/homedetails/11906-Gorham-Ave-APT-8-Los-Angeles-CA-90049/79804545_zpid/")</f>
        <v>https://www.zillow.com/homedetails/11906-Gorham-Ave-APT-8-Los-Angeles-CA-90049/79804545_zpid/</v>
      </c>
      <c r="K1273" s="5" t="str">
        <f ca="1">IFERROR(__xludf.DUMMYFUNCTION("""COMPUTED_VALUE"""),"Derek Buchanan")</f>
        <v>Derek Buchanan</v>
      </c>
      <c r="L1273" s="5" t="str">
        <f ca="1">IFERROR(__xludf.DUMMYFUNCTION("""COMPUTED_VALUE"""),"Derek Buchanan")</f>
        <v>Derek Buchanan</v>
      </c>
      <c r="M1273" s="5"/>
      <c r="N1273" s="26" t="str">
        <f ca="1">IFERROR(__xludf.DUMMYFUNCTION("""COMPUTED_VALUE"""),"https://drive.google.com/open?id=13qXPLOZ4BLBAg5d61mMp1Bu_TxcV4ieV")</f>
        <v>https://drive.google.com/open?id=13qXPLOZ4BLBAg5d61mMp1Bu_TxcV4ieV</v>
      </c>
      <c r="O1273" s="5">
        <f ca="1">IFERROR(__xludf.DUMMYFUNCTION("""COMPUTED_VALUE"""),4265020115)</f>
        <v>4265020115</v>
      </c>
      <c r="P1273" s="5" t="str">
        <f ca="1">IFERROR(__xludf.DUMMYFUNCTION("""COMPUTED_VALUE"""),"(213) 474-8240")</f>
        <v>(213) 474-8240</v>
      </c>
      <c r="Q1273" s="5"/>
      <c r="R1273" s="5" t="str">
        <f ca="1">IFERROR(__xludf.DUMMYFUNCTION("""COMPUTED_VALUE"""),"(213) 474-8240")</f>
        <v>(213) 474-8240</v>
      </c>
      <c r="S1273" s="5"/>
      <c r="T1273" s="18">
        <f ca="1">IFERROR(__xludf.DUMMYFUNCTION("""COMPUTED_VALUE"""),45645)</f>
        <v>45645</v>
      </c>
    </row>
    <row r="1274" spans="1:20" ht="12.75">
      <c r="A1274" s="24">
        <f ca="1">IFERROR(__xludf.DUMMYFUNCTION("""COMPUTED_VALUE"""),45673.8353695833)</f>
        <v>45673.835369583299</v>
      </c>
      <c r="B1274" s="5" t="str">
        <f ca="1">IFERROR(__xludf.DUMMYFUNCTION("""COMPUTED_VALUE"""),"14614 Deervale Pl")</f>
        <v>14614 Deervale Pl</v>
      </c>
      <c r="C1274" s="5" t="str">
        <f ca="1">IFERROR(__xludf.DUMMYFUNCTION("""COMPUTED_VALUE"""),"Sherman Oaks")</f>
        <v>Sherman Oaks</v>
      </c>
      <c r="D1274" s="5" t="str">
        <f ca="1">IFERROR(__xludf.DUMMYFUNCTION("""COMPUTED_VALUE"""),"CA")</f>
        <v>CA</v>
      </c>
      <c r="E1274" s="5">
        <f ca="1">IFERROR(__xludf.DUMMYFUNCTION("""COMPUTED_VALUE"""),91403)</f>
        <v>91403</v>
      </c>
      <c r="F1274" s="19">
        <f ca="1">IFERROR(__xludf.DUMMYFUNCTION("""COMPUTED_VALUE"""),20000)</f>
        <v>20000</v>
      </c>
      <c r="G1274" s="19">
        <f ca="1">IFERROR(__xludf.DUMMYFUNCTION("""COMPUTED_VALUE"""),35000)</f>
        <v>35000</v>
      </c>
      <c r="H1274" s="18">
        <f ca="1">IFERROR(__xludf.DUMMYFUNCTION("""COMPUTED_VALUE"""),45674)</f>
        <v>45674</v>
      </c>
      <c r="I1274" s="5" t="str">
        <f ca="1">IFERROR(__xludf.DUMMYFUNCTION("""COMPUTED_VALUE"""),"Zillow")</f>
        <v>Zillow</v>
      </c>
      <c r="J1274" s="25" t="str">
        <f ca="1">IFERROR(__xludf.DUMMYFUNCTION("""COMPUTED_VALUE"""),"https://www.zillow.com/homedetails/14614-Deervale-Pl-Sherman-Oaks-CA-91403/19987926_zpid/")</f>
        <v>https://www.zillow.com/homedetails/14614-Deervale-Pl-Sherman-Oaks-CA-91403/19987926_zpid/</v>
      </c>
      <c r="K1274" s="5" t="str">
        <f ca="1">IFERROR(__xludf.DUMMYFUNCTION("""COMPUTED_VALUE"""),"Matthew Karic (Equity Union)")</f>
        <v>Matthew Karic (Equity Union)</v>
      </c>
      <c r="L1274" s="5"/>
      <c r="M1274" s="5" t="str">
        <f ca="1">IFERROR(__xludf.DUMMYFUNCTION("""COMPUTED_VALUE"""),"Last listed this time last year, for 75% less")</f>
        <v>Last listed this time last year, for 75% less</v>
      </c>
      <c r="N1274" s="26" t="str">
        <f ca="1">IFERROR(__xludf.DUMMYFUNCTION("""COMPUTED_VALUE"""),"https://drive.google.com/open?id=19aIia90l2mZ0FlNG12s4FeFiDYs25OLl")</f>
        <v>https://drive.google.com/open?id=19aIia90l2mZ0FlNG12s4FeFiDYs25OLl</v>
      </c>
      <c r="O1274" s="5">
        <f ca="1">IFERROR(__xludf.DUMMYFUNCTION("""COMPUTED_VALUE"""),2275022008)</f>
        <v>2275022008</v>
      </c>
      <c r="P1274" s="5" t="str">
        <f ca="1">IFERROR(__xludf.DUMMYFUNCTION("""COMPUTED_VALUE"""),"(818) 388-3859")</f>
        <v>(818) 388-3859</v>
      </c>
      <c r="Q1274" s="5"/>
      <c r="R1274" s="5"/>
      <c r="S1274" s="5"/>
      <c r="T1274" s="18">
        <f ca="1">IFERROR(__xludf.DUMMYFUNCTION("""COMPUTED_VALUE"""),45310)</f>
        <v>45310</v>
      </c>
    </row>
    <row r="1275" spans="1:20" ht="12.75">
      <c r="A1275" s="24">
        <f ca="1">IFERROR(__xludf.DUMMYFUNCTION("""COMPUTED_VALUE"""),45673.835963368)</f>
        <v>45673.835963368001</v>
      </c>
      <c r="B1275" s="5" t="str">
        <f ca="1">IFERROR(__xludf.DUMMYFUNCTION("""COMPUTED_VALUE"""),"5938 Echo Street")</f>
        <v>5938 Echo Street</v>
      </c>
      <c r="C1275" s="5" t="str">
        <f ca="1">IFERROR(__xludf.DUMMYFUNCTION("""COMPUTED_VALUE"""),"Los Angeles")</f>
        <v>Los Angeles</v>
      </c>
      <c r="D1275" s="5" t="str">
        <f ca="1">IFERROR(__xludf.DUMMYFUNCTION("""COMPUTED_VALUE"""),"CA")</f>
        <v>CA</v>
      </c>
      <c r="E1275" s="5">
        <f ca="1">IFERROR(__xludf.DUMMYFUNCTION("""COMPUTED_VALUE"""),90039)</f>
        <v>90039</v>
      </c>
      <c r="F1275" s="19">
        <f ca="1">IFERROR(__xludf.DUMMYFUNCTION("""COMPUTED_VALUE"""),4900)</f>
        <v>4900</v>
      </c>
      <c r="G1275" s="19">
        <f ca="1">IFERROR(__xludf.DUMMYFUNCTION("""COMPUTED_VALUE"""),5500)</f>
        <v>5500</v>
      </c>
      <c r="H1275" s="18">
        <f ca="1">IFERROR(__xludf.DUMMYFUNCTION("""COMPUTED_VALUE"""),45670)</f>
        <v>45670</v>
      </c>
      <c r="I1275" s="5" t="str">
        <f ca="1">IFERROR(__xludf.DUMMYFUNCTION("""COMPUTED_VALUE"""),"Zillow")</f>
        <v>Zillow</v>
      </c>
      <c r="J1275" s="25" t="str">
        <f ca="1">IFERROR(__xludf.DUMMYFUNCTION("""COMPUTED_VALUE"""),"https://www.zillow.com/homedetails/5938-E-Echo-St-Los-Angeles-CA-90042/20772488_zpid/")</f>
        <v>https://www.zillow.com/homedetails/5938-E-Echo-St-Los-Angeles-CA-90042/20772488_zpid/</v>
      </c>
      <c r="K1275" s="5" t="str">
        <f ca="1">IFERROR(__xludf.DUMMYFUNCTION("""COMPUTED_VALUE"""),"Dae Hur")</f>
        <v>Dae Hur</v>
      </c>
      <c r="L1275" s="5"/>
      <c r="M1275" s="5"/>
      <c r="N1275" s="26" t="str">
        <f ca="1">IFERROR(__xludf.DUMMYFUNCTION("""COMPUTED_VALUE"""),"https://drive.google.com/open?id=1DA7i4Vy24eMm4NyvDiHQWs5RMu1MZ6bp")</f>
        <v>https://drive.google.com/open?id=1DA7i4Vy24eMm4NyvDiHQWs5RMu1MZ6bp</v>
      </c>
      <c r="O1275" s="5">
        <f ca="1">IFERROR(__xludf.DUMMYFUNCTION("""COMPUTED_VALUE"""),5492016007)</f>
        <v>5492016007</v>
      </c>
      <c r="P1275" s="5" t="str">
        <f ca="1">IFERROR(__xludf.DUMMYFUNCTION("""COMPUTED_VALUE"""),"323-762-2600")</f>
        <v>323-762-2600</v>
      </c>
      <c r="Q1275" s="5" t="str">
        <f ca="1">IFERROR(__xludf.DUMMYFUNCTION("""COMPUTED_VALUE"""),"daehur@kw.com")</f>
        <v>daehur@kw.com</v>
      </c>
      <c r="R1275" s="5"/>
      <c r="S1275" s="5"/>
      <c r="T1275" s="18">
        <f ca="1">IFERROR(__xludf.DUMMYFUNCTION("""COMPUTED_VALUE"""),45634)</f>
        <v>45634</v>
      </c>
    </row>
    <row r="1276" spans="1:20" ht="12.75">
      <c r="A1276" s="24">
        <f ca="1">IFERROR(__xludf.DUMMYFUNCTION("""COMPUTED_VALUE"""),45673.88402478)</f>
        <v>45673.884024780004</v>
      </c>
      <c r="B1276" s="5" t="str">
        <f ca="1">IFERROR(__xludf.DUMMYFUNCTION("""COMPUTED_VALUE"""),"5902 fallbrook ave")</f>
        <v>5902 fallbrook ave</v>
      </c>
      <c r="C1276" s="5" t="str">
        <f ca="1">IFERROR(__xludf.DUMMYFUNCTION("""COMPUTED_VALUE"""),"Woodland hills ")</f>
        <v xml:space="preserve">Woodland hills </v>
      </c>
      <c r="D1276" s="5" t="str">
        <f ca="1">IFERROR(__xludf.DUMMYFUNCTION("""COMPUTED_VALUE"""),"CA")</f>
        <v>CA</v>
      </c>
      <c r="E1276" s="5">
        <f ca="1">IFERROR(__xludf.DUMMYFUNCTION("""COMPUTED_VALUE"""),91367)</f>
        <v>91367</v>
      </c>
      <c r="F1276" s="19">
        <f ca="1">IFERROR(__xludf.DUMMYFUNCTION("""COMPUTED_VALUE"""),4300)</f>
        <v>4300</v>
      </c>
      <c r="G1276" s="19">
        <f ca="1">IFERROR(__xludf.DUMMYFUNCTION("""COMPUTED_VALUE"""),7500)</f>
        <v>7500</v>
      </c>
      <c r="H1276" s="18">
        <f ca="1">IFERROR(__xludf.DUMMYFUNCTION("""COMPUTED_VALUE"""),45672)</f>
        <v>45672</v>
      </c>
      <c r="I1276" s="5" t="str">
        <f ca="1">IFERROR(__xludf.DUMMYFUNCTION("""COMPUTED_VALUE"""),"Zillow")</f>
        <v>Zillow</v>
      </c>
      <c r="J1276" s="25" t="str">
        <f ca="1">IFERROR(__xludf.DUMMYFUNCTION("""COMPUTED_VALUE"""),"https://www.zillow.com/homedetails/5902-Fallbrook-Ave-Woodland-Hills-CA-91367/19877809_zpid/")</f>
        <v>https://www.zillow.com/homedetails/5902-Fallbrook-Ave-Woodland-Hills-CA-91367/19877809_zpid/</v>
      </c>
      <c r="K1276" s="5"/>
      <c r="L1276" s="5"/>
      <c r="M1276" s="5"/>
      <c r="N1276" s="26" t="str">
        <f ca="1">IFERROR(__xludf.DUMMYFUNCTION("""COMPUTED_VALUE"""),"https://drive.google.com/open?id=10NUhcb1fxst7pv-NrH4E4VoleCxKJPap")</f>
        <v>https://drive.google.com/open?id=10NUhcb1fxst7pv-NrH4E4VoleCxKJPap</v>
      </c>
      <c r="O1276" s="5">
        <f ca="1">IFERROR(__xludf.DUMMYFUNCTION("""COMPUTED_VALUE"""),2040003013)</f>
        <v>2040003013</v>
      </c>
      <c r="P1276" s="5"/>
      <c r="Q1276" s="5"/>
      <c r="R1276" s="5"/>
      <c r="S1276" s="5"/>
      <c r="T1276" s="18">
        <f ca="1">IFERROR(__xludf.DUMMYFUNCTION("""COMPUTED_VALUE"""),44826)</f>
        <v>44826</v>
      </c>
    </row>
    <row r="1277" spans="1:20" ht="12.75">
      <c r="A1277" s="24">
        <f ca="1">IFERROR(__xludf.DUMMYFUNCTION("""COMPUTED_VALUE"""),45673.8878959027)</f>
        <v>45673.887895902699</v>
      </c>
      <c r="B1277" s="5" t="str">
        <f ca="1">IFERROR(__xludf.DUMMYFUNCTION("""COMPUTED_VALUE"""),"5623 Denny Ave")</f>
        <v>5623 Denny Ave</v>
      </c>
      <c r="C1277" s="5" t="str">
        <f ca="1">IFERROR(__xludf.DUMMYFUNCTION("""COMPUTED_VALUE"""),"North Hollywood ")</f>
        <v xml:space="preserve">North Hollywood </v>
      </c>
      <c r="D1277" s="5" t="str">
        <f ca="1">IFERROR(__xludf.DUMMYFUNCTION("""COMPUTED_VALUE"""),"CA")</f>
        <v>CA</v>
      </c>
      <c r="E1277" s="5">
        <f ca="1">IFERROR(__xludf.DUMMYFUNCTION("""COMPUTED_VALUE"""),91601)</f>
        <v>91601</v>
      </c>
      <c r="F1277" s="19">
        <f ca="1">IFERROR(__xludf.DUMMYFUNCTION("""COMPUTED_VALUE"""),3200)</f>
        <v>3200</v>
      </c>
      <c r="G1277" s="19">
        <f ca="1">IFERROR(__xludf.DUMMYFUNCTION("""COMPUTED_VALUE"""),4250)</f>
        <v>4250</v>
      </c>
      <c r="H1277" s="18">
        <f ca="1">IFERROR(__xludf.DUMMYFUNCTION("""COMPUTED_VALUE"""),45673)</f>
        <v>45673</v>
      </c>
      <c r="I1277" s="5" t="str">
        <f ca="1">IFERROR(__xludf.DUMMYFUNCTION("""COMPUTED_VALUE"""),"Zillow")</f>
        <v>Zillow</v>
      </c>
      <c r="J1277" s="25" t="str">
        <f ca="1">IFERROR(__xludf.DUMMYFUNCTION("""COMPUTED_VALUE"""),"https://www.zillow.com/homedetails/5623-Denny-Ave-North-Hollywood-CA-91601/20040601_zpid/")</f>
        <v>https://www.zillow.com/homedetails/5623-Denny-Ave-North-Hollywood-CA-91601/20040601_zpid/</v>
      </c>
      <c r="K1277" s="5"/>
      <c r="L1277" s="5"/>
      <c r="M1277" s="5"/>
      <c r="N1277" s="26" t="str">
        <f ca="1">IFERROR(__xludf.DUMMYFUNCTION("""COMPUTED_VALUE"""),"https://drive.google.com/open?id=1UX8zjvID7gba4coXqrctwXPBzNfZ4D2n")</f>
        <v>https://drive.google.com/open?id=1UX8zjvID7gba4coXqrctwXPBzNfZ4D2n</v>
      </c>
      <c r="O1277" s="5">
        <f ca="1">IFERROR(__xludf.DUMMYFUNCTION("""COMPUTED_VALUE"""),2415018007)</f>
        <v>2415018007</v>
      </c>
      <c r="P1277" s="5"/>
      <c r="Q1277" s="5"/>
      <c r="R1277" s="5"/>
      <c r="S1277" s="5"/>
      <c r="T1277" s="18">
        <f ca="1">IFERROR(__xludf.DUMMYFUNCTION("""COMPUTED_VALUE"""),43025)</f>
        <v>43025</v>
      </c>
    </row>
    <row r="1278" spans="1:20" ht="12.75">
      <c r="A1278" s="24">
        <f ca="1">IFERROR(__xludf.DUMMYFUNCTION("""COMPUTED_VALUE"""),45673.8931323726)</f>
        <v>45673.893132372599</v>
      </c>
      <c r="B1278" s="5" t="str">
        <f ca="1">IFERROR(__xludf.DUMMYFUNCTION("""COMPUTED_VALUE"""),"530 W Knoll Dr APT E ")</f>
        <v xml:space="preserve">530 W Knoll Dr APT E </v>
      </c>
      <c r="C1278" s="5" t="str">
        <f ca="1">IFERROR(__xludf.DUMMYFUNCTION("""COMPUTED_VALUE"""),"Los Angeles ")</f>
        <v xml:space="preserve">Los Angeles </v>
      </c>
      <c r="D1278" s="5" t="str">
        <f ca="1">IFERROR(__xludf.DUMMYFUNCTION("""COMPUTED_VALUE"""),"CA")</f>
        <v>CA</v>
      </c>
      <c r="E1278" s="5">
        <f ca="1">IFERROR(__xludf.DUMMYFUNCTION("""COMPUTED_VALUE"""),90048)</f>
        <v>90048</v>
      </c>
      <c r="F1278" s="19">
        <f ca="1">IFERROR(__xludf.DUMMYFUNCTION("""COMPUTED_VALUE"""),2295)</f>
        <v>2295</v>
      </c>
      <c r="G1278" s="19">
        <f ca="1">IFERROR(__xludf.DUMMYFUNCTION("""COMPUTED_VALUE"""),3495)</f>
        <v>3495</v>
      </c>
      <c r="H1278" s="18">
        <f ca="1">IFERROR(__xludf.DUMMYFUNCTION("""COMPUTED_VALUE"""),45674)</f>
        <v>45674</v>
      </c>
      <c r="I1278" s="5" t="str">
        <f ca="1">IFERROR(__xludf.DUMMYFUNCTION("""COMPUTED_VALUE"""),"Zillow")</f>
        <v>Zillow</v>
      </c>
      <c r="J1278" s="25" t="str">
        <f ca="1">IFERROR(__xludf.DUMMYFUNCTION("""COMPUTED_VALUE"""),"https://www.zillow.com/homedetails/530-W-Knoll-Dr-APT-E-Los-Angeles-CA-90048/442348777_zpid/?utm_campaign=iosappmessage&amp;utm_medium=referral&amp;utm_source=txtshare")</f>
        <v>https://www.zillow.com/homedetails/530-W-Knoll-Dr-APT-E-Los-Angeles-CA-90048/442348777_zpid/?utm_campaign=iosappmessage&amp;utm_medium=referral&amp;utm_source=txtshare</v>
      </c>
      <c r="K1278" s="5"/>
      <c r="L1278" s="5"/>
      <c r="M1278" s="5"/>
      <c r="N1278" s="5" t="str">
        <f ca="1">IFERROR(__xludf.DUMMYFUNCTION("""COMPUTED_VALUE"""),"https://drive.google.com/open?id=1So2CevUHropJ4G-n4JgRJ_0G5AKnzv9U, https://drive.google.com/open?id=1tQ00gi4e4IGhWJ_UQY9-mzX5bu7R_q_6")</f>
        <v>https://drive.google.com/open?id=1So2CevUHropJ4G-n4JgRJ_0G5AKnzv9U, https://drive.google.com/open?id=1tQ00gi4e4IGhWJ_UQY9-mzX5bu7R_q_6</v>
      </c>
      <c r="O1278" s="5" t="str">
        <f ca="1">IFERROR(__xludf.DUMMYFUNCTION("""COMPUTED_VALUE"""),"NA")</f>
        <v>NA</v>
      </c>
      <c r="P1278" s="5"/>
      <c r="Q1278" s="5"/>
      <c r="R1278" s="5"/>
      <c r="S1278" s="5"/>
      <c r="T1278" s="18">
        <f ca="1">IFERROR(__xludf.DUMMYFUNCTION("""COMPUTED_VALUE"""),45623)</f>
        <v>45623</v>
      </c>
    </row>
    <row r="1279" spans="1:20" ht="12.75">
      <c r="A1279" s="24">
        <f ca="1">IFERROR(__xludf.DUMMYFUNCTION("""COMPUTED_VALUE"""),45673.9082524537)</f>
        <v>45673.908252453701</v>
      </c>
      <c r="B1279" s="5" t="str">
        <f ca="1">IFERROR(__xludf.DUMMYFUNCTION("""COMPUTED_VALUE"""),"404 S Westgate Ave")</f>
        <v>404 S Westgate Ave</v>
      </c>
      <c r="C1279" s="5" t="str">
        <f ca="1">IFERROR(__xludf.DUMMYFUNCTION("""COMPUTED_VALUE"""),"Los Angeles")</f>
        <v>Los Angeles</v>
      </c>
      <c r="D1279" s="5" t="str">
        <f ca="1">IFERROR(__xludf.DUMMYFUNCTION("""COMPUTED_VALUE"""),"CA")</f>
        <v>CA</v>
      </c>
      <c r="E1279" s="5">
        <f ca="1">IFERROR(__xludf.DUMMYFUNCTION("""COMPUTED_VALUE"""),90049)</f>
        <v>90049</v>
      </c>
      <c r="F1279" s="19">
        <f ca="1">IFERROR(__xludf.DUMMYFUNCTION("""COMPUTED_VALUE"""),14500)</f>
        <v>14500</v>
      </c>
      <c r="G1279" s="19">
        <f ca="1">IFERROR(__xludf.DUMMYFUNCTION("""COMPUTED_VALUE"""),50000)</f>
        <v>50000</v>
      </c>
      <c r="H1279" s="18">
        <f ca="1">IFERROR(__xludf.DUMMYFUNCTION("""COMPUTED_VALUE"""),45661)</f>
        <v>45661</v>
      </c>
      <c r="I1279" s="5" t="str">
        <f ca="1">IFERROR(__xludf.DUMMYFUNCTION("""COMPUTED_VALUE"""),"MLS")</f>
        <v>MLS</v>
      </c>
      <c r="J1279" s="25" t="str">
        <f ca="1">IFERROR(__xludf.DUMMYFUNCTION("""COMPUTED_VALUE"""),"https://www.compass.com/listing/404-south-westgate-avenue-los-angeles-ca-90049/1754535184085322921/?origin=listing_page&amp;origin_type=copy_url&amp;agent_id=668c3fcf1e6b880001a264b7")</f>
        <v>https://www.compass.com/listing/404-south-westgate-avenue-los-angeles-ca-90049/1754535184085322921/?origin=listing_page&amp;origin_type=copy_url&amp;agent_id=668c3fcf1e6b880001a264b7</v>
      </c>
      <c r="K1279" s="5" t="str">
        <f ca="1">IFERROR(__xludf.DUMMYFUNCTION("""COMPUTED_VALUE"""),"Jimmy Heckenberg")</f>
        <v>Jimmy Heckenberg</v>
      </c>
      <c r="L1279" s="5" t="str">
        <f ca="1">IFERROR(__xludf.DUMMYFUNCTION("""COMPUTED_VALUE"""),"Stansbury Properties LLC")</f>
        <v>Stansbury Properties LLC</v>
      </c>
      <c r="M1279" s="5"/>
      <c r="N1279" s="5" t="str">
        <f ca="1">IFERROR(__xludf.DUMMYFUNCTION("""COMPUTED_VALUE"""),"https://drive.google.com/open?id=12Li6VDeBb0nWwifVUoSdzKq7BEm96i7m, https://drive.google.com/open?id=1ji-uJjTnON2MqdPboDLKcVfzmCCitHnY")</f>
        <v>https://drive.google.com/open?id=12Li6VDeBb0nWwifVUoSdzKq7BEm96i7m, https://drive.google.com/open?id=1ji-uJjTnON2MqdPboDLKcVfzmCCitHnY</v>
      </c>
      <c r="O1279" s="5" t="str">
        <f ca="1">IFERROR(__xludf.DUMMYFUNCTION("""COMPUTED_VALUE""")," 4401-005-034")</f>
        <v xml:space="preserve"> 4401-005-034</v>
      </c>
      <c r="P1279" s="5" t="str">
        <f ca="1">IFERROR(__xludf.DUMMYFUNCTION("""COMPUTED_VALUE"""),"(310)-650-1116")</f>
        <v>(310)-650-1116</v>
      </c>
      <c r="Q1279" s="5" t="str">
        <f ca="1">IFERROR(__xludf.DUMMYFUNCTION("""COMPUTED_VALUE"""),"JimmyHeck@HRGestates.com")</f>
        <v>JimmyHeck@HRGestates.com</v>
      </c>
      <c r="R1279" s="5"/>
      <c r="S1279" s="5"/>
      <c r="T1279" s="18">
        <f ca="1">IFERROR(__xludf.DUMMYFUNCTION("""COMPUTED_VALUE"""),43700)</f>
        <v>43700</v>
      </c>
    </row>
    <row r="1280" spans="1:20" ht="12.75">
      <c r="A1280" s="24">
        <f ca="1">IFERROR(__xludf.DUMMYFUNCTION("""COMPUTED_VALUE"""),45674.0216965162)</f>
        <v>45674.021696516204</v>
      </c>
      <c r="B1280" s="5" t="str">
        <f ca="1">IFERROR(__xludf.DUMMYFUNCTION("""COMPUTED_VALUE"""),"3600 barham blvd Los Angeles CA 90068")</f>
        <v>3600 barham blvd Los Angeles CA 90068</v>
      </c>
      <c r="C1280" s="5" t="str">
        <f ca="1">IFERROR(__xludf.DUMMYFUNCTION("""COMPUTED_VALUE"""),"Los Angeles")</f>
        <v>Los Angeles</v>
      </c>
      <c r="D1280" s="5" t="str">
        <f ca="1">IFERROR(__xludf.DUMMYFUNCTION("""COMPUTED_VALUE"""),"CA")</f>
        <v>CA</v>
      </c>
      <c r="E1280" s="5">
        <f ca="1">IFERROR(__xludf.DUMMYFUNCTION("""COMPUTED_VALUE"""),90068)</f>
        <v>90068</v>
      </c>
      <c r="F1280" s="19">
        <f ca="1">IFERROR(__xludf.DUMMYFUNCTION("""COMPUTED_VALUE"""),3545)</f>
        <v>3545</v>
      </c>
      <c r="G1280" s="19">
        <f ca="1">IFERROR(__xludf.DUMMYFUNCTION("""COMPUTED_VALUE"""),3855)</f>
        <v>3855</v>
      </c>
      <c r="H1280" s="18">
        <f ca="1">IFERROR(__xludf.DUMMYFUNCTION("""COMPUTED_VALUE"""),45669)</f>
        <v>45669</v>
      </c>
      <c r="I1280" s="26" t="str">
        <f ca="1">IFERROR(__xludf.DUMMYFUNCTION("""COMPUTED_VALUE"""),"https://www.avaloncommunities.com/california/los-angeles-apartments/ava-toluca-hills/")</f>
        <v>https://www.avaloncommunities.com/california/los-angeles-apartments/ava-toluca-hills/</v>
      </c>
      <c r="J1280" s="25" t="str">
        <f ca="1">IFERROR(__xludf.DUMMYFUNCTION("""COMPUTED_VALUE"""),"https://www.avaloncommunities.com/california/los-angeles-apartments/ava-toluca-hills/apartment/CA573-CA573-00B-110/?furnished=false&amp;moveInDate=01%2F18%2F2025&amp;leaseTerm=13")</f>
        <v>https://www.avaloncommunities.com/california/los-angeles-apartments/ava-toluca-hills/apartment/CA573-CA573-00B-110/?furnished=false&amp;moveInDate=01%2F18%2F2025&amp;leaseTerm=13</v>
      </c>
      <c r="K1280" s="5" t="str">
        <f ca="1">IFERROR(__xludf.DUMMYFUNCTION("""COMPUTED_VALUE"""),"Lisa B Bongardt - operations for South CA ")</f>
        <v xml:space="preserve">Lisa B Bongardt - operations for South CA </v>
      </c>
      <c r="L1280" s="5" t="str">
        <f ca="1">IFERROR(__xludf.DUMMYFUNCTION("""COMPUTED_VALUE"""),"Benjamin W Schall CEO ")</f>
        <v xml:space="preserve">Benjamin W Schall CEO </v>
      </c>
      <c r="M1280" s="5" t="str">
        <f ca="1">IFERROR(__xludf.DUMMYFUNCTION("""COMPUTED_VALUE"""),"They've since adjusted the rental price (possibly due to complaints), but at least we have photos! The property is rent-controlled, but they increase the rent to the maximum allowed every year like clockwork. Recent reviews detail many of the resident com"&amp;"plaints https://www.yelp.com/biz/ava-toluca-hills-los-angeles?osq=Ava+Toluca+Hills&amp;override_cta=Request+information")</f>
        <v>They've since adjusted the rental price (possibly due to complaints), but at least we have photos! The property is rent-controlled, but they increase the rent to the maximum allowed every year like clockwork. Recent reviews detail many of the resident complaints https://www.yelp.com/biz/ava-toluca-hills-los-angeles?osq=Ava+Toluca+Hills&amp;override_cta=Request+information</v>
      </c>
      <c r="N1280" s="26" t="str">
        <f ca="1">IFERROR(__xludf.DUMMYFUNCTION("""COMPUTED_VALUE"""),"https://drive.google.com/open?id=1ttc2VbP_MIbnh69Iq6u248kNXKmN1x56")</f>
        <v>https://drive.google.com/open?id=1ttc2VbP_MIbnh69Iq6u248kNXKmN1x56</v>
      </c>
      <c r="O1280" s="5" t="str">
        <f ca="1">IFERROR(__xludf.DUMMYFUNCTION("""COMPUTED_VALUE"""),"NA")</f>
        <v>NA</v>
      </c>
      <c r="P1280" s="5" t="str">
        <f ca="1">IFERROR(__xludf.DUMMYFUNCTION("""COMPUTED_VALUE"""),"703-851-1561")</f>
        <v>703-851-1561</v>
      </c>
      <c r="Q1280" s="5"/>
      <c r="R1280" s="5" t="str">
        <f ca="1">IFERROR(__xludf.DUMMYFUNCTION("""COMPUTED_VALUE"""),"917-701-7398")</f>
        <v>917-701-7398</v>
      </c>
      <c r="S1280" s="5"/>
      <c r="T1280" s="18">
        <f ca="1">IFERROR(__xludf.DUMMYFUNCTION("""COMPUTED_VALUE"""),45667)</f>
        <v>45667</v>
      </c>
    </row>
    <row r="1281" spans="1:20" ht="12.75">
      <c r="A1281" s="24">
        <f ca="1">IFERROR(__xludf.DUMMYFUNCTION("""COMPUTED_VALUE"""),45674.0734904629)</f>
        <v>45674.073490462899</v>
      </c>
      <c r="B1281" s="5" t="str">
        <f ca="1">IFERROR(__xludf.DUMMYFUNCTION("""COMPUTED_VALUE"""),"7250 Franklin Ave Unit 116")</f>
        <v>7250 Franklin Ave Unit 116</v>
      </c>
      <c r="C1281" s="5" t="str">
        <f ca="1">IFERROR(__xludf.DUMMYFUNCTION("""COMPUTED_VALUE"""),"Los Angeles ")</f>
        <v xml:space="preserve">Los Angeles </v>
      </c>
      <c r="D1281" s="5" t="str">
        <f ca="1">IFERROR(__xludf.DUMMYFUNCTION("""COMPUTED_VALUE"""),"CA")</f>
        <v>CA</v>
      </c>
      <c r="E1281" s="5">
        <f ca="1">IFERROR(__xludf.DUMMYFUNCTION("""COMPUTED_VALUE"""),90046)</f>
        <v>90046</v>
      </c>
      <c r="F1281" s="19">
        <f ca="1">IFERROR(__xludf.DUMMYFUNCTION("""COMPUTED_VALUE"""),4995)</f>
        <v>4995</v>
      </c>
      <c r="G1281" s="19">
        <f ca="1">IFERROR(__xludf.DUMMYFUNCTION("""COMPUTED_VALUE"""),5490)</f>
        <v>5490</v>
      </c>
      <c r="H1281" s="18">
        <f ca="1">IFERROR(__xludf.DUMMYFUNCTION("""COMPUTED_VALUE"""),45673)</f>
        <v>45673</v>
      </c>
      <c r="I1281" s="5" t="str">
        <f ca="1">IFERROR(__xludf.DUMMYFUNCTION("""COMPUTED_VALUE"""),"Zillow")</f>
        <v>Zillow</v>
      </c>
      <c r="J1281" s="25" t="str">
        <f ca="1">IFERROR(__xludf.DUMMYFUNCTION("""COMPUTED_VALUE"""),"https://www.zillow.com/homedetails/7250-Franklin-Ave-UNIT-116-Los-Angeles-CA-90046/20793103_zpid/")</f>
        <v>https://www.zillow.com/homedetails/7250-Franklin-Ave-UNIT-116-Los-Angeles-CA-90046/20793103_zpid/</v>
      </c>
      <c r="K1281" s="5" t="str">
        <f ca="1">IFERROR(__xludf.DUMMYFUNCTION("""COMPUTED_VALUE"""),"Hunter Burgarella")</f>
        <v>Hunter Burgarella</v>
      </c>
      <c r="L1281" s="5"/>
      <c r="M1281" s="5"/>
      <c r="N1281" s="26" t="str">
        <f ca="1">IFERROR(__xludf.DUMMYFUNCTION("""COMPUTED_VALUE"""),"https://drive.google.com/open?id=1GINjviS5hs3GFfapNZWpJ8HCHaLbX8wl")</f>
        <v>https://drive.google.com/open?id=1GINjviS5hs3GFfapNZWpJ8HCHaLbX8wl</v>
      </c>
      <c r="O1281" s="5">
        <f ca="1">IFERROR(__xludf.DUMMYFUNCTION("""COMPUTED_VALUE"""),5548025012)</f>
        <v>5548025012</v>
      </c>
      <c r="P1281" s="5" t="str">
        <f ca="1">IFERROR(__xludf.DUMMYFUNCTION("""COMPUTED_VALUE"""),"310-853-3941")</f>
        <v>310-853-3941</v>
      </c>
      <c r="Q1281" s="5"/>
      <c r="R1281" s="5"/>
      <c r="S1281" s="5"/>
      <c r="T1281" s="18">
        <f ca="1">IFERROR(__xludf.DUMMYFUNCTION("""COMPUTED_VALUE"""),45661)</f>
        <v>45661</v>
      </c>
    </row>
    <row r="1282" spans="1:20" ht="12.75">
      <c r="A1282" s="24">
        <f ca="1">IFERROR(__xludf.DUMMYFUNCTION("""COMPUTED_VALUE"""),45674.3407248726)</f>
        <v>45674.3407248726</v>
      </c>
      <c r="B1282" s="5" t="str">
        <f ca="1">IFERROR(__xludf.DUMMYFUNCTION("""COMPUTED_VALUE"""),"4418 S Slauson Ave ")</f>
        <v xml:space="preserve">4418 S Slauson Ave </v>
      </c>
      <c r="C1282" s="5" t="str">
        <f ca="1">IFERROR(__xludf.DUMMYFUNCTION("""COMPUTED_VALUE"""),"Culver City")</f>
        <v>Culver City</v>
      </c>
      <c r="D1282" s="5" t="str">
        <f ca="1">IFERROR(__xludf.DUMMYFUNCTION("""COMPUTED_VALUE"""),"CA")</f>
        <v>CA</v>
      </c>
      <c r="E1282" s="5">
        <f ca="1">IFERROR(__xludf.DUMMYFUNCTION("""COMPUTED_VALUE"""),90230)</f>
        <v>90230</v>
      </c>
      <c r="F1282" s="19">
        <f ca="1">IFERROR(__xludf.DUMMYFUNCTION("""COMPUTED_VALUE"""),4150)</f>
        <v>4150</v>
      </c>
      <c r="G1282" s="19">
        <f ca="1">IFERROR(__xludf.DUMMYFUNCTION("""COMPUTED_VALUE"""),4950)</f>
        <v>4950</v>
      </c>
      <c r="H1282" s="18">
        <f ca="1">IFERROR(__xludf.DUMMYFUNCTION("""COMPUTED_VALUE"""),45669)</f>
        <v>45669</v>
      </c>
      <c r="I1282" s="5" t="str">
        <f ca="1">IFERROR(__xludf.DUMMYFUNCTION("""COMPUTED_VALUE"""),"Zillow")</f>
        <v>Zillow</v>
      </c>
      <c r="J1282" s="25" t="str">
        <f ca="1">IFERROR(__xludf.DUMMYFUNCTION("""COMPUTED_VALUE"""),"https://www.zillow.com/homedetails/4418-S-Slauson-Ave-302-Culver-City-CA-90230/442863515_zpid/")</f>
        <v>https://www.zillow.com/homedetails/4418-S-Slauson-Ave-302-Culver-City-CA-90230/442863515_zpid/</v>
      </c>
      <c r="K1282" s="5" t="str">
        <f ca="1">IFERROR(__xludf.DUMMYFUNCTION("""COMPUTED_VALUE"""),"Daniel Hicks ")</f>
        <v xml:space="preserve">Daniel Hicks </v>
      </c>
      <c r="L1282" s="5" t="str">
        <f ca="1">IFERROR(__xludf.DUMMYFUNCTION("""COMPUTED_VALUE"""),"Compass")</f>
        <v>Compass</v>
      </c>
      <c r="M1282" s="5"/>
      <c r="N1282" s="5" t="str">
        <f ca="1">IFERROR(__xludf.DUMMYFUNCTION("""COMPUTED_VALUE"""),"https://drive.google.com/open?id=1xW-O8Ge6phnXWKF9D5Vf6JbH65RUdROK, https://drive.google.com/open?id=1ZvZsnAlqfgBJk7t0bnI-xAWaqVX_Zuxc")</f>
        <v>https://drive.google.com/open?id=1xW-O8Ge6phnXWKF9D5Vf6JbH65RUdROK, https://drive.google.com/open?id=1ZvZsnAlqfgBJk7t0bnI-xAWaqVX_Zuxc</v>
      </c>
      <c r="O1282" s="5" t="str">
        <f ca="1">IFERROR(__xludf.DUMMYFUNCTION("""COMPUTED_VALUE""")," NA")</f>
        <v xml:space="preserve"> NA</v>
      </c>
      <c r="P1282" s="5">
        <f ca="1">IFERROR(__xludf.DUMMYFUNCTION("""COMPUTED_VALUE"""),3104666919)</f>
        <v>3104666919</v>
      </c>
      <c r="Q1282" s="5"/>
      <c r="R1282" s="5"/>
      <c r="S1282" s="5"/>
      <c r="T1282" s="18">
        <f ca="1">IFERROR(__xludf.DUMMYFUNCTION("""COMPUTED_VALUE"""),45667)</f>
        <v>45667</v>
      </c>
    </row>
    <row r="1283" spans="1:20" ht="12.75">
      <c r="A1283" s="24">
        <f ca="1">IFERROR(__xludf.DUMMYFUNCTION("""COMPUTED_VALUE"""),45674.375633831)</f>
        <v>45674.375633830998</v>
      </c>
      <c r="B1283" s="5" t="str">
        <f ca="1">IFERROR(__xludf.DUMMYFUNCTION("""COMPUTED_VALUE"""),"280 Cherry Dr")</f>
        <v>280 Cherry Dr</v>
      </c>
      <c r="C1283" s="5" t="str">
        <f ca="1">IFERROR(__xludf.DUMMYFUNCTION("""COMPUTED_VALUE"""),"Pasadena")</f>
        <v>Pasadena</v>
      </c>
      <c r="D1283" s="5" t="str">
        <f ca="1">IFERROR(__xludf.DUMMYFUNCTION("""COMPUTED_VALUE"""),"CA")</f>
        <v>CA</v>
      </c>
      <c r="E1283" s="5">
        <f ca="1">IFERROR(__xludf.DUMMYFUNCTION("""COMPUTED_VALUE"""),91105)</f>
        <v>91105</v>
      </c>
      <c r="F1283" s="19">
        <f ca="1">IFERROR(__xludf.DUMMYFUNCTION("""COMPUTED_VALUE"""),5480)</f>
        <v>5480</v>
      </c>
      <c r="G1283" s="19">
        <f ca="1">IFERROR(__xludf.DUMMYFUNCTION("""COMPUTED_VALUE"""),6800)</f>
        <v>6800</v>
      </c>
      <c r="H1283" s="18">
        <f ca="1">IFERROR(__xludf.DUMMYFUNCTION("""COMPUTED_VALUE"""),45671)</f>
        <v>45671</v>
      </c>
      <c r="I1283" s="5" t="str">
        <f ca="1">IFERROR(__xludf.DUMMYFUNCTION("""COMPUTED_VALUE"""),"Zillow")</f>
        <v>Zillow</v>
      </c>
      <c r="J1283" s="25" t="str">
        <f ca="1">IFERROR(__xludf.DUMMYFUNCTION("""COMPUTED_VALUE"""),"https://www.zillow.com/homedetails/280-Cherry-Dr-Pasadena-CA-91105/20857313_zpid/")</f>
        <v>https://www.zillow.com/homedetails/280-Cherry-Dr-Pasadena-CA-91105/20857313_zpid/</v>
      </c>
      <c r="K1283" s="5" t="str">
        <f ca="1">IFERROR(__xludf.DUMMYFUNCTION("""COMPUTED_VALUE"""),"Kevin Chen")</f>
        <v>Kevin Chen</v>
      </c>
      <c r="L1283" s="5"/>
      <c r="M1283" s="5"/>
      <c r="N1283" s="5" t="str">
        <f ca="1">IFERROR(__xludf.DUMMYFUNCTION("""COMPUTED_VALUE"""),"https://drive.google.com/open?id=1YPnwRyJn_2sX4U9kr--ibMLpXsXUXUwH, https://drive.google.com/open?id=1EoBWxKHqnaI3mFp0XyK0IoDsuuP9PIHH")</f>
        <v>https://drive.google.com/open?id=1YPnwRyJn_2sX4U9kr--ibMLpXsXUXUwH, https://drive.google.com/open?id=1EoBWxKHqnaI3mFp0XyK0IoDsuuP9PIHH</v>
      </c>
      <c r="O1283" s="5">
        <f ca="1">IFERROR(__xludf.DUMMYFUNCTION("""COMPUTED_VALUE"""),5709032022)</f>
        <v>5709032022</v>
      </c>
      <c r="P1283" s="5" t="str">
        <f ca="1">IFERROR(__xludf.DUMMYFUNCTION("""COMPUTED_VALUE"""),"(626) 219-8201")</f>
        <v>(626) 219-8201</v>
      </c>
      <c r="Q1283" s="5"/>
      <c r="R1283" s="5"/>
      <c r="S1283" s="5"/>
      <c r="T1283" s="18">
        <f ca="1">IFERROR(__xludf.DUMMYFUNCTION("""COMPUTED_VALUE"""),44109)</f>
        <v>44109</v>
      </c>
    </row>
    <row r="1284" spans="1:20" ht="12.75">
      <c r="A1284" s="24">
        <f ca="1">IFERROR(__xludf.DUMMYFUNCTION("""COMPUTED_VALUE"""),45674.4277949074)</f>
        <v>45674.427794907402</v>
      </c>
      <c r="B1284" s="5" t="str">
        <f ca="1">IFERROR(__xludf.DUMMYFUNCTION("""COMPUTED_VALUE"""),"2002 S Corning St,")</f>
        <v>2002 S Corning St,</v>
      </c>
      <c r="C1284" s="5" t="str">
        <f ca="1">IFERROR(__xludf.DUMMYFUNCTION("""COMPUTED_VALUE""")," Los Angeles")</f>
        <v xml:space="preserve"> Los Angeles</v>
      </c>
      <c r="D1284" s="5" t="str">
        <f ca="1">IFERROR(__xludf.DUMMYFUNCTION("""COMPUTED_VALUE"""),"CA")</f>
        <v>CA</v>
      </c>
      <c r="E1284" s="5">
        <f ca="1">IFERROR(__xludf.DUMMYFUNCTION("""COMPUTED_VALUE"""),90034)</f>
        <v>90034</v>
      </c>
      <c r="F1284" s="19">
        <f ca="1">IFERROR(__xludf.DUMMYFUNCTION("""COMPUTED_VALUE"""),3195)</f>
        <v>3195</v>
      </c>
      <c r="G1284" s="19">
        <f ca="1">IFERROR(__xludf.DUMMYFUNCTION("""COMPUTED_VALUE"""),3995)</f>
        <v>3995</v>
      </c>
      <c r="H1284" s="18">
        <f ca="1">IFERROR(__xludf.DUMMYFUNCTION("""COMPUTED_VALUE"""),45665)</f>
        <v>45665</v>
      </c>
      <c r="I1284" s="5" t="str">
        <f ca="1">IFERROR(__xludf.DUMMYFUNCTION("""COMPUTED_VALUE"""),"Zillow")</f>
        <v>Zillow</v>
      </c>
      <c r="J1284" s="25" t="str">
        <f ca="1">IFERROR(__xludf.DUMMYFUNCTION("""COMPUTED_VALUE"""),"https://www.zillow.com/homedetails/2002-S-Corning-St-Los-Angeles-CA-90034/20491459_zpid/")</f>
        <v>https://www.zillow.com/homedetails/2002-S-Corning-St-Los-Angeles-CA-90034/20491459_zpid/</v>
      </c>
      <c r="K1284" s="5" t="str">
        <f ca="1">IFERROR(__xludf.DUMMYFUNCTION("""COMPUTED_VALUE"""),"JD Realty")</f>
        <v>JD Realty</v>
      </c>
      <c r="L1284" s="5" t="str">
        <f ca="1">IFERROR(__xludf.DUMMYFUNCTION("""COMPUTED_VALUE"""),"Zavala Lorenzo")</f>
        <v>Zavala Lorenzo</v>
      </c>
      <c r="M1284" s="5" t="str">
        <f ca="1">IFERROR(__xludf.DUMMYFUNCTION("""COMPUTED_VALUE"""),"The property has been listed for rent since December 2024. On 1/03/25 they re-listed it for $3,195 and then on 1/08/2025 they raised the price to $3,995. I reported them to the AG website and sent them a note through Zillow saying that they had been repor"&amp;"ted. They took it down within 24hrs. On 1/15/25 they re-listed it at $3,495 - which is still 12.5% above the 1/03/25 listing. ")</f>
        <v xml:space="preserve">The property has been listed for rent since December 2024. On 1/03/25 they re-listed it for $3,195 and then on 1/08/2025 they raised the price to $3,995. I reported them to the AG website and sent them a note through Zillow saying that they had been reported. They took it down within 24hrs. On 1/15/25 they re-listed it at $3,495 - which is still 12.5% above the 1/03/25 listing. </v>
      </c>
      <c r="N1284" s="5" t="str">
        <f ca="1">IFERROR(__xludf.DUMMYFUNCTION("""COMPUTED_VALUE"""),"https://drive.google.com/open?id=1dpdRHHkcoLOHmvuqg80BQZIOx-m5vC85, https://drive.google.com/open?id=1xQ7Hn3dB1qDi_NndV5u5vS4J0fvMNhKv, https://drive.google.com/open?id=1w3lCVw6Tut4I2egdBEGfiuBy3P6nuh2Q")</f>
        <v>https://drive.google.com/open?id=1dpdRHHkcoLOHmvuqg80BQZIOx-m5vC85, https://drive.google.com/open?id=1xQ7Hn3dB1qDi_NndV5u5vS4J0fvMNhKv, https://drive.google.com/open?id=1w3lCVw6Tut4I2egdBEGfiuBy3P6nuh2Q</v>
      </c>
      <c r="O1284" s="5" t="str">
        <f ca="1">IFERROR(__xludf.DUMMYFUNCTION("""COMPUTED_VALUE"""),"Parcel number: 4302030001")</f>
        <v>Parcel number: 4302030001</v>
      </c>
      <c r="P1284" s="5" t="str">
        <f ca="1">IFERROR(__xludf.DUMMYFUNCTION("""COMPUTED_VALUE"""),"(310) 670-5119")</f>
        <v>(310) 670-5119</v>
      </c>
      <c r="Q1284" s="5" t="str">
        <f ca="1">IFERROR(__xludf.DUMMYFUNCTION("""COMPUTED_VALUE"""),"jim@jimdutton.com")</f>
        <v>jim@jimdutton.com</v>
      </c>
      <c r="R1284" s="5"/>
      <c r="S1284" s="5"/>
      <c r="T1284" s="18">
        <f ca="1">IFERROR(__xludf.DUMMYFUNCTION("""COMPUTED_VALUE"""),45660)</f>
        <v>45660</v>
      </c>
    </row>
    <row r="1285" spans="1:20" ht="12.75">
      <c r="A1285" s="24">
        <f ca="1">IFERROR(__xludf.DUMMYFUNCTION("""COMPUTED_VALUE"""),45674.4463590624)</f>
        <v>45674.4463590624</v>
      </c>
      <c r="B1285" s="5" t="str">
        <f ca="1">IFERROR(__xludf.DUMMYFUNCTION("""COMPUTED_VALUE"""),"4737 York Blvd")</f>
        <v>4737 York Blvd</v>
      </c>
      <c r="C1285" s="5" t="str">
        <f ca="1">IFERROR(__xludf.DUMMYFUNCTION("""COMPUTED_VALUE"""),"Los Angeles")</f>
        <v>Los Angeles</v>
      </c>
      <c r="D1285" s="5" t="str">
        <f ca="1">IFERROR(__xludf.DUMMYFUNCTION("""COMPUTED_VALUE"""),"CA")</f>
        <v>CA</v>
      </c>
      <c r="E1285" s="5">
        <f ca="1">IFERROR(__xludf.DUMMYFUNCTION("""COMPUTED_VALUE"""),90042)</f>
        <v>90042</v>
      </c>
      <c r="F1285" s="19">
        <f ca="1">IFERROR(__xludf.DUMMYFUNCTION("""COMPUTED_VALUE"""),8900)</f>
        <v>8900</v>
      </c>
      <c r="G1285" s="19">
        <f ca="1">IFERROR(__xludf.DUMMYFUNCTION("""COMPUTED_VALUE"""),9600)</f>
        <v>9600</v>
      </c>
      <c r="H1285" s="18">
        <f ca="1">IFERROR(__xludf.DUMMYFUNCTION("""COMPUTED_VALUE"""),45672)</f>
        <v>45672</v>
      </c>
      <c r="I1285" s="5" t="str">
        <f ca="1">IFERROR(__xludf.DUMMYFUNCTION("""COMPUTED_VALUE"""),"Zillow")</f>
        <v>Zillow</v>
      </c>
      <c r="J1285" s="25" t="str">
        <f ca="1">IFERROR(__xludf.DUMMYFUNCTION("""COMPUTED_VALUE"""),"https://www.zillow.com/homedetails/2714-Hollister-Ter-Glendale-CA-91206/20844682_zpid/?utm_campaign=iosappmessage&amp;utm_medium=referral&amp;utm_source=txtshare")</f>
        <v>https://www.zillow.com/homedetails/2714-Hollister-Ter-Glendale-CA-91206/20844682_zpid/?utm_campaign=iosappmessage&amp;utm_medium=referral&amp;utm_source=txtshare</v>
      </c>
      <c r="K1285" s="5" t="str">
        <f ca="1">IFERROR(__xludf.DUMMYFUNCTION("""COMPUTED_VALUE"""),"Brad Stryker")</f>
        <v>Brad Stryker</v>
      </c>
      <c r="L1285" s="5"/>
      <c r="M1285" s="5"/>
      <c r="N1285" s="5" t="str">
        <f ca="1">IFERROR(__xludf.DUMMYFUNCTION("""COMPUTED_VALUE"""),"https://drive.google.com/open?id=1cX4t-tC_XH9lErQK8GTbxUd9GCuKAwlJ, https://drive.google.com/open?id=1jG12tN4Ql6Zap-o253ybz9XH5SLipVFx, https://drive.google.com/open?id=14FOmcWiIuEsGN0tKszkW61PSGJnMOMZP, https://drive.google.com/open?id=1YwaHJiDGFWAdrAqrw"&amp;"wiWX5dC4FUEe5HW")</f>
        <v>https://drive.google.com/open?id=1cX4t-tC_XH9lErQK8GTbxUd9GCuKAwlJ, https://drive.google.com/open?id=1jG12tN4Ql6Zap-o253ybz9XH5SLipVFx, https://drive.google.com/open?id=14FOmcWiIuEsGN0tKszkW61PSGJnMOMZP, https://drive.google.com/open?id=1YwaHJiDGFWAdrAqrwwiWX5dC4FUEe5HW</v>
      </c>
      <c r="O1285" s="5">
        <f ca="1">IFERROR(__xludf.DUMMYFUNCTION("""COMPUTED_VALUE"""),5666014016)</f>
        <v>5666014016</v>
      </c>
      <c r="P1285" s="5">
        <f ca="1">IFERROR(__xludf.DUMMYFUNCTION("""COMPUTED_VALUE"""),7472986299)</f>
        <v>7472986299</v>
      </c>
      <c r="Q1285" s="5"/>
      <c r="R1285" s="5"/>
      <c r="S1285" s="5"/>
      <c r="T1285" s="18">
        <f ca="1">IFERROR(__xludf.DUMMYFUNCTION("""COMPUTED_VALUE"""),45644)</f>
        <v>45644</v>
      </c>
    </row>
    <row r="1286" spans="1:20" ht="12.75">
      <c r="A1286" s="24">
        <f ca="1">IFERROR(__xludf.DUMMYFUNCTION("""COMPUTED_VALUE"""),45674.4732944097)</f>
        <v>45674.473294409698</v>
      </c>
      <c r="B1286" s="5" t="str">
        <f ca="1">IFERROR(__xludf.DUMMYFUNCTION("""COMPUTED_VALUE"""),"13535 Bessemer St")</f>
        <v>13535 Bessemer St</v>
      </c>
      <c r="C1286" s="5" t="str">
        <f ca="1">IFERROR(__xludf.DUMMYFUNCTION("""COMPUTED_VALUE"""),"Van Nuys")</f>
        <v>Van Nuys</v>
      </c>
      <c r="D1286" s="5" t="str">
        <f ca="1">IFERROR(__xludf.DUMMYFUNCTION("""COMPUTED_VALUE"""),"CA")</f>
        <v>CA</v>
      </c>
      <c r="E1286" s="5">
        <f ca="1">IFERROR(__xludf.DUMMYFUNCTION("""COMPUTED_VALUE"""),91401)</f>
        <v>91401</v>
      </c>
      <c r="F1286" s="19">
        <f ca="1">IFERROR(__xludf.DUMMYFUNCTION("""COMPUTED_VALUE"""),5995)</f>
        <v>5995</v>
      </c>
      <c r="G1286" s="19">
        <f ca="1">IFERROR(__xludf.DUMMYFUNCTION("""COMPUTED_VALUE"""),8995)</f>
        <v>8995</v>
      </c>
      <c r="H1286" s="18">
        <f ca="1">IFERROR(__xludf.DUMMYFUNCTION("""COMPUTED_VALUE"""),45674)</f>
        <v>45674</v>
      </c>
      <c r="I1286" s="5" t="str">
        <f ca="1">IFERROR(__xludf.DUMMYFUNCTION("""COMPUTED_VALUE"""),"Zillow")</f>
        <v>Zillow</v>
      </c>
      <c r="J1286" s="25" t="str">
        <f ca="1">IFERROR(__xludf.DUMMYFUNCTION("""COMPUTED_VALUE"""),"https://www.zillow.com/homedetails/13535-Bessemer-St-Van-Nuys-CA-91401/20007895_zpid/")</f>
        <v>https://www.zillow.com/homedetails/13535-Bessemer-St-Van-Nuys-CA-91401/20007895_zpid/</v>
      </c>
      <c r="K1286" s="5" t="str">
        <f ca="1">IFERROR(__xludf.DUMMYFUNCTION("""COMPUTED_VALUE"""),"Heather Boyd Carolwood Estates")</f>
        <v>Heather Boyd Carolwood Estates</v>
      </c>
      <c r="L1286" s="5"/>
      <c r="M1286" s="5"/>
      <c r="N1286" s="26" t="str">
        <f ca="1">IFERROR(__xludf.DUMMYFUNCTION("""COMPUTED_VALUE"""),"https://drive.google.com/open?id=10WoRfFUbrThlnLnDVtMl_hODivS4zkDH")</f>
        <v>https://drive.google.com/open?id=10WoRfFUbrThlnLnDVtMl_hODivS4zkDH</v>
      </c>
      <c r="O1286" s="5">
        <f ca="1">IFERROR(__xludf.DUMMYFUNCTION("""COMPUTED_VALUE"""),2330018014)</f>
        <v>2330018014</v>
      </c>
      <c r="P1286" s="5" t="str">
        <f ca="1">IFERROR(__xludf.DUMMYFUNCTION("""COMPUTED_VALUE"""),"(310) 994-3140")</f>
        <v>(310) 994-3140</v>
      </c>
      <c r="Q1286" s="5"/>
      <c r="R1286" s="5"/>
      <c r="S1286" s="5"/>
      <c r="T1286" s="18">
        <f ca="1">IFERROR(__xludf.DUMMYFUNCTION("""COMPUTED_VALUE"""),45406)</f>
        <v>45406</v>
      </c>
    </row>
    <row r="1287" spans="1:20" ht="12.75">
      <c r="A1287" s="24">
        <f ca="1">IFERROR(__xludf.DUMMYFUNCTION("""COMPUTED_VALUE"""),45674.4754262268)</f>
        <v>45674.475426226803</v>
      </c>
      <c r="B1287" s="5" t="str">
        <f ca="1">IFERROR(__xludf.DUMMYFUNCTION("""COMPUTED_VALUE"""),"11177 Valley Spring Pl")</f>
        <v>11177 Valley Spring Pl</v>
      </c>
      <c r="C1287" s="5" t="str">
        <f ca="1">IFERROR(__xludf.DUMMYFUNCTION("""COMPUTED_VALUE"""),"Studio City")</f>
        <v>Studio City</v>
      </c>
      <c r="D1287" s="5" t="str">
        <f ca="1">IFERROR(__xludf.DUMMYFUNCTION("""COMPUTED_VALUE"""),"CA")</f>
        <v>CA</v>
      </c>
      <c r="E1287" s="5">
        <f ca="1">IFERROR(__xludf.DUMMYFUNCTION("""COMPUTED_VALUE"""),91602)</f>
        <v>91602</v>
      </c>
      <c r="F1287" s="19">
        <f ca="1">IFERROR(__xludf.DUMMYFUNCTION("""COMPUTED_VALUE"""),9000)</f>
        <v>9000</v>
      </c>
      <c r="G1287" s="19">
        <f ca="1">IFERROR(__xludf.DUMMYFUNCTION("""COMPUTED_VALUE"""),12000)</f>
        <v>12000</v>
      </c>
      <c r="H1287" s="18">
        <f ca="1">IFERROR(__xludf.DUMMYFUNCTION("""COMPUTED_VALUE"""),45674)</f>
        <v>45674</v>
      </c>
      <c r="I1287" s="5" t="str">
        <f ca="1">IFERROR(__xludf.DUMMYFUNCTION("""COMPUTED_VALUE"""),"Zillow")</f>
        <v>Zillow</v>
      </c>
      <c r="J1287" s="25" t="str">
        <f ca="1">IFERROR(__xludf.DUMMYFUNCTION("""COMPUTED_VALUE"""),"https://www.zillow.com/homedetails/11177-Valley-Spring-Pl-Studio-City-CA-91602/20025421_zpid/")</f>
        <v>https://www.zillow.com/homedetails/11177-Valley-Spring-Pl-Studio-City-CA-91602/20025421_zpid/</v>
      </c>
      <c r="K1287" s="5"/>
      <c r="L1287" s="5" t="str">
        <f ca="1">IFERROR(__xludf.DUMMYFUNCTION("""COMPUTED_VALUE"""),"Oz Poghosyan")</f>
        <v>Oz Poghosyan</v>
      </c>
      <c r="M1287" s="5"/>
      <c r="N1287" s="26" t="str">
        <f ca="1">IFERROR(__xludf.DUMMYFUNCTION("""COMPUTED_VALUE"""),"https://drive.google.com/open?id=1D137Uq03l-Wc0h52-D_ndnZYhBQThRuF")</f>
        <v>https://drive.google.com/open?id=1D137Uq03l-Wc0h52-D_ndnZYhBQThRuF</v>
      </c>
      <c r="O1287" s="5">
        <f ca="1">IFERROR(__xludf.DUMMYFUNCTION("""COMPUTED_VALUE"""),2366009010)</f>
        <v>2366009010</v>
      </c>
      <c r="P1287" s="5"/>
      <c r="Q1287" s="5"/>
      <c r="R1287" s="5" t="str">
        <f ca="1">IFERROR(__xludf.DUMMYFUNCTION("""COMPUTED_VALUE"""),"(323) 827-8458")</f>
        <v>(323) 827-8458</v>
      </c>
      <c r="S1287" s="5"/>
      <c r="T1287" s="18">
        <f ca="1">IFERROR(__xludf.DUMMYFUNCTION("""COMPUTED_VALUE"""),45344)</f>
        <v>45344</v>
      </c>
    </row>
    <row r="1288" spans="1:20" ht="12.75">
      <c r="A1288" s="24">
        <f ca="1">IFERROR(__xludf.DUMMYFUNCTION("""COMPUTED_VALUE"""),45674.477893449)</f>
        <v>45674.477893449002</v>
      </c>
      <c r="B1288" s="5" t="str">
        <f ca="1">IFERROR(__xludf.DUMMYFUNCTION("""COMPUTED_VALUE"""),"3835 1/2 Bluff Pl")</f>
        <v>3835 1/2 Bluff Pl</v>
      </c>
      <c r="C1288" s="5" t="str">
        <f ca="1">IFERROR(__xludf.DUMMYFUNCTION("""COMPUTED_VALUE"""),"San Pedro")</f>
        <v>San Pedro</v>
      </c>
      <c r="D1288" s="5" t="str">
        <f ca="1">IFERROR(__xludf.DUMMYFUNCTION("""COMPUTED_VALUE"""),"CA")</f>
        <v>CA</v>
      </c>
      <c r="E1288" s="5">
        <f ca="1">IFERROR(__xludf.DUMMYFUNCTION("""COMPUTED_VALUE"""),90731)</f>
        <v>90731</v>
      </c>
      <c r="F1288" s="19">
        <f ca="1">IFERROR(__xludf.DUMMYFUNCTION("""COMPUTED_VALUE"""),3580)</f>
        <v>3580</v>
      </c>
      <c r="G1288" s="19">
        <f ca="1">IFERROR(__xludf.DUMMYFUNCTION("""COMPUTED_VALUE"""),5000)</f>
        <v>5000</v>
      </c>
      <c r="H1288" s="18">
        <f ca="1">IFERROR(__xludf.DUMMYFUNCTION("""COMPUTED_VALUE"""),45674)</f>
        <v>45674</v>
      </c>
      <c r="I1288" s="5" t="str">
        <f ca="1">IFERROR(__xludf.DUMMYFUNCTION("""COMPUTED_VALUE"""),"Zillow")</f>
        <v>Zillow</v>
      </c>
      <c r="J1288" s="25" t="str">
        <f ca="1">IFERROR(__xludf.DUMMYFUNCTION("""COMPUTED_VALUE"""),"https://www.zillow.com/homedetails/3835-1-2-Bluff-Pl-San-Pedro-CA-90731/2070242843_zpid/")</f>
        <v>https://www.zillow.com/homedetails/3835-1-2-Bluff-Pl-San-Pedro-CA-90731/2070242843_zpid/</v>
      </c>
      <c r="K1288" s="5"/>
      <c r="L1288" s="5" t="str">
        <f ca="1">IFERROR(__xludf.DUMMYFUNCTION("""COMPUTED_VALUE"""),"Michael")</f>
        <v>Michael</v>
      </c>
      <c r="M1288" s="5"/>
      <c r="N1288" s="26" t="str">
        <f ca="1">IFERROR(__xludf.DUMMYFUNCTION("""COMPUTED_VALUE"""),"https://drive.google.com/open?id=1ygYFk3SmHLCGKvFGs5exg2wAj5hRVpvu")</f>
        <v>https://drive.google.com/open?id=1ygYFk3SmHLCGKvFGs5exg2wAj5hRVpvu</v>
      </c>
      <c r="O1288" s="5" t="str">
        <f ca="1">IFERROR(__xludf.DUMMYFUNCTION("""COMPUTED_VALUE"""),"NA")</f>
        <v>NA</v>
      </c>
      <c r="P1288" s="5"/>
      <c r="Q1288" s="5"/>
      <c r="R1288" s="5" t="str">
        <f ca="1">IFERROR(__xludf.DUMMYFUNCTION("""COMPUTED_VALUE"""),"(310) 901-2128")</f>
        <v>(310) 901-2128</v>
      </c>
      <c r="S1288" s="5"/>
      <c r="T1288" s="18">
        <f ca="1">IFERROR(__xludf.DUMMYFUNCTION("""COMPUTED_VALUE"""),45383)</f>
        <v>45383</v>
      </c>
    </row>
    <row r="1289" spans="1:20" ht="12.75">
      <c r="A1289" s="24">
        <f ca="1">IFERROR(__xludf.DUMMYFUNCTION("""COMPUTED_VALUE"""),45674.4809688773)</f>
        <v>45674.480968877302</v>
      </c>
      <c r="B1289" s="5" t="str">
        <f ca="1">IFERROR(__xludf.DUMMYFUNCTION("""COMPUTED_VALUE"""),"13106 S Vermont Ave APT 06")</f>
        <v>13106 S Vermont Ave APT 06</v>
      </c>
      <c r="C1289" s="5" t="str">
        <f ca="1">IFERROR(__xludf.DUMMYFUNCTION("""COMPUTED_VALUE"""),"Gardena")</f>
        <v>Gardena</v>
      </c>
      <c r="D1289" s="5" t="str">
        <f ca="1">IFERROR(__xludf.DUMMYFUNCTION("""COMPUTED_VALUE"""),"CA")</f>
        <v>CA</v>
      </c>
      <c r="E1289" s="5">
        <f ca="1">IFERROR(__xludf.DUMMYFUNCTION("""COMPUTED_VALUE"""),90247)</f>
        <v>90247</v>
      </c>
      <c r="F1289" s="19">
        <f ca="1">IFERROR(__xludf.DUMMYFUNCTION("""COMPUTED_VALUE"""),2653)</f>
        <v>2653</v>
      </c>
      <c r="G1289" s="19">
        <f ca="1">IFERROR(__xludf.DUMMYFUNCTION("""COMPUTED_VALUE"""),3528)</f>
        <v>3528</v>
      </c>
      <c r="H1289" s="18">
        <f ca="1">IFERROR(__xludf.DUMMYFUNCTION("""COMPUTED_VALUE"""),45674)</f>
        <v>45674</v>
      </c>
      <c r="I1289" s="5" t="str">
        <f ca="1">IFERROR(__xludf.DUMMYFUNCTION("""COMPUTED_VALUE"""),"Zillow")</f>
        <v>Zillow</v>
      </c>
      <c r="J1289" s="25" t="str">
        <f ca="1">IFERROR(__xludf.DUMMYFUNCTION("""COMPUTED_VALUE"""),"https://www.zillow.com/homedetails/13106-S-Vermont-Ave-APT-06-Gardena-CA-90247/2087578781_zpid/")</f>
        <v>https://www.zillow.com/homedetails/13106-S-Vermont-Ave-APT-06-Gardena-CA-90247/2087578781_zpid/</v>
      </c>
      <c r="K1289" s="5" t="str">
        <f ca="1">IFERROR(__xludf.DUMMYFUNCTION("""COMPUTED_VALUE"""),"Affordable Housing Management company")</f>
        <v>Affordable Housing Management company</v>
      </c>
      <c r="L1289" s="5"/>
      <c r="M1289" s="5"/>
      <c r="N1289" s="26" t="str">
        <f ca="1">IFERROR(__xludf.DUMMYFUNCTION("""COMPUTED_VALUE"""),"https://drive.google.com/open?id=17Tzdfj2hfznYgVLVJCZ8ee7xzsals12k")</f>
        <v>https://drive.google.com/open?id=17Tzdfj2hfznYgVLVJCZ8ee7xzsals12k</v>
      </c>
      <c r="O1289" s="5" t="str">
        <f ca="1">IFERROR(__xludf.DUMMYFUNCTION("""COMPUTED_VALUE"""),"NA")</f>
        <v>NA</v>
      </c>
      <c r="P1289" s="5" t="str">
        <f ca="1">IFERROR(__xludf.DUMMYFUNCTION("""COMPUTED_VALUE"""),"(323) 784-4245")</f>
        <v>(323) 784-4245</v>
      </c>
      <c r="Q1289" s="5"/>
      <c r="R1289" s="5"/>
      <c r="S1289" s="5"/>
      <c r="T1289" s="18">
        <f ca="1">IFERROR(__xludf.DUMMYFUNCTION("""COMPUTED_VALUE"""),45630)</f>
        <v>45630</v>
      </c>
    </row>
    <row r="1290" spans="1:20" ht="12.75">
      <c r="A1290" s="24">
        <f ca="1">IFERROR(__xludf.DUMMYFUNCTION("""COMPUTED_VALUE"""),45674.482660324)</f>
        <v>45674.482660324</v>
      </c>
      <c r="B1290" s="5" t="str">
        <f ca="1">IFERROR(__xludf.DUMMYFUNCTION("""COMPUTED_VALUE"""),"1020 Davis Ave APT 205")</f>
        <v>1020 Davis Ave APT 205</v>
      </c>
      <c r="C1290" s="5" t="str">
        <f ca="1">IFERROR(__xludf.DUMMYFUNCTION("""COMPUTED_VALUE"""),"Glendale")</f>
        <v>Glendale</v>
      </c>
      <c r="D1290" s="5" t="str">
        <f ca="1">IFERROR(__xludf.DUMMYFUNCTION("""COMPUTED_VALUE"""),"CA")</f>
        <v>CA</v>
      </c>
      <c r="E1290" s="5">
        <f ca="1">IFERROR(__xludf.DUMMYFUNCTION("""COMPUTED_VALUE"""),91201)</f>
        <v>91201</v>
      </c>
      <c r="F1290" s="19">
        <f ca="1">IFERROR(__xludf.DUMMYFUNCTION("""COMPUTED_VALUE"""),3300)</f>
        <v>3300</v>
      </c>
      <c r="G1290" s="19">
        <f ca="1">IFERROR(__xludf.DUMMYFUNCTION("""COMPUTED_VALUE"""),3800)</f>
        <v>3800</v>
      </c>
      <c r="H1290" s="18">
        <f ca="1">IFERROR(__xludf.DUMMYFUNCTION("""COMPUTED_VALUE"""),45674)</f>
        <v>45674</v>
      </c>
      <c r="I1290" s="5" t="str">
        <f ca="1">IFERROR(__xludf.DUMMYFUNCTION("""COMPUTED_VALUE"""),"Zillow")</f>
        <v>Zillow</v>
      </c>
      <c r="J1290" s="25" t="str">
        <f ca="1">IFERROR(__xludf.DUMMYFUNCTION("""COMPUTED_VALUE"""),"https://www.zillow.com/homedetails/1020-Davis-Ave-APT-205-Glendale-CA-91201/20824592_zpid/")</f>
        <v>https://www.zillow.com/homedetails/1020-Davis-Ave-APT-205-Glendale-CA-91201/20824592_zpid/</v>
      </c>
      <c r="K1290" s="5"/>
      <c r="L1290" s="5" t="str">
        <f ca="1">IFERROR(__xludf.DUMMYFUNCTION("""COMPUTED_VALUE"""),"Andranik Andrew Ovsepian")</f>
        <v>Andranik Andrew Ovsepian</v>
      </c>
      <c r="M1290" s="5"/>
      <c r="N1290" s="26" t="str">
        <f ca="1">IFERROR(__xludf.DUMMYFUNCTION("""COMPUTED_VALUE"""),"https://drive.google.com/open?id=1ZUwbx7u5CtQ5S3puLycQdc3AOeurcOUo")</f>
        <v>https://drive.google.com/open?id=1ZUwbx7u5CtQ5S3puLycQdc3AOeurcOUo</v>
      </c>
      <c r="O1290" s="5">
        <f ca="1">IFERROR(__xludf.DUMMYFUNCTION("""COMPUTED_VALUE"""),5623034031)</f>
        <v>5623034031</v>
      </c>
      <c r="P1290" s="5"/>
      <c r="Q1290" s="5"/>
      <c r="R1290" s="5"/>
      <c r="S1290" s="5"/>
      <c r="T1290" s="18">
        <f ca="1">IFERROR(__xludf.DUMMYFUNCTION("""COMPUTED_VALUE"""),45339)</f>
        <v>45339</v>
      </c>
    </row>
    <row r="1291" spans="1:20" ht="12.75">
      <c r="A1291" s="24">
        <f ca="1">IFERROR(__xludf.DUMMYFUNCTION("""COMPUTED_VALUE"""),45674.5162118981)</f>
        <v>45674.516211898102</v>
      </c>
      <c r="B1291" s="5" t="str">
        <f ca="1">IFERROR(__xludf.DUMMYFUNCTION("""COMPUTED_VALUE"""),"2549 N Beachwood Dr")</f>
        <v>2549 N Beachwood Dr</v>
      </c>
      <c r="C1291" s="5" t="str">
        <f ca="1">IFERROR(__xludf.DUMMYFUNCTION("""COMPUTED_VALUE"""),"Hollywood")</f>
        <v>Hollywood</v>
      </c>
      <c r="D1291" s="5" t="str">
        <f ca="1">IFERROR(__xludf.DUMMYFUNCTION("""COMPUTED_VALUE"""),"CA")</f>
        <v>CA</v>
      </c>
      <c r="E1291" s="5">
        <f ca="1">IFERROR(__xludf.DUMMYFUNCTION("""COMPUTED_VALUE"""),90068)</f>
        <v>90068</v>
      </c>
      <c r="F1291" s="19">
        <f ca="1">IFERROR(__xludf.DUMMYFUNCTION("""COMPUTED_VALUE"""),7250)</f>
        <v>7250</v>
      </c>
      <c r="G1291" s="19">
        <f ca="1">IFERROR(__xludf.DUMMYFUNCTION("""COMPUTED_VALUE"""),7995)</f>
        <v>7995</v>
      </c>
      <c r="H1291" s="18">
        <f ca="1">IFERROR(__xludf.DUMMYFUNCTION("""COMPUTED_VALUE"""),45673)</f>
        <v>45673</v>
      </c>
      <c r="I1291" s="5" t="str">
        <f ca="1">IFERROR(__xludf.DUMMYFUNCTION("""COMPUTED_VALUE"""),"Redfin")</f>
        <v>Redfin</v>
      </c>
      <c r="J1291" s="25" t="str">
        <f ca="1">IFERROR(__xludf.DUMMYFUNCTION("""COMPUTED_VALUE"""),"https://www.redfin.com/CA/Los-Angeles/2549-N-Beachwood-Dr-90068/home/7130462#property-history")</f>
        <v>https://www.redfin.com/CA/Los-Angeles/2549-N-Beachwood-Dr-90068/home/7130462#property-history</v>
      </c>
      <c r="K1291" s="5" t="str">
        <f ca="1">IFERROR(__xludf.DUMMYFUNCTION("""COMPUTED_VALUE"""),"Steve Shanks")</f>
        <v>Steve Shanks</v>
      </c>
      <c r="L1291" s="5"/>
      <c r="M1291" s="5"/>
      <c r="N1291" s="26" t="str">
        <f ca="1">IFERROR(__xludf.DUMMYFUNCTION("""COMPUTED_VALUE"""),"https://drive.google.com/open?id=1uLr8JWapWr51UaomNycpFa-jVrpTsUOc")</f>
        <v>https://drive.google.com/open?id=1uLr8JWapWr51UaomNycpFa-jVrpTsUOc</v>
      </c>
      <c r="O1291" s="5" t="str">
        <f ca="1">IFERROR(__xludf.DUMMYFUNCTION("""COMPUTED_VALUE"""),"NA")</f>
        <v>NA</v>
      </c>
      <c r="P1291" s="5"/>
      <c r="Q1291" s="5"/>
      <c r="R1291" s="5"/>
      <c r="S1291" s="5"/>
      <c r="T1291" s="18">
        <f ca="1">IFERROR(__xludf.DUMMYFUNCTION("""COMPUTED_VALUE"""),45662)</f>
        <v>45662</v>
      </c>
    </row>
    <row r="1292" spans="1:20" ht="12.75">
      <c r="A1292" s="24">
        <f ca="1">IFERROR(__xludf.DUMMYFUNCTION("""COMPUTED_VALUE"""),45674.5299029745)</f>
        <v>45674.5299029745</v>
      </c>
      <c r="B1292" s="5" t="str">
        <f ca="1">IFERROR(__xludf.DUMMYFUNCTION("""COMPUTED_VALUE"""),"5041 Noeline Ave")</f>
        <v>5041 Noeline Ave</v>
      </c>
      <c r="C1292" s="5" t="str">
        <f ca="1">IFERROR(__xludf.DUMMYFUNCTION("""COMPUTED_VALUE"""),"Encino")</f>
        <v>Encino</v>
      </c>
      <c r="D1292" s="5" t="str">
        <f ca="1">IFERROR(__xludf.DUMMYFUNCTION("""COMPUTED_VALUE"""),"CA")</f>
        <v>CA</v>
      </c>
      <c r="E1292" s="5">
        <f ca="1">IFERROR(__xludf.DUMMYFUNCTION("""COMPUTED_VALUE"""),91436)</f>
        <v>91436</v>
      </c>
      <c r="F1292" s="19">
        <f ca="1">IFERROR(__xludf.DUMMYFUNCTION("""COMPUTED_VALUE"""),20000)</f>
        <v>20000</v>
      </c>
      <c r="G1292" s="19">
        <f ca="1">IFERROR(__xludf.DUMMYFUNCTION("""COMPUTED_VALUE"""),25000)</f>
        <v>25000</v>
      </c>
      <c r="H1292" s="18">
        <f ca="1">IFERROR(__xludf.DUMMYFUNCTION("""COMPUTED_VALUE"""),45673)</f>
        <v>45673</v>
      </c>
      <c r="I1292" s="5" t="str">
        <f ca="1">IFERROR(__xludf.DUMMYFUNCTION("""COMPUTED_VALUE"""),"Redfin")</f>
        <v>Redfin</v>
      </c>
      <c r="J1292" s="25" t="str">
        <f ca="1">IFERROR(__xludf.DUMMYFUNCTION("""COMPUTED_VALUE"""),"https://www.redfin.com/CA/Encino/5041-Noeline-Ave-91436/home/4791587#property-history")</f>
        <v>https://www.redfin.com/CA/Encino/5041-Noeline-Ave-91436/home/4791587#property-history</v>
      </c>
      <c r="K1292" s="5" t="str">
        <f ca="1">IFERROR(__xludf.DUMMYFUNCTION("""COMPUTED_VALUE"""),"Ryan Sokolowski / Berkshire Hathaway")</f>
        <v>Ryan Sokolowski / Berkshire Hathaway</v>
      </c>
      <c r="L1292" s="5"/>
      <c r="M1292" s="5"/>
      <c r="N1292" s="26" t="str">
        <f ca="1">IFERROR(__xludf.DUMMYFUNCTION("""COMPUTED_VALUE"""),"https://drive.google.com/open?id=1pn0kwfZkL2-WngdNe1-LVyVVNrDpU54s")</f>
        <v>https://drive.google.com/open?id=1pn0kwfZkL2-WngdNe1-LVyVVNrDpU54s</v>
      </c>
      <c r="O1292" s="5" t="str">
        <f ca="1">IFERROR(__xludf.DUMMYFUNCTION("""COMPUTED_VALUE"""),"NA")</f>
        <v>NA</v>
      </c>
      <c r="P1292" s="5" t="str">
        <f ca="1">IFERROR(__xludf.DUMMYFUNCTION("""COMPUTED_VALUE"""),"(818) 251-8777")</f>
        <v>(818) 251-8777</v>
      </c>
      <c r="Q1292" s="5"/>
      <c r="R1292" s="5"/>
      <c r="S1292" s="5"/>
      <c r="T1292" s="18">
        <f ca="1">IFERROR(__xludf.DUMMYFUNCTION("""COMPUTED_VALUE"""),45647)</f>
        <v>45647</v>
      </c>
    </row>
    <row r="1293" spans="1:20" ht="12.75">
      <c r="A1293" s="24">
        <f ca="1">IFERROR(__xludf.DUMMYFUNCTION("""COMPUTED_VALUE"""),45674.5371229513)</f>
        <v>45674.537122951297</v>
      </c>
      <c r="B1293" s="5" t="str">
        <f ca="1">IFERROR(__xludf.DUMMYFUNCTION("""COMPUTED_VALUE"""),"3124 Rowena Ave.  Unit 9")</f>
        <v>3124 Rowena Ave.  Unit 9</v>
      </c>
      <c r="C1293" s="5" t="str">
        <f ca="1">IFERROR(__xludf.DUMMYFUNCTION("""COMPUTED_VALUE"""),"Los Angeles")</f>
        <v>Los Angeles</v>
      </c>
      <c r="D1293" s="5" t="str">
        <f ca="1">IFERROR(__xludf.DUMMYFUNCTION("""COMPUTED_VALUE"""),"CA")</f>
        <v>CA</v>
      </c>
      <c r="E1293" s="5">
        <f ca="1">IFERROR(__xludf.DUMMYFUNCTION("""COMPUTED_VALUE"""),90027)</f>
        <v>90027</v>
      </c>
      <c r="F1293" s="19">
        <f ca="1">IFERROR(__xludf.DUMMYFUNCTION("""COMPUTED_VALUE"""),2295)</f>
        <v>2295</v>
      </c>
      <c r="G1293" s="19">
        <f ca="1">IFERROR(__xludf.DUMMYFUNCTION("""COMPUTED_VALUE"""),2699)</f>
        <v>2699</v>
      </c>
      <c r="H1293" s="18">
        <f ca="1">IFERROR(__xludf.DUMMYFUNCTION("""COMPUTED_VALUE"""),45672)</f>
        <v>45672</v>
      </c>
      <c r="I1293" s="5" t="str">
        <f ca="1">IFERROR(__xludf.DUMMYFUNCTION("""COMPUTED_VALUE"""),"Zillow")</f>
        <v>Zillow</v>
      </c>
      <c r="J1293" s="25" t="str">
        <f ca="1">IFERROR(__xludf.DUMMYFUNCTION("""COMPUTED_VALUE"""),"https://www.zillow.com/homedetails/3124-Rowena-Ave-Los-Angeles-CA-90027/2083030097_zpid/")</f>
        <v>https://www.zillow.com/homedetails/3124-Rowena-Ave-Los-Angeles-CA-90027/2083030097_zpid/</v>
      </c>
      <c r="K1293" s="5" t="str">
        <f ca="1">IFERROR(__xludf.DUMMYFUNCTION("""COMPUTED_VALUE"""),"Paulina")</f>
        <v>Paulina</v>
      </c>
      <c r="L1293" s="5"/>
      <c r="M1293" s="5"/>
      <c r="N1293" s="26" t="str">
        <f ca="1">IFERROR(__xludf.DUMMYFUNCTION("""COMPUTED_VALUE"""),"https://drive.google.com/open?id=1QPHx2vLdRAem-YuCJFFIAhBuwcpzkhzd")</f>
        <v>https://drive.google.com/open?id=1QPHx2vLdRAem-YuCJFFIAhBuwcpzkhzd</v>
      </c>
      <c r="O1293" s="5" t="str">
        <f ca="1">IFERROR(__xludf.DUMMYFUNCTION("""COMPUTED_VALUE"""),"N/A")</f>
        <v>N/A</v>
      </c>
      <c r="P1293" s="5" t="str">
        <f ca="1">IFERROR(__xludf.DUMMYFUNCTION("""COMPUTED_VALUE"""),"(818) 438-2810")</f>
        <v>(818) 438-2810</v>
      </c>
      <c r="Q1293" s="5"/>
      <c r="R1293" s="5"/>
      <c r="S1293" s="5"/>
      <c r="T1293" s="18">
        <f ca="1">IFERROR(__xludf.DUMMYFUNCTION("""COMPUTED_VALUE"""),45246)</f>
        <v>45246</v>
      </c>
    </row>
    <row r="1294" spans="1:20" ht="12.75">
      <c r="A1294" s="24">
        <f ca="1">IFERROR(__xludf.DUMMYFUNCTION("""COMPUTED_VALUE"""),45674.5590379629)</f>
        <v>45674.559037962899</v>
      </c>
      <c r="B1294" s="5" t="str">
        <f ca="1">IFERROR(__xludf.DUMMYFUNCTION("""COMPUTED_VALUE"""),"3450 W 43rd Street")</f>
        <v>3450 W 43rd Street</v>
      </c>
      <c r="C1294" s="5" t="str">
        <f ca="1">IFERROR(__xludf.DUMMYFUNCTION("""COMPUTED_VALUE"""),"Los Angeles")</f>
        <v>Los Angeles</v>
      </c>
      <c r="D1294" s="5" t="str">
        <f ca="1">IFERROR(__xludf.DUMMYFUNCTION("""COMPUTED_VALUE"""),"CA")</f>
        <v>CA</v>
      </c>
      <c r="E1294" s="5">
        <f ca="1">IFERROR(__xludf.DUMMYFUNCTION("""COMPUTED_VALUE"""),90008)</f>
        <v>90008</v>
      </c>
      <c r="F1294" s="19">
        <f ca="1">IFERROR(__xludf.DUMMYFUNCTION("""COMPUTED_VALUE"""),1695)</f>
        <v>1695</v>
      </c>
      <c r="G1294" s="19">
        <f ca="1">IFERROR(__xludf.DUMMYFUNCTION("""COMPUTED_VALUE"""),2395)</f>
        <v>2395</v>
      </c>
      <c r="H1294" s="18">
        <f ca="1">IFERROR(__xludf.DUMMYFUNCTION("""COMPUTED_VALUE"""),45672)</f>
        <v>45672</v>
      </c>
      <c r="I1294" s="5" t="str">
        <f ca="1">IFERROR(__xludf.DUMMYFUNCTION("""COMPUTED_VALUE"""),"Apartments.com and redoakprop.com")</f>
        <v>Apartments.com and redoakprop.com</v>
      </c>
      <c r="J1294" s="25" t="str">
        <f ca="1">IFERROR(__xludf.DUMMYFUNCTION("""COMPUTED_VALUE"""),"https://www.apartments.com/leimert-park-village-los-angeles-ca/spy8607?utm_source=shared_listing&amp;utm_medium=direct")</f>
        <v>https://www.apartments.com/leimert-park-village-los-angeles-ca/spy8607?utm_source=shared_listing&amp;utm_medium=direct</v>
      </c>
      <c r="K1294" s="5"/>
      <c r="L1294" s="5"/>
      <c r="M1294" s="5" t="str">
        <f ca="1">IFERROR(__xludf.DUMMYFUNCTION("""COMPUTED_VALUE"""),"This unit was listed for $1695 back in December as a special but quickly grew to 1895 after the special and boosted to over $500 more in 30 days for the exact same unit. ")</f>
        <v xml:space="preserve">This unit was listed for $1695 back in December as a special but quickly grew to 1895 after the special and boosted to over $500 more in 30 days for the exact same unit. </v>
      </c>
      <c r="N1294" s="5" t="str">
        <f ca="1">IFERROR(__xludf.DUMMYFUNCTION("""COMPUTED_VALUE"""),"https://drive.google.com/open?id=1OAhrEbrFefM5WiUiwZaRnNC-IW7WPSVs, https://drive.google.com/open?id=1Y3EIoOYIeP2SXqYC_uaRuebHQEAwx0JD")</f>
        <v>https://drive.google.com/open?id=1OAhrEbrFefM5WiUiwZaRnNC-IW7WPSVs, https://drive.google.com/open?id=1Y3EIoOYIeP2SXqYC_uaRuebHQEAwx0JD</v>
      </c>
      <c r="O1294" s="5" t="str">
        <f ca="1">IFERROR(__xludf.DUMMYFUNCTION("""COMPUTED_VALUE"""),"N/A")</f>
        <v>N/A</v>
      </c>
      <c r="P1294" s="5" t="str">
        <f ca="1">IFERROR(__xludf.DUMMYFUNCTION("""COMPUTED_VALUE"""),"(310) 870-1231")</f>
        <v>(310) 870-1231</v>
      </c>
      <c r="Q1294" s="5"/>
      <c r="R1294" s="5"/>
      <c r="S1294" s="5"/>
      <c r="T1294" s="18">
        <f ca="1">IFERROR(__xludf.DUMMYFUNCTION("""COMPUTED_VALUE"""),45646)</f>
        <v>45646</v>
      </c>
    </row>
    <row r="1295" spans="1:20" ht="12.75">
      <c r="A1295" s="24">
        <f ca="1">IFERROR(__xludf.DUMMYFUNCTION("""COMPUTED_VALUE"""),45674.5738698726)</f>
        <v>45674.573869872598</v>
      </c>
      <c r="B1295" s="5" t="str">
        <f ca="1">IFERROR(__xludf.DUMMYFUNCTION("""COMPUTED_VALUE"""),"10780 Andora Ave")</f>
        <v>10780 Andora Ave</v>
      </c>
      <c r="C1295" s="5" t="str">
        <f ca="1">IFERROR(__xludf.DUMMYFUNCTION("""COMPUTED_VALUE"""),"Chatsworth")</f>
        <v>Chatsworth</v>
      </c>
      <c r="D1295" s="5" t="str">
        <f ca="1">IFERROR(__xludf.DUMMYFUNCTION("""COMPUTED_VALUE"""),"CA")</f>
        <v>CA</v>
      </c>
      <c r="E1295" s="5">
        <f ca="1">IFERROR(__xludf.DUMMYFUNCTION("""COMPUTED_VALUE"""),91311)</f>
        <v>91311</v>
      </c>
      <c r="F1295" s="19">
        <f ca="1">IFERROR(__xludf.DUMMYFUNCTION("""COMPUTED_VALUE"""),3995)</f>
        <v>3995</v>
      </c>
      <c r="G1295" s="19">
        <f ca="1">IFERROR(__xludf.DUMMYFUNCTION("""COMPUTED_VALUE"""),4800)</f>
        <v>4800</v>
      </c>
      <c r="H1295" s="18">
        <f ca="1">IFERROR(__xludf.DUMMYFUNCTION("""COMPUTED_VALUE"""),45966)</f>
        <v>45966</v>
      </c>
      <c r="I1295" s="5" t="str">
        <f ca="1">IFERROR(__xludf.DUMMYFUNCTION("""COMPUTED_VALUE"""),"Zillow")</f>
        <v>Zillow</v>
      </c>
      <c r="J1295" s="25" t="str">
        <f ca="1">IFERROR(__xludf.DUMMYFUNCTION("""COMPUTED_VALUE"""),"https://www.zillow.com/homedetails/10780-Andora-Ave-Chatsworth-CA-91311/2068802822_zpid/")</f>
        <v>https://www.zillow.com/homedetails/10780-Andora-Ave-Chatsworth-CA-91311/2068802822_zpid/</v>
      </c>
      <c r="K1295" s="5"/>
      <c r="L1295" s="5"/>
      <c r="M1295" s="5"/>
      <c r="N1295" s="26" t="str">
        <f ca="1">IFERROR(__xludf.DUMMYFUNCTION("""COMPUTED_VALUE"""),"https://drive.google.com/open?id=16_nrz7u_geX58Q5KlmlAOrXmcS1ASXPB")</f>
        <v>https://drive.google.com/open?id=16_nrz7u_geX58Q5KlmlAOrXmcS1ASXPB</v>
      </c>
      <c r="O1295" s="5" t="str">
        <f ca="1">IFERROR(__xludf.DUMMYFUNCTION("""COMPUTED_VALUE"""),"n/a")</f>
        <v>n/a</v>
      </c>
      <c r="P1295" s="5"/>
      <c r="Q1295" s="5"/>
      <c r="R1295" s="5"/>
      <c r="S1295" s="5"/>
      <c r="T1295" s="18">
        <f ca="1">IFERROR(__xludf.DUMMYFUNCTION("""COMPUTED_VALUE"""),45566)</f>
        <v>45566</v>
      </c>
    </row>
    <row r="1296" spans="1:20" ht="12.75">
      <c r="A1296" s="24">
        <f ca="1">IFERROR(__xludf.DUMMYFUNCTION("""COMPUTED_VALUE"""),45674.5771034722)</f>
        <v>45674.577103472198</v>
      </c>
      <c r="B1296" s="5" t="str">
        <f ca="1">IFERROR(__xludf.DUMMYFUNCTION("""COMPUTED_VALUE"""),"16754 Armstead St")</f>
        <v>16754 Armstead St</v>
      </c>
      <c r="C1296" s="5" t="str">
        <f ca="1">IFERROR(__xludf.DUMMYFUNCTION("""COMPUTED_VALUE"""),"Granada Hills ")</f>
        <v xml:space="preserve">Granada Hills </v>
      </c>
      <c r="D1296" s="5" t="str">
        <f ca="1">IFERROR(__xludf.DUMMYFUNCTION("""COMPUTED_VALUE"""),"CA")</f>
        <v>CA</v>
      </c>
      <c r="E1296" s="5">
        <f ca="1">IFERROR(__xludf.DUMMYFUNCTION("""COMPUTED_VALUE"""),91344)</f>
        <v>91344</v>
      </c>
      <c r="F1296" s="19">
        <f ca="1">IFERROR(__xludf.DUMMYFUNCTION("""COMPUTED_VALUE"""),6000)</f>
        <v>6000</v>
      </c>
      <c r="G1296" s="19">
        <f ca="1">IFERROR(__xludf.DUMMYFUNCTION("""COMPUTED_VALUE"""),7000)</f>
        <v>7000</v>
      </c>
      <c r="H1296" s="18">
        <f ca="1">IFERROR(__xludf.DUMMYFUNCTION("""COMPUTED_VALUE"""),45669)</f>
        <v>45669</v>
      </c>
      <c r="I1296" s="5" t="str">
        <f ca="1">IFERROR(__xludf.DUMMYFUNCTION("""COMPUTED_VALUE"""),"Zillow")</f>
        <v>Zillow</v>
      </c>
      <c r="J1296" s="25" t="str">
        <f ca="1">IFERROR(__xludf.DUMMYFUNCTION("""COMPUTED_VALUE"""),"https://www.zillow.com/homedetails/16754-Armstead-St-Granada-Hills-CA-91344/20110441_zpid/")</f>
        <v>https://www.zillow.com/homedetails/16754-Armstead-St-Granada-Hills-CA-91344/20110441_zpid/</v>
      </c>
      <c r="K1296" s="5"/>
      <c r="L1296" s="5"/>
      <c r="M1296" s="5"/>
      <c r="N1296" s="26" t="str">
        <f ca="1">IFERROR(__xludf.DUMMYFUNCTION("""COMPUTED_VALUE"""),"https://drive.google.com/open?id=1AixtOUF865tX_vQvQPXkXGH8gcsPlFRQ")</f>
        <v>https://drive.google.com/open?id=1AixtOUF865tX_vQvQPXkXGH8gcsPlFRQ</v>
      </c>
      <c r="O1296" s="5">
        <f ca="1">IFERROR(__xludf.DUMMYFUNCTION("""COMPUTED_VALUE"""),2610012002)</f>
        <v>2610012002</v>
      </c>
      <c r="P1296" s="5"/>
      <c r="Q1296" s="5"/>
      <c r="R1296" s="5"/>
      <c r="S1296" s="5"/>
      <c r="T1296" s="18">
        <f ca="1">IFERROR(__xludf.DUMMYFUNCTION("""COMPUTED_VALUE"""),45566)</f>
        <v>45566</v>
      </c>
    </row>
    <row r="1297" spans="1:20" ht="12.75">
      <c r="A1297" s="24">
        <f ca="1">IFERROR(__xludf.DUMMYFUNCTION("""COMPUTED_VALUE"""),45674.5802829398)</f>
        <v>45674.580282939802</v>
      </c>
      <c r="B1297" s="5" t="str">
        <f ca="1">IFERROR(__xludf.DUMMYFUNCTION("""COMPUTED_VALUE"""),"9742 Wendover Dr")</f>
        <v>9742 Wendover Dr</v>
      </c>
      <c r="C1297" s="5" t="str">
        <f ca="1">IFERROR(__xludf.DUMMYFUNCTION("""COMPUTED_VALUE"""),"Beverly Hills")</f>
        <v>Beverly Hills</v>
      </c>
      <c r="D1297" s="5" t="str">
        <f ca="1">IFERROR(__xludf.DUMMYFUNCTION("""COMPUTED_VALUE"""),"CA")</f>
        <v>CA</v>
      </c>
      <c r="E1297" s="5">
        <f ca="1">IFERROR(__xludf.DUMMYFUNCTION("""COMPUTED_VALUE"""),90210)</f>
        <v>90210</v>
      </c>
      <c r="F1297" s="19">
        <f ca="1">IFERROR(__xludf.DUMMYFUNCTION("""COMPUTED_VALUE"""),39000)</f>
        <v>39000</v>
      </c>
      <c r="G1297" s="19">
        <f ca="1">IFERROR(__xludf.DUMMYFUNCTION("""COMPUTED_VALUE"""),48500)</f>
        <v>48500</v>
      </c>
      <c r="H1297" s="18">
        <f ca="1">IFERROR(__xludf.DUMMYFUNCTION("""COMPUTED_VALUE"""),45673)</f>
        <v>45673</v>
      </c>
      <c r="I1297" s="5" t="str">
        <f ca="1">IFERROR(__xludf.DUMMYFUNCTION("""COMPUTED_VALUE"""),"Zillow")</f>
        <v>Zillow</v>
      </c>
      <c r="J1297" s="25" t="str">
        <f ca="1">IFERROR(__xludf.DUMMYFUNCTION("""COMPUTED_VALUE"""),"https://www.zillow.com/homedetails/9742-Wendover-Dr-Beverly-Hills-CA-90210/20533273_zpid/")</f>
        <v>https://www.zillow.com/homedetails/9742-Wendover-Dr-Beverly-Hills-CA-90210/20533273_zpid/</v>
      </c>
      <c r="K1297" s="5"/>
      <c r="L1297" s="5"/>
      <c r="M1297" s="5"/>
      <c r="N1297" s="26" t="str">
        <f ca="1">IFERROR(__xludf.DUMMYFUNCTION("""COMPUTED_VALUE"""),"https://drive.google.com/open?id=1BlMAlx97NxPHEUw75RN3NNIamIYXdIKB")</f>
        <v>https://drive.google.com/open?id=1BlMAlx97NxPHEUw75RN3NNIamIYXdIKB</v>
      </c>
      <c r="O1297" s="5">
        <f ca="1">IFERROR(__xludf.DUMMYFUNCTION("""COMPUTED_VALUE"""),4385008022)</f>
        <v>4385008022</v>
      </c>
      <c r="P1297" s="5"/>
      <c r="Q1297" s="5"/>
      <c r="R1297" s="5"/>
      <c r="S1297" s="5"/>
      <c r="T1297" s="18">
        <f ca="1">IFERROR(__xludf.DUMMYFUNCTION("""COMPUTED_VALUE"""),45063)</f>
        <v>45063</v>
      </c>
    </row>
    <row r="1298" spans="1:20" ht="12.75">
      <c r="A1298" s="24">
        <f ca="1">IFERROR(__xludf.DUMMYFUNCTION("""COMPUTED_VALUE"""),45674.5978733564)</f>
        <v>45674.597873356397</v>
      </c>
      <c r="B1298" s="5" t="str">
        <f ca="1">IFERROR(__xludf.DUMMYFUNCTION("""COMPUTED_VALUE"""),"14550 Round Valley Dr")</f>
        <v>14550 Round Valley Dr</v>
      </c>
      <c r="C1298" s="5" t="str">
        <f ca="1">IFERROR(__xludf.DUMMYFUNCTION("""COMPUTED_VALUE"""),"Sherman Oaks")</f>
        <v>Sherman Oaks</v>
      </c>
      <c r="D1298" s="5" t="str">
        <f ca="1">IFERROR(__xludf.DUMMYFUNCTION("""COMPUTED_VALUE"""),"CA")</f>
        <v>CA</v>
      </c>
      <c r="E1298" s="5">
        <f ca="1">IFERROR(__xludf.DUMMYFUNCTION("""COMPUTED_VALUE"""),91403)</f>
        <v>91403</v>
      </c>
      <c r="F1298" s="19">
        <f ca="1">IFERROR(__xludf.DUMMYFUNCTION("""COMPUTED_VALUE"""),8950)</f>
        <v>8950</v>
      </c>
      <c r="G1298" s="19">
        <f ca="1">IFERROR(__xludf.DUMMYFUNCTION("""COMPUTED_VALUE"""),14500)</f>
        <v>14500</v>
      </c>
      <c r="H1298" s="18">
        <f ca="1">IFERROR(__xludf.DUMMYFUNCTION("""COMPUTED_VALUE"""),45674)</f>
        <v>45674</v>
      </c>
      <c r="I1298" s="5" t="str">
        <f ca="1">IFERROR(__xludf.DUMMYFUNCTION("""COMPUTED_VALUE"""),"Zillow")</f>
        <v>Zillow</v>
      </c>
      <c r="J1298" s="25" t="str">
        <f ca="1">IFERROR(__xludf.DUMMYFUNCTION("""COMPUTED_VALUE"""),"https://www.zillow.com/homedetails/14550-Round-Valley-Dr-Sherman-Oaks-CA-91403/19987851_zpid/")</f>
        <v>https://www.zillow.com/homedetails/14550-Round-Valley-Dr-Sherman-Oaks-CA-91403/19987851_zpid/</v>
      </c>
      <c r="K1298" s="5" t="str">
        <f ca="1">IFERROR(__xludf.DUMMYFUNCTION("""COMPUTED_VALUE"""),"Bahareh Saedi")</f>
        <v>Bahareh Saedi</v>
      </c>
      <c r="L1298" s="5"/>
      <c r="M1298" s="5"/>
      <c r="N1298" s="26" t="str">
        <f ca="1">IFERROR(__xludf.DUMMYFUNCTION("""COMPUTED_VALUE"""),"https://drive.google.com/open?id=1G7YHpyObLDWlBXYDmYW_Pn4UdLIuoaEc")</f>
        <v>https://drive.google.com/open?id=1G7YHpyObLDWlBXYDmYW_Pn4UdLIuoaEc</v>
      </c>
      <c r="O1298" s="5">
        <f ca="1">IFERROR(__xludf.DUMMYFUNCTION("""COMPUTED_VALUE"""),2275009015)</f>
        <v>2275009015</v>
      </c>
      <c r="P1298" s="5" t="str">
        <f ca="1">IFERROR(__xludf.DUMMYFUNCTION("""COMPUTED_VALUE"""),"(310) 666-1957")</f>
        <v>(310) 666-1957</v>
      </c>
      <c r="Q1298" s="5"/>
      <c r="R1298" s="5"/>
      <c r="S1298" s="5"/>
      <c r="T1298" s="18">
        <f ca="1">IFERROR(__xludf.DUMMYFUNCTION("""COMPUTED_VALUE"""),45189)</f>
        <v>45189</v>
      </c>
    </row>
    <row r="1299" spans="1:20" ht="12.75">
      <c r="A1299" s="24">
        <f ca="1">IFERROR(__xludf.DUMMYFUNCTION("""COMPUTED_VALUE"""),45674.6002307291)</f>
        <v>45674.600230729098</v>
      </c>
      <c r="B1299" s="5" t="str">
        <f ca="1">IFERROR(__xludf.DUMMYFUNCTION("""COMPUTED_VALUE"""),"1902 Granville Ave")</f>
        <v>1902 Granville Ave</v>
      </c>
      <c r="C1299" s="5" t="str">
        <f ca="1">IFERROR(__xludf.DUMMYFUNCTION("""COMPUTED_VALUE"""),"Los Angeles")</f>
        <v>Los Angeles</v>
      </c>
      <c r="D1299" s="5" t="str">
        <f ca="1">IFERROR(__xludf.DUMMYFUNCTION("""COMPUTED_VALUE"""),"CA")</f>
        <v>CA</v>
      </c>
      <c r="E1299" s="5">
        <f ca="1">IFERROR(__xludf.DUMMYFUNCTION("""COMPUTED_VALUE"""),90025)</f>
        <v>90025</v>
      </c>
      <c r="F1299" s="19">
        <f ca="1">IFERROR(__xludf.DUMMYFUNCTION("""COMPUTED_VALUE"""),5000)</f>
        <v>5000</v>
      </c>
      <c r="G1299" s="19">
        <f ca="1">IFERROR(__xludf.DUMMYFUNCTION("""COMPUTED_VALUE"""),16450)</f>
        <v>16450</v>
      </c>
      <c r="H1299" s="18">
        <f ca="1">IFERROR(__xludf.DUMMYFUNCTION("""COMPUTED_VALUE"""),45674)</f>
        <v>45674</v>
      </c>
      <c r="I1299" s="5" t="str">
        <f ca="1">IFERROR(__xludf.DUMMYFUNCTION("""COMPUTED_VALUE"""),"Zillow")</f>
        <v>Zillow</v>
      </c>
      <c r="J1299" s="25" t="str">
        <f ca="1">IFERROR(__xludf.DUMMYFUNCTION("""COMPUTED_VALUE"""),"https://www.zillow.com/homedetails/1902-Granville-Ave-Los-Angeles-CA-90025/20466278_zpid/")</f>
        <v>https://www.zillow.com/homedetails/1902-Granville-Ave-Los-Angeles-CA-90025/20466278_zpid/</v>
      </c>
      <c r="K1299" s="5" t="str">
        <f ca="1">IFERROR(__xludf.DUMMYFUNCTION("""COMPUTED_VALUE"""),"Ethan Schultz")</f>
        <v>Ethan Schultz</v>
      </c>
      <c r="L1299" s="5"/>
      <c r="M1299" s="5"/>
      <c r="N1299" s="26" t="str">
        <f ca="1">IFERROR(__xludf.DUMMYFUNCTION("""COMPUTED_VALUE"""),"https://drive.google.com/open?id=17fSuSUVjPZSWLOTJG9-RavTkXcx2eAUn")</f>
        <v>https://drive.google.com/open?id=17fSuSUVjPZSWLOTJG9-RavTkXcx2eAUn</v>
      </c>
      <c r="O1299" s="5">
        <f ca="1">IFERROR(__xludf.DUMMYFUNCTION("""COMPUTED_VALUE"""),4262025024)</f>
        <v>4262025024</v>
      </c>
      <c r="P1299" s="5" t="str">
        <f ca="1">IFERROR(__xludf.DUMMYFUNCTION("""COMPUTED_VALUE"""),"(310) 922-6573")</f>
        <v>(310) 922-6573</v>
      </c>
      <c r="Q1299" s="5"/>
      <c r="R1299" s="5"/>
      <c r="S1299" s="5"/>
      <c r="T1299" s="18">
        <f ca="1">IFERROR(__xludf.DUMMYFUNCTION("""COMPUTED_VALUE"""),45595)</f>
        <v>45595</v>
      </c>
    </row>
    <row r="1300" spans="1:20" ht="12.75">
      <c r="A1300" s="24">
        <f ca="1">IFERROR(__xludf.DUMMYFUNCTION("""COMPUTED_VALUE"""),45674.6018671412)</f>
        <v>45674.601867141202</v>
      </c>
      <c r="B1300" s="5" t="str">
        <f ca="1">IFERROR(__xludf.DUMMYFUNCTION("""COMPUTED_VALUE"""),"6871 Pacific View Dr")</f>
        <v>6871 Pacific View Dr</v>
      </c>
      <c r="C1300" s="5" t="str">
        <f ca="1">IFERROR(__xludf.DUMMYFUNCTION("""COMPUTED_VALUE"""),"Los Angeles")</f>
        <v>Los Angeles</v>
      </c>
      <c r="D1300" s="5" t="str">
        <f ca="1">IFERROR(__xludf.DUMMYFUNCTION("""COMPUTED_VALUE"""),"CA")</f>
        <v>CA</v>
      </c>
      <c r="E1300" s="5">
        <f ca="1">IFERROR(__xludf.DUMMYFUNCTION("""COMPUTED_VALUE"""),90068)</f>
        <v>90068</v>
      </c>
      <c r="F1300" s="19">
        <f ca="1">IFERROR(__xludf.DUMMYFUNCTION("""COMPUTED_VALUE"""),4600)</f>
        <v>4600</v>
      </c>
      <c r="G1300" s="19">
        <f ca="1">IFERROR(__xludf.DUMMYFUNCTION("""COMPUTED_VALUE"""),6500)</f>
        <v>6500</v>
      </c>
      <c r="H1300" s="18">
        <f ca="1">IFERROR(__xludf.DUMMYFUNCTION("""COMPUTED_VALUE"""),45674)</f>
        <v>45674</v>
      </c>
      <c r="I1300" s="5" t="str">
        <f ca="1">IFERROR(__xludf.DUMMYFUNCTION("""COMPUTED_VALUE"""),"Zillow")</f>
        <v>Zillow</v>
      </c>
      <c r="J1300" s="25" t="str">
        <f ca="1">IFERROR(__xludf.DUMMYFUNCTION("""COMPUTED_VALUE"""),"https://www.zillow.com/homedetails/6871-Pacific-View-Dr-Los-Angeles-CA-90068/20045524_zpid/")</f>
        <v>https://www.zillow.com/homedetails/6871-Pacific-View-Dr-Los-Angeles-CA-90068/20045524_zpid/</v>
      </c>
      <c r="K1300" s="5" t="str">
        <f ca="1">IFERROR(__xludf.DUMMYFUNCTION("""COMPUTED_VALUE"""),"Juan Pena")</f>
        <v>Juan Pena</v>
      </c>
      <c r="L1300" s="5"/>
      <c r="M1300" s="5"/>
      <c r="N1300" s="26" t="str">
        <f ca="1">IFERROR(__xludf.DUMMYFUNCTION("""COMPUTED_VALUE"""),"https://drive.google.com/open?id=1uRHDlOWucO9DIBcSQzLwwfhGzn2xBu6G")</f>
        <v>https://drive.google.com/open?id=1uRHDlOWucO9DIBcSQzLwwfhGzn2xBu6G</v>
      </c>
      <c r="O1300" s="5">
        <f ca="1">IFERROR(__xludf.DUMMYFUNCTION("""COMPUTED_VALUE"""),2428022002)</f>
        <v>2428022002</v>
      </c>
      <c r="P1300" s="5" t="str">
        <f ca="1">IFERROR(__xludf.DUMMYFUNCTION("""COMPUTED_VALUE"""),"(323) 632-9904")</f>
        <v>(323) 632-9904</v>
      </c>
      <c r="Q1300" s="5"/>
      <c r="R1300" s="5"/>
      <c r="S1300" s="5"/>
      <c r="T1300" s="18">
        <f ca="1">IFERROR(__xludf.DUMMYFUNCTION("""COMPUTED_VALUE"""),44840)</f>
        <v>44840</v>
      </c>
    </row>
    <row r="1301" spans="1:20" ht="12.75">
      <c r="A1301" s="24">
        <f ca="1">IFERROR(__xludf.DUMMYFUNCTION("""COMPUTED_VALUE"""),45674.6069505787)</f>
        <v>45674.606950578702</v>
      </c>
      <c r="B1301" s="5" t="str">
        <f ca="1">IFERROR(__xludf.DUMMYFUNCTION("""COMPUTED_VALUE"""),"5506 W Olympic Blvd")</f>
        <v>5506 W Olympic Blvd</v>
      </c>
      <c r="C1301" s="5" t="str">
        <f ca="1">IFERROR(__xludf.DUMMYFUNCTION("""COMPUTED_VALUE"""),"Los Angeles")</f>
        <v>Los Angeles</v>
      </c>
      <c r="D1301" s="5" t="str">
        <f ca="1">IFERROR(__xludf.DUMMYFUNCTION("""COMPUTED_VALUE"""),"CA")</f>
        <v>CA</v>
      </c>
      <c r="E1301" s="5">
        <f ca="1">IFERROR(__xludf.DUMMYFUNCTION("""COMPUTED_VALUE"""),90036)</f>
        <v>90036</v>
      </c>
      <c r="F1301" s="19">
        <f ca="1">IFERROR(__xludf.DUMMYFUNCTION("""COMPUTED_VALUE"""),4980)</f>
        <v>4980</v>
      </c>
      <c r="G1301" s="19">
        <f ca="1">IFERROR(__xludf.DUMMYFUNCTION("""COMPUTED_VALUE"""),6900)</f>
        <v>6900</v>
      </c>
      <c r="H1301" s="18">
        <f ca="1">IFERROR(__xludf.DUMMYFUNCTION("""COMPUTED_VALUE"""),45674)</f>
        <v>45674</v>
      </c>
      <c r="I1301" s="5" t="str">
        <f ca="1">IFERROR(__xludf.DUMMYFUNCTION("""COMPUTED_VALUE"""),"Zillow")</f>
        <v>Zillow</v>
      </c>
      <c r="J1301" s="25" t="str">
        <f ca="1">IFERROR(__xludf.DUMMYFUNCTION("""COMPUTED_VALUE"""),"https://www.zillow.com/homedetails/5506-W-Olympic-Blvd-Los-Angeles-CA-90036/336478518_zpid/")</f>
        <v>https://www.zillow.com/homedetails/5506-W-Olympic-Blvd-Los-Angeles-CA-90036/336478518_zpid/</v>
      </c>
      <c r="K1301" s="5" t="str">
        <f ca="1">IFERROR(__xludf.DUMMYFUNCTION("""COMPUTED_VALUE"""),"Stephany Chen")</f>
        <v>Stephany Chen</v>
      </c>
      <c r="L1301" s="5"/>
      <c r="M1301" s="5"/>
      <c r="N1301" s="26" t="str">
        <f ca="1">IFERROR(__xludf.DUMMYFUNCTION("""COMPUTED_VALUE"""),"https://drive.google.com/open?id=1avqW6HhDrdhBa1_ODWwYO2JAuC9CydbE")</f>
        <v>https://drive.google.com/open?id=1avqW6HhDrdhBa1_ODWwYO2JAuC9CydbE</v>
      </c>
      <c r="O1301" s="5">
        <f ca="1">IFERROR(__xludf.DUMMYFUNCTION("""COMPUTED_VALUE"""),5085010026)</f>
        <v>5085010026</v>
      </c>
      <c r="P1301" s="5" t="str">
        <f ca="1">IFERROR(__xludf.DUMMYFUNCTION("""COMPUTED_VALUE"""),"(310) 800-7694")</f>
        <v>(310) 800-7694</v>
      </c>
      <c r="Q1301" s="5"/>
      <c r="R1301" s="5"/>
      <c r="S1301" s="5"/>
      <c r="T1301" s="18">
        <f ca="1">IFERROR(__xludf.DUMMYFUNCTION("""COMPUTED_VALUE"""),45153)</f>
        <v>45153</v>
      </c>
    </row>
    <row r="1302" spans="1:20" ht="12.75">
      <c r="A1302" s="24">
        <f ca="1">IFERROR(__xludf.DUMMYFUNCTION("""COMPUTED_VALUE"""),45674.6145175694)</f>
        <v>45674.614517569396</v>
      </c>
      <c r="B1302" s="5" t="str">
        <f ca="1">IFERROR(__xludf.DUMMYFUNCTION("""COMPUTED_VALUE"""),"19226 Northfleet Way")</f>
        <v>19226 Northfleet Way</v>
      </c>
      <c r="C1302" s="5" t="str">
        <f ca="1">IFERROR(__xludf.DUMMYFUNCTION("""COMPUTED_VALUE"""),"Tarzana")</f>
        <v>Tarzana</v>
      </c>
      <c r="D1302" s="5" t="str">
        <f ca="1">IFERROR(__xludf.DUMMYFUNCTION("""COMPUTED_VALUE"""),"CA")</f>
        <v>CA</v>
      </c>
      <c r="E1302" s="5">
        <f ca="1">IFERROR(__xludf.DUMMYFUNCTION("""COMPUTED_VALUE"""),91356)</f>
        <v>91356</v>
      </c>
      <c r="F1302" s="19">
        <f ca="1">IFERROR(__xludf.DUMMYFUNCTION("""COMPUTED_VALUE"""),17000)</f>
        <v>17000</v>
      </c>
      <c r="G1302" s="19">
        <f ca="1">IFERROR(__xludf.DUMMYFUNCTION("""COMPUTED_VALUE"""),20000)</f>
        <v>20000</v>
      </c>
      <c r="H1302" s="18">
        <f ca="1">IFERROR(__xludf.DUMMYFUNCTION("""COMPUTED_VALUE"""),45674)</f>
        <v>45674</v>
      </c>
      <c r="I1302" s="5" t="str">
        <f ca="1">IFERROR(__xludf.DUMMYFUNCTION("""COMPUTED_VALUE"""),"Zillow")</f>
        <v>Zillow</v>
      </c>
      <c r="J1302" s="25" t="str">
        <f ca="1">IFERROR(__xludf.DUMMYFUNCTION("""COMPUTED_VALUE"""),"https://www.zillow.com/homedetails/19226-Northfleet-Way-Tarzana-CA-91356/19948310_zpid/")</f>
        <v>https://www.zillow.com/homedetails/19226-Northfleet-Way-Tarzana-CA-91356/19948310_zpid/</v>
      </c>
      <c r="K1302" s="5" t="str">
        <f ca="1">IFERROR(__xludf.DUMMYFUNCTION("""COMPUTED_VALUE"""),"Sam Collins")</f>
        <v>Sam Collins</v>
      </c>
      <c r="L1302" s="5"/>
      <c r="M1302" s="5"/>
      <c r="N1302" s="26" t="str">
        <f ca="1">IFERROR(__xludf.DUMMYFUNCTION("""COMPUTED_VALUE"""),"https://drive.google.com/open?id=1Jrab3qxiXd5vmfGsuvWlptEvT1k_fypS")</f>
        <v>https://drive.google.com/open?id=1Jrab3qxiXd5vmfGsuvWlptEvT1k_fypS</v>
      </c>
      <c r="O1302" s="5">
        <f ca="1">IFERROR(__xludf.DUMMYFUNCTION("""COMPUTED_VALUE"""),2177046003)</f>
        <v>2177046003</v>
      </c>
      <c r="P1302" s="5" t="str">
        <f ca="1">IFERROR(__xludf.DUMMYFUNCTION("""COMPUTED_VALUE"""),"(424) 777-5135")</f>
        <v>(424) 777-5135</v>
      </c>
      <c r="Q1302" s="5"/>
      <c r="R1302" s="5"/>
      <c r="S1302" s="5"/>
      <c r="T1302" s="18">
        <f ca="1">IFERROR(__xludf.DUMMYFUNCTION("""COMPUTED_VALUE"""),45657)</f>
        <v>45657</v>
      </c>
    </row>
    <row r="1303" spans="1:20" ht="12.75">
      <c r="A1303" s="24">
        <f ca="1">IFERROR(__xludf.DUMMYFUNCTION("""COMPUTED_VALUE"""),45674.6170103009)</f>
        <v>45674.617010300899</v>
      </c>
      <c r="B1303" s="5" t="str">
        <f ca="1">IFERROR(__xludf.DUMMYFUNCTION("""COMPUTED_VALUE"""),"17517 Tuscan Dr")</f>
        <v>17517 Tuscan Dr</v>
      </c>
      <c r="C1303" s="5" t="str">
        <f ca="1">IFERROR(__xludf.DUMMYFUNCTION("""COMPUTED_VALUE"""),"Granada Hills")</f>
        <v>Granada Hills</v>
      </c>
      <c r="D1303" s="5" t="str">
        <f ca="1">IFERROR(__xludf.DUMMYFUNCTION("""COMPUTED_VALUE"""),"CA")</f>
        <v>CA</v>
      </c>
      <c r="E1303" s="5">
        <f ca="1">IFERROR(__xludf.DUMMYFUNCTION("""COMPUTED_VALUE"""),91344)</f>
        <v>91344</v>
      </c>
      <c r="F1303" s="19">
        <f ca="1">IFERROR(__xludf.DUMMYFUNCTION("""COMPUTED_VALUE"""),4000)</f>
        <v>4000</v>
      </c>
      <c r="G1303" s="19">
        <f ca="1">IFERROR(__xludf.DUMMYFUNCTION("""COMPUTED_VALUE"""),10000)</f>
        <v>10000</v>
      </c>
      <c r="H1303" s="18">
        <f ca="1">IFERROR(__xludf.DUMMYFUNCTION("""COMPUTED_VALUE"""),45674)</f>
        <v>45674</v>
      </c>
      <c r="I1303" s="5" t="str">
        <f ca="1">IFERROR(__xludf.DUMMYFUNCTION("""COMPUTED_VALUE"""),"Zillow")</f>
        <v>Zillow</v>
      </c>
      <c r="J1303" s="25" t="str">
        <f ca="1">IFERROR(__xludf.DUMMYFUNCTION("""COMPUTED_VALUE"""),"https://www.zillow.com/homedetails/17517-Tuscan-Dr-Granada-Hills-CA-91344/20104229_zpid/")</f>
        <v>https://www.zillow.com/homedetails/17517-Tuscan-Dr-Granada-Hills-CA-91344/20104229_zpid/</v>
      </c>
      <c r="K1303" s="5"/>
      <c r="L1303" s="5" t="str">
        <f ca="1">IFERROR(__xludf.DUMMYFUNCTION("""COMPUTED_VALUE"""),"Rocky Ghore")</f>
        <v>Rocky Ghore</v>
      </c>
      <c r="M1303" s="5"/>
      <c r="N1303" s="26" t="str">
        <f ca="1">IFERROR(__xludf.DUMMYFUNCTION("""COMPUTED_VALUE"""),"https://drive.google.com/open?id=1S7xzkbE56m-3DJnuCg-R-0Qjri1pgZb0")</f>
        <v>https://drive.google.com/open?id=1S7xzkbE56m-3DJnuCg-R-0Qjri1pgZb0</v>
      </c>
      <c r="O1303" s="5">
        <f ca="1">IFERROR(__xludf.DUMMYFUNCTION("""COMPUTED_VALUE"""),2601045025)</f>
        <v>2601045025</v>
      </c>
      <c r="P1303" s="5"/>
      <c r="Q1303" s="5"/>
      <c r="R1303" s="5" t="str">
        <f ca="1">IFERROR(__xludf.DUMMYFUNCTION("""COMPUTED_VALUE"""),"(818) 639-1230")</f>
        <v>(818) 639-1230</v>
      </c>
      <c r="S1303" s="5"/>
      <c r="T1303" s="18">
        <f ca="1">IFERROR(__xludf.DUMMYFUNCTION("""COMPUTED_VALUE"""),43986)</f>
        <v>43986</v>
      </c>
    </row>
    <row r="1304" spans="1:20" ht="12.75">
      <c r="A1304" s="24">
        <f ca="1">IFERROR(__xludf.DUMMYFUNCTION("""COMPUTED_VALUE"""),45674.631112743)</f>
        <v>45674.631112743002</v>
      </c>
      <c r="B1304" s="5" t="str">
        <f ca="1">IFERROR(__xludf.DUMMYFUNCTION("""COMPUTED_VALUE"""),"513 Archwood PL#1")</f>
        <v>513 Archwood PL#1</v>
      </c>
      <c r="C1304" s="5" t="str">
        <f ca="1">IFERROR(__xludf.DUMMYFUNCTION("""COMPUTED_VALUE"""),"Altadena")</f>
        <v>Altadena</v>
      </c>
      <c r="D1304" s="5" t="str">
        <f ca="1">IFERROR(__xludf.DUMMYFUNCTION("""COMPUTED_VALUE"""),"CA")</f>
        <v>CA</v>
      </c>
      <c r="E1304" s="5">
        <f ca="1">IFERROR(__xludf.DUMMYFUNCTION("""COMPUTED_VALUE"""),91001)</f>
        <v>91001</v>
      </c>
      <c r="F1304" s="19">
        <f ca="1">IFERROR(__xludf.DUMMYFUNCTION("""COMPUTED_VALUE"""),6400)</f>
        <v>6400</v>
      </c>
      <c r="G1304" s="19">
        <f ca="1">IFERROR(__xludf.DUMMYFUNCTION("""COMPUTED_VALUE"""),6600)</f>
        <v>6600</v>
      </c>
      <c r="H1304" s="18">
        <f ca="1">IFERROR(__xludf.DUMMYFUNCTION("""COMPUTED_VALUE"""),45673)</f>
        <v>45673</v>
      </c>
      <c r="I1304" s="5" t="str">
        <f ca="1">IFERROR(__xludf.DUMMYFUNCTION("""COMPUTED_VALUE"""),"Zillow")</f>
        <v>Zillow</v>
      </c>
      <c r="J1304" s="25" t="str">
        <f ca="1">IFERROR(__xludf.DUMMYFUNCTION("""COMPUTED_VALUE"""),"https://www.zillow.com/homedetails/513-Archwood-Pl-1-Altadena-CA-91001/2057990907_zpid/")</f>
        <v>https://www.zillow.com/homedetails/513-Archwood-Pl-1-Altadena-CA-91001/2057990907_zpid/</v>
      </c>
      <c r="K1304" s="5" t="str">
        <f ca="1">IFERROR(__xludf.DUMMYFUNCTION("""COMPUTED_VALUE"""),"Gayane Azaryan")</f>
        <v>Gayane Azaryan</v>
      </c>
      <c r="L1304" s="5"/>
      <c r="M1304" s="5"/>
      <c r="N1304" s="26" t="str">
        <f ca="1">IFERROR(__xludf.DUMMYFUNCTION("""COMPUTED_VALUE"""),"https://drive.google.com/open?id=1fj76vUPI-MxDinL_0L_3EOhezslsYCi8")</f>
        <v>https://drive.google.com/open?id=1fj76vUPI-MxDinL_0L_3EOhezslsYCi8</v>
      </c>
      <c r="O1304" s="5" t="str">
        <f ca="1">IFERROR(__xludf.DUMMYFUNCTION("""COMPUTED_VALUE"""),"NA")</f>
        <v>NA</v>
      </c>
      <c r="P1304" s="5" t="str">
        <f ca="1">IFERROR(__xludf.DUMMYFUNCTION("""COMPUTED_VALUE"""),"(213) 840-9941")</f>
        <v>(213) 840-9941</v>
      </c>
      <c r="Q1304" s="5"/>
      <c r="R1304" s="5"/>
      <c r="S1304" s="5"/>
      <c r="T1304" s="18">
        <f ca="1">IFERROR(__xludf.DUMMYFUNCTION("""COMPUTED_VALUE"""),45641)</f>
        <v>45641</v>
      </c>
    </row>
    <row r="1305" spans="1:20" ht="12.75">
      <c r="A1305" s="24">
        <f ca="1">IFERROR(__xludf.DUMMYFUNCTION("""COMPUTED_VALUE"""),45674.6334315856)</f>
        <v>45674.6334315856</v>
      </c>
      <c r="B1305" s="5" t="str">
        <f ca="1">IFERROR(__xludf.DUMMYFUNCTION("""COMPUTED_VALUE"""),"902 Manzanita St")</f>
        <v>902 Manzanita St</v>
      </c>
      <c r="C1305" s="5" t="str">
        <f ca="1">IFERROR(__xludf.DUMMYFUNCTION("""COMPUTED_VALUE"""),"Los Angeles")</f>
        <v>Los Angeles</v>
      </c>
      <c r="D1305" s="5" t="str">
        <f ca="1">IFERROR(__xludf.DUMMYFUNCTION("""COMPUTED_VALUE"""),"CA")</f>
        <v>CA</v>
      </c>
      <c r="E1305" s="5">
        <f ca="1">IFERROR(__xludf.DUMMYFUNCTION("""COMPUTED_VALUE"""),90029)</f>
        <v>90029</v>
      </c>
      <c r="F1305" s="19">
        <f ca="1">IFERROR(__xludf.DUMMYFUNCTION("""COMPUTED_VALUE"""),2280)</f>
        <v>2280</v>
      </c>
      <c r="G1305" s="19">
        <f ca="1">IFERROR(__xludf.DUMMYFUNCTION("""COMPUTED_VALUE"""),2800)</f>
        <v>2800</v>
      </c>
      <c r="H1305" s="18">
        <f ca="1">IFERROR(__xludf.DUMMYFUNCTION("""COMPUTED_VALUE"""),45674)</f>
        <v>45674</v>
      </c>
      <c r="I1305" s="5" t="str">
        <f ca="1">IFERROR(__xludf.DUMMYFUNCTION("""COMPUTED_VALUE"""),"Zillow")</f>
        <v>Zillow</v>
      </c>
      <c r="J1305" s="25" t="str">
        <f ca="1">IFERROR(__xludf.DUMMYFUNCTION("""COMPUTED_VALUE"""),"https://www.zillow.com/homedetails/902-Manzanita-St-Los-Angeles-CA-90029/2066630147_zpid/")</f>
        <v>https://www.zillow.com/homedetails/902-Manzanita-St-Los-Angeles-CA-90029/2066630147_zpid/</v>
      </c>
      <c r="K1305" s="5" t="str">
        <f ca="1">IFERROR(__xludf.DUMMYFUNCTION("""COMPUTED_VALUE"""),"Angela")</f>
        <v>Angela</v>
      </c>
      <c r="L1305" s="5"/>
      <c r="M1305" s="5" t="str">
        <f ca="1">IFERROR(__xludf.DUMMYFUNCTION("""COMPUTED_VALUE"""),"From 2022-2024 rent was raised only $50.")</f>
        <v>From 2022-2024 rent was raised only $50.</v>
      </c>
      <c r="N1305" s="5" t="str">
        <f ca="1">IFERROR(__xludf.DUMMYFUNCTION("""COMPUTED_VALUE"""),"https://drive.google.com/open?id=1A2V6o5MGmD0C_NVL6OoBFHySEUV8XCId, https://drive.google.com/open?id=1FuOA-mhzN9Tc4Jf1tr11jAz3D9L9AGUo, https://drive.google.com/open?id=1bjy67hGRchOxLag40tRJnoqpApHbP_t7, https://drive.google.com/open?id=11-cxXx0bFjjiQxULS"&amp;"V1CosVcGcJM1pBY")</f>
        <v>https://drive.google.com/open?id=1A2V6o5MGmD0C_NVL6OoBFHySEUV8XCId, https://drive.google.com/open?id=1FuOA-mhzN9Tc4Jf1tr11jAz3D9L9AGUo, https://drive.google.com/open?id=1bjy67hGRchOxLag40tRJnoqpApHbP_t7, https://drive.google.com/open?id=11-cxXx0bFjjiQxULSV1CosVcGcJM1pBY</v>
      </c>
      <c r="O1305" s="5" t="str">
        <f ca="1">IFERROR(__xludf.DUMMYFUNCTION("""COMPUTED_VALUE"""),"NA")</f>
        <v>NA</v>
      </c>
      <c r="P1305" s="5" t="str">
        <f ca="1">IFERROR(__xludf.DUMMYFUNCTION("""COMPUTED_VALUE"""),"(310) 600-3417")</f>
        <v>(310) 600-3417</v>
      </c>
      <c r="Q1305" s="5"/>
      <c r="R1305" s="5"/>
      <c r="S1305" s="5"/>
      <c r="T1305" s="18">
        <f ca="1">IFERROR(__xludf.DUMMYFUNCTION("""COMPUTED_VALUE"""),45355)</f>
        <v>45355</v>
      </c>
    </row>
    <row r="1306" spans="1:20" ht="12.75">
      <c r="A1306" s="24">
        <f ca="1">IFERROR(__xludf.DUMMYFUNCTION("""COMPUTED_VALUE"""),45674.6366259722)</f>
        <v>45674.636625972198</v>
      </c>
      <c r="B1306" s="5" t="str">
        <f ca="1">IFERROR(__xludf.DUMMYFUNCTION("""COMPUTED_VALUE"""),"18730 Hatteras St UNIT 49")</f>
        <v>18730 Hatteras St UNIT 49</v>
      </c>
      <c r="C1306" s="5" t="str">
        <f ca="1">IFERROR(__xludf.DUMMYFUNCTION("""COMPUTED_VALUE"""),"Tarzana")</f>
        <v>Tarzana</v>
      </c>
      <c r="D1306" s="5" t="str">
        <f ca="1">IFERROR(__xludf.DUMMYFUNCTION("""COMPUTED_VALUE"""),"CA")</f>
        <v>CA</v>
      </c>
      <c r="E1306" s="5">
        <f ca="1">IFERROR(__xludf.DUMMYFUNCTION("""COMPUTED_VALUE"""),91356)</f>
        <v>91356</v>
      </c>
      <c r="F1306" s="19">
        <f ca="1">IFERROR(__xludf.DUMMYFUNCTION("""COMPUTED_VALUE"""),3650)</f>
        <v>3650</v>
      </c>
      <c r="G1306" s="19">
        <f ca="1">IFERROR(__xludf.DUMMYFUNCTION("""COMPUTED_VALUE"""),7500)</f>
        <v>7500</v>
      </c>
      <c r="H1306" s="18">
        <f ca="1">IFERROR(__xludf.DUMMYFUNCTION("""COMPUTED_VALUE"""),45673)</f>
        <v>45673</v>
      </c>
      <c r="I1306" s="5" t="str">
        <f ca="1">IFERROR(__xludf.DUMMYFUNCTION("""COMPUTED_VALUE"""),"Zillow")</f>
        <v>Zillow</v>
      </c>
      <c r="J1306" s="25" t="str">
        <f ca="1">IFERROR(__xludf.DUMMYFUNCTION("""COMPUTED_VALUE"""),"https://www.zillow.com/homedetails/18730-Hatteras-St-UNIT-49-Tarzana-CA-91356/19933668_zpid/")</f>
        <v>https://www.zillow.com/homedetails/18730-Hatteras-St-UNIT-49-Tarzana-CA-91356/19933668_zpid/</v>
      </c>
      <c r="K1306" s="5" t="str">
        <f ca="1">IFERROR(__xludf.DUMMYFUNCTION("""COMPUTED_VALUE"""),"Maryam kazemi")</f>
        <v>Maryam kazemi</v>
      </c>
      <c r="L1306" s="5"/>
      <c r="M1306" s="5"/>
      <c r="N1306" s="26" t="str">
        <f ca="1">IFERROR(__xludf.DUMMYFUNCTION("""COMPUTED_VALUE"""),"https://drive.google.com/open?id=1j20CIdz9dnmDtietKL-kS5PoascQJYkX")</f>
        <v>https://drive.google.com/open?id=1j20CIdz9dnmDtietKL-kS5PoascQJYkX</v>
      </c>
      <c r="O1306" s="5">
        <f ca="1">IFERROR(__xludf.DUMMYFUNCTION("""COMPUTED_VALUE"""),2156021113)</f>
        <v>2156021113</v>
      </c>
      <c r="P1306" s="5" t="str">
        <f ca="1">IFERROR(__xludf.DUMMYFUNCTION("""COMPUTED_VALUE"""),"(818) 237-0757")</f>
        <v>(818) 237-0757</v>
      </c>
      <c r="Q1306" s="5"/>
      <c r="R1306" s="5"/>
      <c r="S1306" s="5"/>
      <c r="T1306" s="18">
        <f ca="1">IFERROR(__xludf.DUMMYFUNCTION("""COMPUTED_VALUE"""),43834)</f>
        <v>43834</v>
      </c>
    </row>
    <row r="1307" spans="1:20" ht="12.75">
      <c r="A1307" s="24">
        <f ca="1">IFERROR(__xludf.DUMMYFUNCTION("""COMPUTED_VALUE"""),45674.674991493)</f>
        <v>45674.674991492997</v>
      </c>
      <c r="B1307" s="5" t="str">
        <f ca="1">IFERROR(__xludf.DUMMYFUNCTION("""COMPUTED_VALUE"""),"1235 Highland Oaks Drive")</f>
        <v>1235 Highland Oaks Drive</v>
      </c>
      <c r="C1307" s="5" t="str">
        <f ca="1">IFERROR(__xludf.DUMMYFUNCTION("""COMPUTED_VALUE"""),"Arcadia")</f>
        <v>Arcadia</v>
      </c>
      <c r="D1307" s="5" t="str">
        <f ca="1">IFERROR(__xludf.DUMMYFUNCTION("""COMPUTED_VALUE"""),"CA")</f>
        <v>CA</v>
      </c>
      <c r="E1307" s="5">
        <f ca="1">IFERROR(__xludf.DUMMYFUNCTION("""COMPUTED_VALUE"""),91006)</f>
        <v>91006</v>
      </c>
      <c r="F1307" s="19">
        <f ca="1">IFERROR(__xludf.DUMMYFUNCTION("""COMPUTED_VALUE"""),5495)</f>
        <v>5495</v>
      </c>
      <c r="G1307" s="19">
        <f ca="1">IFERROR(__xludf.DUMMYFUNCTION("""COMPUTED_VALUE"""),6250)</f>
        <v>6250</v>
      </c>
      <c r="H1307" s="18">
        <f ca="1">IFERROR(__xludf.DUMMYFUNCTION("""COMPUTED_VALUE"""),45667)</f>
        <v>45667</v>
      </c>
      <c r="I1307" s="5" t="str">
        <f ca="1">IFERROR(__xludf.DUMMYFUNCTION("""COMPUTED_VALUE"""),"Zillow")</f>
        <v>Zillow</v>
      </c>
      <c r="J1307" s="25" t="str">
        <f ca="1">IFERROR(__xludf.DUMMYFUNCTION("""COMPUTED_VALUE"""),"https://www.zillow.com/homedetails/1235-Highland-Oaks-Dr-Arcadia-CA-91006/20887520_zpid/")</f>
        <v>https://www.zillow.com/homedetails/1235-Highland-Oaks-Dr-Arcadia-CA-91006/20887520_zpid/</v>
      </c>
      <c r="K1307" s="5"/>
      <c r="L1307" s="5"/>
      <c r="M1307" s="5" t="str">
        <f ca="1">IFERROR(__xludf.DUMMYFUNCTION("""COMPUTED_VALUE"""),"Now listed as for sale. Altadena fire refugees toured on 1/11 and were asked to pay for the pool service and the gardener, adding several hundred dollars to the monthly rent. The agent didn’t even know how much either would be. A family that lost everythi"&amp;"ng in the Eaton fire was asked to provide their own washer, dryer, AND fridge. Property was filthy and in disrepair. ")</f>
        <v xml:space="preserve">Now listed as for sale. Altadena fire refugees toured on 1/11 and were asked to pay for the pool service and the gardener, adding several hundred dollars to the monthly rent. The agent didn’t even know how much either would be. A family that lost everything in the Eaton fire was asked to provide their own washer, dryer, AND fridge. Property was filthy and in disrepair. </v>
      </c>
      <c r="N1307" s="5" t="str">
        <f ca="1">IFERROR(__xludf.DUMMYFUNCTION("""COMPUTED_VALUE"""),"https://drive.google.com/open?id=1E9Cfdw5OOGx9j-fuiwtz4LLDRNwFEZ2i, https://drive.google.com/open?id=1n35xIs-CVW6_PXBvn9a0A4K-8peI16Es")</f>
        <v>https://drive.google.com/open?id=1E9Cfdw5OOGx9j-fuiwtz4LLDRNwFEZ2i, https://drive.google.com/open?id=1n35xIs-CVW6_PXBvn9a0A4K-8peI16Es</v>
      </c>
      <c r="O1307" s="5">
        <f ca="1">IFERROR(__xludf.DUMMYFUNCTION("""COMPUTED_VALUE"""),5771018012)</f>
        <v>5771018012</v>
      </c>
      <c r="P1307" s="5" t="str">
        <f ca="1">IFERROR(__xludf.DUMMYFUNCTION("""COMPUTED_VALUE"""),"+1 (626) 899-0888")</f>
        <v>+1 (626) 899-0888</v>
      </c>
      <c r="Q1307" s="5"/>
      <c r="R1307" s="5"/>
      <c r="S1307" s="5"/>
      <c r="T1307" s="18">
        <f ca="1">IFERROR(__xludf.DUMMYFUNCTION("""COMPUTED_VALUE"""),45615)</f>
        <v>45615</v>
      </c>
    </row>
    <row r="1308" spans="1:20" ht="12.75">
      <c r="A1308" s="24">
        <f ca="1">IFERROR(__xludf.DUMMYFUNCTION("""COMPUTED_VALUE"""),45674.6835866898)</f>
        <v>45674.683586689804</v>
      </c>
      <c r="B1308" s="5" t="str">
        <f ca="1">IFERROR(__xludf.DUMMYFUNCTION("""COMPUTED_VALUE"""),"1740 Cielito Dr")</f>
        <v>1740 Cielito Dr</v>
      </c>
      <c r="C1308" s="5" t="str">
        <f ca="1">IFERROR(__xludf.DUMMYFUNCTION("""COMPUTED_VALUE"""),"glendale")</f>
        <v>glendale</v>
      </c>
      <c r="D1308" s="5" t="str">
        <f ca="1">IFERROR(__xludf.DUMMYFUNCTION("""COMPUTED_VALUE"""),"CA")</f>
        <v>CA</v>
      </c>
      <c r="E1308" s="5">
        <f ca="1">IFERROR(__xludf.DUMMYFUNCTION("""COMPUTED_VALUE"""),91207)</f>
        <v>91207</v>
      </c>
      <c r="F1308" s="19">
        <f ca="1">IFERROR(__xludf.DUMMYFUNCTION("""COMPUTED_VALUE"""),12500)</f>
        <v>12500</v>
      </c>
      <c r="G1308" s="19">
        <f ca="1">IFERROR(__xludf.DUMMYFUNCTION("""COMPUTED_VALUE"""),19000)</f>
        <v>19000</v>
      </c>
      <c r="H1308" s="18">
        <f ca="1">IFERROR(__xludf.DUMMYFUNCTION("""COMPUTED_VALUE"""),45674)</f>
        <v>45674</v>
      </c>
      <c r="I1308" s="5" t="str">
        <f ca="1">IFERROR(__xludf.DUMMYFUNCTION("""COMPUTED_VALUE"""),"Zillow")</f>
        <v>Zillow</v>
      </c>
      <c r="J1308" s="25" t="str">
        <f ca="1">IFERROR(__xludf.DUMMYFUNCTION("""COMPUTED_VALUE"""),"https://www.zillow.com/homedetails/1740-Cielito-Dr-Glendale-CA-91207/20837929_zpid/")</f>
        <v>https://www.zillow.com/homedetails/1740-Cielito-Dr-Glendale-CA-91207/20837929_zpid/</v>
      </c>
      <c r="K1308" s="5"/>
      <c r="L1308" s="5" t="str">
        <f ca="1">IFERROR(__xludf.DUMMYFUNCTION("""COMPUTED_VALUE"""),"Vick Touzjian")</f>
        <v>Vick Touzjian</v>
      </c>
      <c r="M1308" s="5"/>
      <c r="N1308" s="5" t="str">
        <f ca="1">IFERROR(__xludf.DUMMYFUNCTION("""COMPUTED_VALUE"""),"https://drive.google.com/open?id=1P67TJ_GgfKGnYU2woxz71TGat10qcAqp, https://drive.google.com/open?id=1TRrAb9lM_rZcgLuBUxVBmijiBgUr9CUO")</f>
        <v>https://drive.google.com/open?id=1P67TJ_GgfKGnYU2woxz71TGat10qcAqp, https://drive.google.com/open?id=1TRrAb9lM_rZcgLuBUxVBmijiBgUr9CUO</v>
      </c>
      <c r="O1308" s="5">
        <f ca="1">IFERROR(__xludf.DUMMYFUNCTION("""COMPUTED_VALUE"""),5648029001)</f>
        <v>5648029001</v>
      </c>
      <c r="P1308" s="5"/>
      <c r="Q1308" s="5"/>
      <c r="R1308" s="5"/>
      <c r="S1308" s="5"/>
      <c r="T1308" s="18">
        <f ca="1">IFERROR(__xludf.DUMMYFUNCTION("""COMPUTED_VALUE"""),45091)</f>
        <v>45091</v>
      </c>
    </row>
    <row r="1309" spans="1:20" ht="12.75">
      <c r="A1309" s="24">
        <f ca="1">IFERROR(__xludf.DUMMYFUNCTION("""COMPUTED_VALUE"""),45674.8023933449)</f>
        <v>45674.8023933449</v>
      </c>
      <c r="B1309" s="5" t="str">
        <f ca="1">IFERROR(__xludf.DUMMYFUNCTION("""COMPUTED_VALUE"""),"1632 Micheltorena St")</f>
        <v>1632 Micheltorena St</v>
      </c>
      <c r="C1309" s="5" t="str">
        <f ca="1">IFERROR(__xludf.DUMMYFUNCTION("""COMPUTED_VALUE"""),"Los Angeles")</f>
        <v>Los Angeles</v>
      </c>
      <c r="D1309" s="5" t="str">
        <f ca="1">IFERROR(__xludf.DUMMYFUNCTION("""COMPUTED_VALUE"""),"CA")</f>
        <v>CA</v>
      </c>
      <c r="E1309" s="5">
        <f ca="1">IFERROR(__xludf.DUMMYFUNCTION("""COMPUTED_VALUE"""),90026)</f>
        <v>90026</v>
      </c>
      <c r="F1309" s="19">
        <f ca="1">IFERROR(__xludf.DUMMYFUNCTION("""COMPUTED_VALUE"""),2495)</f>
        <v>2495</v>
      </c>
      <c r="G1309" s="19">
        <f ca="1">IFERROR(__xludf.DUMMYFUNCTION("""COMPUTED_VALUE"""),10000)</f>
        <v>10000</v>
      </c>
      <c r="H1309" s="18">
        <f ca="1">IFERROR(__xludf.DUMMYFUNCTION("""COMPUTED_VALUE"""),45675)</f>
        <v>45675</v>
      </c>
      <c r="I1309" s="5" t="str">
        <f ca="1">IFERROR(__xludf.DUMMYFUNCTION("""COMPUTED_VALUE"""),"Zillow")</f>
        <v>Zillow</v>
      </c>
      <c r="J1309" s="25" t="str">
        <f ca="1">IFERROR(__xludf.DUMMYFUNCTION("""COMPUTED_VALUE"""),"https://www.zillow.com/homedetails/1632-Micheltorena-St-Los-Angeles-CA-90026/345388614_zpid/")</f>
        <v>https://www.zillow.com/homedetails/1632-Micheltorena-St-Los-Angeles-CA-90026/345388614_zpid/</v>
      </c>
      <c r="K1309" s="5" t="str">
        <f ca="1">IFERROR(__xludf.DUMMYFUNCTION("""COMPUTED_VALUE"""),"Bryan C. Watkins")</f>
        <v>Bryan C. Watkins</v>
      </c>
      <c r="L1309" s="5"/>
      <c r="M1309" s="5"/>
      <c r="N1309" s="26" t="str">
        <f ca="1">IFERROR(__xludf.DUMMYFUNCTION("""COMPUTED_VALUE"""),"https://drive.google.com/open?id=1J3YzOiaeV9EzOuKY03gJWnBhV2MMFYx3")</f>
        <v>https://drive.google.com/open?id=1J3YzOiaeV9EzOuKY03gJWnBhV2MMFYx3</v>
      </c>
      <c r="O1309" s="5" t="str">
        <f ca="1">IFERROR(__xludf.DUMMYFUNCTION("""COMPUTED_VALUE"""),"NA")</f>
        <v>NA</v>
      </c>
      <c r="P1309" s="5" t="str">
        <f ca="1">IFERROR(__xludf.DUMMYFUNCTION("""COMPUTED_VALUE"""),"(424) 228-9419")</f>
        <v>(424) 228-9419</v>
      </c>
      <c r="Q1309" s="5"/>
      <c r="R1309" s="5"/>
      <c r="S1309" s="5"/>
      <c r="T1309" s="18">
        <f ca="1">IFERROR(__xludf.DUMMYFUNCTION("""COMPUTED_VALUE"""),45465)</f>
        <v>45465</v>
      </c>
    </row>
    <row r="1310" spans="1:20" ht="12.75">
      <c r="A1310" s="24">
        <f ca="1">IFERROR(__xludf.DUMMYFUNCTION("""COMPUTED_VALUE"""),45675.4537539236)</f>
        <v>45675.453753923597</v>
      </c>
      <c r="B1310" s="5" t="str">
        <f ca="1">IFERROR(__xludf.DUMMYFUNCTION("""COMPUTED_VALUE"""),"120 1/2 Galleon")</f>
        <v>120 1/2 Galleon</v>
      </c>
      <c r="C1310" s="5" t="str">
        <f ca="1">IFERROR(__xludf.DUMMYFUNCTION("""COMPUTED_VALUE"""),"Marina Del Rey")</f>
        <v>Marina Del Rey</v>
      </c>
      <c r="D1310" s="5" t="str">
        <f ca="1">IFERROR(__xludf.DUMMYFUNCTION("""COMPUTED_VALUE"""),"CA")</f>
        <v>CA</v>
      </c>
      <c r="E1310" s="5">
        <f ca="1">IFERROR(__xludf.DUMMYFUNCTION("""COMPUTED_VALUE"""),90292)</f>
        <v>90292</v>
      </c>
      <c r="F1310" s="19">
        <f ca="1">IFERROR(__xludf.DUMMYFUNCTION("""COMPUTED_VALUE"""),10500)</f>
        <v>10500</v>
      </c>
      <c r="G1310" s="19">
        <f ca="1">IFERROR(__xludf.DUMMYFUNCTION("""COMPUTED_VALUE"""),20000)</f>
        <v>20000</v>
      </c>
      <c r="H1310" s="18">
        <f ca="1">IFERROR(__xludf.DUMMYFUNCTION("""COMPUTED_VALUE"""),45666)</f>
        <v>45666</v>
      </c>
      <c r="I1310" s="5" t="str">
        <f ca="1">IFERROR(__xludf.DUMMYFUNCTION("""COMPUTED_VALUE"""),"Zillow")</f>
        <v>Zillow</v>
      </c>
      <c r="J1310" s="25" t="str">
        <f ca="1">IFERROR(__xludf.DUMMYFUNCTION("""COMPUTED_VALUE"""),"https://www.zillow.com/homedetails/120-12-Galleon-St-Los-Angeles-CA-90292/50894476_zpid/?utm_campaign=iosappmessage&amp;utm_medium=referral&amp;utm_source=txtshare")</f>
        <v>https://www.zillow.com/homedetails/120-12-Galleon-St-Los-Angeles-CA-90292/50894476_zpid/?utm_campaign=iosappmessage&amp;utm_medium=referral&amp;utm_source=txtshare</v>
      </c>
      <c r="K1310" s="5"/>
      <c r="L1310" s="5"/>
      <c r="M1310" s="5" t="str">
        <f ca="1">IFERROR(__xludf.DUMMYFUNCTION("""COMPUTED_VALUE"""),"On 1/9/2925 price jumps from 10k to 15k. We are quoted 20k now for showing on 1/18/25")</f>
        <v>On 1/9/2925 price jumps from 10k to 15k. We are quoted 20k now for showing on 1/18/25</v>
      </c>
      <c r="N1310" s="26" t="str">
        <f ca="1">IFERROR(__xludf.DUMMYFUNCTION("""COMPUTED_VALUE"""),"https://drive.google.com/open?id=1hQIObzVVvU1ZHb5KpTUVQ6uurP8EN2_r")</f>
        <v>https://drive.google.com/open?id=1hQIObzVVvU1ZHb5KpTUVQ6uurP8EN2_r</v>
      </c>
      <c r="O1310" s="5" t="str">
        <f ca="1">IFERROR(__xludf.DUMMYFUNCTION("""COMPUTED_VALUE"""),"Na")</f>
        <v>Na</v>
      </c>
      <c r="P1310" s="5"/>
      <c r="Q1310" s="5"/>
      <c r="R1310" s="5"/>
      <c r="S1310" s="5"/>
      <c r="T1310" s="18">
        <f ca="1">IFERROR(__xludf.DUMMYFUNCTION("""COMPUTED_VALUE"""),45665)</f>
        <v>45665</v>
      </c>
    </row>
    <row r="1311" spans="1:20" ht="12.75">
      <c r="A1311" s="24">
        <f ca="1">IFERROR(__xludf.DUMMYFUNCTION("""COMPUTED_VALUE"""),45675.5062045023)</f>
        <v>45675.506204502301</v>
      </c>
      <c r="B1311" s="5" t="str">
        <f ca="1">IFERROR(__xludf.DUMMYFUNCTION("""COMPUTED_VALUE"""),"1822 W Silver Lake Dr APT 2")</f>
        <v>1822 W Silver Lake Dr APT 2</v>
      </c>
      <c r="C1311" s="5" t="str">
        <f ca="1">IFERROR(__xludf.DUMMYFUNCTION("""COMPUTED_VALUE"""),"Los Angeles")</f>
        <v>Los Angeles</v>
      </c>
      <c r="D1311" s="5" t="str">
        <f ca="1">IFERROR(__xludf.DUMMYFUNCTION("""COMPUTED_VALUE"""),"CA")</f>
        <v>CA</v>
      </c>
      <c r="E1311" s="5">
        <f ca="1">IFERROR(__xludf.DUMMYFUNCTION("""COMPUTED_VALUE"""),90026)</f>
        <v>90026</v>
      </c>
      <c r="F1311" s="19">
        <f ca="1">IFERROR(__xludf.DUMMYFUNCTION("""COMPUTED_VALUE"""),3750)</f>
        <v>3750</v>
      </c>
      <c r="G1311" s="19">
        <f ca="1">IFERROR(__xludf.DUMMYFUNCTION("""COMPUTED_VALUE"""),3750)</f>
        <v>3750</v>
      </c>
      <c r="H1311" s="18">
        <f ca="1">IFERROR(__xludf.DUMMYFUNCTION("""COMPUTED_VALUE"""),45670)</f>
        <v>45670</v>
      </c>
      <c r="I1311" s="5" t="str">
        <f ca="1">IFERROR(__xludf.DUMMYFUNCTION("""COMPUTED_VALUE"""),"Zillow")</f>
        <v>Zillow</v>
      </c>
      <c r="J1311" s="25" t="str">
        <f ca="1">IFERROR(__xludf.DUMMYFUNCTION("""COMPUTED_VALUE"""),"https://www.zillow.com/homedetails/1822-W-Silver-Lake-Dr-APT-2-Los-Angeles-CA-90026/443943394_zpid/")</f>
        <v>https://www.zillow.com/homedetails/1822-W-Silver-Lake-Dr-APT-2-Los-Angeles-CA-90026/443943394_zpid/</v>
      </c>
      <c r="K1311" s="5" t="str">
        <f ca="1">IFERROR(__xludf.DUMMYFUNCTION("""COMPUTED_VALUE"""),"Mia Chung")</f>
        <v>Mia Chung</v>
      </c>
      <c r="L1311" s="5" t="str">
        <f ca="1">IFERROR(__xludf.DUMMYFUNCTION("""COMPUTED_VALUE"""),"Mia Chung")</f>
        <v>Mia Chung</v>
      </c>
      <c r="M1311" s="5" t="str">
        <f ca="1">IFERROR(__xludf.DUMMYFUNCTION("""COMPUTED_VALUE"""),"This listing was not advertised before the fires and exceeds 160% of the Department of Housing and Urban Development's fair market value. I also found past listing for another unit in the same building (same bedroom/bathroom #) with the last listed rent p"&amp;"rice for $2,695 on 9/22/24. Link to that zillow listing - https://www.zillow.com/homedetails/1822-W-Silver-Lake-Dr-APT-4-Los-Angeles-CA-90026/2097394196_zpid/?utm_campaign=iosappmessage&amp;utm_medium=referral&amp;utm_source=txtshare")</f>
        <v>This listing was not advertised before the fires and exceeds 160% of the Department of Housing and Urban Development's fair market value. I also found past listing for another unit in the same building (same bedroom/bathroom #) with the last listed rent price for $2,695 on 9/22/24. Link to that zillow listing - https://www.zillow.com/homedetails/1822-W-Silver-Lake-Dr-APT-4-Los-Angeles-CA-90026/2097394196_zpid/?utm_campaign=iosappmessage&amp;utm_medium=referral&amp;utm_source=txtshare</v>
      </c>
      <c r="N1311" s="5" t="str">
        <f ca="1">IFERROR(__xludf.DUMMYFUNCTION("""COMPUTED_VALUE"""),"https://drive.google.com/open?id=1Tu9TM1Nild5kxgpJrFk94GmbC1KwpcXm, https://drive.google.com/open?id=1vtBHBlRFLbkfXKz8puvIsy0ayj_9oBrq, https://drive.google.com/open?id=1H0VyQ_Yyb4U5ofDEbC2LGOgOAXehK5Yo")</f>
        <v>https://drive.google.com/open?id=1Tu9TM1Nild5kxgpJrFk94GmbC1KwpcXm, https://drive.google.com/open?id=1vtBHBlRFLbkfXKz8puvIsy0ayj_9oBrq, https://drive.google.com/open?id=1H0VyQ_Yyb4U5ofDEbC2LGOgOAXehK5Yo</v>
      </c>
      <c r="O1311" s="5" t="str">
        <f ca="1">IFERROR(__xludf.DUMMYFUNCTION("""COMPUTED_VALUE"""),"NA")</f>
        <v>NA</v>
      </c>
      <c r="P1311" s="5" t="str">
        <f ca="1">IFERROR(__xludf.DUMMYFUNCTION("""COMPUTED_VALUE"""),"(510) 637-8970")</f>
        <v>(510) 637-8970</v>
      </c>
      <c r="Q1311" s="5"/>
      <c r="R1311" s="5" t="str">
        <f ca="1">IFERROR(__xludf.DUMMYFUNCTION("""COMPUTED_VALUE"""),"(510) 637-8970")</f>
        <v>(510) 637-8970</v>
      </c>
      <c r="S1311" s="5"/>
      <c r="T1311" s="5"/>
    </row>
    <row r="1312" spans="1:20" ht="12.75">
      <c r="A1312" s="24">
        <f ca="1">IFERROR(__xludf.DUMMYFUNCTION("""COMPUTED_VALUE"""),45675.5062896643)</f>
        <v>45675.506289664299</v>
      </c>
      <c r="B1312" s="5" t="str">
        <f ca="1">IFERROR(__xludf.DUMMYFUNCTION("""COMPUTED_VALUE"""),"4267 Marina City Dr, UNIT 102")</f>
        <v>4267 Marina City Dr, UNIT 102</v>
      </c>
      <c r="C1312" s="5" t="str">
        <f ca="1">IFERROR(__xludf.DUMMYFUNCTION("""COMPUTED_VALUE"""),"Marina Del Rey")</f>
        <v>Marina Del Rey</v>
      </c>
      <c r="D1312" s="5" t="str">
        <f ca="1">IFERROR(__xludf.DUMMYFUNCTION("""COMPUTED_VALUE"""),"CA")</f>
        <v>CA</v>
      </c>
      <c r="E1312" s="5">
        <f ca="1">IFERROR(__xludf.DUMMYFUNCTION("""COMPUTED_VALUE"""),90292)</f>
        <v>90292</v>
      </c>
      <c r="F1312" s="19">
        <f ca="1">IFERROR(__xludf.DUMMYFUNCTION("""COMPUTED_VALUE"""),5200)</f>
        <v>5200</v>
      </c>
      <c r="G1312" s="19">
        <f ca="1">IFERROR(__xludf.DUMMYFUNCTION("""COMPUTED_VALUE"""),7000)</f>
        <v>7000</v>
      </c>
      <c r="H1312" s="18">
        <f ca="1">IFERROR(__xludf.DUMMYFUNCTION("""COMPUTED_VALUE"""),45672)</f>
        <v>45672</v>
      </c>
      <c r="I1312" s="5" t="str">
        <f ca="1">IFERROR(__xludf.DUMMYFUNCTION("""COMPUTED_VALUE"""),"Zillow")</f>
        <v>Zillow</v>
      </c>
      <c r="J1312" s="25" t="str">
        <f ca="1">IFERROR(__xludf.DUMMYFUNCTION("""COMPUTED_VALUE"""),"https://www.zillow.com/homedetails/4267-Marina-City-Dr-UNIT-102-Marina-Del-Rey-CA-90292/302687068_zpid/")</f>
        <v>https://www.zillow.com/homedetails/4267-Marina-City-Dr-UNIT-102-Marina-Del-Rey-CA-90292/302687068_zpid/</v>
      </c>
      <c r="K1312" s="5" t="str">
        <f ca="1">IFERROR(__xludf.DUMMYFUNCTION("""COMPUTED_VALUE"""),"Eileen Mccarthy")</f>
        <v>Eileen Mccarthy</v>
      </c>
      <c r="L1312" s="5"/>
      <c r="M1312" s="5"/>
      <c r="N1312" s="26" t="str">
        <f ca="1">IFERROR(__xludf.DUMMYFUNCTION("""COMPUTED_VALUE"""),"https://drive.google.com/open?id=1IFPIV5YoKWDnFW6fowvbcuhLoZWw4mzm")</f>
        <v>https://drive.google.com/open?id=1IFPIV5YoKWDnFW6fowvbcuhLoZWw4mzm</v>
      </c>
      <c r="O1312" s="5">
        <f ca="1">IFERROR(__xludf.DUMMYFUNCTION("""COMPUTED_VALUE"""),8940435012)</f>
        <v>8940435012</v>
      </c>
      <c r="P1312" s="5" t="str">
        <f ca="1">IFERROR(__xludf.DUMMYFUNCTION("""COMPUTED_VALUE"""),"(310) 822-8910")</f>
        <v>(310) 822-8910</v>
      </c>
      <c r="Q1312" s="5"/>
      <c r="R1312" s="5"/>
      <c r="S1312" s="5"/>
      <c r="T1312" s="18">
        <f ca="1">IFERROR(__xludf.DUMMYFUNCTION("""COMPUTED_VALUE"""),45667)</f>
        <v>45667</v>
      </c>
    </row>
    <row r="1313" spans="1:20" ht="12.75">
      <c r="A1313" s="24">
        <f ca="1">IFERROR(__xludf.DUMMYFUNCTION("""COMPUTED_VALUE"""),45675.512905868)</f>
        <v>45675.512905868003</v>
      </c>
      <c r="B1313" s="5" t="str">
        <f ca="1">IFERROR(__xludf.DUMMYFUNCTION("""COMPUTED_VALUE"""),"982 Hyperion Ave")</f>
        <v>982 Hyperion Ave</v>
      </c>
      <c r="C1313" s="5" t="str">
        <f ca="1">IFERROR(__xludf.DUMMYFUNCTION("""COMPUTED_VALUE"""),"Los Angeles")</f>
        <v>Los Angeles</v>
      </c>
      <c r="D1313" s="5" t="str">
        <f ca="1">IFERROR(__xludf.DUMMYFUNCTION("""COMPUTED_VALUE"""),"CA")</f>
        <v>CA</v>
      </c>
      <c r="E1313" s="5">
        <f ca="1">IFERROR(__xludf.DUMMYFUNCTION("""COMPUTED_VALUE"""),90029)</f>
        <v>90029</v>
      </c>
      <c r="F1313" s="19">
        <f ca="1">IFERROR(__xludf.DUMMYFUNCTION("""COMPUTED_VALUE"""),6250)</f>
        <v>6250</v>
      </c>
      <c r="G1313" s="19">
        <f ca="1">IFERROR(__xludf.DUMMYFUNCTION("""COMPUTED_VALUE"""),7500)</f>
        <v>7500</v>
      </c>
      <c r="H1313" s="18">
        <f ca="1">IFERROR(__xludf.DUMMYFUNCTION("""COMPUTED_VALUE"""),45674)</f>
        <v>45674</v>
      </c>
      <c r="I1313" s="5" t="str">
        <f ca="1">IFERROR(__xludf.DUMMYFUNCTION("""COMPUTED_VALUE"""),"Zillow")</f>
        <v>Zillow</v>
      </c>
      <c r="J1313" s="25" t="str">
        <f ca="1">IFERROR(__xludf.DUMMYFUNCTION("""COMPUTED_VALUE"""),"https://www.zillow.com/homedetails/982-Hyperion-Ave-Los-Angeles-CA-90029/20745684_zpid/?utm_campaign=iosappmessage&amp;utm_medium=referral&amp;utm_source=txtshare")</f>
        <v>https://www.zillow.com/homedetails/982-Hyperion-Ave-Los-Angeles-CA-90029/20745684_zpid/?utm_campaign=iosappmessage&amp;utm_medium=referral&amp;utm_source=txtshare</v>
      </c>
      <c r="K1313" s="5" t="str">
        <f ca="1">IFERROR(__xludf.DUMMYFUNCTION("""COMPUTED_VALUE"""),"Brittany Morrison - DeasyPenner")</f>
        <v>Brittany Morrison - DeasyPenner</v>
      </c>
      <c r="L1313" s="5"/>
      <c r="M1313" s="5" t="str">
        <f ca="1">IFERROR(__xludf.DUMMYFUNCTION("""COMPUTED_VALUE"""),"This listing also includes a $15,000 security deposit fee, which according to the CA dept of justice is against the law. 
From the Office of CA Attorney General:  After July 1, 2024, the limit is one month’s rent. For landlords who own no more than two r"&amp;"esidential rental properties that collectively include no more than four total units for rent, the limit is two times the monthly rent, but only if the landlord is a natural person or a limited liability company in which all members are natural persons. 
"&amp;"
Link to website: https://oag.ca.gov/system/files/media/Know-Your-Rights-Security-Deposits-English.pdf")</f>
        <v>This listing also includes a $15,000 security deposit fee, which according to the CA dept of justice is against the law. 
From the Office of CA Attorney General:  After July 1, 2024, the limit is one month’s rent. For landlords who own no more than two residential rental properties that collectively include no more than four total units for rent, the limit is two times the monthly rent, but only if the landlord is a natural person or a limited liability company in which all members are natural persons. 
Link to website: https://oag.ca.gov/system/files/media/Know-Your-Rights-Security-Deposits-English.pdf</v>
      </c>
      <c r="N1313" s="5" t="str">
        <f ca="1">IFERROR(__xludf.DUMMYFUNCTION("""COMPUTED_VALUE"""),"https://drive.google.com/open?id=1xQIhrEeanxPo14EMAml5zwj29Q6vXFjX, https://drive.google.com/open?id=1h-FUw2XhRGFvx_fstZE7BPY9JstlNf_6, https://drive.google.com/open?id=1e4nsUGQvwD0Ry6NwvS0h7YHWCzeXD21v, https://drive.google.com/open?id=1Zb1IXau42EidEjSRS"&amp;"1iUtp1EPc9qG8hw")</f>
        <v>https://drive.google.com/open?id=1xQIhrEeanxPo14EMAml5zwj29Q6vXFjX, https://drive.google.com/open?id=1h-FUw2XhRGFvx_fstZE7BPY9JstlNf_6, https://drive.google.com/open?id=1e4nsUGQvwD0Ry6NwvS0h7YHWCzeXD21v, https://drive.google.com/open?id=1Zb1IXau42EidEjSRS1iUtp1EPc9qG8hw</v>
      </c>
      <c r="O1313" s="5">
        <f ca="1">IFERROR(__xludf.DUMMYFUNCTION("""COMPUTED_VALUE"""),5427013028)</f>
        <v>5427013028</v>
      </c>
      <c r="P1313" s="5" t="str">
        <f ca="1">IFERROR(__xludf.DUMMYFUNCTION("""COMPUTED_VALUE"""),"(609) 306-1541")</f>
        <v>(609) 306-1541</v>
      </c>
      <c r="Q1313" s="5"/>
      <c r="R1313" s="5"/>
      <c r="S1313" s="5"/>
      <c r="T1313" s="18">
        <f ca="1">IFERROR(__xludf.DUMMYFUNCTION("""COMPUTED_VALUE"""),44834)</f>
        <v>44834</v>
      </c>
    </row>
    <row r="1314" spans="1:20" ht="12.75">
      <c r="A1314" s="24">
        <f ca="1">IFERROR(__xludf.DUMMYFUNCTION("""COMPUTED_VALUE"""),45675.5335310416)</f>
        <v>45675.533531041598</v>
      </c>
      <c r="B1314" s="5" t="str">
        <f ca="1">IFERROR(__xludf.DUMMYFUNCTION("""COMPUTED_VALUE"""),"1653 Micheltorena St APT 1")</f>
        <v>1653 Micheltorena St APT 1</v>
      </c>
      <c r="C1314" s="5" t="str">
        <f ca="1">IFERROR(__xludf.DUMMYFUNCTION("""COMPUTED_VALUE"""),"Los Angeles")</f>
        <v>Los Angeles</v>
      </c>
      <c r="D1314" s="5" t="str">
        <f ca="1">IFERROR(__xludf.DUMMYFUNCTION("""COMPUTED_VALUE"""),"CA")</f>
        <v>CA</v>
      </c>
      <c r="E1314" s="5">
        <f ca="1">IFERROR(__xludf.DUMMYFUNCTION("""COMPUTED_VALUE"""),90026)</f>
        <v>90026</v>
      </c>
      <c r="F1314" s="19">
        <f ca="1">IFERROR(__xludf.DUMMYFUNCTION("""COMPUTED_VALUE"""),3900)</f>
        <v>3900</v>
      </c>
      <c r="G1314" s="19">
        <f ca="1">IFERROR(__xludf.DUMMYFUNCTION("""COMPUTED_VALUE"""),5500)</f>
        <v>5500</v>
      </c>
      <c r="H1314" s="18">
        <f ca="1">IFERROR(__xludf.DUMMYFUNCTION("""COMPUTED_VALUE"""),45672)</f>
        <v>45672</v>
      </c>
      <c r="I1314" s="5" t="str">
        <f ca="1">IFERROR(__xludf.DUMMYFUNCTION("""COMPUTED_VALUE"""),"Zillow")</f>
        <v>Zillow</v>
      </c>
      <c r="J1314" s="25" t="str">
        <f ca="1">IFERROR(__xludf.DUMMYFUNCTION("""COMPUTED_VALUE"""),"https://www.zillow.com/homedetails/1653-Micheltorena-St-APT-1-Los-Angeles-CA-90026/20746455_zpid/")</f>
        <v>https://www.zillow.com/homedetails/1653-Micheltorena-St-APT-1-Los-Angeles-CA-90026/20746455_zpid/</v>
      </c>
      <c r="K1314" s="5" t="str">
        <f ca="1">IFERROR(__xludf.DUMMYFUNCTION("""COMPUTED_VALUE"""),"Bobby Rodriguez - Compass")</f>
        <v>Bobby Rodriguez - Compass</v>
      </c>
      <c r="L1314" s="5"/>
      <c r="M1314" s="5" t="str">
        <f ca="1">IFERROR(__xludf.DUMMYFUNCTION("""COMPUTED_VALUE"""),"This listing exceeds 160% of the fair market value for this zip code. Based on that, it shouldn't exceed $3968.")</f>
        <v>This listing exceeds 160% of the fair market value for this zip code. Based on that, it shouldn't exceed $3968.</v>
      </c>
      <c r="N1314" s="5" t="str">
        <f ca="1">IFERROR(__xludf.DUMMYFUNCTION("""COMPUTED_VALUE"""),"https://drive.google.com/open?id=1y3yOvdJZHDco5QdkCHlKVLZl2Lj7winX, https://drive.google.com/open?id=1fQIe2e-_wYyQYnKPtgAvyvHXgp3O4lX7")</f>
        <v>https://drive.google.com/open?id=1y3yOvdJZHDco5QdkCHlKVLZl2Lj7winX, https://drive.google.com/open?id=1fQIe2e-_wYyQYnKPtgAvyvHXgp3O4lX7</v>
      </c>
      <c r="O1314" s="5">
        <f ca="1">IFERROR(__xludf.DUMMYFUNCTION("""COMPUTED_VALUE"""),5429026025)</f>
        <v>5429026025</v>
      </c>
      <c r="P1314" s="5" t="str">
        <f ca="1">IFERROR(__xludf.DUMMYFUNCTION("""COMPUTED_VALUE"""),"(213) 340-3195")</f>
        <v>(213) 340-3195</v>
      </c>
      <c r="Q1314" s="5"/>
      <c r="R1314" s="5"/>
      <c r="S1314" s="5"/>
      <c r="T1314" s="18">
        <f ca="1">IFERROR(__xludf.DUMMYFUNCTION("""COMPUTED_VALUE"""),43655)</f>
        <v>43655</v>
      </c>
    </row>
    <row r="1315" spans="1:20" ht="12.75">
      <c r="A1315" s="24">
        <f ca="1">IFERROR(__xludf.DUMMYFUNCTION("""COMPUTED_VALUE"""),45675.5393659375)</f>
        <v>45675.539365937497</v>
      </c>
      <c r="B1315" s="5" t="str">
        <f ca="1">IFERROR(__xludf.DUMMYFUNCTION("""COMPUTED_VALUE"""),"814 S Orange Dr")</f>
        <v>814 S Orange Dr</v>
      </c>
      <c r="C1315" s="5" t="str">
        <f ca="1">IFERROR(__xludf.DUMMYFUNCTION("""COMPUTED_VALUE"""),"Los Angeles")</f>
        <v>Los Angeles</v>
      </c>
      <c r="D1315" s="5" t="str">
        <f ca="1">IFERROR(__xludf.DUMMYFUNCTION("""COMPUTED_VALUE"""),"CA")</f>
        <v>CA</v>
      </c>
      <c r="E1315" s="5">
        <f ca="1">IFERROR(__xludf.DUMMYFUNCTION("""COMPUTED_VALUE"""),90036)</f>
        <v>90036</v>
      </c>
      <c r="F1315" s="19">
        <f ca="1">IFERROR(__xludf.DUMMYFUNCTION("""COMPUTED_VALUE"""),2700)</f>
        <v>2700</v>
      </c>
      <c r="G1315" s="19">
        <f ca="1">IFERROR(__xludf.DUMMYFUNCTION("""COMPUTED_VALUE"""),3000)</f>
        <v>3000</v>
      </c>
      <c r="H1315" s="18">
        <f ca="1">IFERROR(__xludf.DUMMYFUNCTION("""COMPUTED_VALUE"""),45674)</f>
        <v>45674</v>
      </c>
      <c r="I1315" s="5" t="str">
        <f ca="1">IFERROR(__xludf.DUMMYFUNCTION("""COMPUTED_VALUE"""),"Zillow")</f>
        <v>Zillow</v>
      </c>
      <c r="J1315" s="25" t="str">
        <f ca="1">IFERROR(__xludf.DUMMYFUNCTION("""COMPUTED_VALUE"""),"https://www.zillow.com/homedetails/814-S-Orange-Dr-Los-Angeles-CA-90036/2062165316_zpid/?rtoken=c6f30df5-de33-42d1-a998-4f9e6c4b74b0~X1-ZU171nahsec7qbt_1k6ql&amp;utm_campaign=emo-homerecs-email-rental&amp;utm_source=email&amp;utm_term=urn:msg:2025011807540571e55c045b"&amp;"80b55e&amp;utm_medium=email&amp;utm_content=forrentimage-_rid-A8hsKRRqfSGfmaqiYhqc3H_")</f>
        <v>https://www.zillow.com/homedetails/814-S-Orange-Dr-Los-Angeles-CA-90036/2062165316_zpid/?rtoken=c6f30df5-de33-42d1-a998-4f9e6c4b74b0~X1-ZU171nahsec7qbt_1k6ql&amp;utm_campaign=emo-homerecs-email-rental&amp;utm_source=email&amp;utm_term=urn:msg:2025011807540571e55c045b80b55e&amp;utm_medium=email&amp;utm_content=forrentimage-_rid-A8hsKRRqfSGfmaqiYhqc3H_</v>
      </c>
      <c r="K1315" s="5"/>
      <c r="L1315" s="5"/>
      <c r="M1315" s="5" t="str">
        <f ca="1">IFERROR(__xludf.DUMMYFUNCTION("""COMPUTED_VALUE"""),"Price increased 11.1% in a week")</f>
        <v>Price increased 11.1% in a week</v>
      </c>
      <c r="N1315" s="5" t="str">
        <f ca="1">IFERROR(__xludf.DUMMYFUNCTION("""COMPUTED_VALUE"""),"https://drive.google.com/open?id=1KVzy_VVdOwtN02mcoeRZbFGwdJkIJ4Lm, https://drive.google.com/open?id=1NcB8e3B35ImgOhM726ashbFWV8ANAidI, https://drive.google.com/open?id=1N2QjNf6usFs3EE2vPnkMbdjXDD8uDiWQ")</f>
        <v>https://drive.google.com/open?id=1KVzy_VVdOwtN02mcoeRZbFGwdJkIJ4Lm, https://drive.google.com/open?id=1NcB8e3B35ImgOhM726ashbFWV8ANAidI, https://drive.google.com/open?id=1N2QjNf6usFs3EE2vPnkMbdjXDD8uDiWQ</v>
      </c>
      <c r="O1315" s="5" t="str">
        <f ca="1">IFERROR(__xludf.DUMMYFUNCTION("""COMPUTED_VALUE"""),"N/A")</f>
        <v>N/A</v>
      </c>
      <c r="P1315" s="5"/>
      <c r="Q1315" s="5"/>
      <c r="R1315" s="5"/>
      <c r="S1315" s="5"/>
      <c r="T1315" s="18">
        <f ca="1">IFERROR(__xludf.DUMMYFUNCTION("""COMPUTED_VALUE"""),45666)</f>
        <v>45666</v>
      </c>
    </row>
    <row r="1316" spans="1:20" ht="12.75">
      <c r="A1316" s="24">
        <f ca="1">IFERROR(__xludf.DUMMYFUNCTION("""COMPUTED_VALUE"""),45675.5525606597)</f>
        <v>45675.5525606597</v>
      </c>
      <c r="B1316" s="5" t="str">
        <f ca="1">IFERROR(__xludf.DUMMYFUNCTION("""COMPUTED_VALUE"""),"3650 Shadow Grove Rd ")</f>
        <v xml:space="preserve">3650 Shadow Grove Rd </v>
      </c>
      <c r="C1316" s="5" t="str">
        <f ca="1">IFERROR(__xludf.DUMMYFUNCTION("""COMPUTED_VALUE"""),"pasadena ")</f>
        <v xml:space="preserve">pasadena </v>
      </c>
      <c r="D1316" s="5" t="str">
        <f ca="1">IFERROR(__xludf.DUMMYFUNCTION("""COMPUTED_VALUE"""),"CA")</f>
        <v>CA</v>
      </c>
      <c r="E1316" s="5">
        <f ca="1">IFERROR(__xludf.DUMMYFUNCTION("""COMPUTED_VALUE"""),91107)</f>
        <v>91107</v>
      </c>
      <c r="F1316" s="19">
        <f ca="1">IFERROR(__xludf.DUMMYFUNCTION("""COMPUTED_VALUE"""),6000)</f>
        <v>6000</v>
      </c>
      <c r="G1316" s="19">
        <f ca="1">IFERROR(__xludf.DUMMYFUNCTION("""COMPUTED_VALUE"""),18000)</f>
        <v>18000</v>
      </c>
      <c r="H1316" s="18">
        <f ca="1">IFERROR(__xludf.DUMMYFUNCTION("""COMPUTED_VALUE"""),45675)</f>
        <v>45675</v>
      </c>
      <c r="I1316" s="5" t="str">
        <f ca="1">IFERROR(__xludf.DUMMYFUNCTION("""COMPUTED_VALUE"""),"trulia ")</f>
        <v xml:space="preserve">trulia </v>
      </c>
      <c r="J1316" s="25" t="str">
        <f ca="1">IFERROR(__xludf.DUMMYFUNCTION("""COMPUTED_VALUE"""),"https://www.trulia.com/home/3650-shadow-grove-rd-pasadena-ca-91107-20879961?ecampaign=eml%7Cfrb%7Ccon_day_newlistingforrent_instant%7Css_only&amp;eurl=www.trulia.com/home/3650-shadow-grove-rd-pasadena-ca-91107-20879961&amp;guid=9bc85659bbd7430d99bb830f6c259428173"&amp;"7234224175")</f>
        <v>https://www.trulia.com/home/3650-shadow-grove-rd-pasadena-ca-91107-20879961?ecampaign=eml%7Cfrb%7Ccon_day_newlistingforrent_instant%7Css_only&amp;eurl=www.trulia.com/home/3650-shadow-grove-rd-pasadena-ca-91107-20879961&amp;guid=9bc85659bbd7430d99bb830f6c2594281737234224175</v>
      </c>
      <c r="K1316" s="5" t="str">
        <f ca="1">IFERROR(__xludf.DUMMYFUNCTION("""COMPUTED_VALUE"""),"Meena Klaassen")</f>
        <v>Meena Klaassen</v>
      </c>
      <c r="L1316" s="5"/>
      <c r="M1316" s="5" t="str">
        <f ca="1">IFERROR(__xludf.DUMMYFUNCTION("""COMPUTED_VALUE"""),"Was just listed on 1/18 and this home sold for 999.000.00 this should be btw 6-7k a month, not 18k. that would be a 4 million dollar home mortgage. ")</f>
        <v xml:space="preserve">Was just listed on 1/18 and this home sold for 999.000.00 this should be btw 6-7k a month, not 18k. that would be a 4 million dollar home mortgage. </v>
      </c>
      <c r="N1316" s="26" t="str">
        <f ca="1">IFERROR(__xludf.DUMMYFUNCTION("""COMPUTED_VALUE"""),"https://drive.google.com/open?id=1XpTqZeSDO1J5MIazw4tY8hrHsiZtZ1X4")</f>
        <v>https://drive.google.com/open?id=1XpTqZeSDO1J5MIazw4tY8hrHsiZtZ1X4</v>
      </c>
      <c r="O1316" s="5" t="str">
        <f ca="1">IFERROR(__xludf.DUMMYFUNCTION("""COMPUTED_VALUE"""),"n/a")</f>
        <v>n/a</v>
      </c>
      <c r="P1316" s="5" t="str">
        <f ca="1">IFERROR(__xludf.DUMMYFUNCTION("""COMPUTED_VALUE"""),"(626) 216-5361")</f>
        <v>(626) 216-5361</v>
      </c>
      <c r="Q1316" s="5"/>
      <c r="R1316" s="5"/>
      <c r="S1316" s="5"/>
      <c r="T1316" s="5"/>
    </row>
    <row r="1317" spans="1:20" ht="12.75">
      <c r="A1317" s="24">
        <f ca="1">IFERROR(__xludf.DUMMYFUNCTION("""COMPUTED_VALUE"""),45675.5644099305)</f>
        <v>45675.564409930499</v>
      </c>
      <c r="B1317" s="5" t="str">
        <f ca="1">IFERROR(__xludf.DUMMYFUNCTION("""COMPUTED_VALUE"""),"1960 Walcott Way #A")</f>
        <v>1960 Walcott Way #A</v>
      </c>
      <c r="C1317" s="5" t="str">
        <f ca="1">IFERROR(__xludf.DUMMYFUNCTION("""COMPUTED_VALUE"""),"Los Angeles")</f>
        <v>Los Angeles</v>
      </c>
      <c r="D1317" s="5" t="str">
        <f ca="1">IFERROR(__xludf.DUMMYFUNCTION("""COMPUTED_VALUE"""),"CA")</f>
        <v>CA</v>
      </c>
      <c r="E1317" s="5">
        <f ca="1">IFERROR(__xludf.DUMMYFUNCTION("""COMPUTED_VALUE"""),90039)</f>
        <v>90039</v>
      </c>
      <c r="F1317" s="19">
        <f ca="1">IFERROR(__xludf.DUMMYFUNCTION("""COMPUTED_VALUE"""),10500)</f>
        <v>10500</v>
      </c>
      <c r="G1317" s="19">
        <f ca="1">IFERROR(__xludf.DUMMYFUNCTION("""COMPUTED_VALUE"""),10500)</f>
        <v>10500</v>
      </c>
      <c r="H1317" s="18">
        <f ca="1">IFERROR(__xludf.DUMMYFUNCTION("""COMPUTED_VALUE"""),45672)</f>
        <v>45672</v>
      </c>
      <c r="I1317" s="5" t="str">
        <f ca="1">IFERROR(__xludf.DUMMYFUNCTION("""COMPUTED_VALUE"""),"Zillow")</f>
        <v>Zillow</v>
      </c>
      <c r="J1317" s="25" t="str">
        <f ca="1">IFERROR(__xludf.DUMMYFUNCTION("""COMPUTED_VALUE"""),"https://www.zillow.com/homedetails/1960-Walcott-Way-A-Los-Angeles-CA-90039/444386802_zpid/")</f>
        <v>https://www.zillow.com/homedetails/1960-Walcott-Way-A-Los-Angeles-CA-90039/444386802_zpid/</v>
      </c>
      <c r="K1317" s="5" t="str">
        <f ca="1">IFERROR(__xludf.DUMMYFUNCTION("""COMPUTED_VALUE"""),"Natasha Reneau Jones Coldwell Banker Realty- Beverly Hills")</f>
        <v>Natasha Reneau Jones Coldwell Banker Realty- Beverly Hills</v>
      </c>
      <c r="L1317" s="5"/>
      <c r="M1317" s="5" t="str">
        <f ca="1">IFERROR(__xludf.DUMMYFUNCTION("""COMPUTED_VALUE"""),"This property was not listed before the fires. This is a two-unit building, and both units A &amp; B are being listed at prices that exceed 160% of the Department of Housing and Urban Development's fair market value. ")</f>
        <v xml:space="preserve">This property was not listed before the fires. This is a two-unit building, and both units A &amp; B are being listed at prices that exceed 160% of the Department of Housing and Urban Development's fair market value. </v>
      </c>
      <c r="N1317" s="5" t="str">
        <f ca="1">IFERROR(__xludf.DUMMYFUNCTION("""COMPUTED_VALUE"""),"https://drive.google.com/open?id=1SsFPhyAiJCdIcRYajeZg1QihgR1T8l_J, https://drive.google.com/open?id=12Gi3yjcZiVVKHRHZYVC7Y1fPDICM19m7, https://drive.google.com/open?id=17NJIMKFadd1z5xROkZ6N9f5fL7nPrxOt")</f>
        <v>https://drive.google.com/open?id=1SsFPhyAiJCdIcRYajeZg1QihgR1T8l_J, https://drive.google.com/open?id=12Gi3yjcZiVVKHRHZYVC7Y1fPDICM19m7, https://drive.google.com/open?id=17NJIMKFadd1z5xROkZ6N9f5fL7nPrxOt</v>
      </c>
      <c r="O1317" s="5" t="str">
        <f ca="1">IFERROR(__xludf.DUMMYFUNCTION("""COMPUTED_VALUE"""),"NA")</f>
        <v>NA</v>
      </c>
      <c r="P1317" s="5" t="str">
        <f ca="1">IFERROR(__xludf.DUMMYFUNCTION("""COMPUTED_VALUE"""),"(562) 668-1042")</f>
        <v>(562) 668-1042</v>
      </c>
      <c r="Q1317" s="5"/>
      <c r="R1317" s="5"/>
      <c r="S1317" s="5"/>
      <c r="T1317" s="18">
        <f ca="1">IFERROR(__xludf.DUMMYFUNCTION("""COMPUTED_VALUE"""),45672)</f>
        <v>45672</v>
      </c>
    </row>
    <row r="1318" spans="1:20" ht="12.75">
      <c r="A1318" s="24">
        <f ca="1">IFERROR(__xludf.DUMMYFUNCTION("""COMPUTED_VALUE"""),45675.5706772916)</f>
        <v>45675.570677291602</v>
      </c>
      <c r="B1318" s="5" t="str">
        <f ca="1">IFERROR(__xludf.DUMMYFUNCTION("""COMPUTED_VALUE"""),"2642 Queen St")</f>
        <v>2642 Queen St</v>
      </c>
      <c r="C1318" s="5" t="str">
        <f ca="1">IFERROR(__xludf.DUMMYFUNCTION("""COMPUTED_VALUE"""),"Los Angeles")</f>
        <v>Los Angeles</v>
      </c>
      <c r="D1318" s="5" t="str">
        <f ca="1">IFERROR(__xludf.DUMMYFUNCTION("""COMPUTED_VALUE"""),"CA")</f>
        <v>CA</v>
      </c>
      <c r="E1318" s="5">
        <f ca="1">IFERROR(__xludf.DUMMYFUNCTION("""COMPUTED_VALUE"""),90039)</f>
        <v>90039</v>
      </c>
      <c r="F1318" s="19">
        <f ca="1">IFERROR(__xludf.DUMMYFUNCTION("""COMPUTED_VALUE"""),18000)</f>
        <v>18000</v>
      </c>
      <c r="G1318" s="19">
        <f ca="1">IFERROR(__xludf.DUMMYFUNCTION("""COMPUTED_VALUE"""),18000)</f>
        <v>18000</v>
      </c>
      <c r="H1318" s="18">
        <f ca="1">IFERROR(__xludf.DUMMYFUNCTION("""COMPUTED_VALUE"""),45674)</f>
        <v>45674</v>
      </c>
      <c r="I1318" s="5" t="str">
        <f ca="1">IFERROR(__xludf.DUMMYFUNCTION("""COMPUTED_VALUE"""),"Zillow")</f>
        <v>Zillow</v>
      </c>
      <c r="J1318" s="25" t="str">
        <f ca="1">IFERROR(__xludf.DUMMYFUNCTION("""COMPUTED_VALUE"""),"https://www.zillow.com/homedetails/2642-Queen-St-Los-Angeles-CA-90039/20753265_zpid/")</f>
        <v>https://www.zillow.com/homedetails/2642-Queen-St-Los-Angeles-CA-90039/20753265_zpid/</v>
      </c>
      <c r="K1318" s="5" t="str">
        <f ca="1">IFERROR(__xludf.DUMMYFUNCTION("""COMPUTED_VALUE"""),"David Amini")</f>
        <v>David Amini</v>
      </c>
      <c r="L1318" s="5"/>
      <c r="M1318" s="5" t="str">
        <f ca="1">IFERROR(__xludf.DUMMYFUNCTION("""COMPUTED_VALUE"""),"This listing was not posted before the fires but exceeds 160% of the Department of Housing and Urban Development's fair market value. The FMR for a 6-bedroom unit is 1.30 times the FMR for a 4-bedroom unit. The FMR for a 4-bedroom unit in this zip code is"&amp;" $3920, which means the FMR for a 6-bedroom unit in this zip code is $5096. 160% of that FMR = $8153. This listing is posted at over double that price. ")</f>
        <v xml:space="preserve">This listing was not posted before the fires but exceeds 160% of the Department of Housing and Urban Development's fair market value. The FMR for a 6-bedroom unit is 1.30 times the FMR for a 4-bedroom unit. The FMR for a 4-bedroom unit in this zip code is $3920, which means the FMR for a 6-bedroom unit in this zip code is $5096. 160% of that FMR = $8153. This listing is posted at over double that price. </v>
      </c>
      <c r="N1318" s="5" t="str">
        <f ca="1">IFERROR(__xludf.DUMMYFUNCTION("""COMPUTED_VALUE"""),"https://drive.google.com/open?id=1dryl-O7UsaZTuL53EKQj4XaFl2HJMPy4, https://drive.google.com/open?id=1628hfX_70ORgBhAQp_Tc39FNzCzMp-LH")</f>
        <v>https://drive.google.com/open?id=1dryl-O7UsaZTuL53EKQj4XaFl2HJMPy4, https://drive.google.com/open?id=1628hfX_70ORgBhAQp_Tc39FNzCzMp-LH</v>
      </c>
      <c r="O1318" s="5">
        <f ca="1">IFERROR(__xludf.DUMMYFUNCTION("""COMPUTED_VALUE"""),5442011033)</f>
        <v>5442011033</v>
      </c>
      <c r="P1318" s="5" t="str">
        <f ca="1">IFERROR(__xludf.DUMMYFUNCTION("""COMPUTED_VALUE"""),"(818) 726-1759")</f>
        <v>(818) 726-1759</v>
      </c>
      <c r="Q1318" s="5"/>
      <c r="R1318" s="5"/>
      <c r="S1318" s="5"/>
      <c r="T1318" s="18">
        <f ca="1">IFERROR(__xludf.DUMMYFUNCTION("""COMPUTED_VALUE"""),45674)</f>
        <v>45674</v>
      </c>
    </row>
    <row r="1319" spans="1:20" ht="12.75">
      <c r="A1319" s="24">
        <f ca="1">IFERROR(__xludf.DUMMYFUNCTION("""COMPUTED_VALUE"""),45675.5804406018)</f>
        <v>45675.5804406018</v>
      </c>
      <c r="B1319" s="5" t="str">
        <f ca="1">IFERROR(__xludf.DUMMYFUNCTION("""COMPUTED_VALUE"""),"17250 Sunset Blvd FLOOR 2-ID1109")</f>
        <v>17250 Sunset Blvd FLOOR 2-ID1109</v>
      </c>
      <c r="C1319" s="5" t="str">
        <f ca="1">IFERROR(__xludf.DUMMYFUNCTION("""COMPUTED_VALUE"""),"Pacific Palisades")</f>
        <v>Pacific Palisades</v>
      </c>
      <c r="D1319" s="5" t="str">
        <f ca="1">IFERROR(__xludf.DUMMYFUNCTION("""COMPUTED_VALUE"""),"CA")</f>
        <v>CA</v>
      </c>
      <c r="E1319" s="5">
        <f ca="1">IFERROR(__xludf.DUMMYFUNCTION("""COMPUTED_VALUE"""),90272)</f>
        <v>90272</v>
      </c>
      <c r="F1319" s="19">
        <f ca="1">IFERROR(__xludf.DUMMYFUNCTION("""COMPUTED_VALUE"""),2590)</f>
        <v>2590</v>
      </c>
      <c r="G1319" s="19">
        <f ca="1">IFERROR(__xludf.DUMMYFUNCTION("""COMPUTED_VALUE"""),3080)</f>
        <v>3080</v>
      </c>
      <c r="H1319" s="18">
        <f ca="1">IFERROR(__xludf.DUMMYFUNCTION("""COMPUTED_VALUE"""),45667)</f>
        <v>45667</v>
      </c>
      <c r="I1319" s="5" t="str">
        <f ca="1">IFERROR(__xludf.DUMMYFUNCTION("""COMPUTED_VALUE"""),"Zillow")</f>
        <v>Zillow</v>
      </c>
      <c r="J1319" s="25" t="str">
        <f ca="1">IFERROR(__xludf.DUMMYFUNCTION("""COMPUTED_VALUE"""),"https://www.zillow.com/homedetails/17250-Sunset-Blvd-FLOOR-2-ID1109-Pacific-Palisades-CA-90272/443103852_zpid/")</f>
        <v>https://www.zillow.com/homedetails/17250-Sunset-Blvd-FLOOR-2-ID1109-Pacific-Palisades-CA-90272/443103852_zpid/</v>
      </c>
      <c r="K1319" s="5" t="str">
        <f ca="1">IFERROR(__xludf.DUMMYFUNCTION("""COMPUTED_VALUE"""),"Blueground")</f>
        <v>Blueground</v>
      </c>
      <c r="L1319" s="5"/>
      <c r="M1319" s="5" t="str">
        <f ca="1">IFERROR(__xludf.DUMMYFUNCTION("""COMPUTED_VALUE"""),"Taken off the market on 1/10/2025")</f>
        <v>Taken off the market on 1/10/2025</v>
      </c>
      <c r="N1319" s="26" t="str">
        <f ca="1">IFERROR(__xludf.DUMMYFUNCTION("""COMPUTED_VALUE"""),"https://drive.google.com/open?id=1Bb1y8B5KW3I2mkc6GxoLdyWT7xO3OASM")</f>
        <v>https://drive.google.com/open?id=1Bb1y8B5KW3I2mkc6GxoLdyWT7xO3OASM</v>
      </c>
      <c r="O1319" s="5" t="str">
        <f ca="1">IFERROR(__xludf.DUMMYFUNCTION("""COMPUTED_VALUE"""),"NA")</f>
        <v>NA</v>
      </c>
      <c r="P1319" s="5"/>
      <c r="Q1319" s="5"/>
      <c r="R1319" s="5"/>
      <c r="S1319" s="5"/>
      <c r="T1319" s="18">
        <f ca="1">IFERROR(__xludf.DUMMYFUNCTION("""COMPUTED_VALUE"""),45656)</f>
        <v>45656</v>
      </c>
    </row>
    <row r="1320" spans="1:20" ht="12.75">
      <c r="A1320" s="24">
        <f ca="1">IFERROR(__xludf.DUMMYFUNCTION("""COMPUTED_VALUE"""),45675.58408728)</f>
        <v>45675.584087280004</v>
      </c>
      <c r="B1320" s="5" t="str">
        <f ca="1">IFERROR(__xludf.DUMMYFUNCTION("""COMPUTED_VALUE"""),"354 S Spring St FLOOR 9-ID1206")</f>
        <v>354 S Spring St FLOOR 9-ID1206</v>
      </c>
      <c r="C1320" s="5" t="str">
        <f ca="1">IFERROR(__xludf.DUMMYFUNCTION("""COMPUTED_VALUE"""),"Los Angeles")</f>
        <v>Los Angeles</v>
      </c>
      <c r="D1320" s="5" t="str">
        <f ca="1">IFERROR(__xludf.DUMMYFUNCTION("""COMPUTED_VALUE"""),"CA")</f>
        <v>CA</v>
      </c>
      <c r="E1320" s="5">
        <f ca="1">IFERROR(__xludf.DUMMYFUNCTION("""COMPUTED_VALUE"""),90013)</f>
        <v>90013</v>
      </c>
      <c r="F1320" s="19">
        <f ca="1">IFERROR(__xludf.DUMMYFUNCTION("""COMPUTED_VALUE"""),2000)</f>
        <v>2000</v>
      </c>
      <c r="G1320" s="19">
        <f ca="1">IFERROR(__xludf.DUMMYFUNCTION("""COMPUTED_VALUE"""),2730)</f>
        <v>2730</v>
      </c>
      <c r="H1320" s="18">
        <f ca="1">IFERROR(__xludf.DUMMYFUNCTION("""COMPUTED_VALUE"""),45667)</f>
        <v>45667</v>
      </c>
      <c r="I1320" s="5" t="str">
        <f ca="1">IFERROR(__xludf.DUMMYFUNCTION("""COMPUTED_VALUE"""),"Zillow")</f>
        <v>Zillow</v>
      </c>
      <c r="J1320" s="25" t="str">
        <f ca="1">IFERROR(__xludf.DUMMYFUNCTION("""COMPUTED_VALUE"""),"https://www.zillow.com/homedetails/354-S-Spring-St-FLOOR-9-ID1206-Los-Angeles-CA-90013/442340821_zpid/")</f>
        <v>https://www.zillow.com/homedetails/354-S-Spring-St-FLOOR-9-ID1206-Los-Angeles-CA-90013/442340821_zpid/</v>
      </c>
      <c r="K1320" s="5" t="str">
        <f ca="1">IFERROR(__xludf.DUMMYFUNCTION("""COMPUTED_VALUE"""),"Blueground")</f>
        <v>Blueground</v>
      </c>
      <c r="L1320" s="5"/>
      <c r="M1320" s="5" t="str">
        <f ca="1">IFERROR(__xludf.DUMMYFUNCTION("""COMPUTED_VALUE"""),"Taken off market on 1/10/2025. Price increased 56% to $3120 on 1/7/205, then decreased 12.5% to $2730 on 1/10/2025.")</f>
        <v>Taken off market on 1/10/2025. Price increased 56% to $3120 on 1/7/205, then decreased 12.5% to $2730 on 1/10/2025.</v>
      </c>
      <c r="N1320" s="26" t="str">
        <f ca="1">IFERROR(__xludf.DUMMYFUNCTION("""COMPUTED_VALUE"""),"https://drive.google.com/open?id=1cjZ0eWa51yo7Syfq0GAAXVyRmVem_eQI")</f>
        <v>https://drive.google.com/open?id=1cjZ0eWa51yo7Syfq0GAAXVyRmVem_eQI</v>
      </c>
      <c r="O1320" s="5" t="str">
        <f ca="1">IFERROR(__xludf.DUMMYFUNCTION("""COMPUTED_VALUE"""),"NA")</f>
        <v>NA</v>
      </c>
      <c r="P1320" s="5"/>
      <c r="Q1320" s="5"/>
      <c r="R1320" s="5"/>
      <c r="S1320" s="5"/>
      <c r="T1320" s="18">
        <f ca="1">IFERROR(__xludf.DUMMYFUNCTION("""COMPUTED_VALUE"""),45657)</f>
        <v>45657</v>
      </c>
    </row>
    <row r="1321" spans="1:20" ht="12.75">
      <c r="A1321" s="24">
        <f ca="1">IFERROR(__xludf.DUMMYFUNCTION("""COMPUTED_VALUE"""),45675.5904274884)</f>
        <v>45675.590427488401</v>
      </c>
      <c r="B1321" s="5" t="str">
        <f ca="1">IFERROR(__xludf.DUMMYFUNCTION("""COMPUTED_VALUE"""),"1223 Federal Ave #212")</f>
        <v>1223 Federal Ave #212</v>
      </c>
      <c r="C1321" s="5" t="str">
        <f ca="1">IFERROR(__xludf.DUMMYFUNCTION("""COMPUTED_VALUE"""),"Los Angeles")</f>
        <v>Los Angeles</v>
      </c>
      <c r="D1321" s="5" t="str">
        <f ca="1">IFERROR(__xludf.DUMMYFUNCTION("""COMPUTED_VALUE"""),"CA")</f>
        <v>CA</v>
      </c>
      <c r="E1321" s="5">
        <f ca="1">IFERROR(__xludf.DUMMYFUNCTION("""COMPUTED_VALUE"""),90025)</f>
        <v>90025</v>
      </c>
      <c r="F1321" s="19">
        <f ca="1">IFERROR(__xludf.DUMMYFUNCTION("""COMPUTED_VALUE"""),2298)</f>
        <v>2298</v>
      </c>
      <c r="G1321" s="19">
        <f ca="1">IFERROR(__xludf.DUMMYFUNCTION("""COMPUTED_VALUE"""),2648)</f>
        <v>2648</v>
      </c>
      <c r="H1321" s="18">
        <f ca="1">IFERROR(__xludf.DUMMYFUNCTION("""COMPUTED_VALUE"""),45670)</f>
        <v>45670</v>
      </c>
      <c r="I1321" s="5" t="str">
        <f ca="1">IFERROR(__xludf.DUMMYFUNCTION("""COMPUTED_VALUE"""),"Zillow")</f>
        <v>Zillow</v>
      </c>
      <c r="J1321" s="25" t="str">
        <f ca="1">IFERROR(__xludf.DUMMYFUNCTION("""COMPUTED_VALUE"""),"https://www.zillow.com/homedetails/1223-Federal-Ave-212-Los-Angeles-CA-90025/2077049077_zpid/")</f>
        <v>https://www.zillow.com/homedetails/1223-Federal-Ave-212-Los-Angeles-CA-90025/2077049077_zpid/</v>
      </c>
      <c r="K1321" s="5" t="str">
        <f ca="1">IFERROR(__xludf.DUMMYFUNCTION("""COMPUTED_VALUE"""),"Westside Habitats LLC")</f>
        <v>Westside Habitats LLC</v>
      </c>
      <c r="L1321" s="5"/>
      <c r="M1321" s="5" t="str">
        <f ca="1">IFERROR(__xludf.DUMMYFUNCTION("""COMPUTED_VALUE"""),"Price increased twice, by 6.5% on 1/8/2025 and then another 8.2% on 1/13/2025")</f>
        <v>Price increased twice, by 6.5% on 1/8/2025 and then another 8.2% on 1/13/2025</v>
      </c>
      <c r="N1321" s="26" t="str">
        <f ca="1">IFERROR(__xludf.DUMMYFUNCTION("""COMPUTED_VALUE"""),"https://drive.google.com/open?id=1-8ZPQZHGT9tR7gXc817Pj-25TnosEr1_")</f>
        <v>https://drive.google.com/open?id=1-8ZPQZHGT9tR7gXc817Pj-25TnosEr1_</v>
      </c>
      <c r="O1321" s="5" t="str">
        <f ca="1">IFERROR(__xludf.DUMMYFUNCTION("""COMPUTED_VALUE"""),"NA")</f>
        <v>NA</v>
      </c>
      <c r="P1321" s="5"/>
      <c r="Q1321" s="5"/>
      <c r="R1321" s="5"/>
      <c r="S1321" s="5"/>
      <c r="T1321" s="18">
        <f ca="1">IFERROR(__xludf.DUMMYFUNCTION("""COMPUTED_VALUE"""),45651)</f>
        <v>45651</v>
      </c>
    </row>
    <row r="1322" spans="1:20" ht="12.75">
      <c r="A1322" s="24">
        <f ca="1">IFERROR(__xludf.DUMMYFUNCTION("""COMPUTED_VALUE"""),45675.5961008449)</f>
        <v>45675.596100844901</v>
      </c>
      <c r="B1322" s="5" t="str">
        <f ca="1">IFERROR(__xludf.DUMMYFUNCTION("""COMPUTED_VALUE"""),"3649 Cazador St")</f>
        <v>3649 Cazador St</v>
      </c>
      <c r="C1322" s="5" t="str">
        <f ca="1">IFERROR(__xludf.DUMMYFUNCTION("""COMPUTED_VALUE"""),"Los Angeles")</f>
        <v>Los Angeles</v>
      </c>
      <c r="D1322" s="5" t="str">
        <f ca="1">IFERROR(__xludf.DUMMYFUNCTION("""COMPUTED_VALUE"""),"CA")</f>
        <v>CA</v>
      </c>
      <c r="E1322" s="5">
        <f ca="1">IFERROR(__xludf.DUMMYFUNCTION("""COMPUTED_VALUE"""),90065)</f>
        <v>90065</v>
      </c>
      <c r="F1322" s="19">
        <f ca="1">IFERROR(__xludf.DUMMYFUNCTION("""COMPUTED_VALUE"""),4900)</f>
        <v>4900</v>
      </c>
      <c r="G1322" s="19">
        <f ca="1">IFERROR(__xludf.DUMMYFUNCTION("""COMPUTED_VALUE"""),4900)</f>
        <v>4900</v>
      </c>
      <c r="H1322" s="18">
        <f ca="1">IFERROR(__xludf.DUMMYFUNCTION("""COMPUTED_VALUE"""),45669)</f>
        <v>45669</v>
      </c>
      <c r="I1322" s="5" t="str">
        <f ca="1">IFERROR(__xludf.DUMMYFUNCTION("""COMPUTED_VALUE"""),"Zillow")</f>
        <v>Zillow</v>
      </c>
      <c r="J1322" s="25" t="str">
        <f ca="1">IFERROR(__xludf.DUMMYFUNCTION("""COMPUTED_VALUE"""),"https://www.zillow.com/homedetails/3649-Cazador-St-Los-Angeles-CA-90065/443934582_zpid/")</f>
        <v>https://www.zillow.com/homedetails/3649-Cazador-St-Los-Angeles-CA-90065/443934582_zpid/</v>
      </c>
      <c r="K1322" s="5" t="str">
        <f ca="1">IFERROR(__xludf.DUMMYFUNCTION("""COMPUTED_VALUE"""),"Biljana Seki - Keller Williams Advisors")</f>
        <v>Biljana Seki - Keller Williams Advisors</v>
      </c>
      <c r="L1322" s="5"/>
      <c r="M1322" s="5" t="str">
        <f ca="1">IFERROR(__xludf.DUMMYFUNCTION("""COMPUTED_VALUE"""),"This listing was not posted before the fires. The listed price exceeds 160% of the Department of Housing and Urban Development's fair market value. The FMV for a 2-bedroom unit in this zip code is $2400. 160% of $2400 = $3840. This listing is $1000 over t"&amp;"hat. ")</f>
        <v xml:space="preserve">This listing was not posted before the fires. The listed price exceeds 160% of the Department of Housing and Urban Development's fair market value. The FMV for a 2-bedroom unit in this zip code is $2400. 160% of $2400 = $3840. This listing is $1000 over that. </v>
      </c>
      <c r="N1322" s="5" t="str">
        <f ca="1">IFERROR(__xludf.DUMMYFUNCTION("""COMPUTED_VALUE"""),"https://drive.google.com/open?id=1escrN1mNBGPuNADMWI6Eu11muHIeV8RY, https://drive.google.com/open?id=1_aFGvanwraHuzctDHW7bMFgSPWx72wjX")</f>
        <v>https://drive.google.com/open?id=1escrN1mNBGPuNADMWI6Eu11muHIeV8RY, https://drive.google.com/open?id=1_aFGvanwraHuzctDHW7bMFgSPWx72wjX</v>
      </c>
      <c r="O1322" s="5" t="str">
        <f ca="1">IFERROR(__xludf.DUMMYFUNCTION("""COMPUTED_VALUE"""),"NA")</f>
        <v>NA</v>
      </c>
      <c r="P1322" s="5" t="str">
        <f ca="1">IFERROR(__xludf.DUMMYFUNCTION("""COMPUTED_VALUE"""),"(714) 654-2402")</f>
        <v>(714) 654-2402</v>
      </c>
      <c r="Q1322" s="5"/>
      <c r="R1322" s="5"/>
      <c r="S1322" s="5"/>
      <c r="T1322" s="18">
        <f ca="1">IFERROR(__xludf.DUMMYFUNCTION("""COMPUTED_VALUE"""),45669)</f>
        <v>45669</v>
      </c>
    </row>
    <row r="1323" spans="1:20" ht="12.75">
      <c r="A1323" s="24">
        <f ca="1">IFERROR(__xludf.DUMMYFUNCTION("""COMPUTED_VALUE"""),45675.6103673958)</f>
        <v>45675.610367395799</v>
      </c>
      <c r="B1323" s="5" t="str">
        <f ca="1">IFERROR(__xludf.DUMMYFUNCTION("""COMPUTED_VALUE"""),"706 N  Hoover St #708,")</f>
        <v>706 N  Hoover St #708,</v>
      </c>
      <c r="C1323" s="5" t="str">
        <f ca="1">IFERROR(__xludf.DUMMYFUNCTION("""COMPUTED_VALUE"""),"Los Angeles")</f>
        <v>Los Angeles</v>
      </c>
      <c r="D1323" s="5" t="str">
        <f ca="1">IFERROR(__xludf.DUMMYFUNCTION("""COMPUTED_VALUE"""),"CA")</f>
        <v>CA</v>
      </c>
      <c r="E1323" s="5">
        <f ca="1">IFERROR(__xludf.DUMMYFUNCTION("""COMPUTED_VALUE"""),90029)</f>
        <v>90029</v>
      </c>
      <c r="F1323" s="19">
        <f ca="1">IFERROR(__xludf.DUMMYFUNCTION("""COMPUTED_VALUE"""),2450)</f>
        <v>2450</v>
      </c>
      <c r="G1323" s="19">
        <f ca="1">IFERROR(__xludf.DUMMYFUNCTION("""COMPUTED_VALUE"""),3000)</f>
        <v>3000</v>
      </c>
      <c r="H1323" s="18">
        <f ca="1">IFERROR(__xludf.DUMMYFUNCTION("""COMPUTED_VALUE"""),45675)</f>
        <v>45675</v>
      </c>
      <c r="I1323" s="5" t="str">
        <f ca="1">IFERROR(__xludf.DUMMYFUNCTION("""COMPUTED_VALUE"""),"Zillow")</f>
        <v>Zillow</v>
      </c>
      <c r="J1323" s="25" t="str">
        <f ca="1">IFERROR(__xludf.DUMMYFUNCTION("""COMPUTED_VALUE"""),"https://www.zillow.com/homedetails/706-N-Hoover-St-708-Los-Angeles-CA-90029/442445475_zpid/?utm_campaign=iosappmessage&amp;utm_medium=referral&amp;utm_source=txtshare")</f>
        <v>https://www.zillow.com/homedetails/706-N-Hoover-St-708-Los-Angeles-CA-90029/442445475_zpid/?utm_campaign=iosappmessage&amp;utm_medium=referral&amp;utm_source=txtshare</v>
      </c>
      <c r="K1323" s="5" t="str">
        <f ca="1">IFERROR(__xludf.DUMMYFUNCTION("""COMPUTED_VALUE"""),"“Affordable Housing”")</f>
        <v>“Affordable Housing”</v>
      </c>
      <c r="L1323" s="5"/>
      <c r="M1323" s="5" t="str">
        <f ca="1">IFERROR(__xludf.DUMMYFUNCTION("""COMPUTED_VALUE"""),"Definitely increased price after fires")</f>
        <v>Definitely increased price after fires</v>
      </c>
      <c r="N1323" s="5" t="str">
        <f ca="1">IFERROR(__xludf.DUMMYFUNCTION("""COMPUTED_VALUE"""),"https://drive.google.com/open?id=1JT3drQvy71O5e0IFj7Ukubzq0L_VvoLy, https://drive.google.com/open?id=16OiYFwVrkyDL132NeXHSpTgMQl1mmzr3")</f>
        <v>https://drive.google.com/open?id=1JT3drQvy71O5e0IFj7Ukubzq0L_VvoLy, https://drive.google.com/open?id=16OiYFwVrkyDL132NeXHSpTgMQl1mmzr3</v>
      </c>
      <c r="O1323" s="5" t="str">
        <f ca="1">IFERROR(__xludf.DUMMYFUNCTION("""COMPUTED_VALUE"""),"NA")</f>
        <v>NA</v>
      </c>
      <c r="P1323" s="5">
        <f ca="1">IFERROR(__xludf.DUMMYFUNCTION("""COMPUTED_VALUE"""),3106661962)</f>
        <v>3106661962</v>
      </c>
      <c r="Q1323" s="5"/>
      <c r="R1323" s="5"/>
      <c r="S1323" s="5"/>
      <c r="T1323" s="18">
        <f ca="1">IFERROR(__xludf.DUMMYFUNCTION("""COMPUTED_VALUE"""),45667)</f>
        <v>45667</v>
      </c>
    </row>
    <row r="1324" spans="1:20" ht="12.75">
      <c r="A1324" s="24">
        <f ca="1">IFERROR(__xludf.DUMMYFUNCTION("""COMPUTED_VALUE"""),45675.6189056828)</f>
        <v>45675.618905682801</v>
      </c>
      <c r="B1324" s="5" t="str">
        <f ca="1">IFERROR(__xludf.DUMMYFUNCTION("""COMPUTED_VALUE"""),"3731 Toland Way")</f>
        <v>3731 Toland Way</v>
      </c>
      <c r="C1324" s="5" t="str">
        <f ca="1">IFERROR(__xludf.DUMMYFUNCTION("""COMPUTED_VALUE"""),"Los Angeles")</f>
        <v>Los Angeles</v>
      </c>
      <c r="D1324" s="5" t="str">
        <f ca="1">IFERROR(__xludf.DUMMYFUNCTION("""COMPUTED_VALUE"""),"CA")</f>
        <v>CA</v>
      </c>
      <c r="E1324" s="5">
        <f ca="1">IFERROR(__xludf.DUMMYFUNCTION("""COMPUTED_VALUE"""),90065)</f>
        <v>90065</v>
      </c>
      <c r="F1324" s="19">
        <f ca="1">IFERROR(__xludf.DUMMYFUNCTION("""COMPUTED_VALUE"""),12990)</f>
        <v>12990</v>
      </c>
      <c r="G1324" s="19">
        <f ca="1">IFERROR(__xludf.DUMMYFUNCTION("""COMPUTED_VALUE"""),12990)</f>
        <v>12990</v>
      </c>
      <c r="H1324" s="18">
        <f ca="1">IFERROR(__xludf.DUMMYFUNCTION("""COMPUTED_VALUE"""),45673)</f>
        <v>45673</v>
      </c>
      <c r="I1324" s="5" t="str">
        <f ca="1">IFERROR(__xludf.DUMMYFUNCTION("""COMPUTED_VALUE"""),"Zillow")</f>
        <v>Zillow</v>
      </c>
      <c r="J1324" s="25" t="str">
        <f ca="1">IFERROR(__xludf.DUMMYFUNCTION("""COMPUTED_VALUE"""),"https://www.zillow.com/homedetails/3731-Toland-Way-Los-Angeles-CA-90065/20758980_zpid/")</f>
        <v>https://www.zillow.com/homedetails/3731-Toland-Way-Los-Angeles-CA-90065/20758980_zpid/</v>
      </c>
      <c r="K1324" s="5"/>
      <c r="L1324" s="5" t="str">
        <f ca="1">IFERROR(__xludf.DUMMYFUNCTION("""COMPUTED_VALUE"""),"Catalina")</f>
        <v>Catalina</v>
      </c>
      <c r="M1324" s="5" t="str">
        <f ca="1">IFERROR(__xludf.DUMMYFUNCTION("""COMPUTED_VALUE"""),"This listing was not posted before the fires, however, it is listed significantly above 160% of the Department of Housing and Urban Development's fair market value. The FMV for a 3-bedroom unit in the 90065 zip code is $3050. 160% of that is $4880. The li"&amp;"sted price is $12,990.")</f>
        <v>This listing was not posted before the fires, however, it is listed significantly above 160% of the Department of Housing and Urban Development's fair market value. The FMV for a 3-bedroom unit in the 90065 zip code is $3050. 160% of that is $4880. The listed price is $12,990.</v>
      </c>
      <c r="N1324" s="5" t="str">
        <f ca="1">IFERROR(__xludf.DUMMYFUNCTION("""COMPUTED_VALUE"""),"https://drive.google.com/open?id=1lgPuglyhrQuPodaSDC-zAki5Y295oBLm, https://drive.google.com/open?id=1Sen1g8sI6_A5FGXTZBVlaHWXeOT_dM4H")</f>
        <v>https://drive.google.com/open?id=1lgPuglyhrQuPodaSDC-zAki5Y295oBLm, https://drive.google.com/open?id=1Sen1g8sI6_A5FGXTZBVlaHWXeOT_dM4H</v>
      </c>
      <c r="O1324" s="5">
        <f ca="1">IFERROR(__xludf.DUMMYFUNCTION("""COMPUTED_VALUE"""),5460003006)</f>
        <v>5460003006</v>
      </c>
      <c r="P1324" s="5"/>
      <c r="Q1324" s="5"/>
      <c r="R1324" s="5" t="str">
        <f ca="1">IFERROR(__xludf.DUMMYFUNCTION("""COMPUTED_VALUE"""),"(213) 283-8128")</f>
        <v>(213) 283-8128</v>
      </c>
      <c r="S1324" s="5"/>
      <c r="T1324" s="18">
        <f ca="1">IFERROR(__xludf.DUMMYFUNCTION("""COMPUTED_VALUE"""),45673)</f>
        <v>45673</v>
      </c>
    </row>
    <row r="1325" spans="1:20" ht="12.75">
      <c r="A1325" s="24">
        <f ca="1">IFERROR(__xludf.DUMMYFUNCTION("""COMPUTED_VALUE"""),45675.6297606828)</f>
        <v>45675.629760682801</v>
      </c>
      <c r="B1325" s="5" t="str">
        <f ca="1">IFERROR(__xludf.DUMMYFUNCTION("""COMPUTED_VALUE"""),"1044 Manzanita St")</f>
        <v>1044 Manzanita St</v>
      </c>
      <c r="C1325" s="5" t="str">
        <f ca="1">IFERROR(__xludf.DUMMYFUNCTION("""COMPUTED_VALUE"""),"Los Angeles")</f>
        <v>Los Angeles</v>
      </c>
      <c r="D1325" s="5" t="str">
        <f ca="1">IFERROR(__xludf.DUMMYFUNCTION("""COMPUTED_VALUE"""),"CA")</f>
        <v>CA</v>
      </c>
      <c r="E1325" s="5">
        <f ca="1">IFERROR(__xludf.DUMMYFUNCTION("""COMPUTED_VALUE"""),90029)</f>
        <v>90029</v>
      </c>
      <c r="F1325" s="19">
        <f ca="1">IFERROR(__xludf.DUMMYFUNCTION("""COMPUTED_VALUE"""),4900)</f>
        <v>4900</v>
      </c>
      <c r="G1325" s="19">
        <f ca="1">IFERROR(__xludf.DUMMYFUNCTION("""COMPUTED_VALUE"""),4900)</f>
        <v>4900</v>
      </c>
      <c r="H1325" s="18">
        <f ca="1">IFERROR(__xludf.DUMMYFUNCTION("""COMPUTED_VALUE"""),45675)</f>
        <v>45675</v>
      </c>
      <c r="I1325" s="5" t="str">
        <f ca="1">IFERROR(__xludf.DUMMYFUNCTION("""COMPUTED_VALUE"""),"Zillow")</f>
        <v>Zillow</v>
      </c>
      <c r="J1325" s="25" t="str">
        <f ca="1">IFERROR(__xludf.DUMMYFUNCTION("""COMPUTED_VALUE"""),"https://www.zillow.com/homedetails/1044-Manzanita-St-Los-Angeles-CA-90029/20745537_zpid/")</f>
        <v>https://www.zillow.com/homedetails/1044-Manzanita-St-Los-Angeles-CA-90029/20745537_zpid/</v>
      </c>
      <c r="K1325" s="5"/>
      <c r="L1325" s="5" t="str">
        <f ca="1">IFERROR(__xludf.DUMMYFUNCTION("""COMPUTED_VALUE"""),"Andreas")</f>
        <v>Andreas</v>
      </c>
      <c r="M1325" s="5" t="str">
        <f ca="1">IFERROR(__xludf.DUMMYFUNCTION("""COMPUTED_VALUE"""),"This listing was posted after the fires and exceeds 160% of the Department of Housing and Urban Development's fair market value. The FMV for a 2-bedroom unit in 90029 is $2,490. 160% of $2,490 = $3,984. This posting is listed at $4,900.")</f>
        <v>This listing was posted after the fires and exceeds 160% of the Department of Housing and Urban Development's fair market value. The FMV for a 2-bedroom unit in 90029 is $2,490. 160% of $2,490 = $3,984. This posting is listed at $4,900.</v>
      </c>
      <c r="N1325" s="5" t="str">
        <f ca="1">IFERROR(__xludf.DUMMYFUNCTION("""COMPUTED_VALUE"""),"https://drive.google.com/open?id=1cHVCLPEl52ChAyPqaiwno0JO7HKOdGwZ, https://drive.google.com/open?id=14TfHJ4uuKxRNo0cxz0yAuh25jkxPmKgK")</f>
        <v>https://drive.google.com/open?id=1cHVCLPEl52ChAyPqaiwno0JO7HKOdGwZ, https://drive.google.com/open?id=14TfHJ4uuKxRNo0cxz0yAuh25jkxPmKgK</v>
      </c>
      <c r="O1325" s="5">
        <f ca="1">IFERROR(__xludf.DUMMYFUNCTION("""COMPUTED_VALUE"""),5427006027)</f>
        <v>5427006027</v>
      </c>
      <c r="P1325" s="5"/>
      <c r="Q1325" s="5"/>
      <c r="R1325" s="5" t="str">
        <f ca="1">IFERROR(__xludf.DUMMYFUNCTION("""COMPUTED_VALUE"""),"(424) 340-5777")</f>
        <v>(424) 340-5777</v>
      </c>
      <c r="S1325" s="5"/>
      <c r="T1325" s="18">
        <f ca="1">IFERROR(__xludf.DUMMYFUNCTION("""COMPUTED_VALUE"""),45675)</f>
        <v>45675</v>
      </c>
    </row>
    <row r="1326" spans="1:20" ht="12.75">
      <c r="A1326" s="24">
        <f ca="1">IFERROR(__xludf.DUMMYFUNCTION("""COMPUTED_VALUE"""),45675.6340526388)</f>
        <v>45675.634052638801</v>
      </c>
      <c r="B1326" s="5" t="str">
        <f ca="1">IFERROR(__xludf.DUMMYFUNCTION("""COMPUTED_VALUE"""),"500 broadway apt 531")</f>
        <v>500 broadway apt 531</v>
      </c>
      <c r="C1326" s="5" t="str">
        <f ca="1">IFERROR(__xludf.DUMMYFUNCTION("""COMPUTED_VALUE"""),"Santa Monica")</f>
        <v>Santa Monica</v>
      </c>
      <c r="D1326" s="5" t="str">
        <f ca="1">IFERROR(__xludf.DUMMYFUNCTION("""COMPUTED_VALUE"""),"CA")</f>
        <v>CA</v>
      </c>
      <c r="E1326" s="5">
        <f ca="1">IFERROR(__xludf.DUMMYFUNCTION("""COMPUTED_VALUE"""),90401)</f>
        <v>90401</v>
      </c>
      <c r="F1326" s="19">
        <f ca="1">IFERROR(__xludf.DUMMYFUNCTION("""COMPUTED_VALUE"""),4380)</f>
        <v>4380</v>
      </c>
      <c r="G1326" s="19">
        <f ca="1">IFERROR(__xludf.DUMMYFUNCTION("""COMPUTED_VALUE"""),4829)</f>
        <v>4829</v>
      </c>
      <c r="H1326" s="18">
        <f ca="1">IFERROR(__xludf.DUMMYFUNCTION("""COMPUTED_VALUE"""),45673)</f>
        <v>45673</v>
      </c>
      <c r="I1326" s="26" t="str">
        <f ca="1">IFERROR(__xludf.DUMMYFUNCTION("""COMPUTED_VALUE"""),"Apartments.com")</f>
        <v>Apartments.com</v>
      </c>
      <c r="J1326" s="25" t="str">
        <f ca="1">IFERROR(__xludf.DUMMYFUNCTION("""COMPUTED_VALUE"""),"https://www.apartments.com/the-park-santa-monica-santa-monica-ca/cv7s2xd/#vjh55cd-2-unit")</f>
        <v>https://www.apartments.com/the-park-santa-monica-santa-monica-ca/cv7s2xd/#vjh55cd-2-unit</v>
      </c>
      <c r="K1326" s="5"/>
      <c r="L1326" s="5" t="str">
        <f ca="1">IFERROR(__xludf.DUMMYFUNCTION("""COMPUTED_VALUE"""),"Sentral")</f>
        <v>Sentral</v>
      </c>
      <c r="M1326" s="5" t="str">
        <f ca="1">IFERROR(__xludf.DUMMYFUNCTION("""COMPUTED_VALUE"""),"There are multiple cases of price gouging at The Park Santa Monica. I've included screenshots with timestamps from 1/9 and 1/16. Unit 431 has increased from $4,380 to $4,829 (10.3% inc) and unit 307 has increased from $6,151 to $6,779 (10.2%). Additionall"&amp;"y, (not sure if this counts as price gouging) they had a move in special in 1/9 for 8 weeks free + 2 extra weeks free with look and lease. The move in special is now only 2 weeks free.  I took some other pictures so feel free to reach out if you need any "&amp;"additional info. ")</f>
        <v xml:space="preserve">There are multiple cases of price gouging at The Park Santa Monica. I've included screenshots with timestamps from 1/9 and 1/16. Unit 431 has increased from $4,380 to $4,829 (10.3% inc) and unit 307 has increased from $6,151 to $6,779 (10.2%). Additionally, (not sure if this counts as price gouging) they had a move in special in 1/9 for 8 weeks free + 2 extra weeks free with look and lease. The move in special is now only 2 weeks free.  I took some other pictures so feel free to reach out if you need any additional info. </v>
      </c>
      <c r="N1326" s="5" t="str">
        <f ca="1">IFERROR(__xludf.DUMMYFUNCTION("""COMPUTED_VALUE"""),"https://drive.google.com/open?id=1nuCmukZWW5JJZHGPh7h9kRFKUTGPoKM-, https://drive.google.com/open?id=1nDn52qwfNjRMgwhGt7Ua84SXPpqB5j9Y, https://drive.google.com/open?id=1qryjgEuIS_r6IAgyrOlqHPkK6dqoVl7B, https://drive.google.com/open?id=1iDNAWqedePK1ti16P"&amp;"MzFNk7zo6EUG0E5")</f>
        <v>https://drive.google.com/open?id=1nuCmukZWW5JJZHGPh7h9kRFKUTGPoKM-, https://drive.google.com/open?id=1nDn52qwfNjRMgwhGt7Ua84SXPpqB5j9Y, https://drive.google.com/open?id=1qryjgEuIS_r6IAgyrOlqHPkK6dqoVl7B, https://drive.google.com/open?id=1iDNAWqedePK1ti16PMzFNk7zo6EUG0E5</v>
      </c>
      <c r="O1326" s="5" t="str">
        <f ca="1">IFERROR(__xludf.DUMMYFUNCTION("""COMPUTED_VALUE"""),"NA")</f>
        <v>NA</v>
      </c>
      <c r="P1326" s="5" t="str">
        <f ca="1">IFERROR(__xludf.DUMMYFUNCTION("""COMPUTED_VALUE""")," (424) 372-8579")</f>
        <v xml:space="preserve"> (424) 372-8579</v>
      </c>
      <c r="Q1326" s="5"/>
      <c r="R1326" s="5"/>
      <c r="S1326" s="5"/>
      <c r="T1326" s="18">
        <f ca="1">IFERROR(__xludf.DUMMYFUNCTION("""COMPUTED_VALUE"""),45666)</f>
        <v>45666</v>
      </c>
    </row>
    <row r="1327" spans="1:20" ht="12.75">
      <c r="A1327" s="24">
        <f ca="1">IFERROR(__xludf.DUMMYFUNCTION("""COMPUTED_VALUE"""),45675.6480218287)</f>
        <v>45675.648021828703</v>
      </c>
      <c r="B1327" s="5" t="str">
        <f ca="1">IFERROR(__xludf.DUMMYFUNCTION("""COMPUTED_VALUE"""),"11177 Valley Springs Pl")</f>
        <v>11177 Valley Springs Pl</v>
      </c>
      <c r="C1327" s="5" t="str">
        <f ca="1">IFERROR(__xludf.DUMMYFUNCTION("""COMPUTED_VALUE"""),"Studio City ")</f>
        <v xml:space="preserve">Studio City </v>
      </c>
      <c r="D1327" s="5" t="str">
        <f ca="1">IFERROR(__xludf.DUMMYFUNCTION("""COMPUTED_VALUE"""),"CA")</f>
        <v>CA</v>
      </c>
      <c r="E1327" s="5">
        <f ca="1">IFERROR(__xludf.DUMMYFUNCTION("""COMPUTED_VALUE"""),91602)</f>
        <v>91602</v>
      </c>
      <c r="F1327" s="19">
        <f ca="1">IFERROR(__xludf.DUMMYFUNCTION("""COMPUTED_VALUE"""),9000)</f>
        <v>9000</v>
      </c>
      <c r="G1327" s="19">
        <f ca="1">IFERROR(__xludf.DUMMYFUNCTION("""COMPUTED_VALUE"""),12000)</f>
        <v>12000</v>
      </c>
      <c r="H1327" s="18">
        <f ca="1">IFERROR(__xludf.DUMMYFUNCTION("""COMPUTED_VALUE"""),45674)</f>
        <v>45674</v>
      </c>
      <c r="I1327" s="5" t="str">
        <f ca="1">IFERROR(__xludf.DUMMYFUNCTION("""COMPUTED_VALUE"""),"Zillow")</f>
        <v>Zillow</v>
      </c>
      <c r="J1327" s="25" t="str">
        <f ca="1">IFERROR(__xludf.DUMMYFUNCTION("""COMPUTED_VALUE"""),"https://www.zillow.com/homedetails/11177-Valley-Spring-Pl-Studio-City-CA-91602/20025421_zpid/")</f>
        <v>https://www.zillow.com/homedetails/11177-Valley-Spring-Pl-Studio-City-CA-91602/20025421_zpid/</v>
      </c>
      <c r="K1327" s="5"/>
      <c r="L1327" s="5"/>
      <c r="M1327" s="5"/>
      <c r="N1327" s="26" t="str">
        <f ca="1">IFERROR(__xludf.DUMMYFUNCTION("""COMPUTED_VALUE"""),"https://drive.google.com/open?id=1V318bBA4MGUVaaGxsBaxoLGO5epRb9ay")</f>
        <v>https://drive.google.com/open?id=1V318bBA4MGUVaaGxsBaxoLGO5epRb9ay</v>
      </c>
      <c r="O1327" s="5">
        <f ca="1">IFERROR(__xludf.DUMMYFUNCTION("""COMPUTED_VALUE"""),2366009010)</f>
        <v>2366009010</v>
      </c>
      <c r="P1327" s="5"/>
      <c r="Q1327" s="5"/>
      <c r="R1327" s="5"/>
      <c r="S1327" s="5"/>
      <c r="T1327" s="18">
        <f ca="1">IFERROR(__xludf.DUMMYFUNCTION("""COMPUTED_VALUE"""),45324)</f>
        <v>45324</v>
      </c>
    </row>
    <row r="1328" spans="1:20" ht="12.75">
      <c r="A1328" s="24">
        <f ca="1">IFERROR(__xludf.DUMMYFUNCTION("""COMPUTED_VALUE"""),45675.6528414583)</f>
        <v>45675.652841458301</v>
      </c>
      <c r="B1328" s="5" t="str">
        <f ca="1">IFERROR(__xludf.DUMMYFUNCTION("""COMPUTED_VALUE"""),"13050 Blairwood Dr")</f>
        <v>13050 Blairwood Dr</v>
      </c>
      <c r="C1328" s="5" t="str">
        <f ca="1">IFERROR(__xludf.DUMMYFUNCTION("""COMPUTED_VALUE"""),"Studio City")</f>
        <v>Studio City</v>
      </c>
      <c r="D1328" s="5" t="str">
        <f ca="1">IFERROR(__xludf.DUMMYFUNCTION("""COMPUTED_VALUE"""),"CA")</f>
        <v>CA</v>
      </c>
      <c r="E1328" s="5">
        <f ca="1">IFERROR(__xludf.DUMMYFUNCTION("""COMPUTED_VALUE"""),91604)</f>
        <v>91604</v>
      </c>
      <c r="F1328" s="19">
        <f ca="1">IFERROR(__xludf.DUMMYFUNCTION("""COMPUTED_VALUE"""),12800)</f>
        <v>12800</v>
      </c>
      <c r="G1328" s="19">
        <f ca="1">IFERROR(__xludf.DUMMYFUNCTION("""COMPUTED_VALUE"""),14800)</f>
        <v>14800</v>
      </c>
      <c r="H1328" s="18">
        <f ca="1">IFERROR(__xludf.DUMMYFUNCTION("""COMPUTED_VALUE"""),45675)</f>
        <v>45675</v>
      </c>
      <c r="I1328" s="5" t="str">
        <f ca="1">IFERROR(__xludf.DUMMYFUNCTION("""COMPUTED_VALUE"""),"Zillow")</f>
        <v>Zillow</v>
      </c>
      <c r="J1328" s="25" t="str">
        <f ca="1">IFERROR(__xludf.DUMMYFUNCTION("""COMPUTED_VALUE"""),"https://www.zillow.com/homedetails/13050-Blairwood-Dr-Studio-City-CA-91604/20032882_zpid/")</f>
        <v>https://www.zillow.com/homedetails/13050-Blairwood-Dr-Studio-City-CA-91604/20032882_zpid/</v>
      </c>
      <c r="K1328" s="5"/>
      <c r="L1328" s="5"/>
      <c r="M1328" s="5"/>
      <c r="N1328" s="26" t="str">
        <f ca="1">IFERROR(__xludf.DUMMYFUNCTION("""COMPUTED_VALUE"""),"https://drive.google.com/open?id=1Vrs8lpZ6jHhn1uUVY6_cmv9oM3Ld9RYs")</f>
        <v>https://drive.google.com/open?id=1Vrs8lpZ6jHhn1uUVY6_cmv9oM3Ld9RYs</v>
      </c>
      <c r="O1328" s="5">
        <f ca="1">IFERROR(__xludf.DUMMYFUNCTION("""COMPUTED_VALUE"""),2385015006)</f>
        <v>2385015006</v>
      </c>
      <c r="P1328" s="5"/>
      <c r="Q1328" s="5"/>
      <c r="R1328" s="5"/>
      <c r="S1328" s="5"/>
      <c r="T1328" s="18">
        <f ca="1">IFERROR(__xludf.DUMMYFUNCTION("""COMPUTED_VALUE"""),45412)</f>
        <v>45412</v>
      </c>
    </row>
    <row r="1329" spans="1:20" ht="12.75">
      <c r="A1329" s="24">
        <f ca="1">IFERROR(__xludf.DUMMYFUNCTION("""COMPUTED_VALUE"""),45675.6697960532)</f>
        <v>45675.669796053196</v>
      </c>
      <c r="B1329" s="5" t="str">
        <f ca="1">IFERROR(__xludf.DUMMYFUNCTION("""COMPUTED_VALUE"""),"351 Mount Washington Dr")</f>
        <v>351 Mount Washington Dr</v>
      </c>
      <c r="C1329" s="5" t="str">
        <f ca="1">IFERROR(__xludf.DUMMYFUNCTION("""COMPUTED_VALUE"""),"Los Angeles")</f>
        <v>Los Angeles</v>
      </c>
      <c r="D1329" s="5" t="str">
        <f ca="1">IFERROR(__xludf.DUMMYFUNCTION("""COMPUTED_VALUE"""),"CA")</f>
        <v>CA</v>
      </c>
      <c r="E1329" s="5">
        <f ca="1">IFERROR(__xludf.DUMMYFUNCTION("""COMPUTED_VALUE"""),90065)</f>
        <v>90065</v>
      </c>
      <c r="F1329" s="19">
        <f ca="1">IFERROR(__xludf.DUMMYFUNCTION("""COMPUTED_VALUE"""),8250)</f>
        <v>8250</v>
      </c>
      <c r="G1329" s="19">
        <f ca="1">IFERROR(__xludf.DUMMYFUNCTION("""COMPUTED_VALUE"""),8500)</f>
        <v>8500</v>
      </c>
      <c r="H1329" s="18">
        <f ca="1">IFERROR(__xludf.DUMMYFUNCTION("""COMPUTED_VALUE"""),45674)</f>
        <v>45674</v>
      </c>
      <c r="I1329" s="5" t="str">
        <f ca="1">IFERROR(__xludf.DUMMYFUNCTION("""COMPUTED_VALUE"""),"Zillow")</f>
        <v>Zillow</v>
      </c>
      <c r="J1329" s="25" t="str">
        <f ca="1">IFERROR(__xludf.DUMMYFUNCTION("""COMPUTED_VALUE"""),"https://www.zillow.com/homedetails/351-Mount-Washington-Dr-Los-Angeles-CA-90065/20760776_zpid/")</f>
        <v>https://www.zillow.com/homedetails/351-Mount-Washington-Dr-Los-Angeles-CA-90065/20760776_zpid/</v>
      </c>
      <c r="K1329" s="5" t="str">
        <f ca="1">IFERROR(__xludf.DUMMYFUNCTION("""COMPUTED_VALUE"""),"Mike")</f>
        <v>Mike</v>
      </c>
      <c r="L1329" s="5"/>
      <c r="M1329" s="5"/>
      <c r="N1329" s="26" t="str">
        <f ca="1">IFERROR(__xludf.DUMMYFUNCTION("""COMPUTED_VALUE"""),"https://drive.google.com/open?id=1qwhffyYIsJ1d_AtxxwvLfbrCA8_xJvSt")</f>
        <v>https://drive.google.com/open?id=1qwhffyYIsJ1d_AtxxwvLfbrCA8_xJvSt</v>
      </c>
      <c r="O1329" s="5">
        <f ca="1">IFERROR(__xludf.DUMMYFUNCTION("""COMPUTED_VALUE"""),5465023025)</f>
        <v>5465023025</v>
      </c>
      <c r="P1329" s="5" t="str">
        <f ca="1">IFERROR(__xludf.DUMMYFUNCTION("""COMPUTED_VALUE"""),"(213) 320-5307")</f>
        <v>(213) 320-5307</v>
      </c>
      <c r="Q1329" s="5"/>
      <c r="R1329" s="5"/>
      <c r="S1329" s="5"/>
      <c r="T1329" s="18">
        <f ca="1">IFERROR(__xludf.DUMMYFUNCTION("""COMPUTED_VALUE"""),45587)</f>
        <v>45587</v>
      </c>
    </row>
    <row r="1330" spans="1:20" ht="12.75">
      <c r="A1330" s="24">
        <f ca="1">IFERROR(__xludf.DUMMYFUNCTION("""COMPUTED_VALUE"""),45675.6986758101)</f>
        <v>45675.698675810097</v>
      </c>
      <c r="B1330" s="5" t="str">
        <f ca="1">IFERROR(__xludf.DUMMYFUNCTION("""COMPUTED_VALUE"""),"4267 Marina City Dr UNIT 102")</f>
        <v>4267 Marina City Dr UNIT 102</v>
      </c>
      <c r="C1330" s="5" t="str">
        <f ca="1">IFERROR(__xludf.DUMMYFUNCTION("""COMPUTED_VALUE"""),"Marina Del Rey")</f>
        <v>Marina Del Rey</v>
      </c>
      <c r="D1330" s="5" t="str">
        <f ca="1">IFERROR(__xludf.DUMMYFUNCTION("""COMPUTED_VALUE"""),"CA")</f>
        <v>CA</v>
      </c>
      <c r="E1330" s="5">
        <f ca="1">IFERROR(__xludf.DUMMYFUNCTION("""COMPUTED_VALUE"""),90292)</f>
        <v>90292</v>
      </c>
      <c r="F1330" s="19">
        <f ca="1">IFERROR(__xludf.DUMMYFUNCTION("""COMPUTED_VALUE"""),5200)</f>
        <v>5200</v>
      </c>
      <c r="G1330" s="19">
        <f ca="1">IFERROR(__xludf.DUMMYFUNCTION("""COMPUTED_VALUE"""),7000)</f>
        <v>7000</v>
      </c>
      <c r="H1330" s="18">
        <f ca="1">IFERROR(__xludf.DUMMYFUNCTION("""COMPUTED_VALUE"""),45672)</f>
        <v>45672</v>
      </c>
      <c r="I1330" s="5" t="str">
        <f ca="1">IFERROR(__xludf.DUMMYFUNCTION("""COMPUTED_VALUE"""),"Zillow")</f>
        <v>Zillow</v>
      </c>
      <c r="J1330" s="25" t="str">
        <f ca="1">IFERROR(__xludf.DUMMYFUNCTION("""COMPUTED_VALUE"""),"https://www.zillow.com/homedetails/4267-Marina-City-Dr-UNIT-102-Marina-Del-Rey-CA-90292/302687068_zpid/")</f>
        <v>https://www.zillow.com/homedetails/4267-Marina-City-Dr-UNIT-102-Marina-Del-Rey-CA-90292/302687068_zpid/</v>
      </c>
      <c r="K1330" s="5" t="str">
        <f ca="1">IFERROR(__xludf.DUMMYFUNCTION("""COMPUTED_VALUE"""),"Eileen Mccarthy, Marina Ocean Properties,  Management company")</f>
        <v>Eileen Mccarthy, Marina Ocean Properties,  Management company</v>
      </c>
      <c r="L1330" s="5"/>
      <c r="M1330" s="5" t="str">
        <f ca="1">IFERROR(__xludf.DUMMYFUNCTION("""COMPUTED_VALUE"""),"Rent increased 34.6% from $5200 on 1/10/25 (same price listed in 10/24) to $7000 on 1/15/2025. This listing was also reported on the sheet on 1/14 with a screenshot of the rent being increased to $6500 on 1/11, but the listing no longer seems to reflect a"&amp;" change on that date. ")</f>
        <v xml:space="preserve">Rent increased 34.6% from $5200 on 1/10/25 (same price listed in 10/24) to $7000 on 1/15/2025. This listing was also reported on the sheet on 1/14 with a screenshot of the rent being increased to $6500 on 1/11, but the listing no longer seems to reflect a change on that date. </v>
      </c>
      <c r="N1330" s="5" t="str">
        <f ca="1">IFERROR(__xludf.DUMMYFUNCTION("""COMPUTED_VALUE"""),"https://drive.google.com/open?id=11SrfNw1Zqt-nBVlxLuwij30vAONFJ0pe, https://drive.google.com/open?id=12P_wl177BeOdwckFn0ZJnYsphCto8mb2")</f>
        <v>https://drive.google.com/open?id=11SrfNw1Zqt-nBVlxLuwij30vAONFJ0pe, https://drive.google.com/open?id=12P_wl177BeOdwckFn0ZJnYsphCto8mb2</v>
      </c>
      <c r="O1330" s="5">
        <f ca="1">IFERROR(__xludf.DUMMYFUNCTION("""COMPUTED_VALUE"""),8940435012)</f>
        <v>8940435012</v>
      </c>
      <c r="P1330" s="5" t="str">
        <f ca="1">IFERROR(__xludf.DUMMYFUNCTION("""COMPUTED_VALUE"""),"(310) 822-8910")</f>
        <v>(310) 822-8910</v>
      </c>
      <c r="Q1330" s="5"/>
      <c r="R1330" s="5"/>
      <c r="S1330" s="5"/>
      <c r="T1330" s="18">
        <f ca="1">IFERROR(__xludf.DUMMYFUNCTION("""COMPUTED_VALUE"""),45667)</f>
        <v>45667</v>
      </c>
    </row>
    <row r="1331" spans="1:20" ht="12.75">
      <c r="A1331" s="24">
        <f ca="1">IFERROR(__xludf.DUMMYFUNCTION("""COMPUTED_VALUE"""),45675.7081029398)</f>
        <v>45675.708102939803</v>
      </c>
      <c r="B1331" s="5" t="str">
        <f ca="1">IFERROR(__xludf.DUMMYFUNCTION("""COMPUTED_VALUE"""),"651 Westminster Ave APT 1")</f>
        <v>651 Westminster Ave APT 1</v>
      </c>
      <c r="C1331" s="5" t="str">
        <f ca="1">IFERROR(__xludf.DUMMYFUNCTION("""COMPUTED_VALUE"""),"Venice")</f>
        <v>Venice</v>
      </c>
      <c r="D1331" s="5" t="str">
        <f ca="1">IFERROR(__xludf.DUMMYFUNCTION("""COMPUTED_VALUE"""),"CA")</f>
        <v>CA</v>
      </c>
      <c r="E1331" s="5">
        <f ca="1">IFERROR(__xludf.DUMMYFUNCTION("""COMPUTED_VALUE"""),90291)</f>
        <v>90291</v>
      </c>
      <c r="F1331" s="19">
        <f ca="1">IFERROR(__xludf.DUMMYFUNCTION("""COMPUTED_VALUE"""),8500)</f>
        <v>8500</v>
      </c>
      <c r="G1331" s="19">
        <f ca="1">IFERROR(__xludf.DUMMYFUNCTION("""COMPUTED_VALUE"""),10500)</f>
        <v>10500</v>
      </c>
      <c r="H1331" s="18">
        <f ca="1">IFERROR(__xludf.DUMMYFUNCTION("""COMPUTED_VALUE"""),45675)</f>
        <v>45675</v>
      </c>
      <c r="I1331" s="5" t="str">
        <f ca="1">IFERROR(__xludf.DUMMYFUNCTION("""COMPUTED_VALUE"""),"Zillow")</f>
        <v>Zillow</v>
      </c>
      <c r="J1331" s="25" t="str">
        <f ca="1">IFERROR(__xludf.DUMMYFUNCTION("""COMPUTED_VALUE"""),"https://www.zillow.com/homedetails/651-Westminster-Ave-APT-1-Venice-CA-90291/20451042_zpid/")</f>
        <v>https://www.zillow.com/homedetails/651-Westminster-Ave-APT-1-Venice-CA-90291/20451042_zpid/</v>
      </c>
      <c r="K1331" s="5" t="str">
        <f ca="1">IFERROR(__xludf.DUMMYFUNCTION("""COMPUTED_VALUE"""),"Roger Perry, Rodeo Realty Inc. - Beverly Hills,  Management company")</f>
        <v>Roger Perry, Rodeo Realty Inc. - Beverly Hills,  Management company</v>
      </c>
      <c r="L1331" s="5"/>
      <c r="M1331" s="5" t="str">
        <f ca="1">IFERROR(__xludf.DUMMYFUNCTION("""COMPUTED_VALUE"""),"Furnished unit jumped 23.5% on 1/18/25 from its previous listing price in May 2024")</f>
        <v>Furnished unit jumped 23.5% on 1/18/25 from its previous listing price in May 2024</v>
      </c>
      <c r="N1331" s="5" t="str">
        <f ca="1">IFERROR(__xludf.DUMMYFUNCTION("""COMPUTED_VALUE"""),"https://drive.google.com/open?id=1ZjQQz6axYkDLorV6JpUJrRv4aoZzFwgD, https://drive.google.com/open?id=1pUk6wYgm4NRWSc5G0PI0iQMl90ROTb9R")</f>
        <v>https://drive.google.com/open?id=1ZjQQz6axYkDLorV6JpUJrRv4aoZzFwgD, https://drive.google.com/open?id=1pUk6wYgm4NRWSc5G0PI0iQMl90ROTb9R</v>
      </c>
      <c r="O1331" s="5">
        <f ca="1">IFERROR(__xludf.DUMMYFUNCTION("""COMPUTED_VALUE"""),4239019046)</f>
        <v>4239019046</v>
      </c>
      <c r="P1331" s="5" t="str">
        <f ca="1">IFERROR(__xludf.DUMMYFUNCTION("""COMPUTED_VALUE"""),"(310) 740-4029")</f>
        <v>(310) 740-4029</v>
      </c>
      <c r="Q1331" s="5"/>
      <c r="R1331" s="5"/>
      <c r="S1331" s="5"/>
      <c r="T1331" s="18">
        <f ca="1">IFERROR(__xludf.DUMMYFUNCTION("""COMPUTED_VALUE"""),45422)</f>
        <v>45422</v>
      </c>
    </row>
    <row r="1332" spans="1:20" ht="12.75">
      <c r="A1332" s="24">
        <f ca="1">IFERROR(__xludf.DUMMYFUNCTION("""COMPUTED_VALUE"""),45675.7143053472)</f>
        <v>45675.714305347203</v>
      </c>
      <c r="B1332" s="5" t="str">
        <f ca="1">IFERROR(__xludf.DUMMYFUNCTION("""COMPUTED_VALUE"""),"114 Pacific Ave")</f>
        <v>114 Pacific Ave</v>
      </c>
      <c r="C1332" s="5" t="str">
        <f ca="1">IFERROR(__xludf.DUMMYFUNCTION("""COMPUTED_VALUE"""),"Venice")</f>
        <v>Venice</v>
      </c>
      <c r="D1332" s="5" t="str">
        <f ca="1">IFERROR(__xludf.DUMMYFUNCTION("""COMPUTED_VALUE"""),"CA")</f>
        <v>CA</v>
      </c>
      <c r="E1332" s="5">
        <f ca="1">IFERROR(__xludf.DUMMYFUNCTION("""COMPUTED_VALUE"""),90291)</f>
        <v>90291</v>
      </c>
      <c r="F1332" s="19">
        <f ca="1">IFERROR(__xludf.DUMMYFUNCTION("""COMPUTED_VALUE"""),8995)</f>
        <v>8995</v>
      </c>
      <c r="G1332" s="19">
        <f ca="1">IFERROR(__xludf.DUMMYFUNCTION("""COMPUTED_VALUE"""),9984)</f>
        <v>9984</v>
      </c>
      <c r="H1332" s="18">
        <f ca="1">IFERROR(__xludf.DUMMYFUNCTION("""COMPUTED_VALUE"""),45675)</f>
        <v>45675</v>
      </c>
      <c r="I1332" s="5" t="str">
        <f ca="1">IFERROR(__xludf.DUMMYFUNCTION("""COMPUTED_VALUE"""),"Zillow")</f>
        <v>Zillow</v>
      </c>
      <c r="J1332" s="25" t="str">
        <f ca="1">IFERROR(__xludf.DUMMYFUNCTION("""COMPUTED_VALUE"""),"https://www.zillow.com/homedetails/114-Pacific-Ave-Venice-CA-90291/20482017_zpid/")</f>
        <v>https://www.zillow.com/homedetails/114-Pacific-Ave-Venice-CA-90291/20482017_zpid/</v>
      </c>
      <c r="K1332" s="5" t="str">
        <f ca="1">IFERROR(__xludf.DUMMYFUNCTION("""COMPUTED_VALUE"""),"Lee Tonks, Tonks Agency Inc")</f>
        <v>Lee Tonks, Tonks Agency Inc</v>
      </c>
      <c r="L1332" s="5"/>
      <c r="M1332" s="5" t="str">
        <f ca="1">IFERROR(__xludf.DUMMYFUNCTION("""COMPUTED_VALUE"""),"Price increased 11% on 1/18/25 from previous listing price on 10/5/24; Saw this property reported earlier on this spreadsheet with an even higher price increase, which doesn't appear to be reflected on the listing I'm sharing here. ")</f>
        <v xml:space="preserve">Price increased 11% on 1/18/25 from previous listing price on 10/5/24; Saw this property reported earlier on this spreadsheet with an even higher price increase, which doesn't appear to be reflected on the listing I'm sharing here. </v>
      </c>
      <c r="N1332" s="5" t="str">
        <f ca="1">IFERROR(__xludf.DUMMYFUNCTION("""COMPUTED_VALUE"""),"https://drive.google.com/open?id=19jt22XbtiiE2hov114Pay4ggtTWBZa7M, https://drive.google.com/open?id=15KciSsRy_HoCMPrkT53sc1yLKNSfqR6q")</f>
        <v>https://drive.google.com/open?id=19jt22XbtiiE2hov114Pay4ggtTWBZa7M, https://drive.google.com/open?id=15KciSsRy_HoCMPrkT53sc1yLKNSfqR6q</v>
      </c>
      <c r="O1332" s="5">
        <f ca="1">IFERROR(__xludf.DUMMYFUNCTION("""COMPUTED_VALUE"""),4286017023)</f>
        <v>4286017023</v>
      </c>
      <c r="P1332" s="5" t="str">
        <f ca="1">IFERROR(__xludf.DUMMYFUNCTION("""COMPUTED_VALUE"""),"(310) 980-3979")</f>
        <v>(310) 980-3979</v>
      </c>
      <c r="Q1332" s="5"/>
      <c r="R1332" s="5"/>
      <c r="S1332" s="5"/>
      <c r="T1332" s="18">
        <f ca="1">IFERROR(__xludf.DUMMYFUNCTION("""COMPUTED_VALUE"""),45570)</f>
        <v>45570</v>
      </c>
    </row>
    <row r="1333" spans="1:20" ht="12.75">
      <c r="A1333" s="24">
        <f ca="1">IFERROR(__xludf.DUMMYFUNCTION("""COMPUTED_VALUE"""),45675.722736655)</f>
        <v>45675.722736655</v>
      </c>
      <c r="B1333" s="5" t="str">
        <f ca="1">IFERROR(__xludf.DUMMYFUNCTION("""COMPUTED_VALUE"""),"4265 Marina City Dr")</f>
        <v>4265 Marina City Dr</v>
      </c>
      <c r="C1333" s="5" t="str">
        <f ca="1">IFERROR(__xludf.DUMMYFUNCTION("""COMPUTED_VALUE"""),"Marina Del Rey")</f>
        <v>Marina Del Rey</v>
      </c>
      <c r="D1333" s="5" t="str">
        <f ca="1">IFERROR(__xludf.DUMMYFUNCTION("""COMPUTED_VALUE"""),"CA")</f>
        <v>CA</v>
      </c>
      <c r="E1333" s="5">
        <f ca="1">IFERROR(__xludf.DUMMYFUNCTION("""COMPUTED_VALUE"""),90292)</f>
        <v>90292</v>
      </c>
      <c r="F1333" s="19">
        <f ca="1">IFERROR(__xludf.DUMMYFUNCTION("""COMPUTED_VALUE"""),4500)</f>
        <v>4500</v>
      </c>
      <c r="G1333" s="19">
        <f ca="1">IFERROR(__xludf.DUMMYFUNCTION("""COMPUTED_VALUE"""),6500)</f>
        <v>6500</v>
      </c>
      <c r="H1333" s="18">
        <f ca="1">IFERROR(__xludf.DUMMYFUNCTION("""COMPUTED_VALUE"""),45668)</f>
        <v>45668</v>
      </c>
      <c r="I1333" s="5" t="str">
        <f ca="1">IFERROR(__xludf.DUMMYFUNCTION("""COMPUTED_VALUE"""),"Zillow")</f>
        <v>Zillow</v>
      </c>
      <c r="J1333" s="25" t="str">
        <f ca="1">IFERROR(__xludf.DUMMYFUNCTION("""COMPUTED_VALUE"""),"https://www.zillow.com/homedetails/4265-Marina-City-Dr-Marina-Del-Rey-CA-90292/20442244_zpid/")</f>
        <v>https://www.zillow.com/homedetails/4265-Marina-City-Dr-Marina-Del-Rey-CA-90292/20442244_zpid/</v>
      </c>
      <c r="K1333" s="5"/>
      <c r="L1333" s="5" t="str">
        <f ca="1">IFERROR(__xludf.DUMMYFUNCTION("""COMPUTED_VALUE"""),"Marina")</f>
        <v>Marina</v>
      </c>
      <c r="M1333" s="5" t="str">
        <f ca="1">IFERROR(__xludf.DUMMYFUNCTION("""COMPUTED_VALUE"""),"Furnished unit listed as ""available now"" and appears to have been vacant at time of emergency declaration (was listed as for sale). New rental price on 1/11/2025 is 44.4% higher than last listed rental price on 6/25/24. ")</f>
        <v xml:space="preserve">Furnished unit listed as "available now" and appears to have been vacant at time of emergency declaration (was listed as for sale). New rental price on 1/11/2025 is 44.4% higher than last listed rental price on 6/25/24. </v>
      </c>
      <c r="N1333" s="5" t="str">
        <f ca="1">IFERROR(__xludf.DUMMYFUNCTION("""COMPUTED_VALUE"""),"https://drive.google.com/open?id=1kheEJrh-QvxF6mEs9niObNq1RpMwolW6, https://drive.google.com/open?id=17Uo9PD7CFxWVmQnt4i4iVgeNnQsIKeYo")</f>
        <v>https://drive.google.com/open?id=1kheEJrh-QvxF6mEs9niObNq1RpMwolW6, https://drive.google.com/open?id=17Uo9PD7CFxWVmQnt4i4iVgeNnQsIKeYo</v>
      </c>
      <c r="O1333" s="5">
        <f ca="1">IFERROR(__xludf.DUMMYFUNCTION("""COMPUTED_VALUE"""),4224006911)</f>
        <v>4224006911</v>
      </c>
      <c r="P1333" s="5"/>
      <c r="Q1333" s="5"/>
      <c r="R1333" s="5" t="str">
        <f ca="1">IFERROR(__xludf.DUMMYFUNCTION("""COMPUTED_VALUE"""),"(310) 994-9419 (number also listed for a Rose Ragalini listed at the same address)")</f>
        <v>(310) 994-9419 (number also listed for a Rose Ragalini listed at the same address)</v>
      </c>
      <c r="S1333" s="5"/>
      <c r="T1333" s="18">
        <f ca="1">IFERROR(__xludf.DUMMYFUNCTION("""COMPUTED_VALUE"""),45468)</f>
        <v>45468</v>
      </c>
    </row>
    <row r="1334" spans="1:20" ht="12.75">
      <c r="A1334" s="24">
        <f ca="1">IFERROR(__xludf.DUMMYFUNCTION("""COMPUTED_VALUE"""),45675.7355108333)</f>
        <v>45675.735510833299</v>
      </c>
      <c r="B1334" s="5" t="str">
        <f ca="1">IFERROR(__xludf.DUMMYFUNCTION("""COMPUTED_VALUE"""),"1123 11th St #5")</f>
        <v>1123 11th St #5</v>
      </c>
      <c r="C1334" s="5" t="str">
        <f ca="1">IFERROR(__xludf.DUMMYFUNCTION("""COMPUTED_VALUE"""),"Santa Monica")</f>
        <v>Santa Monica</v>
      </c>
      <c r="D1334" s="5" t="str">
        <f ca="1">IFERROR(__xludf.DUMMYFUNCTION("""COMPUTED_VALUE"""),"CA")</f>
        <v>CA</v>
      </c>
      <c r="E1334" s="5">
        <f ca="1">IFERROR(__xludf.DUMMYFUNCTION("""COMPUTED_VALUE"""),90403)</f>
        <v>90403</v>
      </c>
      <c r="F1334" s="19">
        <f ca="1">IFERROR(__xludf.DUMMYFUNCTION("""COMPUTED_VALUE"""),2400)</f>
        <v>2400</v>
      </c>
      <c r="G1334" s="19">
        <f ca="1">IFERROR(__xludf.DUMMYFUNCTION("""COMPUTED_VALUE"""),5500)</f>
        <v>5500</v>
      </c>
      <c r="H1334" s="18">
        <f ca="1">IFERROR(__xludf.DUMMYFUNCTION("""COMPUTED_VALUE"""),45674)</f>
        <v>45674</v>
      </c>
      <c r="I1334" s="5" t="str">
        <f ca="1">IFERROR(__xludf.DUMMYFUNCTION("""COMPUTED_VALUE"""),"Zillow")</f>
        <v>Zillow</v>
      </c>
      <c r="J1334" s="25" t="str">
        <f ca="1">IFERROR(__xludf.DUMMYFUNCTION("""COMPUTED_VALUE"""),"https://www.zillow.com/homedetails/Santa-Monica-CA-90403/20478774_zpid/")</f>
        <v>https://www.zillow.com/homedetails/Santa-Monica-CA-90403/20478774_zpid/</v>
      </c>
      <c r="K1334" s="5"/>
      <c r="L1334" s="5" t="str">
        <f ca="1">IFERROR(__xludf.DUMMYFUNCTION("""COMPUTED_VALUE"""),"Jennifer")</f>
        <v>Jennifer</v>
      </c>
      <c r="M1334" s="5" t="str">
        <f ca="1">IFERROR(__xludf.DUMMYFUNCTION("""COMPUTED_VALUE"""),"Furnished property is listed with ""(undisclosed address),"" but if you put the address/unit I've listed into Zillow, the listing comes up; rent has increased twice since emergency was declared -- once by 108.3% on 1/14,/25 and by an additional 10% on 1/1"&amp;"7/25 ")</f>
        <v xml:space="preserve">Furnished property is listed with "(undisclosed address)," but if you put the address/unit I've listed into Zillow, the listing comes up; rent has increased twice since emergency was declared -- once by 108.3% on 1/14,/25 and by an additional 10% on 1/17/25 </v>
      </c>
      <c r="N1334" s="5" t="str">
        <f ca="1">IFERROR(__xludf.DUMMYFUNCTION("""COMPUTED_VALUE"""),"https://drive.google.com/open?id=1cdD2fklN3LbqqxckngvUSsXVj3uyxdDn, https://drive.google.com/open?id=15arjQacoKsLPZx8eXDBbvCz90Tao80Ob")</f>
        <v>https://drive.google.com/open?id=1cdD2fklN3LbqqxckngvUSsXVj3uyxdDn, https://drive.google.com/open?id=15arjQacoKsLPZx8eXDBbvCz90Tao80Ob</v>
      </c>
      <c r="O1334" s="5" t="str">
        <f ca="1">IFERROR(__xludf.DUMMYFUNCTION("""COMPUTED_VALUE"""),"NA")</f>
        <v>NA</v>
      </c>
      <c r="P1334" s="5"/>
      <c r="Q1334" s="5"/>
      <c r="R1334" s="5" t="str">
        <f ca="1">IFERROR(__xludf.DUMMYFUNCTION("""COMPUTED_VALUE"""),"(310) 415-6320")</f>
        <v>(310) 415-6320</v>
      </c>
      <c r="S1334" s="5"/>
      <c r="T1334" s="18">
        <f ca="1">IFERROR(__xludf.DUMMYFUNCTION("""COMPUTED_VALUE"""),45450)</f>
        <v>45450</v>
      </c>
    </row>
    <row r="1335" spans="1:20" ht="12.75">
      <c r="A1335" s="24">
        <f ca="1">IFERROR(__xludf.DUMMYFUNCTION("""COMPUTED_VALUE"""),45675.7421260648)</f>
        <v>45675.742126064797</v>
      </c>
      <c r="B1335" s="5" t="str">
        <f ca="1">IFERROR(__xludf.DUMMYFUNCTION("""COMPUTED_VALUE"""),"818 7th St APT 1")</f>
        <v>818 7th St APT 1</v>
      </c>
      <c r="C1335" s="5" t="str">
        <f ca="1">IFERROR(__xludf.DUMMYFUNCTION("""COMPUTED_VALUE"""),"Santa Monica")</f>
        <v>Santa Monica</v>
      </c>
      <c r="D1335" s="5" t="str">
        <f ca="1">IFERROR(__xludf.DUMMYFUNCTION("""COMPUTED_VALUE"""),"CA")</f>
        <v>CA</v>
      </c>
      <c r="E1335" s="5">
        <f ca="1">IFERROR(__xludf.DUMMYFUNCTION("""COMPUTED_VALUE"""),90403)</f>
        <v>90403</v>
      </c>
      <c r="F1335" s="19">
        <f ca="1">IFERROR(__xludf.DUMMYFUNCTION("""COMPUTED_VALUE"""),3895)</f>
        <v>3895</v>
      </c>
      <c r="G1335" s="19">
        <f ca="1">IFERROR(__xludf.DUMMYFUNCTION("""COMPUTED_VALUE"""),4500)</f>
        <v>4500</v>
      </c>
      <c r="H1335" s="18">
        <f ca="1">IFERROR(__xludf.DUMMYFUNCTION("""COMPUTED_VALUE"""),45669)</f>
        <v>45669</v>
      </c>
      <c r="I1335" s="5" t="str">
        <f ca="1">IFERROR(__xludf.DUMMYFUNCTION("""COMPUTED_VALUE"""),"Zillow")</f>
        <v>Zillow</v>
      </c>
      <c r="J1335" s="25" t="str">
        <f ca="1">IFERROR(__xludf.DUMMYFUNCTION("""COMPUTED_VALUE"""),"https://www.zillow.com/homedetails/818-7th-St-APT-1-Santa-Monica-CA-90403/2080795373_zpid/")</f>
        <v>https://www.zillow.com/homedetails/818-7th-St-APT-1-Santa-Monica-CA-90403/2080795373_zpid/</v>
      </c>
      <c r="K1335" s="5" t="str">
        <f ca="1">IFERROR(__xludf.DUMMYFUNCTION("""COMPUTED_VALUE"""),"Mary Cronin, URBAN Living Real Estate,  Management company")</f>
        <v>Mary Cronin, URBAN Living Real Estate,  Management company</v>
      </c>
      <c r="L1335" s="5"/>
      <c r="M1335" s="5" t="str">
        <f ca="1">IFERROR(__xludf.DUMMYFUNCTION("""COMPUTED_VALUE"""),"Price increased by 15.5% on 1/12/2025 from previous rent listed on 4/14/2024")</f>
        <v>Price increased by 15.5% on 1/12/2025 from previous rent listed on 4/14/2024</v>
      </c>
      <c r="N1335" s="5" t="str">
        <f ca="1">IFERROR(__xludf.DUMMYFUNCTION("""COMPUTED_VALUE"""),"https://drive.google.com/open?id=14mespEBO8eVl--o7rf95jy5MDCJZ5kE6, https://drive.google.com/open?id=1A9lkEQhSRclmdSyRHUA8VCZa43SH8OvZ")</f>
        <v>https://drive.google.com/open?id=14mespEBO8eVl--o7rf95jy5MDCJZ5kE6, https://drive.google.com/open?id=1A9lkEQhSRclmdSyRHUA8VCZa43SH8OvZ</v>
      </c>
      <c r="O1335" s="5" t="str">
        <f ca="1">IFERROR(__xludf.DUMMYFUNCTION("""COMPUTED_VALUE"""),"NA")</f>
        <v>NA</v>
      </c>
      <c r="P1335" s="5" t="str">
        <f ca="1">IFERROR(__xludf.DUMMYFUNCTION("""COMPUTED_VALUE"""),"(213) 463-6577")</f>
        <v>(213) 463-6577</v>
      </c>
      <c r="Q1335" s="5"/>
      <c r="R1335" s="5"/>
      <c r="S1335" s="5"/>
      <c r="T1335" s="18">
        <f ca="1">IFERROR(__xludf.DUMMYFUNCTION("""COMPUTED_VALUE"""),45396)</f>
        <v>45396</v>
      </c>
    </row>
    <row r="1336" spans="1:20" ht="12.75">
      <c r="A1336" s="24">
        <f ca="1">IFERROR(__xludf.DUMMYFUNCTION("""COMPUTED_VALUE"""),45675.7555146759)</f>
        <v>45675.755514675897</v>
      </c>
      <c r="B1336" s="5" t="str">
        <f ca="1">IFERROR(__xludf.DUMMYFUNCTION("""COMPUTED_VALUE"""),"4631 Westchester Dr")</f>
        <v>4631 Westchester Dr</v>
      </c>
      <c r="C1336" s="5" t="str">
        <f ca="1">IFERROR(__xludf.DUMMYFUNCTION("""COMPUTED_VALUE"""),"Woodland Hills")</f>
        <v>Woodland Hills</v>
      </c>
      <c r="D1336" s="5" t="str">
        <f ca="1">IFERROR(__xludf.DUMMYFUNCTION("""COMPUTED_VALUE"""),"CA")</f>
        <v>CA</v>
      </c>
      <c r="E1336" s="5">
        <f ca="1">IFERROR(__xludf.DUMMYFUNCTION("""COMPUTED_VALUE"""),91364)</f>
        <v>91364</v>
      </c>
      <c r="F1336" s="19">
        <f ca="1">IFERROR(__xludf.DUMMYFUNCTION("""COMPUTED_VALUE"""),13990)</f>
        <v>13990</v>
      </c>
      <c r="G1336" s="19">
        <f ca="1">IFERROR(__xludf.DUMMYFUNCTION("""COMPUTED_VALUE"""),15990)</f>
        <v>15990</v>
      </c>
      <c r="H1336" s="18">
        <f ca="1">IFERROR(__xludf.DUMMYFUNCTION("""COMPUTED_VALUE"""),45667)</f>
        <v>45667</v>
      </c>
      <c r="I1336" s="5" t="str">
        <f ca="1">IFERROR(__xludf.DUMMYFUNCTION("""COMPUTED_VALUE"""),"Zillow")</f>
        <v>Zillow</v>
      </c>
      <c r="J1336" s="25" t="str">
        <f ca="1">IFERROR(__xludf.DUMMYFUNCTION("""COMPUTED_VALUE"""),"https://www.zillow.com/homedetails/4631-Westchester-Dr-Woodland-Hills-CA-91364/19945923_zpid/")</f>
        <v>https://www.zillow.com/homedetails/4631-Westchester-Dr-Woodland-Hills-CA-91364/19945923_zpid/</v>
      </c>
      <c r="K1336" s="5" t="str">
        <f ca="1">IFERROR(__xludf.DUMMYFUNCTION("""COMPUTED_VALUE"""),"Real Property Management South San Fernando Valley")</f>
        <v>Real Property Management South San Fernando Valley</v>
      </c>
      <c r="L1336" s="5"/>
      <c r="M1336" s="5"/>
      <c r="N1336" s="26" t="str">
        <f ca="1">IFERROR(__xludf.DUMMYFUNCTION("""COMPUTED_VALUE"""),"https://drive.google.com/open?id=1mAHaKxEJKeRJiskvMKTVZb26racobUde")</f>
        <v>https://drive.google.com/open?id=1mAHaKxEJKeRJiskvMKTVZb26racobUde</v>
      </c>
      <c r="O1336" s="5" t="str">
        <f ca="1">IFERROR(__xludf.DUMMYFUNCTION("""COMPUTED_VALUE"""),"NA")</f>
        <v>NA</v>
      </c>
      <c r="P1336" s="5" t="str">
        <f ca="1">IFERROR(__xludf.DUMMYFUNCTION("""COMPUTED_VALUE"""),"(818) 464-4630")</f>
        <v>(818) 464-4630</v>
      </c>
      <c r="Q1336" s="5"/>
      <c r="R1336" s="5"/>
      <c r="S1336" s="5"/>
      <c r="T1336" s="18">
        <f ca="1">IFERROR(__xludf.DUMMYFUNCTION("""COMPUTED_VALUE"""),45468)</f>
        <v>45468</v>
      </c>
    </row>
    <row r="1337" spans="1:20" ht="12.75">
      <c r="A1337" s="24">
        <f ca="1">IFERROR(__xludf.DUMMYFUNCTION("""COMPUTED_VALUE"""),45675.7577003935)</f>
        <v>45675.7577003935</v>
      </c>
      <c r="B1337" s="5" t="str">
        <f ca="1">IFERROR(__xludf.DUMMYFUNCTION("""COMPUTED_VALUE"""),"4707 Libbit Avenue")</f>
        <v>4707 Libbit Avenue</v>
      </c>
      <c r="C1337" s="5" t="str">
        <f ca="1">IFERROR(__xludf.DUMMYFUNCTION("""COMPUTED_VALUE"""),"Encino")</f>
        <v>Encino</v>
      </c>
      <c r="D1337" s="5" t="str">
        <f ca="1">IFERROR(__xludf.DUMMYFUNCTION("""COMPUTED_VALUE"""),"CA")</f>
        <v>CA</v>
      </c>
      <c r="E1337" s="5">
        <f ca="1">IFERROR(__xludf.DUMMYFUNCTION("""COMPUTED_VALUE"""),91436)</f>
        <v>91436</v>
      </c>
      <c r="F1337" s="19">
        <f ca="1">IFERROR(__xludf.DUMMYFUNCTION("""COMPUTED_VALUE"""),20000)</f>
        <v>20000</v>
      </c>
      <c r="G1337" s="19">
        <f ca="1">IFERROR(__xludf.DUMMYFUNCTION("""COMPUTED_VALUE"""),32000)</f>
        <v>32000</v>
      </c>
      <c r="H1337" s="18">
        <f ca="1">IFERROR(__xludf.DUMMYFUNCTION("""COMPUTED_VALUE"""),45674)</f>
        <v>45674</v>
      </c>
      <c r="I1337" s="5" t="str">
        <f ca="1">IFERROR(__xludf.DUMMYFUNCTION("""COMPUTED_VALUE"""),"Zillow")</f>
        <v>Zillow</v>
      </c>
      <c r="J1337" s="25" t="str">
        <f ca="1">IFERROR(__xludf.DUMMYFUNCTION("""COMPUTED_VALUE"""),"https://www.zillow.com/homedetails/4707-Libbit-Ave-Encino-CA-91436/19991540_zpid/?utm_campaign=iosappmessage&amp;utm_medium=referral&amp;utm_source=txtshare")</f>
        <v>https://www.zillow.com/homedetails/4707-Libbit-Ave-Encino-CA-91436/19991540_zpid/?utm_campaign=iosappmessage&amp;utm_medium=referral&amp;utm_source=txtshare</v>
      </c>
      <c r="K1337" s="5" t="str">
        <f ca="1">IFERROR(__xludf.DUMMYFUNCTION("""COMPUTED_VALUE"""),"Allen Dahan")</f>
        <v>Allen Dahan</v>
      </c>
      <c r="L1337" s="5" t="str">
        <f ca="1">IFERROR(__xludf.DUMMYFUNCTION("""COMPUTED_VALUE"""),"Allen Dahan")</f>
        <v>Allen Dahan</v>
      </c>
      <c r="M1337" s="5" t="str">
        <f ca="1">IFERROR(__xludf.DUMMYFUNCTION("""COMPUTED_VALUE"""),"Consistently renting $20,000 for last 3 years")</f>
        <v>Consistently renting $20,000 for last 3 years</v>
      </c>
      <c r="N1337" s="5" t="str">
        <f ca="1">IFERROR(__xludf.DUMMYFUNCTION("""COMPUTED_VALUE"""),"https://drive.google.com/open?id=1ZP49FMU_PjY8f0BJBdEKyk6G4_R4fBxk, https://drive.google.com/open?id=1FpdCJzyCjVQwe-0wXXut5M-flTtv2jcE, https://drive.google.com/open?id=1ws8cZ6Y09xoUX-y91PPwZR4tetZXZGBr")</f>
        <v>https://drive.google.com/open?id=1ZP49FMU_PjY8f0BJBdEKyk6G4_R4fBxk, https://drive.google.com/open?id=1FpdCJzyCjVQwe-0wXXut5M-flTtv2jcE, https://drive.google.com/open?id=1ws8cZ6Y09xoUX-y91PPwZR4tetZXZGBr</v>
      </c>
      <c r="O1337" s="5">
        <f ca="1">IFERROR(__xludf.DUMMYFUNCTION("""COMPUTED_VALUE"""),2284001021)</f>
        <v>2284001021</v>
      </c>
      <c r="P1337" s="5" t="str">
        <f ca="1">IFERROR(__xludf.DUMMYFUNCTION("""COMPUTED_VALUE"""),"323-747-7705")</f>
        <v>323-747-7705</v>
      </c>
      <c r="Q1337" s="5"/>
      <c r="R1337" s="5">
        <f ca="1">IFERROR(__xludf.DUMMYFUNCTION("""COMPUTED_VALUE"""),3237477705)</f>
        <v>3237477705</v>
      </c>
      <c r="S1337" s="5"/>
      <c r="T1337" s="18">
        <f ca="1">IFERROR(__xludf.DUMMYFUNCTION("""COMPUTED_VALUE"""),45343)</f>
        <v>45343</v>
      </c>
    </row>
    <row r="1338" spans="1:20" ht="12.75">
      <c r="A1338" s="24">
        <f ca="1">IFERROR(__xludf.DUMMYFUNCTION("""COMPUTED_VALUE"""),45675.7679239467)</f>
        <v>45675.767923946703</v>
      </c>
      <c r="B1338" s="5" t="str">
        <f ca="1">IFERROR(__xludf.DUMMYFUNCTION("""COMPUTED_VALUE"""),"902 Manzanita St")</f>
        <v>902 Manzanita St</v>
      </c>
      <c r="C1338" s="5" t="str">
        <f ca="1">IFERROR(__xludf.DUMMYFUNCTION("""COMPUTED_VALUE"""),"Los Angeles")</f>
        <v>Los Angeles</v>
      </c>
      <c r="D1338" s="5" t="str">
        <f ca="1">IFERROR(__xludf.DUMMYFUNCTION("""COMPUTED_VALUE"""),"CA")</f>
        <v>CA</v>
      </c>
      <c r="E1338" s="5">
        <f ca="1">IFERROR(__xludf.DUMMYFUNCTION("""COMPUTED_VALUE"""),90029)</f>
        <v>90029</v>
      </c>
      <c r="F1338" s="19">
        <f ca="1">IFERROR(__xludf.DUMMYFUNCTION("""COMPUTED_VALUE"""),2280)</f>
        <v>2280</v>
      </c>
      <c r="G1338" s="19">
        <f ca="1">IFERROR(__xludf.DUMMYFUNCTION("""COMPUTED_VALUE"""),2800)</f>
        <v>2800</v>
      </c>
      <c r="H1338" s="18">
        <f ca="1">IFERROR(__xludf.DUMMYFUNCTION("""COMPUTED_VALUE"""),45674)</f>
        <v>45674</v>
      </c>
      <c r="I1338" s="5" t="str">
        <f ca="1">IFERROR(__xludf.DUMMYFUNCTION("""COMPUTED_VALUE"""),"Zillow")</f>
        <v>Zillow</v>
      </c>
      <c r="J1338" s="25" t="str">
        <f ca="1">IFERROR(__xludf.DUMMYFUNCTION("""COMPUTED_VALUE"""),"https://www.zillow.com/homedetails/902-Manzanita-St-Los-Angeles-CA-90029/2066630147_zpid/")</f>
        <v>https://www.zillow.com/homedetails/902-Manzanita-St-Los-Angeles-CA-90029/2066630147_zpid/</v>
      </c>
      <c r="K1338" s="5" t="str">
        <f ca="1">IFERROR(__xludf.DUMMYFUNCTION("""COMPUTED_VALUE"""),"Angela ")</f>
        <v xml:space="preserve">Angela </v>
      </c>
      <c r="L1338" s="5"/>
      <c r="M1338" s="5" t="str">
        <f ca="1">IFERROR(__xludf.DUMMYFUNCTION("""COMPUTED_VALUE"""),"Furnished unit w/flexible duration. Price jumped 22.8% on 1/17/25 from previous price listed on 2/215/24. ")</f>
        <v xml:space="preserve">Furnished unit w/flexible duration. Price jumped 22.8% on 1/17/25 from previous price listed on 2/215/24. </v>
      </c>
      <c r="N1338" s="5" t="str">
        <f ca="1">IFERROR(__xludf.DUMMYFUNCTION("""COMPUTED_VALUE"""),"https://drive.google.com/open?id=1eCaVGNJTis5y2pcTsg6OhGtsgA9nDytc, https://drive.google.com/open?id=1QncMoo1Mhbinm0mfVj-3-SLBsO-nyTVV")</f>
        <v>https://drive.google.com/open?id=1eCaVGNJTis5y2pcTsg6OhGtsgA9nDytc, https://drive.google.com/open?id=1QncMoo1Mhbinm0mfVj-3-SLBsO-nyTVV</v>
      </c>
      <c r="O1338" s="5" t="str">
        <f ca="1">IFERROR(__xludf.DUMMYFUNCTION("""COMPUTED_VALUE"""),"NA")</f>
        <v>NA</v>
      </c>
      <c r="P1338" s="5" t="str">
        <f ca="1">IFERROR(__xludf.DUMMYFUNCTION("""COMPUTED_VALUE"""),"(310) 600-3417")</f>
        <v>(310) 600-3417</v>
      </c>
      <c r="Q1338" s="5"/>
      <c r="R1338" s="5"/>
      <c r="S1338" s="5"/>
      <c r="T1338" s="18">
        <f ca="1">IFERROR(__xludf.DUMMYFUNCTION("""COMPUTED_VALUE"""),45337)</f>
        <v>45337</v>
      </c>
    </row>
    <row r="1339" spans="1:20" ht="12.75">
      <c r="A1339" s="24">
        <f ca="1">IFERROR(__xludf.DUMMYFUNCTION("""COMPUTED_VALUE"""),45675.7812904861)</f>
        <v>45675.781290486098</v>
      </c>
      <c r="B1339" s="5" t="str">
        <f ca="1">IFERROR(__xludf.DUMMYFUNCTION("""COMPUTED_VALUE"""),"8737 Rosewood Ave #101, West Hollywood, CA 90048")</f>
        <v>8737 Rosewood Ave #101, West Hollywood, CA 90048</v>
      </c>
      <c r="C1339" s="5" t="str">
        <f ca="1">IFERROR(__xludf.DUMMYFUNCTION("""COMPUTED_VALUE"""),"Los Angeles")</f>
        <v>Los Angeles</v>
      </c>
      <c r="D1339" s="5" t="str">
        <f ca="1">IFERROR(__xludf.DUMMYFUNCTION("""COMPUTED_VALUE"""),"CA")</f>
        <v>CA</v>
      </c>
      <c r="E1339" s="5">
        <f ca="1">IFERROR(__xludf.DUMMYFUNCTION("""COMPUTED_VALUE"""),90048)</f>
        <v>90048</v>
      </c>
      <c r="F1339" s="19">
        <f ca="1">IFERROR(__xludf.DUMMYFUNCTION("""COMPUTED_VALUE"""),7350)</f>
        <v>7350</v>
      </c>
      <c r="G1339" s="19">
        <f ca="1">IFERROR(__xludf.DUMMYFUNCTION("""COMPUTED_VALUE"""),8500)</f>
        <v>8500</v>
      </c>
      <c r="H1339" s="18">
        <f ca="1">IFERROR(__xludf.DUMMYFUNCTION("""COMPUTED_VALUE"""),45685)</f>
        <v>45685</v>
      </c>
      <c r="I1339" s="5" t="str">
        <f ca="1">IFERROR(__xludf.DUMMYFUNCTION("""COMPUTED_VALUE"""),"Zillow")</f>
        <v>Zillow</v>
      </c>
      <c r="J1339" s="25" t="str">
        <f ca="1">IFERROR(__xludf.DUMMYFUNCTION("""COMPUTED_VALUE"""),"https://www.zillow.com/homedetails/8737-Rosewood-Ave-101-West-Hollywood-CA-90048/20516261_zpid/")</f>
        <v>https://www.zillow.com/homedetails/8737-Rosewood-Ave-101-West-Hollywood-CA-90048/20516261_zpid/</v>
      </c>
      <c r="K1339" s="5"/>
      <c r="L1339" s="5" t="str">
        <f ca="1">IFERROR(__xludf.DUMMYFUNCTION("""COMPUTED_VALUE"""),"Jordan Rubinstein")</f>
        <v>Jordan Rubinstein</v>
      </c>
      <c r="M1339" s="5"/>
      <c r="N1339" s="26" t="str">
        <f ca="1">IFERROR(__xludf.DUMMYFUNCTION("""COMPUTED_VALUE"""),"https://drive.google.com/open?id=11kpx7kjglhipvGhzlsiTv20uAneyCeCF")</f>
        <v>https://drive.google.com/open?id=11kpx7kjglhipvGhzlsiTv20uAneyCeCF</v>
      </c>
      <c r="O1339" s="5">
        <f ca="1">IFERROR(__xludf.DUMMYFUNCTION("""COMPUTED_VALUE"""),4336003034)</f>
        <v>4336003034</v>
      </c>
      <c r="P1339" s="5" t="str">
        <f ca="1">IFERROR(__xludf.DUMMYFUNCTION("""COMPUTED_VALUE"""),"(310) 745-7660")</f>
        <v>(310) 745-7660</v>
      </c>
      <c r="Q1339" s="5" t="str">
        <f ca="1">IFERROR(__xludf.DUMMYFUNCTION("""COMPUTED_VALUE"""),"info@centuryparkre.com")</f>
        <v>info@centuryparkre.com</v>
      </c>
      <c r="R1339" s="5" t="str">
        <f ca="1">IFERROR(__xludf.DUMMYFUNCTION("""COMPUTED_VALUE"""),"(310) 745-7660")</f>
        <v>(310) 745-7660</v>
      </c>
      <c r="S1339" s="5" t="str">
        <f ca="1">IFERROR(__xludf.DUMMYFUNCTION("""COMPUTED_VALUE"""),"info@centuryparkre.com")</f>
        <v>info@centuryparkre.com</v>
      </c>
      <c r="T1339" s="18">
        <f ca="1">IFERROR(__xludf.DUMMYFUNCTION("""COMPUTED_VALUE"""),43355)</f>
        <v>43355</v>
      </c>
    </row>
    <row r="1340" spans="1:20" ht="12.75">
      <c r="A1340" s="24">
        <f ca="1">IFERROR(__xludf.DUMMYFUNCTION("""COMPUTED_VALUE"""),45675.7867220833)</f>
        <v>45675.7867220833</v>
      </c>
      <c r="B1340" s="5" t="str">
        <f ca="1">IFERROR(__xludf.DUMMYFUNCTION("""COMPUTED_VALUE"""),"1029 N Vista St APT 102, West Hollywood, CA")</f>
        <v>1029 N Vista St APT 102, West Hollywood, CA</v>
      </c>
      <c r="C1340" s="5" t="str">
        <f ca="1">IFERROR(__xludf.DUMMYFUNCTION("""COMPUTED_VALUE"""),"Los Angeles")</f>
        <v>Los Angeles</v>
      </c>
      <c r="D1340" s="5" t="str">
        <f ca="1">IFERROR(__xludf.DUMMYFUNCTION("""COMPUTED_VALUE"""),"CA")</f>
        <v>CA</v>
      </c>
      <c r="E1340" s="5">
        <f ca="1">IFERROR(__xludf.DUMMYFUNCTION("""COMPUTED_VALUE"""),90046)</f>
        <v>90046</v>
      </c>
      <c r="F1340" s="19">
        <f ca="1">IFERROR(__xludf.DUMMYFUNCTION("""COMPUTED_VALUE"""),5450)</f>
        <v>5450</v>
      </c>
      <c r="G1340" s="19">
        <f ca="1">IFERROR(__xludf.DUMMYFUNCTION("""COMPUTED_VALUE"""),8500)</f>
        <v>8500</v>
      </c>
      <c r="H1340" s="18">
        <f ca="1">IFERROR(__xludf.DUMMYFUNCTION("""COMPUTED_VALUE"""),45674)</f>
        <v>45674</v>
      </c>
      <c r="I1340" s="5" t="str">
        <f ca="1">IFERROR(__xludf.DUMMYFUNCTION("""COMPUTED_VALUE"""),"Zillow")</f>
        <v>Zillow</v>
      </c>
      <c r="J1340" s="25" t="str">
        <f ca="1">IFERROR(__xludf.DUMMYFUNCTION("""COMPUTED_VALUE"""),"https://www.zillow.com/homedetails/1029-N-Vista-St-APT-102-West-Hollywood-CA-90046/87792989_zpid/")</f>
        <v>https://www.zillow.com/homedetails/1029-N-Vista-St-APT-102-West-Hollywood-CA-90046/87792989_zpid/</v>
      </c>
      <c r="K1340" s="5" t="str">
        <f ca="1">IFERROR(__xludf.DUMMYFUNCTION("""COMPUTED_VALUE"""),"Teena Anderson")</f>
        <v>Teena Anderson</v>
      </c>
      <c r="L1340" s="5"/>
      <c r="M1340" s="5"/>
      <c r="N1340" s="26" t="str">
        <f ca="1">IFERROR(__xludf.DUMMYFUNCTION("""COMPUTED_VALUE"""),"https://drive.google.com/open?id=1M5LpjsMAueozU-N5iFsN8d2T06NPynea")</f>
        <v>https://drive.google.com/open?id=1M5LpjsMAueozU-N5iFsN8d2T06NPynea</v>
      </c>
      <c r="O1340" s="5">
        <f ca="1">IFERROR(__xludf.DUMMYFUNCTION("""COMPUTED_VALUE"""),5531023070)</f>
        <v>5531023070</v>
      </c>
      <c r="P1340" s="5" t="str">
        <f ca="1">IFERROR(__xludf.DUMMYFUNCTION("""COMPUTED_VALUE"""),"(310) 499-3785")</f>
        <v>(310) 499-3785</v>
      </c>
      <c r="Q1340" s="5" t="str">
        <f ca="1">IFERROR(__xludf.DUMMYFUNCTION("""COMPUTED_VALUE"""),"teena@bhbarealestate.com")</f>
        <v>teena@bhbarealestate.com</v>
      </c>
      <c r="R1340" s="5" t="str">
        <f ca="1">IFERROR(__xludf.DUMMYFUNCTION("""COMPUTED_VALUE"""),"(310) 499-3785")</f>
        <v>(310) 499-3785</v>
      </c>
      <c r="S1340" s="5" t="str">
        <f ca="1">IFERROR(__xludf.DUMMYFUNCTION("""COMPUTED_VALUE"""),"teena@bhbarealestate.com")</f>
        <v>teena@bhbarealestate.com</v>
      </c>
      <c r="T1340" s="18">
        <f ca="1">IFERROR(__xludf.DUMMYFUNCTION("""COMPUTED_VALUE"""),44173)</f>
        <v>44173</v>
      </c>
    </row>
    <row r="1341" spans="1:20" ht="12.75">
      <c r="A1341" s="24">
        <f ca="1">IFERROR(__xludf.DUMMYFUNCTION("""COMPUTED_VALUE"""),45675.7957310532)</f>
        <v>45675.7957310532</v>
      </c>
      <c r="B1341" s="5" t="str">
        <f ca="1">IFERROR(__xludf.DUMMYFUNCTION("""COMPUTED_VALUE"""),"4707 Libbit Ave, Encino, CA 91436")</f>
        <v>4707 Libbit Ave, Encino, CA 91436</v>
      </c>
      <c r="C1341" s="5" t="str">
        <f ca="1">IFERROR(__xludf.DUMMYFUNCTION("""COMPUTED_VALUE"""),"Encino")</f>
        <v>Encino</v>
      </c>
      <c r="D1341" s="5" t="str">
        <f ca="1">IFERROR(__xludf.DUMMYFUNCTION("""COMPUTED_VALUE"""),"CA")</f>
        <v>CA</v>
      </c>
      <c r="E1341" s="5">
        <f ca="1">IFERROR(__xludf.DUMMYFUNCTION("""COMPUTED_VALUE"""),91436)</f>
        <v>91436</v>
      </c>
      <c r="F1341" s="19">
        <f ca="1">IFERROR(__xludf.DUMMYFUNCTION("""COMPUTED_VALUE"""),20000)</f>
        <v>20000</v>
      </c>
      <c r="G1341" s="19">
        <f ca="1">IFERROR(__xludf.DUMMYFUNCTION("""COMPUTED_VALUE"""),32000)</f>
        <v>32000</v>
      </c>
      <c r="H1341" s="18">
        <f ca="1">IFERROR(__xludf.DUMMYFUNCTION("""COMPUTED_VALUE"""),45674)</f>
        <v>45674</v>
      </c>
      <c r="I1341" s="5" t="str">
        <f ca="1">IFERROR(__xludf.DUMMYFUNCTION("""COMPUTED_VALUE"""),"Zillow")</f>
        <v>Zillow</v>
      </c>
      <c r="J1341" s="25" t="str">
        <f ca="1">IFERROR(__xludf.DUMMYFUNCTION("""COMPUTED_VALUE"""),"https://www.zillow.com/homedetails/4707-Libbit-Ave-Encino-CA-91436/19991540_zpid/")</f>
        <v>https://www.zillow.com/homedetails/4707-Libbit-Ave-Encino-CA-91436/19991540_zpid/</v>
      </c>
      <c r="K1341" s="5" t="str">
        <f ca="1">IFERROR(__xludf.DUMMYFUNCTION("""COMPUTED_VALUE"""),"N/A")</f>
        <v>N/A</v>
      </c>
      <c r="L1341" s="5" t="str">
        <f ca="1">IFERROR(__xludf.DUMMYFUNCTION("""COMPUTED_VALUE"""),"Allen DAHAN")</f>
        <v>Allen DAHAN</v>
      </c>
      <c r="M1341" s="5" t="str">
        <f ca="1">IFERROR(__xludf.DUMMYFUNCTION("""COMPUTED_VALUE"""),"Back in 2022 house was listed for $27,000 in 2022 than decreased 25.9% in 2022. Then increased 60% since 4/18/24.")</f>
        <v>Back in 2022 house was listed for $27,000 in 2022 than decreased 25.9% in 2022. Then increased 60% since 4/18/24.</v>
      </c>
      <c r="N1341" s="26" t="str">
        <f ca="1">IFERROR(__xludf.DUMMYFUNCTION("""COMPUTED_VALUE"""),"https://drive.google.com/open?id=14QGdTp41R5gUXFZRqelM6kz6jzhmWiLq")</f>
        <v>https://drive.google.com/open?id=14QGdTp41R5gUXFZRqelM6kz6jzhmWiLq</v>
      </c>
      <c r="O1341" s="5">
        <f ca="1">IFERROR(__xludf.DUMMYFUNCTION("""COMPUTED_VALUE"""),2284001021)</f>
        <v>2284001021</v>
      </c>
      <c r="P1341" s="5" t="str">
        <f ca="1">IFERROR(__xludf.DUMMYFUNCTION("""COMPUTED_VALUE"""),"N/A")</f>
        <v>N/A</v>
      </c>
      <c r="Q1341" s="5"/>
      <c r="R1341" s="5" t="str">
        <f ca="1">IFERROR(__xludf.DUMMYFUNCTION("""COMPUTED_VALUE"""),"(323) 747-7705")</f>
        <v>(323) 747-7705</v>
      </c>
      <c r="S1341" s="5"/>
      <c r="T1341" s="18">
        <f ca="1">IFERROR(__xludf.DUMMYFUNCTION("""COMPUTED_VALUE"""),45343)</f>
        <v>45343</v>
      </c>
    </row>
    <row r="1342" spans="1:20" ht="12.75">
      <c r="A1342" s="24">
        <f ca="1">IFERROR(__xludf.DUMMYFUNCTION("""COMPUTED_VALUE"""),45675.8328777199)</f>
        <v>45675.832877719899</v>
      </c>
      <c r="B1342" s="5" t="str">
        <f ca="1">IFERROR(__xludf.DUMMYFUNCTION("""COMPUTED_VALUE"""),"2330 28th St - Apt B")</f>
        <v>2330 28th St - Apt B</v>
      </c>
      <c r="C1342" s="5" t="str">
        <f ca="1">IFERROR(__xludf.DUMMYFUNCTION("""COMPUTED_VALUE"""),"Santa Monica")</f>
        <v>Santa Monica</v>
      </c>
      <c r="D1342" s="5" t="str">
        <f ca="1">IFERROR(__xludf.DUMMYFUNCTION("""COMPUTED_VALUE"""),"CA")</f>
        <v>CA</v>
      </c>
      <c r="E1342" s="5">
        <f ca="1">IFERROR(__xludf.DUMMYFUNCTION("""COMPUTED_VALUE"""),90405)</f>
        <v>90405</v>
      </c>
      <c r="F1342" s="19">
        <f ca="1">IFERROR(__xludf.DUMMYFUNCTION("""COMPUTED_VALUE"""),2395)</f>
        <v>2395</v>
      </c>
      <c r="G1342" s="19">
        <f ca="1">IFERROR(__xludf.DUMMYFUNCTION("""COMPUTED_VALUE"""),2650)</f>
        <v>2650</v>
      </c>
      <c r="H1342" s="18">
        <f ca="1">IFERROR(__xludf.DUMMYFUNCTION("""COMPUTED_VALUE"""),45672)</f>
        <v>45672</v>
      </c>
      <c r="I1342" s="5" t="str">
        <f ca="1">IFERROR(__xludf.DUMMYFUNCTION("""COMPUTED_VALUE"""),"Zillow")</f>
        <v>Zillow</v>
      </c>
      <c r="J1342" s="25" t="str">
        <f ca="1">IFERROR(__xludf.DUMMYFUNCTION("""COMPUTED_VALUE"""),"https://www.zillow.com/homedetails/2330-28th-St-APT-B-Santa-Monica-CA-90405/2055205097_zpid/")</f>
        <v>https://www.zillow.com/homedetails/2330-28th-St-APT-B-Santa-Monica-CA-90405/2055205097_zpid/</v>
      </c>
      <c r="K1342" s="5" t="str">
        <f ca="1">IFERROR(__xludf.DUMMYFUNCTION("""COMPUTED_VALUE"""),"SullivanDituri Co ")</f>
        <v xml:space="preserve">SullivanDituri Co </v>
      </c>
      <c r="L1342" s="5"/>
      <c r="M1342" s="5" t="str">
        <f ca="1">IFERROR(__xludf.DUMMYFUNCTION("""COMPUTED_VALUE"""),"They are also asking for ""cash"" up front in ""Good Faith"". They require CASH (no check or credit card), they say it's policy.")</f>
        <v>They are also asking for "cash" up front in "Good Faith". They require CASH (no check or credit card), they say it's policy.</v>
      </c>
      <c r="N1342" s="5" t="str">
        <f ca="1">IFERROR(__xludf.DUMMYFUNCTION("""COMPUTED_VALUE"""),"https://drive.google.com/open?id=1Pdn-gWf9hFN-vOXMjGVGagnMMBluMrry, https://drive.google.com/open?id=1drMv-GDeMhG5QNNSOFNwX8wO7b0amkP8")</f>
        <v>https://drive.google.com/open?id=1Pdn-gWf9hFN-vOXMjGVGagnMMBluMrry, https://drive.google.com/open?id=1drMv-GDeMhG5QNNSOFNwX8wO7b0amkP8</v>
      </c>
      <c r="O1342" s="5" t="str">
        <f ca="1">IFERROR(__xludf.DUMMYFUNCTION("""COMPUTED_VALUE"""),"NA")</f>
        <v>NA</v>
      </c>
      <c r="P1342" s="5" t="str">
        <f ca="1">IFERROR(__xludf.DUMMYFUNCTION("""COMPUTED_VALUE"""),"(310) 504-5439")</f>
        <v>(310) 504-5439</v>
      </c>
      <c r="Q1342" s="5"/>
      <c r="R1342" s="5"/>
      <c r="S1342" s="5"/>
      <c r="T1342" s="18">
        <f ca="1">IFERROR(__xludf.DUMMYFUNCTION("""COMPUTED_VALUE"""),45658)</f>
        <v>45658</v>
      </c>
    </row>
    <row r="1343" spans="1:20" ht="12.75">
      <c r="A1343" s="24">
        <f ca="1">IFERROR(__xludf.DUMMYFUNCTION("""COMPUTED_VALUE"""),45675.8768272685)</f>
        <v>45675.876827268497</v>
      </c>
      <c r="B1343" s="5" t="str">
        <f ca="1">IFERROR(__xludf.DUMMYFUNCTION("""COMPUTED_VALUE"""),"24801 Calle Cedro ")</f>
        <v xml:space="preserve">24801 Calle Cedro </v>
      </c>
      <c r="C1343" s="5" t="str">
        <f ca="1">IFERROR(__xludf.DUMMYFUNCTION("""COMPUTED_VALUE"""),"Calabasas")</f>
        <v>Calabasas</v>
      </c>
      <c r="D1343" s="5" t="str">
        <f ca="1">IFERROR(__xludf.DUMMYFUNCTION("""COMPUTED_VALUE"""),"CA")</f>
        <v>CA</v>
      </c>
      <c r="E1343" s="5">
        <f ca="1">IFERROR(__xludf.DUMMYFUNCTION("""COMPUTED_VALUE"""),91302)</f>
        <v>91302</v>
      </c>
      <c r="F1343" s="19">
        <f ca="1">IFERROR(__xludf.DUMMYFUNCTION("""COMPUTED_VALUE"""),6700)</f>
        <v>6700</v>
      </c>
      <c r="G1343" s="19">
        <f ca="1">IFERROR(__xludf.DUMMYFUNCTION("""COMPUTED_VALUE"""),7950)</f>
        <v>7950</v>
      </c>
      <c r="H1343" s="18">
        <f ca="1">IFERROR(__xludf.DUMMYFUNCTION("""COMPUTED_VALUE"""),45673)</f>
        <v>45673</v>
      </c>
      <c r="I1343" s="5" t="str">
        <f ca="1">IFERROR(__xludf.DUMMYFUNCTION("""COMPUTED_VALUE"""),"Zillow")</f>
        <v>Zillow</v>
      </c>
      <c r="J1343" s="25" t="str">
        <f ca="1">IFERROR(__xludf.DUMMYFUNCTION("""COMPUTED_VALUE"""),"https://www.zillow.com/homedetails/24801-Calle-Cedro-Calabasas-CA-91302/19897048_zpid/")</f>
        <v>https://www.zillow.com/homedetails/24801-Calle-Cedro-Calabasas-CA-91302/19897048_zpid/</v>
      </c>
      <c r="K1343" s="5" t="str">
        <f ca="1">IFERROR(__xludf.DUMMYFUNCTION("""COMPUTED_VALUE"""),"Michelle Lavin Cohan")</f>
        <v>Michelle Lavin Cohan</v>
      </c>
      <c r="L1343" s="5"/>
      <c r="M1343" s="5" t="str">
        <f ca="1">IFERROR(__xludf.DUMMYFUNCTION("""COMPUTED_VALUE"""),"It was taken off the market last Feb, but doesn't seem to be any real reason to raise the price 18.5% other than, of course, price gouging.")</f>
        <v>It was taken off the market last Feb, but doesn't seem to be any real reason to raise the price 18.5% other than, of course, price gouging.</v>
      </c>
      <c r="N1343" s="26" t="str">
        <f ca="1">IFERROR(__xludf.DUMMYFUNCTION("""COMPUTED_VALUE"""),"https://drive.google.com/open?id=1bXa94MDN2uGJr0O7eAMKwi6QDpW0qCgo")</f>
        <v>https://drive.google.com/open?id=1bXa94MDN2uGJr0O7eAMKwi6QDpW0qCgo</v>
      </c>
      <c r="O1343" s="5">
        <f ca="1">IFERROR(__xludf.DUMMYFUNCTION("""COMPUTED_VALUE"""),2069039032)</f>
        <v>2069039032</v>
      </c>
      <c r="P1343" s="5" t="str">
        <f ca="1">IFERROR(__xludf.DUMMYFUNCTION("""COMPUTED_VALUE"""),"(818) 335-9777")</f>
        <v>(818) 335-9777</v>
      </c>
      <c r="Q1343" s="5"/>
      <c r="R1343" s="5"/>
      <c r="S1343" s="5"/>
      <c r="T1343" s="18">
        <f ca="1">IFERROR(__xludf.DUMMYFUNCTION("""COMPUTED_VALUE"""),45325)</f>
        <v>45325</v>
      </c>
    </row>
    <row r="1344" spans="1:20" ht="12.75">
      <c r="A1344" s="24">
        <f ca="1">IFERROR(__xludf.DUMMYFUNCTION("""COMPUTED_VALUE"""),45675.8809457175)</f>
        <v>45675.880945717501</v>
      </c>
      <c r="B1344" s="5" t="str">
        <f ca="1">IFERROR(__xludf.DUMMYFUNCTION("""COMPUTED_VALUE"""),"26088 Adamor Road")</f>
        <v>26088 Adamor Road</v>
      </c>
      <c r="C1344" s="5" t="str">
        <f ca="1">IFERROR(__xludf.DUMMYFUNCTION("""COMPUTED_VALUE"""),"Calabasas")</f>
        <v>Calabasas</v>
      </c>
      <c r="D1344" s="5" t="str">
        <f ca="1">IFERROR(__xludf.DUMMYFUNCTION("""COMPUTED_VALUE"""),"CA")</f>
        <v>CA</v>
      </c>
      <c r="E1344" s="5">
        <f ca="1">IFERROR(__xludf.DUMMYFUNCTION("""COMPUTED_VALUE"""),91302)</f>
        <v>91302</v>
      </c>
      <c r="F1344" s="19">
        <f ca="1">IFERROR(__xludf.DUMMYFUNCTION("""COMPUTED_VALUE"""),4800)</f>
        <v>4800</v>
      </c>
      <c r="G1344" s="19">
        <f ca="1">IFERROR(__xludf.DUMMYFUNCTION("""COMPUTED_VALUE"""),5500)</f>
        <v>5500</v>
      </c>
      <c r="H1344" s="18">
        <f ca="1">IFERROR(__xludf.DUMMYFUNCTION("""COMPUTED_VALUE"""),45676)</f>
        <v>45676</v>
      </c>
      <c r="I1344" s="5" t="str">
        <f ca="1">IFERROR(__xludf.DUMMYFUNCTION("""COMPUTED_VALUE"""),"Zillow")</f>
        <v>Zillow</v>
      </c>
      <c r="J1344" s="25" t="str">
        <f ca="1">IFERROR(__xludf.DUMMYFUNCTION("""COMPUTED_VALUE"""),"https://www.zillow.com/homedetails/26088-Adamor-Rd-Calabasas-CA-91302/19885212_zpid/")</f>
        <v>https://www.zillow.com/homedetails/26088-Adamor-Rd-Calabasas-CA-91302/19885212_zpid/</v>
      </c>
      <c r="K1344" s="5" t="str">
        <f ca="1">IFERROR(__xludf.DUMMYFUNCTION("""COMPUTED_VALUE"""),"Jane DaleaKahn")</f>
        <v>Jane DaleaKahn</v>
      </c>
      <c r="L1344" s="5"/>
      <c r="M1344" s="5"/>
      <c r="N1344" s="26" t="str">
        <f ca="1">IFERROR(__xludf.DUMMYFUNCTION("""COMPUTED_VALUE"""),"https://drive.google.com/open?id=1r9zzhvLWuxZ0-igJyVEQ6tSQAvSczC0M")</f>
        <v>https://drive.google.com/open?id=1r9zzhvLWuxZ0-igJyVEQ6tSQAvSczC0M</v>
      </c>
      <c r="O1344" s="5">
        <f ca="1">IFERROR(__xludf.DUMMYFUNCTION("""COMPUTED_VALUE"""),2052023001)</f>
        <v>2052023001</v>
      </c>
      <c r="P1344" s="5" t="str">
        <f ca="1">IFERROR(__xludf.DUMMYFUNCTION("""COMPUTED_VALUE"""),"(818) 399-8818")</f>
        <v>(818) 399-8818</v>
      </c>
      <c r="Q1344" s="5"/>
      <c r="R1344" s="5"/>
      <c r="S1344" s="5"/>
      <c r="T1344" s="18">
        <f ca="1">IFERROR(__xludf.DUMMYFUNCTION("""COMPUTED_VALUE"""),45344)</f>
        <v>45344</v>
      </c>
    </row>
    <row r="1345" spans="1:20" ht="12.75">
      <c r="A1345" s="24">
        <f ca="1">IFERROR(__xludf.DUMMYFUNCTION("""COMPUTED_VALUE"""),45676.4156009375)</f>
        <v>45676.4156009375</v>
      </c>
      <c r="B1345" s="5" t="str">
        <f ca="1">IFERROR(__xludf.DUMMYFUNCTION("""COMPUTED_VALUE"""),"5801 Cazaux Dr")</f>
        <v>5801 Cazaux Dr</v>
      </c>
      <c r="C1345" s="5" t="str">
        <f ca="1">IFERROR(__xludf.DUMMYFUNCTION("""COMPUTED_VALUE"""),"Los Angeles")</f>
        <v>Los Angeles</v>
      </c>
      <c r="D1345" s="5" t="str">
        <f ca="1">IFERROR(__xludf.DUMMYFUNCTION("""COMPUTED_VALUE"""),"CA")</f>
        <v>CA</v>
      </c>
      <c r="E1345" s="5">
        <f ca="1">IFERROR(__xludf.DUMMYFUNCTION("""COMPUTED_VALUE"""),90068)</f>
        <v>90068</v>
      </c>
      <c r="F1345" s="19">
        <f ca="1">IFERROR(__xludf.DUMMYFUNCTION("""COMPUTED_VALUE"""),2450)</f>
        <v>2450</v>
      </c>
      <c r="G1345" s="19">
        <f ca="1">IFERROR(__xludf.DUMMYFUNCTION("""COMPUTED_VALUE"""),6999)</f>
        <v>6999</v>
      </c>
      <c r="H1345" s="18">
        <f ca="1">IFERROR(__xludf.DUMMYFUNCTION("""COMPUTED_VALUE"""),45676)</f>
        <v>45676</v>
      </c>
      <c r="I1345" s="5" t="str">
        <f ca="1">IFERROR(__xludf.DUMMYFUNCTION("""COMPUTED_VALUE"""),"Zillow")</f>
        <v>Zillow</v>
      </c>
      <c r="J1345" s="25" t="str">
        <f ca="1">IFERROR(__xludf.DUMMYFUNCTION("""COMPUTED_VALUE"""),"https://www.zillow.com/homedetails/Los-Angeles-CA-90068/20806187_zpid/?rtoken=82d1b3e6-a093-4731-a0df-a10e27720a8a~X1-ZU14fpvedl0k0sp_3z9zv&amp;utm_campaign=emo-instantsavedsearch-rental&amp;utm_source=email&amp;utm_term=urn:msg:20250119074254b5833f5c85f56087&amp;utm_med"&amp;"ium=email&amp;utm_content=forrentimage&amp;sse=X1-SSdufno93ti9j31000000000_3qukl&amp;srp=H4sIAAAAAAAAAI2TTVPDIBCGf02O2iyQkBwcR6sHj9qL46VDCTTRAJGPqv9eLFrTGTvCCXYf3nd3dnbRGyXcQhq7tkL7xaUTzPL+Pgj7sfLMi4uCXhcIKTZdm6A7F+8FvkpBbazvUwCTc8AVYFrHgyqE6gItY0ow5xNxBtCcIwIloaRt6w"&amp;"YoSYgzYaZS0gqqigJtGtRAlZA3caSC8ZdJ09Q1ITUu6E2iYo1PxqgEAk5BOYxe2H0r89InO/CjgGLv6YkoRjXAQXUjjptWg/4GfxHm+/8YbvSc2LExfPtLNjpx4OIkRBbIJpbFqenPNgGVZfkr1p/Q8jbMLAPPstR5mLQ5pt685am5jckCuXJ5o2ATz1OM1nmzcHFhToBfszHOW8HjGvKe6e0+EX8e6g7OG/UgtoPRd93hF5Ud4TXhWD7C2fIBN"&amp;"h92J6S1789tvwb+KpNl8mc70a32G36rrRlHFc1mWlFhteqC1KbFfmifMZQ/Z41fw8uYSvoEyARaCzUEAAA=")</f>
        <v>https://www.zillow.com/homedetails/Los-Angeles-CA-90068/20806187_zpid/?rtoken=82d1b3e6-a093-4731-a0df-a10e27720a8a~X1-ZU14fpvedl0k0sp_3z9zv&amp;utm_campaign=emo-instantsavedsearch-rental&amp;utm_source=email&amp;utm_term=urn:msg:20250119074254b5833f5c85f56087&amp;utm_medium=email&amp;utm_content=forrentimage&amp;sse=X1-SSdufno93ti9j31000000000_3qukl&amp;srp=H4sIAAAAAAAAAI2TTVPDIBCGf02O2iyQkBwcR6sHj9qL46VDCTTRAJGPqv9eLFrTGTvCCXYf3nd3dnbRGyXcQhq7tkL7xaUTzPL+Pgj7sfLMi4uCXhcIKTZdm6A7F+8FvkpBbazvUwCTc8AVYFrHgyqE6gItY0ow5xNxBtCcIwIloaRt6wYoSYgzYaZS0gqqigJtGtRAlZA3caSC8ZdJ09Q1ITUu6E2iYo1PxqgEAk5BOYxe2H0r89InO/CjgGLv6YkoRjXAQXUjjptWg/4GfxHm+/8YbvSc2LExfPtLNjpx4OIkRBbIJpbFqenPNgGVZfkr1p/Q8jbMLAPPstR5mLQ5pt685am5jckCuXJ5o2ATz1OM1nmzcHFhToBfszHOW8HjGvKe6e0+EX8e6g7OG/UgtoPRd93hF5Ud4TXhWD7C2fIBNh92J6S1789tvwb+KpNl8mc70a32G36rrRlHFc1mWlFhteqC1KbFfmifMZQ/Z41fw8uYSvoEyARaCzUEAAA=</v>
      </c>
      <c r="K1345" s="5"/>
      <c r="L1345" s="5" t="str">
        <f ca="1">IFERROR(__xludf.DUMMYFUNCTION("""COMPUTED_VALUE"""),"Bobby Mcgaughey")</f>
        <v>Bobby Mcgaughey</v>
      </c>
      <c r="M1345" s="5"/>
      <c r="N1345" s="26" t="str">
        <f ca="1">IFERROR(__xludf.DUMMYFUNCTION("""COMPUTED_VALUE"""),"https://drive.google.com/open?id=19hmQBM3SzM7jKN7A8bMahP8jcDZoY4lI")</f>
        <v>https://drive.google.com/open?id=19hmQBM3SzM7jKN7A8bMahP8jcDZoY4lI</v>
      </c>
      <c r="O1345" s="5" t="str">
        <f ca="1">IFERROR(__xludf.DUMMYFUNCTION("""COMPUTED_VALUE"""),"NA")</f>
        <v>NA</v>
      </c>
      <c r="P1345" s="5"/>
      <c r="Q1345" s="5"/>
      <c r="R1345" s="5" t="str">
        <f ca="1">IFERROR(__xludf.DUMMYFUNCTION("""COMPUTED_VALUE"""),"(323) 422-7400")</f>
        <v>(323) 422-7400</v>
      </c>
      <c r="S1345" s="5"/>
      <c r="T1345" s="18">
        <f ca="1">IFERROR(__xludf.DUMMYFUNCTION("""COMPUTED_VALUE"""),43539)</f>
        <v>43539</v>
      </c>
    </row>
    <row r="1346" spans="1:20" ht="12.75">
      <c r="A1346" s="24">
        <f ca="1">IFERROR(__xludf.DUMMYFUNCTION("""COMPUTED_VALUE"""),45676.4472135532)</f>
        <v>45676.447213553198</v>
      </c>
      <c r="B1346" s="5" t="str">
        <f ca="1">IFERROR(__xludf.DUMMYFUNCTION("""COMPUTED_VALUE"""),"3900 Hilton Head Way")</f>
        <v>3900 Hilton Head Way</v>
      </c>
      <c r="C1346" s="5" t="str">
        <f ca="1">IFERROR(__xludf.DUMMYFUNCTION("""COMPUTED_VALUE"""),"Tarzana")</f>
        <v>Tarzana</v>
      </c>
      <c r="D1346" s="5" t="str">
        <f ca="1">IFERROR(__xludf.DUMMYFUNCTION("""COMPUTED_VALUE"""),"CA")</f>
        <v>CA</v>
      </c>
      <c r="E1346" s="5">
        <f ca="1">IFERROR(__xludf.DUMMYFUNCTION("""COMPUTED_VALUE"""),91356)</f>
        <v>91356</v>
      </c>
      <c r="F1346" s="19">
        <f ca="1">IFERROR(__xludf.DUMMYFUNCTION("""COMPUTED_VALUE"""),14500)</f>
        <v>14500</v>
      </c>
      <c r="G1346" s="19">
        <f ca="1">IFERROR(__xludf.DUMMYFUNCTION("""COMPUTED_VALUE"""),16900)</f>
        <v>16900</v>
      </c>
      <c r="H1346" s="18">
        <f ca="1">IFERROR(__xludf.DUMMYFUNCTION("""COMPUTED_VALUE"""),45666)</f>
        <v>45666</v>
      </c>
      <c r="I1346" s="5" t="str">
        <f ca="1">IFERROR(__xludf.DUMMYFUNCTION("""COMPUTED_VALUE"""),"Zillow")</f>
        <v>Zillow</v>
      </c>
      <c r="J1346" s="25" t="str">
        <f ca="1">IFERROR(__xludf.DUMMYFUNCTION("""COMPUTED_VALUE"""),"https://www.zillow.com/homedetails/3900-Hilton-Head-Way-Tarzana-CA-91356/19951258_zpid/")</f>
        <v>https://www.zillow.com/homedetails/3900-Hilton-Head-Way-Tarzana-CA-91356/19951258_zpid/</v>
      </c>
      <c r="K1346" s="5" t="str">
        <f ca="1">IFERROR(__xludf.DUMMYFUNCTION("""COMPUTED_VALUE"""),"Melissa Zee")</f>
        <v>Melissa Zee</v>
      </c>
      <c r="L1346" s="5"/>
      <c r="M1346" s="5"/>
      <c r="N1346" s="5" t="str">
        <f ca="1">IFERROR(__xludf.DUMMYFUNCTION("""COMPUTED_VALUE"""),"https://drive.google.com/open?id=1J5mJGrgGQaMGLKofhQquiByAvGUzmt3y, https://drive.google.com/open?id=1PWbKmOlCfyhJVF7iTPznPTdtCYAjPcRv")</f>
        <v>https://drive.google.com/open?id=1J5mJGrgGQaMGLKofhQquiByAvGUzmt3y, https://drive.google.com/open?id=1PWbKmOlCfyhJVF7iTPznPTdtCYAjPcRv</v>
      </c>
      <c r="O1346" s="5">
        <f ca="1">IFERROR(__xludf.DUMMYFUNCTION("""COMPUTED_VALUE"""),2184057001)</f>
        <v>2184057001</v>
      </c>
      <c r="P1346" s="5" t="str">
        <f ca="1">IFERROR(__xludf.DUMMYFUNCTION("""COMPUTED_VALUE"""),"310-361-9130")</f>
        <v>310-361-9130</v>
      </c>
      <c r="Q1346" s="5"/>
      <c r="R1346" s="5"/>
      <c r="S1346" s="5"/>
      <c r="T1346" s="18">
        <f ca="1">IFERROR(__xludf.DUMMYFUNCTION("""COMPUTED_VALUE"""),-684834)</f>
        <v>-684834</v>
      </c>
    </row>
    <row r="1347" spans="1:20" ht="12.75">
      <c r="A1347" s="24">
        <f ca="1">IFERROR(__xludf.DUMMYFUNCTION("""COMPUTED_VALUE"""),45676.4589302893)</f>
        <v>45676.4589302893</v>
      </c>
      <c r="B1347" s="5" t="str">
        <f ca="1">IFERROR(__xludf.DUMMYFUNCTION("""COMPUTED_VALUE"""),"3358 Red Rose Dr")</f>
        <v>3358 Red Rose Dr</v>
      </c>
      <c r="C1347" s="5" t="str">
        <f ca="1">IFERROR(__xludf.DUMMYFUNCTION("""COMPUTED_VALUE"""),"Encino")</f>
        <v>Encino</v>
      </c>
      <c r="D1347" s="5" t="str">
        <f ca="1">IFERROR(__xludf.DUMMYFUNCTION("""COMPUTED_VALUE"""),"CA")</f>
        <v>CA</v>
      </c>
      <c r="E1347" s="5">
        <f ca="1">IFERROR(__xludf.DUMMYFUNCTION("""COMPUTED_VALUE"""),91436)</f>
        <v>91436</v>
      </c>
      <c r="F1347" s="19">
        <f ca="1">IFERROR(__xludf.DUMMYFUNCTION("""COMPUTED_VALUE"""),9950)</f>
        <v>9950</v>
      </c>
      <c r="G1347" s="19">
        <f ca="1">IFERROR(__xludf.DUMMYFUNCTION("""COMPUTED_VALUE"""),12760)</f>
        <v>12760</v>
      </c>
      <c r="H1347" s="18">
        <f ca="1">IFERROR(__xludf.DUMMYFUNCTION("""COMPUTED_VALUE"""),45310)</f>
        <v>45310</v>
      </c>
      <c r="I1347" s="5" t="str">
        <f ca="1">IFERROR(__xludf.DUMMYFUNCTION("""COMPUTED_VALUE"""),"Zillow")</f>
        <v>Zillow</v>
      </c>
      <c r="J1347" s="25" t="str">
        <f ca="1">IFERROR(__xludf.DUMMYFUNCTION("""COMPUTED_VALUE"""),"https://www.zillow.com/homedetails/3358-Red-Rose-Dr-Encino-CA-91436/19995256_zpid/")</f>
        <v>https://www.zillow.com/homedetails/3358-Red-Rose-Dr-Encino-CA-91436/19995256_zpid/</v>
      </c>
      <c r="K1347" s="5" t="str">
        <f ca="1">IFERROR(__xludf.DUMMYFUNCTION("""COMPUTED_VALUE"""),"John B")</f>
        <v>John B</v>
      </c>
      <c r="L1347" s="5" t="str">
        <f ca="1">IFERROR(__xludf.DUMMYFUNCTION("""COMPUTED_VALUE"""),"John B")</f>
        <v>John B</v>
      </c>
      <c r="M1347" s="5" t="str">
        <f ca="1">IFERROR(__xludf.DUMMYFUNCTION("""COMPUTED_VALUE"""),"The price was 10,975 on 10/2/24, it looks like it was lowered to 9,950 on 10/16, and then removed on 11/23 and relisted on 1/19 with a 28.2% increase")</f>
        <v>The price was 10,975 on 10/2/24, it looks like it was lowered to 9,950 on 10/16, and then removed on 11/23 and relisted on 1/19 with a 28.2% increase</v>
      </c>
      <c r="N1347" s="5" t="str">
        <f ca="1">IFERROR(__xludf.DUMMYFUNCTION("""COMPUTED_VALUE"""),"https://drive.google.com/open?id=1PtocKcwovxgJd4YvxaRRazdRu-Y64aC4, https://drive.google.com/open?id=1AWUr8HZZ5WTb7XWw3WGB0wwKTuCZ3h8k")</f>
        <v>https://drive.google.com/open?id=1PtocKcwovxgJd4YvxaRRazdRu-Y64aC4, https://drive.google.com/open?id=1AWUr8HZZ5WTb7XWw3WGB0wwKTuCZ3h8k</v>
      </c>
      <c r="O1347" s="5">
        <f ca="1">IFERROR(__xludf.DUMMYFUNCTION("""COMPUTED_VALUE"""),2293013007)</f>
        <v>2293013007</v>
      </c>
      <c r="P1347" s="5" t="str">
        <f ca="1">IFERROR(__xludf.DUMMYFUNCTION("""COMPUTED_VALUE"""),"213-924-8666")</f>
        <v>213-924-8666</v>
      </c>
      <c r="Q1347" s="5"/>
      <c r="R1347" s="5" t="str">
        <f ca="1">IFERROR(__xludf.DUMMYFUNCTION("""COMPUTED_VALUE"""),"213-924-8666")</f>
        <v>213-924-8666</v>
      </c>
      <c r="S1347" s="5"/>
      <c r="T1347" s="18">
        <f ca="1">IFERROR(__xludf.DUMMYFUNCTION("""COMPUTED_VALUE"""),-684866)</f>
        <v>-684866</v>
      </c>
    </row>
    <row r="1348" spans="1:20" ht="12.75">
      <c r="A1348" s="24">
        <f ca="1">IFERROR(__xludf.DUMMYFUNCTION("""COMPUTED_VALUE"""),45676.4596040277)</f>
        <v>45676.459604027703</v>
      </c>
      <c r="B1348" s="5" t="str">
        <f ca="1">IFERROR(__xludf.DUMMYFUNCTION("""COMPUTED_VALUE"""),"5041 Noeline Avenue ")</f>
        <v xml:space="preserve">5041 Noeline Avenue </v>
      </c>
      <c r="C1348" s="5" t="str">
        <f ca="1">IFERROR(__xludf.DUMMYFUNCTION("""COMPUTED_VALUE"""),"Encino ")</f>
        <v xml:space="preserve">Encino </v>
      </c>
      <c r="D1348" s="5" t="str">
        <f ca="1">IFERROR(__xludf.DUMMYFUNCTION("""COMPUTED_VALUE"""),"CA")</f>
        <v>CA</v>
      </c>
      <c r="E1348" s="5">
        <f ca="1">IFERROR(__xludf.DUMMYFUNCTION("""COMPUTED_VALUE"""),91436)</f>
        <v>91436</v>
      </c>
      <c r="F1348" s="19">
        <f ca="1">IFERROR(__xludf.DUMMYFUNCTION("""COMPUTED_VALUE"""),18000)</f>
        <v>18000</v>
      </c>
      <c r="G1348" s="19">
        <f ca="1">IFERROR(__xludf.DUMMYFUNCTION("""COMPUTED_VALUE"""),25000)</f>
        <v>25000</v>
      </c>
      <c r="H1348" s="18">
        <f ca="1">IFERROR(__xludf.DUMMYFUNCTION("""COMPUTED_VALUE"""),45666)</f>
        <v>45666</v>
      </c>
      <c r="I1348" s="5" t="str">
        <f ca="1">IFERROR(__xludf.DUMMYFUNCTION("""COMPUTED_VALUE"""),"Zillow")</f>
        <v>Zillow</v>
      </c>
      <c r="J1348" s="25" t="str">
        <f ca="1">IFERROR(__xludf.DUMMYFUNCTION("""COMPUTED_VALUE"""),"https://www.zillow.com/homedetails/5041-Noeline-Ave-Encino-CA-91436/19980566_zpid/?utm_campaign=iosappmessage&amp;utm_medium=referral&amp;utm_source=txtshare")</f>
        <v>https://www.zillow.com/homedetails/5041-Noeline-Ave-Encino-CA-91436/19980566_zpid/?utm_campaign=iosappmessage&amp;utm_medium=referral&amp;utm_source=txtshare</v>
      </c>
      <c r="K1348" s="5"/>
      <c r="L1348" s="5"/>
      <c r="M1348" s="5"/>
      <c r="N1348" s="26" t="str">
        <f ca="1">IFERROR(__xludf.DUMMYFUNCTION("""COMPUTED_VALUE"""),"https://drive.google.com/open?id=1SEbWddSaORn4EufjVFFS7IxaBkIiqQkL")</f>
        <v>https://drive.google.com/open?id=1SEbWddSaORn4EufjVFFS7IxaBkIiqQkL</v>
      </c>
      <c r="O1348" s="5">
        <f ca="1">IFERROR(__xludf.DUMMYFUNCTION("""COMPUTED_VALUE"""),2260005008)</f>
        <v>2260005008</v>
      </c>
      <c r="P1348" s="5"/>
      <c r="Q1348" s="5"/>
      <c r="R1348" s="5"/>
      <c r="S1348" s="5"/>
      <c r="T1348" s="18">
        <f ca="1">IFERROR(__xludf.DUMMYFUNCTION("""COMPUTED_VALUE"""),45659)</f>
        <v>45659</v>
      </c>
    </row>
    <row r="1349" spans="1:20" ht="12.75">
      <c r="A1349" s="24">
        <f ca="1">IFERROR(__xludf.DUMMYFUNCTION("""COMPUTED_VALUE"""),45676.5077137962)</f>
        <v>45676.5077137962</v>
      </c>
      <c r="B1349" s="5" t="str">
        <f ca="1">IFERROR(__xludf.DUMMYFUNCTION("""COMPUTED_VALUE"""),"4355 Camero Ave")</f>
        <v>4355 Camero Ave</v>
      </c>
      <c r="C1349" s="5" t="str">
        <f ca="1">IFERROR(__xludf.DUMMYFUNCTION("""COMPUTED_VALUE"""),"Los Angeles")</f>
        <v>Los Angeles</v>
      </c>
      <c r="D1349" s="5" t="str">
        <f ca="1">IFERROR(__xludf.DUMMYFUNCTION("""COMPUTED_VALUE"""),"CA")</f>
        <v>CA</v>
      </c>
      <c r="E1349" s="5">
        <f ca="1">IFERROR(__xludf.DUMMYFUNCTION("""COMPUTED_VALUE"""),90027)</f>
        <v>90027</v>
      </c>
      <c r="F1349" s="19">
        <f ca="1">IFERROR(__xludf.DUMMYFUNCTION("""COMPUTED_VALUE"""),3850)</f>
        <v>3850</v>
      </c>
      <c r="G1349" s="19">
        <f ca="1">IFERROR(__xludf.DUMMYFUNCTION("""COMPUTED_VALUE"""),4650)</f>
        <v>4650</v>
      </c>
      <c r="H1349" s="18">
        <f ca="1">IFERROR(__xludf.DUMMYFUNCTION("""COMPUTED_VALUE"""),45676)</f>
        <v>45676</v>
      </c>
      <c r="I1349" s="5" t="str">
        <f ca="1">IFERROR(__xludf.DUMMYFUNCTION("""COMPUTED_VALUE"""),"Zillow")</f>
        <v>Zillow</v>
      </c>
      <c r="J1349" s="25" t="str">
        <f ca="1">IFERROR(__xludf.DUMMYFUNCTION("""COMPUTED_VALUE"""),"https://www.zillow.com/homedetails/4355-Camero-Ave-Los-Angeles-CA-90027/2063186324_zpid/")</f>
        <v>https://www.zillow.com/homedetails/4355-Camero-Ave-Los-Angeles-CA-90027/2063186324_zpid/</v>
      </c>
      <c r="K1349" s="5"/>
      <c r="L1349" s="5" t="str">
        <f ca="1">IFERROR(__xludf.DUMMYFUNCTION("""COMPUTED_VALUE"""),"Rina")</f>
        <v>Rina</v>
      </c>
      <c r="M1349" s="5"/>
      <c r="N1349" s="26" t="str">
        <f ca="1">IFERROR(__xludf.DUMMYFUNCTION("""COMPUTED_VALUE"""),"https://drive.google.com/open?id=1KVp6KZaVecbjZAoqD7hWjVTy4XKFX3aK")</f>
        <v>https://drive.google.com/open?id=1KVp6KZaVecbjZAoqD7hWjVTy4XKFX3aK</v>
      </c>
      <c r="O1349" s="5" t="str">
        <f ca="1">IFERROR(__xludf.DUMMYFUNCTION("""COMPUTED_VALUE"""),"NA")</f>
        <v>NA</v>
      </c>
      <c r="P1349" s="5"/>
      <c r="Q1349" s="5"/>
      <c r="R1349" s="5" t="str">
        <f ca="1">IFERROR(__xludf.DUMMYFUNCTION("""COMPUTED_VALUE"""),"(626) 318-8180")</f>
        <v>(626) 318-8180</v>
      </c>
      <c r="S1349" s="5"/>
      <c r="T1349" s="18">
        <f ca="1">IFERROR(__xludf.DUMMYFUNCTION("""COMPUTED_VALUE"""),45176)</f>
        <v>45176</v>
      </c>
    </row>
    <row r="1350" spans="1:20" ht="12.75">
      <c r="A1350" s="24">
        <f ca="1">IFERROR(__xludf.DUMMYFUNCTION("""COMPUTED_VALUE"""),45676.5111990972)</f>
        <v>45676.5111990972</v>
      </c>
      <c r="B1350" s="5" t="str">
        <f ca="1">IFERROR(__xludf.DUMMYFUNCTION("""COMPUTED_VALUE"""),"658 California Ave")</f>
        <v>658 California Ave</v>
      </c>
      <c r="C1350" s="5" t="str">
        <f ca="1">IFERROR(__xludf.DUMMYFUNCTION("""COMPUTED_VALUE"""),"Venice")</f>
        <v>Venice</v>
      </c>
      <c r="D1350" s="5" t="str">
        <f ca="1">IFERROR(__xludf.DUMMYFUNCTION("""COMPUTED_VALUE"""),"CA")</f>
        <v>CA</v>
      </c>
      <c r="E1350" s="5">
        <f ca="1">IFERROR(__xludf.DUMMYFUNCTION("""COMPUTED_VALUE"""),90291)</f>
        <v>90291</v>
      </c>
      <c r="F1350" s="19">
        <f ca="1">IFERROR(__xludf.DUMMYFUNCTION("""COMPUTED_VALUE"""),13500)</f>
        <v>13500</v>
      </c>
      <c r="G1350" s="19">
        <f ca="1">IFERROR(__xludf.DUMMYFUNCTION("""COMPUTED_VALUE"""),16900)</f>
        <v>16900</v>
      </c>
      <c r="H1350" s="18">
        <f ca="1">IFERROR(__xludf.DUMMYFUNCTION("""COMPUTED_VALUE"""),45674)</f>
        <v>45674</v>
      </c>
      <c r="I1350" s="5" t="str">
        <f ca="1">IFERROR(__xludf.DUMMYFUNCTION("""COMPUTED_VALUE"""),"Zillow")</f>
        <v>Zillow</v>
      </c>
      <c r="J1350" s="25" t="str">
        <f ca="1">IFERROR(__xludf.DUMMYFUNCTION("""COMPUTED_VALUE"""),"https://www.zillow.com/homedetails/658-California-Ave-Venice-CA-90291/2075403474_zpid/")</f>
        <v>https://www.zillow.com/homedetails/658-California-Ave-Venice-CA-90291/2075403474_zpid/</v>
      </c>
      <c r="K1350" s="5" t="str">
        <f ca="1">IFERROR(__xludf.DUMMYFUNCTION("""COMPUTED_VALUE"""),"Sigal Mevorach")</f>
        <v>Sigal Mevorach</v>
      </c>
      <c r="L1350" s="5"/>
      <c r="M1350" s="5" t="str">
        <f ca="1">IFERROR(__xludf.DUMMYFUNCTION("""COMPUTED_VALUE"""),"Mevorach works for Vila Estates, Inc")</f>
        <v>Mevorach works for Vila Estates, Inc</v>
      </c>
      <c r="N1350" s="5" t="str">
        <f ca="1">IFERROR(__xludf.DUMMYFUNCTION("""COMPUTED_VALUE"""),"https://drive.google.com/open?id=1RvN4AhdDWRt-UHTVS0q1xp5U8a4ALB_B, https://drive.google.com/open?id=1mSWiArqzAcyfHW_IYqdJ4oVSM0KnyZ3y")</f>
        <v>https://drive.google.com/open?id=1RvN4AhdDWRt-UHTVS0q1xp5U8a4ALB_B, https://drive.google.com/open?id=1mSWiArqzAcyfHW_IYqdJ4oVSM0KnyZ3y</v>
      </c>
      <c r="O1350" s="5">
        <f ca="1">IFERROR(__xludf.DUMMYFUNCTION("""COMPUTED_VALUE"""),4241005033)</f>
        <v>4241005033</v>
      </c>
      <c r="P1350" s="5" t="str">
        <f ca="1">IFERROR(__xludf.DUMMYFUNCTION("""COMPUTED_VALUE"""),"818-937-1789")</f>
        <v>818-937-1789</v>
      </c>
      <c r="Q1350" s="5"/>
      <c r="R1350" s="5"/>
      <c r="S1350" s="5"/>
      <c r="T1350" s="18">
        <f ca="1">IFERROR(__xludf.DUMMYFUNCTION("""COMPUTED_VALUE"""),45295)</f>
        <v>45295</v>
      </c>
    </row>
    <row r="1351" spans="1:20" ht="12.75">
      <c r="A1351" s="24">
        <f ca="1">IFERROR(__xludf.DUMMYFUNCTION("""COMPUTED_VALUE"""),45676.523040949)</f>
        <v>45676.523040949003</v>
      </c>
      <c r="B1351" s="5" t="str">
        <f ca="1">IFERROR(__xludf.DUMMYFUNCTION("""COMPUTED_VALUE"""),"6738 Andover Ln")</f>
        <v>6738 Andover Ln</v>
      </c>
      <c r="C1351" s="5" t="str">
        <f ca="1">IFERROR(__xludf.DUMMYFUNCTION("""COMPUTED_VALUE"""),"Los Angeles")</f>
        <v>Los Angeles</v>
      </c>
      <c r="D1351" s="5" t="str">
        <f ca="1">IFERROR(__xludf.DUMMYFUNCTION("""COMPUTED_VALUE"""),"CA")</f>
        <v>CA</v>
      </c>
      <c r="E1351" s="5">
        <f ca="1">IFERROR(__xludf.DUMMYFUNCTION("""COMPUTED_VALUE"""),90045)</f>
        <v>90045</v>
      </c>
      <c r="F1351" s="19">
        <f ca="1">IFERROR(__xludf.DUMMYFUNCTION("""COMPUTED_VALUE"""),13499)</f>
        <v>13499</v>
      </c>
      <c r="G1351" s="19">
        <f ca="1">IFERROR(__xludf.DUMMYFUNCTION("""COMPUTED_VALUE"""),15900)</f>
        <v>15900</v>
      </c>
      <c r="H1351" s="18">
        <f ca="1">IFERROR(__xludf.DUMMYFUNCTION("""COMPUTED_VALUE"""),45675)</f>
        <v>45675</v>
      </c>
      <c r="I1351" s="5" t="str">
        <f ca="1">IFERROR(__xludf.DUMMYFUNCTION("""COMPUTED_VALUE"""),"Zillow")</f>
        <v>Zillow</v>
      </c>
      <c r="J1351" s="25" t="str">
        <f ca="1">IFERROR(__xludf.DUMMYFUNCTION("""COMPUTED_VALUE"""),"https://www.zillow.com/homedetails/6738-Andover-Ln-Los-Angeles-CA-90045/122235551_zpid/")</f>
        <v>https://www.zillow.com/homedetails/6738-Andover-Ln-Los-Angeles-CA-90045/122235551_zpid/</v>
      </c>
      <c r="K1351" s="5" t="str">
        <f ca="1">IFERROR(__xludf.DUMMYFUNCTION("""COMPUTED_VALUE"""),"Becky Daly")</f>
        <v>Becky Daly</v>
      </c>
      <c r="L1351" s="5"/>
      <c r="M1351" s="5"/>
      <c r="N1351" s="5" t="str">
        <f ca="1">IFERROR(__xludf.DUMMYFUNCTION("""COMPUTED_VALUE"""),"https://drive.google.com/open?id=1zLFoNm4asfdjFiabmpWDXJAoO9nl2oBj, https://drive.google.com/open?id=1fZAlHQcREPYF_oSQ0HjBoj87QfRqxwVt, https://drive.google.com/open?id=1kvc9IhFlT95u4e6gWAnOcxpv4Q5xYtTQ")</f>
        <v>https://drive.google.com/open?id=1zLFoNm4asfdjFiabmpWDXJAoO9nl2oBj, https://drive.google.com/open?id=1fZAlHQcREPYF_oSQ0HjBoj87QfRqxwVt, https://drive.google.com/open?id=1kvc9IhFlT95u4e6gWAnOcxpv4Q5xYtTQ</v>
      </c>
      <c r="O1351" s="5">
        <f ca="1">IFERROR(__xludf.DUMMYFUNCTION("""COMPUTED_VALUE"""),4211019070)</f>
        <v>4211019070</v>
      </c>
      <c r="P1351" s="5">
        <f ca="1">IFERROR(__xludf.DUMMYFUNCTION("""COMPUTED_VALUE"""),3109907532)</f>
        <v>3109907532</v>
      </c>
      <c r="Q1351" s="5"/>
      <c r="R1351" s="5"/>
      <c r="S1351" s="5"/>
      <c r="T1351" s="18">
        <f ca="1">IFERROR(__xludf.DUMMYFUNCTION("""COMPUTED_VALUE"""),45629)</f>
        <v>45629</v>
      </c>
    </row>
    <row r="1352" spans="1:20" ht="12.75">
      <c r="A1352" s="24">
        <f ca="1">IFERROR(__xludf.DUMMYFUNCTION("""COMPUTED_VALUE"""),45676.5334301736)</f>
        <v>45676.5334301736</v>
      </c>
      <c r="B1352" s="5" t="str">
        <f ca="1">IFERROR(__xludf.DUMMYFUNCTION("""COMPUTED_VALUE"""),"3730 Midvale Ave #20")</f>
        <v>3730 Midvale Ave #20</v>
      </c>
      <c r="C1352" s="5" t="str">
        <f ca="1">IFERROR(__xludf.DUMMYFUNCTION("""COMPUTED_VALUE"""),"Los Angeles")</f>
        <v>Los Angeles</v>
      </c>
      <c r="D1352" s="5" t="str">
        <f ca="1">IFERROR(__xludf.DUMMYFUNCTION("""COMPUTED_VALUE"""),"CA")</f>
        <v>CA</v>
      </c>
      <c r="E1352" s="5">
        <f ca="1">IFERROR(__xludf.DUMMYFUNCTION("""COMPUTED_VALUE"""),90034)</f>
        <v>90034</v>
      </c>
      <c r="F1352" s="19">
        <f ca="1">IFERROR(__xludf.DUMMYFUNCTION("""COMPUTED_VALUE"""),1100)</f>
        <v>1100</v>
      </c>
      <c r="G1352" s="19">
        <f ca="1">IFERROR(__xludf.DUMMYFUNCTION("""COMPUTED_VALUE"""),1695)</f>
        <v>1695</v>
      </c>
      <c r="H1352" s="18">
        <f ca="1">IFERROR(__xludf.DUMMYFUNCTION("""COMPUTED_VALUE"""),45676)</f>
        <v>45676</v>
      </c>
      <c r="I1352" s="5" t="str">
        <f ca="1">IFERROR(__xludf.DUMMYFUNCTION("""COMPUTED_VALUE"""),"Zillow")</f>
        <v>Zillow</v>
      </c>
      <c r="J1352" s="25" t="str">
        <f ca="1">IFERROR(__xludf.DUMMYFUNCTION("""COMPUTED_VALUE"""),"https://www.zillow.com/homedetails/3730-Midvale-Ave-20-Los-Angeles-CA-90034/2071541159_zpid/")</f>
        <v>https://www.zillow.com/homedetails/3730-Midvale-Ave-20-Los-Angeles-CA-90034/2071541159_zpid/</v>
      </c>
      <c r="K1352" s="5" t="str">
        <f ca="1">IFERROR(__xludf.DUMMYFUNCTION("""COMPUTED_VALUE"""),"David Hudson")</f>
        <v>David Hudson</v>
      </c>
      <c r="L1352" s="5"/>
      <c r="M1352" s="5"/>
      <c r="N1352" s="5" t="str">
        <f ca="1">IFERROR(__xludf.DUMMYFUNCTION("""COMPUTED_VALUE"""),"https://drive.google.com/open?id=1JDj0slqNfbB9EXJJrJAqKJzNOW8dGly4, https://drive.google.com/open?id=1iPZs3yly2Kf5CCnKRjZXt07z-wBaXKYm")</f>
        <v>https://drive.google.com/open?id=1JDj0slqNfbB9EXJJrJAqKJzNOW8dGly4, https://drive.google.com/open?id=1iPZs3yly2Kf5CCnKRjZXt07z-wBaXKYm</v>
      </c>
      <c r="O1352" s="5" t="str">
        <f ca="1">IFERROR(__xludf.DUMMYFUNCTION("""COMPUTED_VALUE"""),"NA")</f>
        <v>NA</v>
      </c>
      <c r="P1352" s="5" t="str">
        <f ca="1">IFERROR(__xludf.DUMMYFUNCTION("""COMPUTED_VALUE"""),"(310) 877-1994")</f>
        <v>(310) 877-1994</v>
      </c>
      <c r="Q1352" s="5"/>
      <c r="R1352" s="5"/>
      <c r="S1352" s="5"/>
      <c r="T1352" s="18">
        <f ca="1">IFERROR(__xludf.DUMMYFUNCTION("""COMPUTED_VALUE"""),44308)</f>
        <v>44308</v>
      </c>
    </row>
    <row r="1353" spans="1:20" ht="12.75">
      <c r="A1353" s="24">
        <f ca="1">IFERROR(__xludf.DUMMYFUNCTION("""COMPUTED_VALUE"""),45676.5432919213)</f>
        <v>45676.543291921298</v>
      </c>
      <c r="B1353" s="5" t="str">
        <f ca="1">IFERROR(__xludf.DUMMYFUNCTION("""COMPUTED_VALUE"""),"1825 Thayer Ave")</f>
        <v>1825 Thayer Ave</v>
      </c>
      <c r="C1353" s="5" t="str">
        <f ca="1">IFERROR(__xludf.DUMMYFUNCTION("""COMPUTED_VALUE"""),"Los Angeles")</f>
        <v>Los Angeles</v>
      </c>
      <c r="D1353" s="5" t="str">
        <f ca="1">IFERROR(__xludf.DUMMYFUNCTION("""COMPUTED_VALUE"""),"CA")</f>
        <v>CA</v>
      </c>
      <c r="E1353" s="5">
        <f ca="1">IFERROR(__xludf.DUMMYFUNCTION("""COMPUTED_VALUE"""),90025)</f>
        <v>90025</v>
      </c>
      <c r="F1353" s="19">
        <f ca="1">IFERROR(__xludf.DUMMYFUNCTION("""COMPUTED_VALUE"""),4950)</f>
        <v>4950</v>
      </c>
      <c r="G1353" s="19">
        <f ca="1">IFERROR(__xludf.DUMMYFUNCTION("""COMPUTED_VALUE"""),6250)</f>
        <v>6250</v>
      </c>
      <c r="H1353" s="18">
        <f ca="1">IFERROR(__xludf.DUMMYFUNCTION("""COMPUTED_VALUE"""),45676)</f>
        <v>45676</v>
      </c>
      <c r="I1353" s="5" t="str">
        <f ca="1">IFERROR(__xludf.DUMMYFUNCTION("""COMPUTED_VALUE"""),"Zillow")</f>
        <v>Zillow</v>
      </c>
      <c r="J1353" s="25" t="str">
        <f ca="1">IFERROR(__xludf.DUMMYFUNCTION("""COMPUTED_VALUE"""),"https://www.zillow.com/homedetails/1825-Thayer-Ave-Los-Angeles-CA-90025/20498309_zpid/")</f>
        <v>https://www.zillow.com/homedetails/1825-Thayer-Ave-Los-Angeles-CA-90025/20498309_zpid/</v>
      </c>
      <c r="K1353" s="5" t="str">
        <f ca="1">IFERROR(__xludf.DUMMYFUNCTION("""COMPUTED_VALUE"""),"Christopher Keefer")</f>
        <v>Christopher Keefer</v>
      </c>
      <c r="L1353" s="5"/>
      <c r="M1353" s="5"/>
      <c r="N1353" s="5" t="str">
        <f ca="1">IFERROR(__xludf.DUMMYFUNCTION("""COMPUTED_VALUE"""),"https://drive.google.com/open?id=17Xa1We3Tp05iPu438VdvZXPnl4D1saP2, https://drive.google.com/open?id=1KqPbaS5X9zobiHqUdSKDYkEvo6ItZxng")</f>
        <v>https://drive.google.com/open?id=17Xa1We3Tp05iPu438VdvZXPnl4D1saP2, https://drive.google.com/open?id=1KqPbaS5X9zobiHqUdSKDYkEvo6ItZxng</v>
      </c>
      <c r="O1353" s="5">
        <f ca="1">IFERROR(__xludf.DUMMYFUNCTION("""COMPUTED_VALUE"""),4317003042)</f>
        <v>4317003042</v>
      </c>
      <c r="P1353" s="5" t="str">
        <f ca="1">IFERROR(__xludf.DUMMYFUNCTION("""COMPUTED_VALUE"""),"(818) 462-1626")</f>
        <v>(818) 462-1626</v>
      </c>
      <c r="Q1353" s="5"/>
      <c r="R1353" s="5"/>
      <c r="S1353" s="5"/>
      <c r="T1353" s="18">
        <f ca="1">IFERROR(__xludf.DUMMYFUNCTION("""COMPUTED_VALUE"""),45343)</f>
        <v>45343</v>
      </c>
    </row>
    <row r="1354" spans="1:20" ht="12.75">
      <c r="A1354" s="24">
        <f ca="1">IFERROR(__xludf.DUMMYFUNCTION("""COMPUTED_VALUE"""),45676.5489418634)</f>
        <v>45676.548941863402</v>
      </c>
      <c r="B1354" s="5" t="str">
        <f ca="1">IFERROR(__xludf.DUMMYFUNCTION("""COMPUTED_VALUE"""),"11298 Tavener Ave")</f>
        <v>11298 Tavener Ave</v>
      </c>
      <c r="C1354" s="5" t="str">
        <f ca="1">IFERROR(__xludf.DUMMYFUNCTION("""COMPUTED_VALUE"""),"Culver City")</f>
        <v>Culver City</v>
      </c>
      <c r="D1354" s="5" t="str">
        <f ca="1">IFERROR(__xludf.DUMMYFUNCTION("""COMPUTED_VALUE"""),"CA")</f>
        <v>CA</v>
      </c>
      <c r="E1354" s="5">
        <f ca="1">IFERROR(__xludf.DUMMYFUNCTION("""COMPUTED_VALUE"""),90230)</f>
        <v>90230</v>
      </c>
      <c r="F1354" s="19">
        <f ca="1">IFERROR(__xludf.DUMMYFUNCTION("""COMPUTED_VALUE"""),3990)</f>
        <v>3990</v>
      </c>
      <c r="G1354" s="19">
        <f ca="1">IFERROR(__xludf.DUMMYFUNCTION("""COMPUTED_VALUE"""),5295)</f>
        <v>5295</v>
      </c>
      <c r="H1354" s="18">
        <f ca="1">IFERROR(__xludf.DUMMYFUNCTION("""COMPUTED_VALUE"""),45676)</f>
        <v>45676</v>
      </c>
      <c r="I1354" s="5" t="str">
        <f ca="1">IFERROR(__xludf.DUMMYFUNCTION("""COMPUTED_VALUE"""),"Zillow")</f>
        <v>Zillow</v>
      </c>
      <c r="J1354" s="25" t="str">
        <f ca="1">IFERROR(__xludf.DUMMYFUNCTION("""COMPUTED_VALUE"""),"https://www.zillow.com/homedetails/11298-Tavener-Ave-Culver-City-CA-90230/20437725_zpid/")</f>
        <v>https://www.zillow.com/homedetails/11298-Tavener-Ave-Culver-City-CA-90230/20437725_zpid/</v>
      </c>
      <c r="K1354" s="5" t="str">
        <f ca="1">IFERROR(__xludf.DUMMYFUNCTION("""COMPUTED_VALUE"""),"Emory Donelson")</f>
        <v>Emory Donelson</v>
      </c>
      <c r="L1354" s="5"/>
      <c r="M1354" s="5"/>
      <c r="N1354" s="5" t="str">
        <f ca="1">IFERROR(__xludf.DUMMYFUNCTION("""COMPUTED_VALUE"""),"https://drive.google.com/open?id=1rRDvbyhwUh2FY6QwhbKWUdmmzcXW_fgX, https://drive.google.com/open?id=1zviDNjbrNMz8CtDgGITzIQLFB2jGneyZ")</f>
        <v>https://drive.google.com/open?id=1rRDvbyhwUh2FY6QwhbKWUdmmzcXW_fgX, https://drive.google.com/open?id=1zviDNjbrNMz8CtDgGITzIQLFB2jGneyZ</v>
      </c>
      <c r="O1354" s="5">
        <f ca="1">IFERROR(__xludf.DUMMYFUNCTION("""COMPUTED_VALUE"""),4215023027)</f>
        <v>4215023027</v>
      </c>
      <c r="P1354" s="5" t="str">
        <f ca="1">IFERROR(__xludf.DUMMYFUNCTION("""COMPUTED_VALUE"""),"(310) 801-4023")</f>
        <v>(310) 801-4023</v>
      </c>
      <c r="Q1354" s="5"/>
      <c r="R1354" s="5"/>
      <c r="S1354" s="5"/>
      <c r="T1354" s="18">
        <f ca="1">IFERROR(__xludf.DUMMYFUNCTION("""COMPUTED_VALUE"""),42943)</f>
        <v>42943</v>
      </c>
    </row>
    <row r="1355" spans="1:20" ht="12.75">
      <c r="A1355" s="24">
        <f ca="1">IFERROR(__xludf.DUMMYFUNCTION("""COMPUTED_VALUE"""),45676.5580349999)</f>
        <v>45676.5580349999</v>
      </c>
      <c r="B1355" s="5" t="str">
        <f ca="1">IFERROR(__xludf.DUMMYFUNCTION("""COMPUTED_VALUE"""),"5907 Saturn St")</f>
        <v>5907 Saturn St</v>
      </c>
      <c r="C1355" s="5" t="str">
        <f ca="1">IFERROR(__xludf.DUMMYFUNCTION("""COMPUTED_VALUE"""),"Los Angeles")</f>
        <v>Los Angeles</v>
      </c>
      <c r="D1355" s="5" t="str">
        <f ca="1">IFERROR(__xludf.DUMMYFUNCTION("""COMPUTED_VALUE"""),"CA")</f>
        <v>CA</v>
      </c>
      <c r="E1355" s="5">
        <f ca="1">IFERROR(__xludf.DUMMYFUNCTION("""COMPUTED_VALUE"""),90035)</f>
        <v>90035</v>
      </c>
      <c r="F1355" s="19">
        <f ca="1">IFERROR(__xludf.DUMMYFUNCTION("""COMPUTED_VALUE"""),5735)</f>
        <v>5735</v>
      </c>
      <c r="G1355" s="19">
        <f ca="1">IFERROR(__xludf.DUMMYFUNCTION("""COMPUTED_VALUE"""),6750)</f>
        <v>6750</v>
      </c>
      <c r="H1355" s="18">
        <f ca="1">IFERROR(__xludf.DUMMYFUNCTION("""COMPUTED_VALUE"""),45676)</f>
        <v>45676</v>
      </c>
      <c r="I1355" s="5" t="str">
        <f ca="1">IFERROR(__xludf.DUMMYFUNCTION("""COMPUTED_VALUE"""),"Zillow")</f>
        <v>Zillow</v>
      </c>
      <c r="J1355" s="25" t="str">
        <f ca="1">IFERROR(__xludf.DUMMYFUNCTION("""COMPUTED_VALUE"""),"https://www.zillow.com/homedetails/5907-Saturn-St-Los-Angeles-CA-90035/119680048_zpid/")</f>
        <v>https://www.zillow.com/homedetails/5907-Saturn-St-Los-Angeles-CA-90035/119680048_zpid/</v>
      </c>
      <c r="K1355" s="5" t="str">
        <f ca="1">IFERROR(__xludf.DUMMYFUNCTION("""COMPUTED_VALUE"""),"Belong (management company)")</f>
        <v>Belong (management company)</v>
      </c>
      <c r="L1355" s="5"/>
      <c r="M1355" s="5"/>
      <c r="N1355" s="5" t="str">
        <f ca="1">IFERROR(__xludf.DUMMYFUNCTION("""COMPUTED_VALUE"""),"https://drive.google.com/open?id=17GHfBd1b9g8oVevxw4wZqCSlBeN7Abfm, https://drive.google.com/open?id=1dusw40UMKP_Ly4vXAp6699tx_BEjaGa6")</f>
        <v>https://drive.google.com/open?id=17GHfBd1b9g8oVevxw4wZqCSlBeN7Abfm, https://drive.google.com/open?id=1dusw40UMKP_Ly4vXAp6699tx_BEjaGa6</v>
      </c>
      <c r="O1355" s="5">
        <f ca="1">IFERROR(__xludf.DUMMYFUNCTION("""COMPUTED_VALUE"""),5068027008)</f>
        <v>5068027008</v>
      </c>
      <c r="P1355" s="5" t="str">
        <f ca="1">IFERROR(__xludf.DUMMYFUNCTION("""COMPUTED_VALUE"""),"(213) 318-4035")</f>
        <v>(213) 318-4035</v>
      </c>
      <c r="Q1355" s="5"/>
      <c r="R1355" s="5"/>
      <c r="S1355" s="5"/>
      <c r="T1355" s="18">
        <f ca="1">IFERROR(__xludf.DUMMYFUNCTION("""COMPUTED_VALUE"""),45642)</f>
        <v>45642</v>
      </c>
    </row>
    <row r="1356" spans="1:20" ht="12.75">
      <c r="A1356" s="24">
        <f ca="1">IFERROR(__xludf.DUMMYFUNCTION("""COMPUTED_VALUE"""),45676.5737801736)</f>
        <v>45676.573780173603</v>
      </c>
      <c r="B1356" s="5" t="str">
        <f ca="1">IFERROR(__xludf.DUMMYFUNCTION("""COMPUTED_VALUE"""),"11677 Montana Ave, Apt 14")</f>
        <v>11677 Montana Ave, Apt 14</v>
      </c>
      <c r="C1356" s="5" t="str">
        <f ca="1">IFERROR(__xludf.DUMMYFUNCTION("""COMPUTED_VALUE"""),"Los Angeles")</f>
        <v>Los Angeles</v>
      </c>
      <c r="D1356" s="5" t="str">
        <f ca="1">IFERROR(__xludf.DUMMYFUNCTION("""COMPUTED_VALUE"""),"CA")</f>
        <v>CA</v>
      </c>
      <c r="E1356" s="5">
        <f ca="1">IFERROR(__xludf.DUMMYFUNCTION("""COMPUTED_VALUE"""),90049)</f>
        <v>90049</v>
      </c>
      <c r="F1356" s="19">
        <f ca="1">IFERROR(__xludf.DUMMYFUNCTION("""COMPUTED_VALUE"""),2150)</f>
        <v>2150</v>
      </c>
      <c r="G1356" s="19">
        <f ca="1">IFERROR(__xludf.DUMMYFUNCTION("""COMPUTED_VALUE"""),2675)</f>
        <v>2675</v>
      </c>
      <c r="H1356" s="18">
        <f ca="1">IFERROR(__xludf.DUMMYFUNCTION("""COMPUTED_VALUE"""),45676)</f>
        <v>45676</v>
      </c>
      <c r="I1356" s="5" t="str">
        <f ca="1">IFERROR(__xludf.DUMMYFUNCTION("""COMPUTED_VALUE"""),"Zillow")</f>
        <v>Zillow</v>
      </c>
      <c r="J1356" s="25" t="str">
        <f ca="1">IFERROR(__xludf.DUMMYFUNCTION("""COMPUTED_VALUE"""),"https://www.zillow.com/homedetails/11677-Montana-Ave-APT-14-Los-Angeles-CA-90049/2110470339_zpid/")</f>
        <v>https://www.zillow.com/homedetails/11677-Montana-Ave-APT-14-Los-Angeles-CA-90049/2110470339_zpid/</v>
      </c>
      <c r="K1356" s="5"/>
      <c r="L1356" s="5" t="str">
        <f ca="1">IFERROR(__xludf.DUMMYFUNCTION("""COMPUTED_VALUE"""),"Ellyn")</f>
        <v>Ellyn</v>
      </c>
      <c r="M1356" s="5"/>
      <c r="N1356" s="5" t="str">
        <f ca="1">IFERROR(__xludf.DUMMYFUNCTION("""COMPUTED_VALUE"""),"https://drive.google.com/open?id=1-KVD2VfQyzb3B3j7BrdLQek6ESiDW5PQ, https://drive.google.com/open?id=1zfmeTnjxHEHiKBnjSxYSAkvXp3X7g4XB")</f>
        <v>https://drive.google.com/open?id=1-KVD2VfQyzb3B3j7BrdLQek6ESiDW5PQ, https://drive.google.com/open?id=1zfmeTnjxHEHiKBnjSxYSAkvXp3X7g4XB</v>
      </c>
      <c r="O1356" s="5" t="str">
        <f ca="1">IFERROR(__xludf.DUMMYFUNCTION("""COMPUTED_VALUE"""),"NA")</f>
        <v>NA</v>
      </c>
      <c r="P1356" s="5"/>
      <c r="Q1356" s="5"/>
      <c r="R1356" s="5" t="str">
        <f ca="1">IFERROR(__xludf.DUMMYFUNCTION("""COMPUTED_VALUE"""),"(213) 442-3661")</f>
        <v>(213) 442-3661</v>
      </c>
      <c r="S1356" s="5"/>
      <c r="T1356" s="18">
        <f ca="1">IFERROR(__xludf.DUMMYFUNCTION("""COMPUTED_VALUE"""),42714)</f>
        <v>42714</v>
      </c>
    </row>
    <row r="1357" spans="1:20" ht="12.75">
      <c r="A1357" s="24">
        <f ca="1">IFERROR(__xludf.DUMMYFUNCTION("""COMPUTED_VALUE"""),45676.5789716319)</f>
        <v>45676.578971631898</v>
      </c>
      <c r="B1357" s="5" t="str">
        <f ca="1">IFERROR(__xludf.DUMMYFUNCTION("""COMPUTED_VALUE"""),"1711 Granville Ave, Apt 1")</f>
        <v>1711 Granville Ave, Apt 1</v>
      </c>
      <c r="C1357" s="5" t="str">
        <f ca="1">IFERROR(__xludf.DUMMYFUNCTION("""COMPUTED_VALUE"""),"Los Angeles")</f>
        <v>Los Angeles</v>
      </c>
      <c r="D1357" s="5" t="str">
        <f ca="1">IFERROR(__xludf.DUMMYFUNCTION("""COMPUTED_VALUE"""),"CA")</f>
        <v>CA</v>
      </c>
      <c r="E1357" s="5">
        <f ca="1">IFERROR(__xludf.DUMMYFUNCTION("""COMPUTED_VALUE"""),90025)</f>
        <v>90025</v>
      </c>
      <c r="F1357" s="19">
        <f ca="1">IFERROR(__xludf.DUMMYFUNCTION("""COMPUTED_VALUE"""),1675)</f>
        <v>1675</v>
      </c>
      <c r="G1357" s="19">
        <f ca="1">IFERROR(__xludf.DUMMYFUNCTION("""COMPUTED_VALUE"""),2095)</f>
        <v>2095</v>
      </c>
      <c r="H1357" s="18">
        <f ca="1">IFERROR(__xludf.DUMMYFUNCTION("""COMPUTED_VALUE"""),45676)</f>
        <v>45676</v>
      </c>
      <c r="I1357" s="5" t="str">
        <f ca="1">IFERROR(__xludf.DUMMYFUNCTION("""COMPUTED_VALUE"""),"Zillow")</f>
        <v>Zillow</v>
      </c>
      <c r="J1357" s="25" t="str">
        <f ca="1">IFERROR(__xludf.DUMMYFUNCTION("""COMPUTED_VALUE"""),"https://www.zillow.com/homedetails/1711-Granville-Ave-APT-9-Los-Angeles-CA-90025/2105670558_zpid/")</f>
        <v>https://www.zillow.com/homedetails/1711-Granville-Ave-APT-9-Los-Angeles-CA-90025/2105670558_zpid/</v>
      </c>
      <c r="K1357" s="5" t="str">
        <f ca="1">IFERROR(__xludf.DUMMYFUNCTION("""COMPUTED_VALUE"""),"LRS Realty &amp; Management, Inc")</f>
        <v>LRS Realty &amp; Management, Inc</v>
      </c>
      <c r="L1357" s="5"/>
      <c r="M1357" s="5"/>
      <c r="N1357" s="5" t="str">
        <f ca="1">IFERROR(__xludf.DUMMYFUNCTION("""COMPUTED_VALUE"""),"https://drive.google.com/open?id=1INC118ScYjLFHUhf2sB01tiOGhOhbSvX, https://drive.google.com/open?id=17wulNxBNZM6nCyMIyy9MXb0-V6Ii4DIB")</f>
        <v>https://drive.google.com/open?id=1INC118ScYjLFHUhf2sB01tiOGhOhbSvX, https://drive.google.com/open?id=17wulNxBNZM6nCyMIyy9MXb0-V6Ii4DIB</v>
      </c>
      <c r="O1357" s="5" t="str">
        <f ca="1">IFERROR(__xludf.DUMMYFUNCTION("""COMPUTED_VALUE"""),"NA")</f>
        <v>NA</v>
      </c>
      <c r="P1357" s="5" t="str">
        <f ca="1">IFERROR(__xludf.DUMMYFUNCTION("""COMPUTED_VALUE"""),"(213) 561-6183")</f>
        <v>(213) 561-6183</v>
      </c>
      <c r="Q1357" s="5"/>
      <c r="R1357" s="5"/>
      <c r="S1357" s="5"/>
      <c r="T1357" s="18">
        <f ca="1">IFERROR(__xludf.DUMMYFUNCTION("""COMPUTED_VALUE"""),44355)</f>
        <v>44355</v>
      </c>
    </row>
    <row r="1358" spans="1:20" ht="12.75">
      <c r="A1358" s="24">
        <f ca="1">IFERROR(__xludf.DUMMYFUNCTION("""COMPUTED_VALUE"""),45676.5852243055)</f>
        <v>45676.585224305498</v>
      </c>
      <c r="B1358" s="5" t="str">
        <f ca="1">IFERROR(__xludf.DUMMYFUNCTION("""COMPUTED_VALUE"""),"10633 Eastborne Ave, Apt 402")</f>
        <v>10633 Eastborne Ave, Apt 402</v>
      </c>
      <c r="C1358" s="5" t="str">
        <f ca="1">IFERROR(__xludf.DUMMYFUNCTION("""COMPUTED_VALUE"""),"Los Angeles")</f>
        <v>Los Angeles</v>
      </c>
      <c r="D1358" s="5" t="str">
        <f ca="1">IFERROR(__xludf.DUMMYFUNCTION("""COMPUTED_VALUE"""),"CA")</f>
        <v>CA</v>
      </c>
      <c r="E1358" s="5">
        <f ca="1">IFERROR(__xludf.DUMMYFUNCTION("""COMPUTED_VALUE"""),90024)</f>
        <v>90024</v>
      </c>
      <c r="F1358" s="19">
        <f ca="1">IFERROR(__xludf.DUMMYFUNCTION("""COMPUTED_VALUE"""),4750)</f>
        <v>4750</v>
      </c>
      <c r="G1358" s="19">
        <f ca="1">IFERROR(__xludf.DUMMYFUNCTION("""COMPUTED_VALUE"""),5300)</f>
        <v>5300</v>
      </c>
      <c r="H1358" s="18">
        <f ca="1">IFERROR(__xludf.DUMMYFUNCTION("""COMPUTED_VALUE"""),45676)</f>
        <v>45676</v>
      </c>
      <c r="I1358" s="5" t="str">
        <f ca="1">IFERROR(__xludf.DUMMYFUNCTION("""COMPUTED_VALUE"""),"Zillow")</f>
        <v>Zillow</v>
      </c>
      <c r="J1358" s="25" t="str">
        <f ca="1">IFERROR(__xludf.DUMMYFUNCTION("""COMPUTED_VALUE"""),"https://www.zillow.com/homedetails/10633-Eastborne-Ave-APT-402-Los-Angeles-CA-90024/2099810656_zpid/")</f>
        <v>https://www.zillow.com/homedetails/10633-Eastborne-Ave-APT-402-Los-Angeles-CA-90024/2099810656_zpid/</v>
      </c>
      <c r="K1358" s="5"/>
      <c r="L1358" s="5" t="str">
        <f ca="1">IFERROR(__xludf.DUMMYFUNCTION("""COMPUTED_VALUE"""),"Nikki Faz")</f>
        <v>Nikki Faz</v>
      </c>
      <c r="M1358" s="5"/>
      <c r="N1358" s="5" t="str">
        <f ca="1">IFERROR(__xludf.DUMMYFUNCTION("""COMPUTED_VALUE"""),"https://drive.google.com/open?id=1YCyFM-NyOpX9Sdr18tck_L73Nma79Oi-, https://drive.google.com/open?id=1I_LjOeixaXw0ZzOmvFVcUhdDRx9BQd26")</f>
        <v>https://drive.google.com/open?id=1YCyFM-NyOpX9Sdr18tck_L73Nma79Oi-, https://drive.google.com/open?id=1I_LjOeixaXw0ZzOmvFVcUhdDRx9BQd26</v>
      </c>
      <c r="O1358" s="5" t="str">
        <f ca="1">IFERROR(__xludf.DUMMYFUNCTION("""COMPUTED_VALUE"""),"NA")</f>
        <v>NA</v>
      </c>
      <c r="P1358" s="5"/>
      <c r="Q1358" s="5"/>
      <c r="R1358" s="5" t="str">
        <f ca="1">IFERROR(__xludf.DUMMYFUNCTION("""COMPUTED_VALUE"""),"(213) 529-3862")</f>
        <v>(213) 529-3862</v>
      </c>
      <c r="S1358" s="5"/>
      <c r="T1358" s="18">
        <f ca="1">IFERROR(__xludf.DUMMYFUNCTION("""COMPUTED_VALUE"""),44958)</f>
        <v>44958</v>
      </c>
    </row>
    <row r="1359" spans="1:20" ht="12.75">
      <c r="A1359" s="24">
        <f ca="1">IFERROR(__xludf.DUMMYFUNCTION("""COMPUTED_VALUE"""),45676.5900009143)</f>
        <v>45676.590000914301</v>
      </c>
      <c r="B1359" s="5" t="str">
        <f ca="1">IFERROR(__xludf.DUMMYFUNCTION("""COMPUTED_VALUE"""),"1947 S Sherbourne Dr, Apt 6")</f>
        <v>1947 S Sherbourne Dr, Apt 6</v>
      </c>
      <c r="C1359" s="5" t="str">
        <f ca="1">IFERROR(__xludf.DUMMYFUNCTION("""COMPUTED_VALUE"""),"Los Angeles")</f>
        <v>Los Angeles</v>
      </c>
      <c r="D1359" s="5" t="str">
        <f ca="1">IFERROR(__xludf.DUMMYFUNCTION("""COMPUTED_VALUE"""),"CA")</f>
        <v>CA</v>
      </c>
      <c r="E1359" s="5">
        <f ca="1">IFERROR(__xludf.DUMMYFUNCTION("""COMPUTED_VALUE"""),90034)</f>
        <v>90034</v>
      </c>
      <c r="F1359" s="19">
        <f ca="1">IFERROR(__xludf.DUMMYFUNCTION("""COMPUTED_VALUE"""),2899)</f>
        <v>2899</v>
      </c>
      <c r="G1359" s="19">
        <f ca="1">IFERROR(__xludf.DUMMYFUNCTION("""COMPUTED_VALUE"""),3495)</f>
        <v>3495</v>
      </c>
      <c r="H1359" s="18">
        <f ca="1">IFERROR(__xludf.DUMMYFUNCTION("""COMPUTED_VALUE"""),45676)</f>
        <v>45676</v>
      </c>
      <c r="I1359" s="5" t="str">
        <f ca="1">IFERROR(__xludf.DUMMYFUNCTION("""COMPUTED_VALUE"""),"Zillow")</f>
        <v>Zillow</v>
      </c>
      <c r="J1359" s="25" t="str">
        <f ca="1">IFERROR(__xludf.DUMMYFUNCTION("""COMPUTED_VALUE"""),"https://www.zillow.com/homedetails/1947-S-Sherbourne-Dr-APT-6-Los-Angeles-CA-90034/2091331364_zpid/")</f>
        <v>https://www.zillow.com/homedetails/1947-S-Sherbourne-Dr-APT-6-Los-Angeles-CA-90034/2091331364_zpid/</v>
      </c>
      <c r="K1359" s="5"/>
      <c r="L1359" s="5" t="str">
        <f ca="1">IFERROR(__xludf.DUMMYFUNCTION("""COMPUTED_VALUE"""),"Gill Gill")</f>
        <v>Gill Gill</v>
      </c>
      <c r="M1359" s="5"/>
      <c r="N1359" s="5" t="str">
        <f ca="1">IFERROR(__xludf.DUMMYFUNCTION("""COMPUTED_VALUE"""),"https://drive.google.com/open?id=1PfSFEMn0kD89nST2UTiN8LPIvqXYQt_4, https://drive.google.com/open?id=1VRNixx43_YLhA3YNR6mNIU6bEQLz7z1R")</f>
        <v>https://drive.google.com/open?id=1PfSFEMn0kD89nST2UTiN8LPIvqXYQt_4, https://drive.google.com/open?id=1VRNixx43_YLhA3YNR6mNIU6bEQLz7z1R</v>
      </c>
      <c r="O1359" s="5" t="str">
        <f ca="1">IFERROR(__xludf.DUMMYFUNCTION("""COMPUTED_VALUE"""),"NA")</f>
        <v>NA</v>
      </c>
      <c r="P1359" s="5"/>
      <c r="Q1359" s="5"/>
      <c r="R1359" s="5" t="str">
        <f ca="1">IFERROR(__xludf.DUMMYFUNCTION("""COMPUTED_VALUE"""),"(310) 871-3907")</f>
        <v>(310) 871-3907</v>
      </c>
      <c r="S1359" s="5"/>
      <c r="T1359" s="18">
        <f ca="1">IFERROR(__xludf.DUMMYFUNCTION("""COMPUTED_VALUE"""),44446)</f>
        <v>44446</v>
      </c>
    </row>
    <row r="1360" spans="1:20" ht="12.75">
      <c r="A1360" s="24">
        <f ca="1">IFERROR(__xludf.DUMMYFUNCTION("""COMPUTED_VALUE"""),45676.5937376504)</f>
        <v>45676.593737650401</v>
      </c>
      <c r="B1360" s="5" t="str">
        <f ca="1">IFERROR(__xludf.DUMMYFUNCTION("""COMPUTED_VALUE"""),"906 S Wooster St, Apt 301")</f>
        <v>906 S Wooster St, Apt 301</v>
      </c>
      <c r="C1360" s="5" t="str">
        <f ca="1">IFERROR(__xludf.DUMMYFUNCTION("""COMPUTED_VALUE"""),"Los Angeles")</f>
        <v>Los Angeles</v>
      </c>
      <c r="D1360" s="5" t="str">
        <f ca="1">IFERROR(__xludf.DUMMYFUNCTION("""COMPUTED_VALUE"""),"CA")</f>
        <v>CA</v>
      </c>
      <c r="E1360" s="5">
        <f ca="1">IFERROR(__xludf.DUMMYFUNCTION("""COMPUTED_VALUE"""),90035)</f>
        <v>90035</v>
      </c>
      <c r="F1360" s="19">
        <f ca="1">IFERROR(__xludf.DUMMYFUNCTION("""COMPUTED_VALUE"""),3095)</f>
        <v>3095</v>
      </c>
      <c r="G1360" s="19">
        <f ca="1">IFERROR(__xludf.DUMMYFUNCTION("""COMPUTED_VALUE"""),3595)</f>
        <v>3595</v>
      </c>
      <c r="H1360" s="18">
        <f ca="1">IFERROR(__xludf.DUMMYFUNCTION("""COMPUTED_VALUE"""),45676)</f>
        <v>45676</v>
      </c>
      <c r="I1360" s="5" t="str">
        <f ca="1">IFERROR(__xludf.DUMMYFUNCTION("""COMPUTED_VALUE"""),"Zillow")</f>
        <v>Zillow</v>
      </c>
      <c r="J1360" s="25" t="str">
        <f ca="1">IFERROR(__xludf.DUMMYFUNCTION("""COMPUTED_VALUE"""),"https://www.zillow.com/homedetails/906-S-Wooster-St-APT-301-Los-Angeles-CA-90035/2078903979_zpid/")</f>
        <v>https://www.zillow.com/homedetails/906-S-Wooster-St-APT-301-Los-Angeles-CA-90035/2078903979_zpid/</v>
      </c>
      <c r="K1360" s="5" t="str">
        <f ca="1">IFERROR(__xludf.DUMMYFUNCTION("""COMPUTED_VALUE"""),"Dmitriy Zaretski")</f>
        <v>Dmitriy Zaretski</v>
      </c>
      <c r="L1360" s="5"/>
      <c r="M1360" s="5"/>
      <c r="N1360" s="5" t="str">
        <f ca="1">IFERROR(__xludf.DUMMYFUNCTION("""COMPUTED_VALUE"""),"https://drive.google.com/open?id=1OFlu7a938g_2N_EUbHsxAGaaK7dWTOEU, https://drive.google.com/open?id=10cmdWjK9F-E56ZS351RZeJW_bixGRWuO")</f>
        <v>https://drive.google.com/open?id=1OFlu7a938g_2N_EUbHsxAGaaK7dWTOEU, https://drive.google.com/open?id=10cmdWjK9F-E56ZS351RZeJW_bixGRWuO</v>
      </c>
      <c r="O1360" s="5" t="str">
        <f ca="1">IFERROR(__xludf.DUMMYFUNCTION("""COMPUTED_VALUE"""),"NA")</f>
        <v>NA</v>
      </c>
      <c r="P1360" s="5" t="str">
        <f ca="1">IFERROR(__xludf.DUMMYFUNCTION("""COMPUTED_VALUE"""),"(213) 528-3182")</f>
        <v>(213) 528-3182</v>
      </c>
      <c r="Q1360" s="5"/>
      <c r="R1360" s="5"/>
      <c r="S1360" s="5"/>
      <c r="T1360" s="18">
        <f ca="1">IFERROR(__xludf.DUMMYFUNCTION("""COMPUTED_VALUE"""),44042)</f>
        <v>44042</v>
      </c>
    </row>
    <row r="1361" spans="1:20" ht="12.75">
      <c r="A1361" s="24">
        <f ca="1">IFERROR(__xludf.DUMMYFUNCTION("""COMPUTED_VALUE"""),45676.6242498726)</f>
        <v>45676.624249872599</v>
      </c>
      <c r="B1361" s="5" t="str">
        <f ca="1">IFERROR(__xludf.DUMMYFUNCTION("""COMPUTED_VALUE"""),"5541 Bellaire Ave")</f>
        <v>5541 Bellaire Ave</v>
      </c>
      <c r="C1361" s="5" t="str">
        <f ca="1">IFERROR(__xludf.DUMMYFUNCTION("""COMPUTED_VALUE"""),"Valley Village")</f>
        <v>Valley Village</v>
      </c>
      <c r="D1361" s="5" t="str">
        <f ca="1">IFERROR(__xludf.DUMMYFUNCTION("""COMPUTED_VALUE"""),"CA")</f>
        <v>CA</v>
      </c>
      <c r="E1361" s="5">
        <f ca="1">IFERROR(__xludf.DUMMYFUNCTION("""COMPUTED_VALUE"""),91607)</f>
        <v>91607</v>
      </c>
      <c r="F1361" s="19">
        <f ca="1">IFERROR(__xludf.DUMMYFUNCTION("""COMPUTED_VALUE"""),6995)</f>
        <v>6995</v>
      </c>
      <c r="G1361" s="19">
        <f ca="1">IFERROR(__xludf.DUMMYFUNCTION("""COMPUTED_VALUE"""),8495)</f>
        <v>8495</v>
      </c>
      <c r="H1361" s="18">
        <f ca="1">IFERROR(__xludf.DUMMYFUNCTION("""COMPUTED_VALUE"""),45676)</f>
        <v>45676</v>
      </c>
      <c r="I1361" s="5" t="str">
        <f ca="1">IFERROR(__xludf.DUMMYFUNCTION("""COMPUTED_VALUE"""),"Zillow")</f>
        <v>Zillow</v>
      </c>
      <c r="J1361" s="25" t="str">
        <f ca="1">IFERROR(__xludf.DUMMYFUNCTION("""COMPUTED_VALUE"""),"https://www.zillow.com/homedetails/5541-Bellaire-Ave-Valley-Village-CA-91607/20016625_zpid/")</f>
        <v>https://www.zillow.com/homedetails/5541-Bellaire-Ave-Valley-Village-CA-91607/20016625_zpid/</v>
      </c>
      <c r="K1361" s="5" t="str">
        <f ca="1">IFERROR(__xludf.DUMMYFUNCTION("""COMPUTED_VALUE"""),"Holly Hakimian")</f>
        <v>Holly Hakimian</v>
      </c>
      <c r="L1361" s="5"/>
      <c r="M1361" s="5"/>
      <c r="N1361" s="5" t="str">
        <f ca="1">IFERROR(__xludf.DUMMYFUNCTION("""COMPUTED_VALUE"""),"https://drive.google.com/open?id=1WEcSdaL3dX9NrK-XDXPBq-Y_qG4TV00J, https://drive.google.com/open?id=1GFXnIF6M2yX6ZEkRtUEweJG7eVE-31uH, https://drive.google.com/open?id=1p5NENU_s8GMIIdUmKWUWKu-oVB6CPA37, https://drive.google.com/open?id=1vv-UiM0Pz9NhUcjs4"&amp;"R6TkDDhD5aRxoJ2, https://drive.google.com/open?id=16LsPz3c-JDVXYn96tVJPgwFLxZjYnt_3")</f>
        <v>https://drive.google.com/open?id=1WEcSdaL3dX9NrK-XDXPBq-Y_qG4TV00J, https://drive.google.com/open?id=1GFXnIF6M2yX6ZEkRtUEweJG7eVE-31uH, https://drive.google.com/open?id=1p5NENU_s8GMIIdUmKWUWKu-oVB6CPA37, https://drive.google.com/open?id=1vv-UiM0Pz9NhUcjs4R6TkDDhD5aRxoJ2, https://drive.google.com/open?id=16LsPz3c-JDVXYn96tVJPgwFLxZjYnt_3</v>
      </c>
      <c r="O1361" s="5">
        <f ca="1">IFERROR(__xludf.DUMMYFUNCTION("""COMPUTED_VALUE"""),2346028002)</f>
        <v>2346028002</v>
      </c>
      <c r="P1361" s="5" t="str">
        <f ca="1">IFERROR(__xludf.DUMMYFUNCTION("""COMPUTED_VALUE"""),"(310) 699-9363")</f>
        <v>(310) 699-9363</v>
      </c>
      <c r="Q1361" s="5"/>
      <c r="R1361" s="5"/>
      <c r="S1361" s="5"/>
      <c r="T1361" s="18">
        <f ca="1">IFERROR(__xludf.DUMMYFUNCTION("""COMPUTED_VALUE"""),45591)</f>
        <v>45591</v>
      </c>
    </row>
    <row r="1362" spans="1:20" ht="12.75">
      <c r="A1362" s="24">
        <f ca="1">IFERROR(__xludf.DUMMYFUNCTION("""COMPUTED_VALUE"""),45676.6456921875)</f>
        <v>45676.6456921875</v>
      </c>
      <c r="B1362" s="5" t="str">
        <f ca="1">IFERROR(__xludf.DUMMYFUNCTION("""COMPUTED_VALUE"""),"2585 Windsor Ave")</f>
        <v>2585 Windsor Ave</v>
      </c>
      <c r="C1362" s="5" t="str">
        <f ca="1">IFERROR(__xludf.DUMMYFUNCTION("""COMPUTED_VALUE"""),"Altadena")</f>
        <v>Altadena</v>
      </c>
      <c r="D1362" s="5" t="str">
        <f ca="1">IFERROR(__xludf.DUMMYFUNCTION("""COMPUTED_VALUE"""),"CA")</f>
        <v>CA</v>
      </c>
      <c r="E1362" s="5">
        <f ca="1">IFERROR(__xludf.DUMMYFUNCTION("""COMPUTED_VALUE"""),91001)</f>
        <v>91001</v>
      </c>
      <c r="F1362" s="19">
        <f ca="1">IFERROR(__xludf.DUMMYFUNCTION("""COMPUTED_VALUE"""),4200)</f>
        <v>4200</v>
      </c>
      <c r="G1362" s="19">
        <f ca="1">IFERROR(__xludf.DUMMYFUNCTION("""COMPUTED_VALUE"""),8000)</f>
        <v>8000</v>
      </c>
      <c r="H1362" s="18">
        <f ca="1">IFERROR(__xludf.DUMMYFUNCTION("""COMPUTED_VALUE"""),45676)</f>
        <v>45676</v>
      </c>
      <c r="I1362" s="5" t="str">
        <f ca="1">IFERROR(__xludf.DUMMYFUNCTION("""COMPUTED_VALUE"""),"Zillow")</f>
        <v>Zillow</v>
      </c>
      <c r="J1362" s="25" t="str">
        <f ca="1">IFERROR(__xludf.DUMMYFUNCTION("""COMPUTED_VALUE"""),"https://www.zillow.com/homedetails/2585-Windsor-Ave-Altadena-CA-91001/20907140_zpid/")</f>
        <v>https://www.zillow.com/homedetails/2585-Windsor-Ave-Altadena-CA-91001/20907140_zpid/</v>
      </c>
      <c r="K1362" s="5" t="str">
        <f ca="1">IFERROR(__xludf.DUMMYFUNCTION("""COMPUTED_VALUE"""),"Kevork Kirk Garibian - VELK Property Management Group")</f>
        <v>Kevork Kirk Garibian - VELK Property Management Group</v>
      </c>
      <c r="L1362" s="5"/>
      <c r="M1362" s="5"/>
      <c r="N1362" s="26" t="str">
        <f ca="1">IFERROR(__xludf.DUMMYFUNCTION("""COMPUTED_VALUE"""),"https://drive.google.com/open?id=1yNtw4ccKsDj35Kxo0o9qV-u_E2Zz7aSg")</f>
        <v>https://drive.google.com/open?id=1yNtw4ccKsDj35Kxo0o9qV-u_E2Zz7aSg</v>
      </c>
      <c r="O1362" s="5">
        <f ca="1">IFERROR(__xludf.DUMMYFUNCTION("""COMPUTED_VALUE"""),5823011001)</f>
        <v>5823011001</v>
      </c>
      <c r="P1362" s="5" t="str">
        <f ca="1">IFERROR(__xludf.DUMMYFUNCTION("""COMPUTED_VALUE"""),"(626) 665-3457")</f>
        <v>(626) 665-3457</v>
      </c>
      <c r="Q1362" s="5"/>
      <c r="R1362" s="5"/>
      <c r="S1362" s="5"/>
      <c r="T1362" s="5"/>
    </row>
    <row r="1363" spans="1:20" ht="12.75">
      <c r="A1363" s="24">
        <f ca="1">IFERROR(__xludf.DUMMYFUNCTION("""COMPUTED_VALUE"""),45676.6546172106)</f>
        <v>45676.654617210603</v>
      </c>
      <c r="B1363" s="5" t="str">
        <f ca="1">IFERROR(__xludf.DUMMYFUNCTION("""COMPUTED_VALUE"""),"1721 West Silver Lake Drive")</f>
        <v>1721 West Silver Lake Drive</v>
      </c>
      <c r="C1363" s="5" t="str">
        <f ca="1">IFERROR(__xludf.DUMMYFUNCTION("""COMPUTED_VALUE"""),"Los Angeles")</f>
        <v>Los Angeles</v>
      </c>
      <c r="D1363" s="5" t="str">
        <f ca="1">IFERROR(__xludf.DUMMYFUNCTION("""COMPUTED_VALUE"""),"CA")</f>
        <v>CA</v>
      </c>
      <c r="E1363" s="5">
        <f ca="1">IFERROR(__xludf.DUMMYFUNCTION("""COMPUTED_VALUE"""),90026)</f>
        <v>90026</v>
      </c>
      <c r="F1363" s="19">
        <f ca="1">IFERROR(__xludf.DUMMYFUNCTION("""COMPUTED_VALUE"""),3490)</f>
        <v>3490</v>
      </c>
      <c r="G1363" s="19">
        <f ca="1">IFERROR(__xludf.DUMMYFUNCTION("""COMPUTED_VALUE"""),3890)</f>
        <v>3890</v>
      </c>
      <c r="H1363" s="18">
        <f ca="1">IFERROR(__xludf.DUMMYFUNCTION("""COMPUTED_VALUE"""),45676)</f>
        <v>45676</v>
      </c>
      <c r="I1363" s="5" t="str">
        <f ca="1">IFERROR(__xludf.DUMMYFUNCTION("""COMPUTED_VALUE"""),"Trulia")</f>
        <v>Trulia</v>
      </c>
      <c r="J1363" s="25" t="str">
        <f ca="1">IFERROR(__xludf.DUMMYFUNCTION("""COMPUTED_VALUE"""),"https://www.trulia.com/home/address-not-disclosed-los-angeles-ca-90026-2081258869?cid=shr%7Capp_ios_main_phone%7Crent%7Cpdp_share")</f>
        <v>https://www.trulia.com/home/address-not-disclosed-los-angeles-ca-90026-2081258869?cid=shr%7Capp_ios_main_phone%7Crent%7Cpdp_share</v>
      </c>
      <c r="K1363" s="5"/>
      <c r="L1363" s="5"/>
      <c r="M1363" s="5"/>
      <c r="N1363" s="26" t="str">
        <f ca="1">IFERROR(__xludf.DUMMYFUNCTION("""COMPUTED_VALUE"""),"https://drive.google.com/open?id=19zshL4biZGBF-606JXVNbMFxIcOVmeJ2")</f>
        <v>https://drive.google.com/open?id=19zshL4biZGBF-606JXVNbMFxIcOVmeJ2</v>
      </c>
      <c r="O1363" s="5" t="str">
        <f ca="1">IFERROR(__xludf.DUMMYFUNCTION("""COMPUTED_VALUE"""),"NA")</f>
        <v>NA</v>
      </c>
      <c r="P1363" s="5"/>
      <c r="Q1363" s="5"/>
      <c r="R1363" s="5"/>
      <c r="S1363" s="5"/>
      <c r="T1363" s="18">
        <f ca="1">IFERROR(__xludf.DUMMYFUNCTION("""COMPUTED_VALUE"""),45670)</f>
        <v>45670</v>
      </c>
    </row>
    <row r="1364" spans="1:20" ht="12.75">
      <c r="A1364" s="24">
        <f ca="1">IFERROR(__xludf.DUMMYFUNCTION("""COMPUTED_VALUE"""),45676.6565079745)</f>
        <v>45676.656507974498</v>
      </c>
      <c r="B1364" s="5" t="str">
        <f ca="1">IFERROR(__xludf.DUMMYFUNCTION("""COMPUTED_VALUE"""),"7661 Atron Ave")</f>
        <v>7661 Atron Ave</v>
      </c>
      <c r="C1364" s="5" t="str">
        <f ca="1">IFERROR(__xludf.DUMMYFUNCTION("""COMPUTED_VALUE"""),"Canoga Park")</f>
        <v>Canoga Park</v>
      </c>
      <c r="D1364" s="5" t="str">
        <f ca="1">IFERROR(__xludf.DUMMYFUNCTION("""COMPUTED_VALUE"""),"CA")</f>
        <v>CA</v>
      </c>
      <c r="E1364" s="5">
        <f ca="1">IFERROR(__xludf.DUMMYFUNCTION("""COMPUTED_VALUE"""),91304)</f>
        <v>91304</v>
      </c>
      <c r="F1364" s="19">
        <f ca="1">IFERROR(__xludf.DUMMYFUNCTION("""COMPUTED_VALUE"""),3600)</f>
        <v>3600</v>
      </c>
      <c r="G1364" s="19">
        <f ca="1">IFERROR(__xludf.DUMMYFUNCTION("""COMPUTED_VALUE"""),4200)</f>
        <v>4200</v>
      </c>
      <c r="H1364" s="18">
        <f ca="1">IFERROR(__xludf.DUMMYFUNCTION("""COMPUTED_VALUE"""),45676)</f>
        <v>45676</v>
      </c>
      <c r="I1364" s="5" t="str">
        <f ca="1">IFERROR(__xludf.DUMMYFUNCTION("""COMPUTED_VALUE"""),"Zillow")</f>
        <v>Zillow</v>
      </c>
      <c r="J1364" s="25" t="str">
        <f ca="1">IFERROR(__xludf.DUMMYFUNCTION("""COMPUTED_VALUE"""),"https://www.zillow.com/homedetails/7661-Atron-Ave-Canoga-Park-CA-91304/19869515_zpid/")</f>
        <v>https://www.zillow.com/homedetails/7661-Atron-Ave-Canoga-Park-CA-91304/19869515_zpid/</v>
      </c>
      <c r="K1364" s="5"/>
      <c r="L1364" s="5" t="str">
        <f ca="1">IFERROR(__xludf.DUMMYFUNCTION("""COMPUTED_VALUE"""),"Adam")</f>
        <v>Adam</v>
      </c>
      <c r="M1364" s="5"/>
      <c r="N1364" s="5" t="str">
        <f ca="1">IFERROR(__xludf.DUMMYFUNCTION("""COMPUTED_VALUE"""),"https://drive.google.com/open?id=1n3C2hxGExYIiFsG-9dmSSGGxOyT6a1Uy, https://drive.google.com/open?id=1qoXRJN1Ct80epRU8OrOuJonyjT7mjLcH")</f>
        <v>https://drive.google.com/open?id=1n3C2hxGExYIiFsG-9dmSSGGxOyT6a1Uy, https://drive.google.com/open?id=1qoXRJN1Ct80epRU8OrOuJonyjT7mjLcH</v>
      </c>
      <c r="O1364" s="5">
        <f ca="1">IFERROR(__xludf.DUMMYFUNCTION("""COMPUTED_VALUE"""),2027001021)</f>
        <v>2027001021</v>
      </c>
      <c r="P1364" s="5"/>
      <c r="Q1364" s="5"/>
      <c r="R1364" s="5" t="str">
        <f ca="1">IFERROR(__xludf.DUMMYFUNCTION("""COMPUTED_VALUE"""),"(818) 536-1659")</f>
        <v>(818) 536-1659</v>
      </c>
      <c r="S1364" s="5"/>
      <c r="T1364" s="18">
        <f ca="1">IFERROR(__xludf.DUMMYFUNCTION("""COMPUTED_VALUE"""),43778)</f>
        <v>43778</v>
      </c>
    </row>
    <row r="1365" spans="1:20" ht="12.75">
      <c r="A1365" s="24">
        <f ca="1">IFERROR(__xludf.DUMMYFUNCTION("""COMPUTED_VALUE"""),45676.6641346875)</f>
        <v>45676.664134687497</v>
      </c>
      <c r="B1365" s="5" t="str">
        <f ca="1">IFERROR(__xludf.DUMMYFUNCTION("""COMPUTED_VALUE"""),"10757 Palms Blvd #9")</f>
        <v>10757 Palms Blvd #9</v>
      </c>
      <c r="C1365" s="5" t="str">
        <f ca="1">IFERROR(__xludf.DUMMYFUNCTION("""COMPUTED_VALUE"""),"Los Angeles")</f>
        <v>Los Angeles</v>
      </c>
      <c r="D1365" s="5" t="str">
        <f ca="1">IFERROR(__xludf.DUMMYFUNCTION("""COMPUTED_VALUE"""),"CA")</f>
        <v>CA</v>
      </c>
      <c r="E1365" s="5">
        <f ca="1">IFERROR(__xludf.DUMMYFUNCTION("""COMPUTED_VALUE"""),90034)</f>
        <v>90034</v>
      </c>
      <c r="F1365" s="19">
        <f ca="1">IFERROR(__xludf.DUMMYFUNCTION("""COMPUTED_VALUE"""),2889)</f>
        <v>2889</v>
      </c>
      <c r="G1365" s="19">
        <f ca="1">IFERROR(__xludf.DUMMYFUNCTION("""COMPUTED_VALUE"""),3195)</f>
        <v>3195</v>
      </c>
      <c r="H1365" s="18">
        <f ca="1">IFERROR(__xludf.DUMMYFUNCTION("""COMPUTED_VALUE"""),45676)</f>
        <v>45676</v>
      </c>
      <c r="I1365" s="5" t="str">
        <f ca="1">IFERROR(__xludf.DUMMYFUNCTION("""COMPUTED_VALUE"""),"Zillow")</f>
        <v>Zillow</v>
      </c>
      <c r="J1365" s="25" t="str">
        <f ca="1">IFERROR(__xludf.DUMMYFUNCTION("""COMPUTED_VALUE"""),"https://www.zillow.com/homedetails/10757-Palms-Blvd-9-Los-Angeles-CA-90034/401748346_zpid/")</f>
        <v>https://www.zillow.com/homedetails/10757-Palms-Blvd-9-Los-Angeles-CA-90034/401748346_zpid/</v>
      </c>
      <c r="K1365" s="5" t="str">
        <f ca="1">IFERROR(__xludf.DUMMYFUNCTION("""COMPUTED_VALUE"""),"Anna - STliving")</f>
        <v>Anna - STliving</v>
      </c>
      <c r="L1365" s="5"/>
      <c r="M1365" s="5"/>
      <c r="N1365" s="5" t="str">
        <f ca="1">IFERROR(__xludf.DUMMYFUNCTION("""COMPUTED_VALUE"""),"https://drive.google.com/open?id=1bHXupTVNJhEC_u99kKrvip1B17IiLeLY, https://drive.google.com/open?id=10CqfdJjSup45v457z4fOVDEShCckwAlO")</f>
        <v>https://drive.google.com/open?id=1bHXupTVNJhEC_u99kKrvip1B17IiLeLY, https://drive.google.com/open?id=10CqfdJjSup45v457z4fOVDEShCckwAlO</v>
      </c>
      <c r="O1365" s="5" t="str">
        <f ca="1">IFERROR(__xludf.DUMMYFUNCTION("""COMPUTED_VALUE"""),"NA")</f>
        <v>NA</v>
      </c>
      <c r="P1365" s="5" t="str">
        <f ca="1">IFERROR(__xludf.DUMMYFUNCTION("""COMPUTED_VALUE"""),"(424) 213-0010")</f>
        <v>(424) 213-0010</v>
      </c>
      <c r="Q1365" s="5"/>
      <c r="R1365" s="5"/>
      <c r="S1365" s="5"/>
      <c r="T1365" s="18">
        <f ca="1">IFERROR(__xludf.DUMMYFUNCTION("""COMPUTED_VALUE"""),45608)</f>
        <v>45608</v>
      </c>
    </row>
    <row r="1366" spans="1:20" ht="12.75">
      <c r="A1366" s="24">
        <f ca="1">IFERROR(__xludf.DUMMYFUNCTION("""COMPUTED_VALUE"""),45676.6697878125)</f>
        <v>45676.669787812498</v>
      </c>
      <c r="B1366" s="5" t="str">
        <f ca="1">IFERROR(__xludf.DUMMYFUNCTION("""COMPUTED_VALUE"""),"5541 Bellaire Ave")</f>
        <v>5541 Bellaire Ave</v>
      </c>
      <c r="C1366" s="5" t="str">
        <f ca="1">IFERROR(__xludf.DUMMYFUNCTION("""COMPUTED_VALUE"""),"Valley Village")</f>
        <v>Valley Village</v>
      </c>
      <c r="D1366" s="5" t="str">
        <f ca="1">IFERROR(__xludf.DUMMYFUNCTION("""COMPUTED_VALUE"""),"CA")</f>
        <v>CA</v>
      </c>
      <c r="E1366" s="5">
        <f ca="1">IFERROR(__xludf.DUMMYFUNCTION("""COMPUTED_VALUE"""),91607)</f>
        <v>91607</v>
      </c>
      <c r="F1366" s="19">
        <f ca="1">IFERROR(__xludf.DUMMYFUNCTION("""COMPUTED_VALUE"""),6995)</f>
        <v>6995</v>
      </c>
      <c r="G1366" s="19">
        <f ca="1">IFERROR(__xludf.DUMMYFUNCTION("""COMPUTED_VALUE"""),8495)</f>
        <v>8495</v>
      </c>
      <c r="H1366" s="18">
        <f ca="1">IFERROR(__xludf.DUMMYFUNCTION("""COMPUTED_VALUE"""),45676)</f>
        <v>45676</v>
      </c>
      <c r="I1366" s="5" t="str">
        <f ca="1">IFERROR(__xludf.DUMMYFUNCTION("""COMPUTED_VALUE"""),"Zillow")</f>
        <v>Zillow</v>
      </c>
      <c r="J1366" s="25" t="str">
        <f ca="1">IFERROR(__xludf.DUMMYFUNCTION("""COMPUTED_VALUE"""),"https://www.zillow.com/homedetails/5541-Bellaire-Ave-Valley-Village-CA-91607/20016625_zpid/")</f>
        <v>https://www.zillow.com/homedetails/5541-Bellaire-Ave-Valley-Village-CA-91607/20016625_zpid/</v>
      </c>
      <c r="K1366" s="5" t="str">
        <f ca="1">IFERROR(__xludf.DUMMYFUNCTION("""COMPUTED_VALUE"""),"Holly Hakimian")</f>
        <v>Holly Hakimian</v>
      </c>
      <c r="L1366" s="5"/>
      <c r="M1366" s="5"/>
      <c r="N1366" s="5" t="str">
        <f ca="1">IFERROR(__xludf.DUMMYFUNCTION("""COMPUTED_VALUE"""),"https://drive.google.com/open?id=1T5JmL1gb_oP19FOm_NoyQBT0J4M5p49-, https://drive.google.com/open?id=1e3h0pzcNuKupcdMJEosNPO-epEbYG0dV")</f>
        <v>https://drive.google.com/open?id=1T5JmL1gb_oP19FOm_NoyQBT0J4M5p49-, https://drive.google.com/open?id=1e3h0pzcNuKupcdMJEosNPO-epEbYG0dV</v>
      </c>
      <c r="O1366" s="5">
        <f ca="1">IFERROR(__xludf.DUMMYFUNCTION("""COMPUTED_VALUE"""),2346028002)</f>
        <v>2346028002</v>
      </c>
      <c r="P1366" s="5" t="str">
        <f ca="1">IFERROR(__xludf.DUMMYFUNCTION("""COMPUTED_VALUE"""),"(310) 699-9363")</f>
        <v>(310) 699-9363</v>
      </c>
      <c r="Q1366" s="5"/>
      <c r="R1366" s="5"/>
      <c r="S1366" s="5"/>
      <c r="T1366" s="18">
        <f ca="1">IFERROR(__xludf.DUMMYFUNCTION("""COMPUTED_VALUE"""),45591)</f>
        <v>45591</v>
      </c>
    </row>
    <row r="1367" spans="1:20" ht="12.75">
      <c r="A1367" s="24">
        <f ca="1">IFERROR(__xludf.DUMMYFUNCTION("""COMPUTED_VALUE"""),45676.6761942245)</f>
        <v>45676.676194224499</v>
      </c>
      <c r="B1367" s="5" t="str">
        <f ca="1">IFERROR(__xludf.DUMMYFUNCTION("""COMPUTED_VALUE"""),"1630 S Gramercy Pl APT 2")</f>
        <v>1630 S Gramercy Pl APT 2</v>
      </c>
      <c r="C1367" s="5" t="str">
        <f ca="1">IFERROR(__xludf.DUMMYFUNCTION("""COMPUTED_VALUE"""),"Los Angeles")</f>
        <v>Los Angeles</v>
      </c>
      <c r="D1367" s="5" t="str">
        <f ca="1">IFERROR(__xludf.DUMMYFUNCTION("""COMPUTED_VALUE"""),"CA")</f>
        <v>CA</v>
      </c>
      <c r="E1367" s="5">
        <f ca="1">IFERROR(__xludf.DUMMYFUNCTION("""COMPUTED_VALUE"""),90019)</f>
        <v>90019</v>
      </c>
      <c r="F1367" s="19">
        <f ca="1">IFERROR(__xludf.DUMMYFUNCTION("""COMPUTED_VALUE"""),2395)</f>
        <v>2395</v>
      </c>
      <c r="G1367" s="19">
        <f ca="1">IFERROR(__xludf.DUMMYFUNCTION("""COMPUTED_VALUE"""),2999)</f>
        <v>2999</v>
      </c>
      <c r="H1367" s="18">
        <f ca="1">IFERROR(__xludf.DUMMYFUNCTION("""COMPUTED_VALUE"""),45676)</f>
        <v>45676</v>
      </c>
      <c r="I1367" s="5" t="str">
        <f ca="1">IFERROR(__xludf.DUMMYFUNCTION("""COMPUTED_VALUE"""),"Zillow")</f>
        <v>Zillow</v>
      </c>
      <c r="J1367" s="25" t="str">
        <f ca="1">IFERROR(__xludf.DUMMYFUNCTION("""COMPUTED_VALUE"""),"https://www.zillow.com/homedetails/1630-S-Gramercy-Pl-APT-2-Los-Angeles-CA-90019/2087232826_zpid/")</f>
        <v>https://www.zillow.com/homedetails/1630-S-Gramercy-Pl-APT-2-Los-Angeles-CA-90019/2087232826_zpid/</v>
      </c>
      <c r="K1367" s="5" t="str">
        <f ca="1">IFERROR(__xludf.DUMMYFUNCTION("""COMPUTED_VALUE"""),"Charles You")</f>
        <v>Charles You</v>
      </c>
      <c r="L1367" s="5"/>
      <c r="M1367" s="5"/>
      <c r="N1367" s="5" t="str">
        <f ca="1">IFERROR(__xludf.DUMMYFUNCTION("""COMPUTED_VALUE"""),"https://drive.google.com/open?id=1-3oOFv6OWW_mDoLtkBah2omjBGpBqMKT, https://drive.google.com/open?id=16FFPMjC0f8tDGem9UFd7sljPh1_jGT-m")</f>
        <v>https://drive.google.com/open?id=1-3oOFv6OWW_mDoLtkBah2omjBGpBqMKT, https://drive.google.com/open?id=16FFPMjC0f8tDGem9UFd7sljPh1_jGT-m</v>
      </c>
      <c r="O1367" s="5" t="str">
        <f ca="1">IFERROR(__xludf.DUMMYFUNCTION("""COMPUTED_VALUE"""),"NA")</f>
        <v>NA</v>
      </c>
      <c r="P1367" s="5" t="str">
        <f ca="1">IFERROR(__xludf.DUMMYFUNCTION("""COMPUTED_VALUE"""),"(213) 682-2702")</f>
        <v>(213) 682-2702</v>
      </c>
      <c r="Q1367" s="5"/>
      <c r="R1367" s="5"/>
      <c r="S1367" s="5"/>
      <c r="T1367" s="18">
        <f ca="1">IFERROR(__xludf.DUMMYFUNCTION("""COMPUTED_VALUE"""),43504)</f>
        <v>43504</v>
      </c>
    </row>
    <row r="1368" spans="1:20" ht="12.75">
      <c r="A1368" s="24">
        <f ca="1">IFERROR(__xludf.DUMMYFUNCTION("""COMPUTED_VALUE"""),45676.6797081481)</f>
        <v>45676.679708148098</v>
      </c>
      <c r="B1368" s="5" t="str">
        <f ca="1">IFERROR(__xludf.DUMMYFUNCTION("""COMPUTED_VALUE"""),"836 Pacific St")</f>
        <v>836 Pacific St</v>
      </c>
      <c r="C1368" s="5" t="str">
        <f ca="1">IFERROR(__xludf.DUMMYFUNCTION("""COMPUTED_VALUE"""),"Santa Monica")</f>
        <v>Santa Monica</v>
      </c>
      <c r="D1368" s="5" t="str">
        <f ca="1">IFERROR(__xludf.DUMMYFUNCTION("""COMPUTED_VALUE"""),"CA")</f>
        <v>CA</v>
      </c>
      <c r="E1368" s="5">
        <f ca="1">IFERROR(__xludf.DUMMYFUNCTION("""COMPUTED_VALUE"""),90405)</f>
        <v>90405</v>
      </c>
      <c r="F1368" s="19">
        <f ca="1">IFERROR(__xludf.DUMMYFUNCTION("""COMPUTED_VALUE"""),5950)</f>
        <v>5950</v>
      </c>
      <c r="G1368" s="19">
        <f ca="1">IFERROR(__xludf.DUMMYFUNCTION("""COMPUTED_VALUE"""),6950)</f>
        <v>6950</v>
      </c>
      <c r="H1368" s="18">
        <f ca="1">IFERROR(__xludf.DUMMYFUNCTION("""COMPUTED_VALUE"""),45673)</f>
        <v>45673</v>
      </c>
      <c r="I1368" s="5" t="str">
        <f ca="1">IFERROR(__xludf.DUMMYFUNCTION("""COMPUTED_VALUE"""),"Zillow")</f>
        <v>Zillow</v>
      </c>
      <c r="J1368" s="25" t="str">
        <f ca="1">IFERROR(__xludf.DUMMYFUNCTION("""COMPUTED_VALUE"""),"https://www.zillow.com/homedetails/836-Pacific-St-Santa-Monica-CA-90405/20480195_zpid/")</f>
        <v>https://www.zillow.com/homedetails/836-Pacific-St-Santa-Monica-CA-90405/20480195_zpid/</v>
      </c>
      <c r="K1368" s="5" t="str">
        <f ca="1">IFERROR(__xludf.DUMMYFUNCTION("""COMPUTED_VALUE"""),"Michael Haddad")</f>
        <v>Michael Haddad</v>
      </c>
      <c r="L1368" s="5"/>
      <c r="M1368" s="5"/>
      <c r="N1368" s="5" t="str">
        <f ca="1">IFERROR(__xludf.DUMMYFUNCTION("""COMPUTED_VALUE"""),"https://drive.google.com/open?id=1TBcsprGZoJ5Wxj96CrXE3PGFMw2F3PZF, https://drive.google.com/open?id=1T024De4ZhpMftJTeiTHtJmDL4wzxeMHK, https://drive.google.com/open?id=1ImQDAajdbYYiDDp2yKeKelIx1p8y-fmK")</f>
        <v>https://drive.google.com/open?id=1TBcsprGZoJ5Wxj96CrXE3PGFMw2F3PZF, https://drive.google.com/open?id=1T024De4ZhpMftJTeiTHtJmDL4wzxeMHK, https://drive.google.com/open?id=1ImQDAajdbYYiDDp2yKeKelIx1p8y-fmK</v>
      </c>
      <c r="O1368" s="5">
        <f ca="1">IFERROR(__xludf.DUMMYFUNCTION("""COMPUTED_VALUE"""),4284004010)</f>
        <v>4284004010</v>
      </c>
      <c r="P1368" s="5" t="str">
        <f ca="1">IFERROR(__xludf.DUMMYFUNCTION("""COMPUTED_VALUE"""),"(310) 430-4842")</f>
        <v>(310) 430-4842</v>
      </c>
      <c r="Q1368" s="5"/>
      <c r="R1368" s="5"/>
      <c r="S1368" s="5"/>
      <c r="T1368" s="18">
        <f ca="1">IFERROR(__xludf.DUMMYFUNCTION("""COMPUTED_VALUE"""),45097)</f>
        <v>45097</v>
      </c>
    </row>
    <row r="1369" spans="1:20" ht="12.75">
      <c r="A1369" s="24">
        <f ca="1">IFERROR(__xludf.DUMMYFUNCTION("""COMPUTED_VALUE"""),45676.6810234722)</f>
        <v>45676.6810234722</v>
      </c>
      <c r="B1369" s="5" t="str">
        <f ca="1">IFERROR(__xludf.DUMMYFUNCTION("""COMPUTED_VALUE"""),"6429 Rhodes Ave")</f>
        <v>6429 Rhodes Ave</v>
      </c>
      <c r="C1369" s="5" t="str">
        <f ca="1">IFERROR(__xludf.DUMMYFUNCTION("""COMPUTED_VALUE"""),"North Hollywood")</f>
        <v>North Hollywood</v>
      </c>
      <c r="D1369" s="5" t="str">
        <f ca="1">IFERROR(__xludf.DUMMYFUNCTION("""COMPUTED_VALUE"""),"CA")</f>
        <v>CA</v>
      </c>
      <c r="E1369" s="5">
        <f ca="1">IFERROR(__xludf.DUMMYFUNCTION("""COMPUTED_VALUE"""),91606)</f>
        <v>91606</v>
      </c>
      <c r="F1369" s="19">
        <f ca="1">IFERROR(__xludf.DUMMYFUNCTION("""COMPUTED_VALUE"""),4250)</f>
        <v>4250</v>
      </c>
      <c r="G1369" s="19">
        <f ca="1">IFERROR(__xludf.DUMMYFUNCTION("""COMPUTED_VALUE"""),4750)</f>
        <v>4750</v>
      </c>
      <c r="H1369" s="18">
        <f ca="1">IFERROR(__xludf.DUMMYFUNCTION("""COMPUTED_VALUE"""),45666)</f>
        <v>45666</v>
      </c>
      <c r="I1369" s="5" t="str">
        <f ca="1">IFERROR(__xludf.DUMMYFUNCTION("""COMPUTED_VALUE"""),"Zillow")</f>
        <v>Zillow</v>
      </c>
      <c r="J1369" s="25" t="str">
        <f ca="1">IFERROR(__xludf.DUMMYFUNCTION("""COMPUTED_VALUE"""),"https://www.zillow.com/homedetails/6429-Rhodes-Ave-North-Hollywood-CA-91606/20009479_zpid/")</f>
        <v>https://www.zillow.com/homedetails/6429-Rhodes-Ave-North-Hollywood-CA-91606/20009479_zpid/</v>
      </c>
      <c r="K1369" s="5"/>
      <c r="L1369" s="5" t="str">
        <f ca="1">IFERROR(__xludf.DUMMYFUNCTION("""COMPUTED_VALUE"""),"Maria")</f>
        <v>Maria</v>
      </c>
      <c r="M1369" s="5"/>
      <c r="N1369" s="5" t="str">
        <f ca="1">IFERROR(__xludf.DUMMYFUNCTION("""COMPUTED_VALUE"""),"https://drive.google.com/open?id=1Z5F9Z56uvTtrcvolFB1Ce35zWDgoIHBu, https://drive.google.com/open?id=1OHzKFiPnmDfCQ-TCpCPc90XQAQ-9EIyq")</f>
        <v>https://drive.google.com/open?id=1Z5F9Z56uvTtrcvolFB1Ce35zWDgoIHBu, https://drive.google.com/open?id=1OHzKFiPnmDfCQ-TCpCPc90XQAQ-9EIyq</v>
      </c>
      <c r="O1369" s="5">
        <f ca="1">IFERROR(__xludf.DUMMYFUNCTION("""COMPUTED_VALUE"""),2333003015)</f>
        <v>2333003015</v>
      </c>
      <c r="P1369" s="5"/>
      <c r="Q1369" s="5"/>
      <c r="R1369" s="5" t="str">
        <f ca="1">IFERROR(__xludf.DUMMYFUNCTION("""COMPUTED_VALUE"""),"(818) 448-2245")</f>
        <v>(818) 448-2245</v>
      </c>
      <c r="S1369" s="5"/>
      <c r="T1369" s="18">
        <f ca="1">IFERROR(__xludf.DUMMYFUNCTION("""COMPUTED_VALUE"""),45660)</f>
        <v>45660</v>
      </c>
    </row>
    <row r="1370" spans="1:20" ht="12.75">
      <c r="A1370" s="24">
        <f ca="1">IFERROR(__xludf.DUMMYFUNCTION("""COMPUTED_VALUE"""),45676.6971573611)</f>
        <v>45676.697157361101</v>
      </c>
      <c r="B1370" s="5" t="str">
        <f ca="1">IFERROR(__xludf.DUMMYFUNCTION("""COMPUTED_VALUE"""),"1125 N Clark St #D")</f>
        <v>1125 N Clark St #D</v>
      </c>
      <c r="C1370" s="5" t="str">
        <f ca="1">IFERROR(__xludf.DUMMYFUNCTION("""COMPUTED_VALUE"""),"West Hollywood")</f>
        <v>West Hollywood</v>
      </c>
      <c r="D1370" s="5" t="str">
        <f ca="1">IFERROR(__xludf.DUMMYFUNCTION("""COMPUTED_VALUE"""),"CA")</f>
        <v>CA</v>
      </c>
      <c r="E1370" s="5">
        <f ca="1">IFERROR(__xludf.DUMMYFUNCTION("""COMPUTED_VALUE"""),90069)</f>
        <v>90069</v>
      </c>
      <c r="F1370" s="19">
        <f ca="1">IFERROR(__xludf.DUMMYFUNCTION("""COMPUTED_VALUE"""),1800)</f>
        <v>1800</v>
      </c>
      <c r="G1370" s="19">
        <f ca="1">IFERROR(__xludf.DUMMYFUNCTION("""COMPUTED_VALUE"""),2950)</f>
        <v>2950</v>
      </c>
      <c r="H1370" s="18">
        <f ca="1">IFERROR(__xludf.DUMMYFUNCTION("""COMPUTED_VALUE"""),45676)</f>
        <v>45676</v>
      </c>
      <c r="I1370" s="5" t="str">
        <f ca="1">IFERROR(__xludf.DUMMYFUNCTION("""COMPUTED_VALUE"""),"Zillow")</f>
        <v>Zillow</v>
      </c>
      <c r="J1370" s="25" t="str">
        <f ca="1">IFERROR(__xludf.DUMMYFUNCTION("""COMPUTED_VALUE"""),"https://www.zillow.com/homedetails/1125-N-Clark-St-D-West-Hollywood-CA-90069/2077783119_zpid/")</f>
        <v>https://www.zillow.com/homedetails/1125-N-Clark-St-D-West-Hollywood-CA-90069/2077783119_zpid/</v>
      </c>
      <c r="K1370" s="5" t="str">
        <f ca="1">IFERROR(__xludf.DUMMYFUNCTION("""COMPUTED_VALUE"""),"Allison Geld")</f>
        <v>Allison Geld</v>
      </c>
      <c r="L1370" s="5"/>
      <c r="M1370" s="5"/>
      <c r="N1370" s="5" t="str">
        <f ca="1">IFERROR(__xludf.DUMMYFUNCTION("""COMPUTED_VALUE"""),"https://drive.google.com/open?id=19TMCzEDd3JRvErTG0xH-J7HXXE-7XbPj, https://drive.google.com/open?id=18gKaMHpWktMF8QhxjUZBfrMttcEs5toC, https://drive.google.com/open?id=15kJiusgr12x5DV7DWBtvIib9FAZuYM2i")</f>
        <v>https://drive.google.com/open?id=19TMCzEDd3JRvErTG0xH-J7HXXE-7XbPj, https://drive.google.com/open?id=18gKaMHpWktMF8QhxjUZBfrMttcEs5toC, https://drive.google.com/open?id=15kJiusgr12x5DV7DWBtvIib9FAZuYM2i</v>
      </c>
      <c r="O1370" s="5" t="str">
        <f ca="1">IFERROR(__xludf.DUMMYFUNCTION("""COMPUTED_VALUE"""),"NA")</f>
        <v>NA</v>
      </c>
      <c r="P1370" s="5" t="str">
        <f ca="1">IFERROR(__xludf.DUMMYFUNCTION("""COMPUTED_VALUE"""),"(818) 668-4885")</f>
        <v>(818) 668-4885</v>
      </c>
      <c r="Q1370" s="5"/>
      <c r="R1370" s="5"/>
      <c r="S1370" s="5"/>
      <c r="T1370" s="18">
        <f ca="1">IFERROR(__xludf.DUMMYFUNCTION("""COMPUTED_VALUE"""),44184)</f>
        <v>44184</v>
      </c>
    </row>
    <row r="1371" spans="1:20" ht="12.75">
      <c r="A1371" s="24">
        <f ca="1">IFERROR(__xludf.DUMMYFUNCTION("""COMPUTED_VALUE"""),45676.7060341319)</f>
        <v>45676.706034131901</v>
      </c>
      <c r="B1371" s="5" t="str">
        <f ca="1">IFERROR(__xludf.DUMMYFUNCTION("""COMPUTED_VALUE"""),"11921 Manor Dr APT E")</f>
        <v>11921 Manor Dr APT E</v>
      </c>
      <c r="C1371" s="5" t="str">
        <f ca="1">IFERROR(__xludf.DUMMYFUNCTION("""COMPUTED_VALUE"""),"Hawthorne")</f>
        <v>Hawthorne</v>
      </c>
      <c r="D1371" s="5" t="str">
        <f ca="1">IFERROR(__xludf.DUMMYFUNCTION("""COMPUTED_VALUE"""),"CA")</f>
        <v>CA</v>
      </c>
      <c r="E1371" s="5">
        <f ca="1">IFERROR(__xludf.DUMMYFUNCTION("""COMPUTED_VALUE"""),90250)</f>
        <v>90250</v>
      </c>
      <c r="F1371" s="19">
        <f ca="1">IFERROR(__xludf.DUMMYFUNCTION("""COMPUTED_VALUE"""),1150)</f>
        <v>1150</v>
      </c>
      <c r="G1371" s="19">
        <f ca="1">IFERROR(__xludf.DUMMYFUNCTION("""COMPUTED_VALUE"""),2600)</f>
        <v>2600</v>
      </c>
      <c r="H1371" s="18">
        <f ca="1">IFERROR(__xludf.DUMMYFUNCTION("""COMPUTED_VALUE"""),45676)</f>
        <v>45676</v>
      </c>
      <c r="I1371" s="5" t="str">
        <f ca="1">IFERROR(__xludf.DUMMYFUNCTION("""COMPUTED_VALUE"""),"Zillow")</f>
        <v>Zillow</v>
      </c>
      <c r="J1371" s="25" t="str">
        <f ca="1">IFERROR(__xludf.DUMMYFUNCTION("""COMPUTED_VALUE"""),"https://www.zillow.com/homedetails/11921-Manor-Dr-APT-E-Hawthorne-CA-90250/2105073160_zpid/")</f>
        <v>https://www.zillow.com/homedetails/11921-Manor-Dr-APT-E-Hawthorne-CA-90250/2105073160_zpid/</v>
      </c>
      <c r="K1371" s="5" t="str">
        <f ca="1">IFERROR(__xludf.DUMMYFUNCTION("""COMPUTED_VALUE"""),"DUO Property Management")</f>
        <v>DUO Property Management</v>
      </c>
      <c r="L1371" s="5"/>
      <c r="M1371" s="5"/>
      <c r="N1371" s="5" t="str">
        <f ca="1">IFERROR(__xludf.DUMMYFUNCTION("""COMPUTED_VALUE"""),"https://drive.google.com/open?id=18PdvhifwRGkQ-e17Gff9Uxo46KodM8bu, https://drive.google.com/open?id=1dWhsd4xNZMGhG0DmscANy1H7I6lSlohs, https://drive.google.com/open?id=19jCbE0rynSj1OwgbCkDHUIpDfpCtH35R")</f>
        <v>https://drive.google.com/open?id=18PdvhifwRGkQ-e17Gff9Uxo46KodM8bu, https://drive.google.com/open?id=1dWhsd4xNZMGhG0DmscANy1H7I6lSlohs, https://drive.google.com/open?id=19jCbE0rynSj1OwgbCkDHUIpDfpCtH35R</v>
      </c>
      <c r="O1371" s="5" t="str">
        <f ca="1">IFERROR(__xludf.DUMMYFUNCTION("""COMPUTED_VALUE"""),"NA")</f>
        <v>NA</v>
      </c>
      <c r="P1371" s="5" t="str">
        <f ca="1">IFERROR(__xludf.DUMMYFUNCTION("""COMPUTED_VALUE"""),"(213) 510-2394")</f>
        <v>(213) 510-2394</v>
      </c>
      <c r="Q1371" s="5"/>
      <c r="R1371" s="5"/>
      <c r="S1371" s="5"/>
      <c r="T1371" s="18">
        <f ca="1">IFERROR(__xludf.DUMMYFUNCTION("""COMPUTED_VALUE"""),42070)</f>
        <v>42070</v>
      </c>
    </row>
    <row r="1372" spans="1:20" ht="12.75">
      <c r="A1372" s="24">
        <f ca="1">IFERROR(__xludf.DUMMYFUNCTION("""COMPUTED_VALUE"""),45676.74428853)</f>
        <v>45676.744288529997</v>
      </c>
      <c r="B1372" s="5" t="str">
        <f ca="1">IFERROR(__xludf.DUMMYFUNCTION("""COMPUTED_VALUE"""),"627 Deep Valley Dr #P617")</f>
        <v>627 Deep Valley Dr #P617</v>
      </c>
      <c r="C1372" s="5" t="str">
        <f ca="1">IFERROR(__xludf.DUMMYFUNCTION("""COMPUTED_VALUE"""),"Rolling Hills Estates")</f>
        <v>Rolling Hills Estates</v>
      </c>
      <c r="D1372" s="5" t="str">
        <f ca="1">IFERROR(__xludf.DUMMYFUNCTION("""COMPUTED_VALUE"""),"CA")</f>
        <v>CA</v>
      </c>
      <c r="E1372" s="5">
        <f ca="1">IFERROR(__xludf.DUMMYFUNCTION("""COMPUTED_VALUE"""),90274)</f>
        <v>90274</v>
      </c>
      <c r="F1372" s="19">
        <f ca="1">IFERROR(__xludf.DUMMYFUNCTION("""COMPUTED_VALUE"""),3600)</f>
        <v>3600</v>
      </c>
      <c r="G1372" s="19">
        <f ca="1">IFERROR(__xludf.DUMMYFUNCTION("""COMPUTED_VALUE"""),4150)</f>
        <v>4150</v>
      </c>
      <c r="H1372" s="18">
        <f ca="1">IFERROR(__xludf.DUMMYFUNCTION("""COMPUTED_VALUE"""),45676)</f>
        <v>45676</v>
      </c>
      <c r="I1372" s="5" t="str">
        <f ca="1">IFERROR(__xludf.DUMMYFUNCTION("""COMPUTED_VALUE"""),"Zillow")</f>
        <v>Zillow</v>
      </c>
      <c r="J1372" s="25" t="str">
        <f ca="1">IFERROR(__xludf.DUMMYFUNCTION("""COMPUTED_VALUE"""),"https://www.zillow.com/homedetails/627-Deep-Valley-Dr-P617-Rolling-Hills-Estates-CA-90274/325800245_zpid/")</f>
        <v>https://www.zillow.com/homedetails/627-Deep-Valley-Dr-P617-Rolling-Hills-Estates-CA-90274/325800245_zpid/</v>
      </c>
      <c r="K1372" s="5" t="str">
        <f ca="1">IFERROR(__xludf.DUMMYFUNCTION("""COMPUTED_VALUE"""),"Dede Hsu")</f>
        <v>Dede Hsu</v>
      </c>
      <c r="L1372" s="5"/>
      <c r="M1372" s="5"/>
      <c r="N1372" s="5" t="str">
        <f ca="1">IFERROR(__xludf.DUMMYFUNCTION("""COMPUTED_VALUE"""),"https://drive.google.com/open?id=1Y8cs5kaMvqrxxGvbpTihgfPmCq9Y-gGS, https://drive.google.com/open?id=1278bAeXSI0gmHufWP2CArHcyk5Q3d1A4")</f>
        <v>https://drive.google.com/open?id=1Y8cs5kaMvqrxxGvbpTihgfPmCq9Y-gGS, https://drive.google.com/open?id=1278bAeXSI0gmHufWP2CArHcyk5Q3d1A4</v>
      </c>
      <c r="O1372" s="5">
        <f ca="1">IFERROR(__xludf.DUMMYFUNCTION("""COMPUTED_VALUE"""),7589004116)</f>
        <v>7589004116</v>
      </c>
      <c r="P1372" s="5" t="str">
        <f ca="1">IFERROR(__xludf.DUMMYFUNCTION("""COMPUTED_VALUE"""),"(213) 465-8691")</f>
        <v>(213) 465-8691</v>
      </c>
      <c r="Q1372" s="5"/>
      <c r="R1372" s="5"/>
      <c r="S1372" s="5"/>
      <c r="T1372" s="18">
        <f ca="1">IFERROR(__xludf.DUMMYFUNCTION("""COMPUTED_VALUE"""),44146)</f>
        <v>44146</v>
      </c>
    </row>
    <row r="1373" spans="1:20" ht="12.75">
      <c r="A1373" s="24">
        <f ca="1">IFERROR(__xludf.DUMMYFUNCTION("""COMPUTED_VALUE"""),45676.7510350694)</f>
        <v>45676.751035069399</v>
      </c>
      <c r="B1373" s="5" t="str">
        <f ca="1">IFERROR(__xludf.DUMMYFUNCTION("""COMPUTED_VALUE"""),"4434 Grimes Pl")</f>
        <v>4434 Grimes Pl</v>
      </c>
      <c r="C1373" s="5" t="str">
        <f ca="1">IFERROR(__xludf.DUMMYFUNCTION("""COMPUTED_VALUE"""),"Encino")</f>
        <v>Encino</v>
      </c>
      <c r="D1373" s="5" t="str">
        <f ca="1">IFERROR(__xludf.DUMMYFUNCTION("""COMPUTED_VALUE"""),"CA")</f>
        <v>CA</v>
      </c>
      <c r="E1373" s="5">
        <f ca="1">IFERROR(__xludf.DUMMYFUNCTION("""COMPUTED_VALUE"""),91316)</f>
        <v>91316</v>
      </c>
      <c r="F1373" s="19">
        <f ca="1">IFERROR(__xludf.DUMMYFUNCTION("""COMPUTED_VALUE"""),25000)</f>
        <v>25000</v>
      </c>
      <c r="G1373" s="19">
        <f ca="1">IFERROR(__xludf.DUMMYFUNCTION("""COMPUTED_VALUE"""),99000)</f>
        <v>99000</v>
      </c>
      <c r="H1373" s="18">
        <f ca="1">IFERROR(__xludf.DUMMYFUNCTION("""COMPUTED_VALUE"""),45674)</f>
        <v>45674</v>
      </c>
      <c r="I1373" s="5" t="str">
        <f ca="1">IFERROR(__xludf.DUMMYFUNCTION("""COMPUTED_VALUE"""),"Redfin")</f>
        <v>Redfin</v>
      </c>
      <c r="J1373" s="25" t="str">
        <f ca="1">IFERROR(__xludf.DUMMYFUNCTION("""COMPUTED_VALUE"""),"https://www.redfin.com/CA/Encino/4434-Grimes-Pl-91316/home/4299068#property-history")</f>
        <v>https://www.redfin.com/CA/Encino/4434-Grimes-Pl-91316/home/4299068#property-history</v>
      </c>
      <c r="K1373" s="5" t="str">
        <f ca="1">IFERROR(__xludf.DUMMYFUNCTION("""COMPUTED_VALUE"""),"Roger Drakes")</f>
        <v>Roger Drakes</v>
      </c>
      <c r="L1373" s="5"/>
      <c r="M1373" s="5" t="str">
        <f ca="1">IFERROR(__xludf.DUMMYFUNCTION("""COMPUTED_VALUE"""),"The price was steady at 25,000 all of 2024, after the fires the price shot up to 99,000.")</f>
        <v>The price was steady at 25,000 all of 2024, after the fires the price shot up to 99,000.</v>
      </c>
      <c r="N1373" s="5" t="str">
        <f ca="1">IFERROR(__xludf.DUMMYFUNCTION("""COMPUTED_VALUE"""),"https://drive.google.com/open?id=1zX5tRsXLDwS2KhlcRi2xyPY3Q3Zhfrvj, https://drive.google.com/open?id=1tUOcdzSeArP6IZrarLIovIxWBEW_Mu5t")</f>
        <v>https://drive.google.com/open?id=1zX5tRsXLDwS2KhlcRi2xyPY3Q3Zhfrvj, https://drive.google.com/open?id=1tUOcdzSeArP6IZrarLIovIxWBEW_Mu5t</v>
      </c>
      <c r="O1373" s="5" t="str">
        <f ca="1">IFERROR(__xludf.DUMMYFUNCTION("""COMPUTED_VALUE"""),"NA")</f>
        <v>NA</v>
      </c>
      <c r="P1373" s="5">
        <f ca="1">IFERROR(__xludf.DUMMYFUNCTION("""COMPUTED_VALUE"""),8183902833)</f>
        <v>8183902833</v>
      </c>
      <c r="Q1373" s="5" t="str">
        <f ca="1">IFERROR(__xludf.DUMMYFUNCTION("""COMPUTED_VALUE"""),"roger@drakesestatesla.com")</f>
        <v>roger@drakesestatesla.com</v>
      </c>
      <c r="R1373" s="5"/>
      <c r="S1373" s="5"/>
      <c r="T1373" s="18">
        <f ca="1">IFERROR(__xludf.DUMMYFUNCTION("""COMPUTED_VALUE"""),45605)</f>
        <v>45605</v>
      </c>
    </row>
    <row r="1374" spans="1:20" ht="12.75">
      <c r="A1374" s="24">
        <f ca="1">IFERROR(__xludf.DUMMYFUNCTION("""COMPUTED_VALUE"""),45676.755022824)</f>
        <v>45676.755022824</v>
      </c>
      <c r="B1374" s="5" t="str">
        <f ca="1">IFERROR(__xludf.DUMMYFUNCTION("""COMPUTED_VALUE"""),"330 Brockmont Dr")</f>
        <v>330 Brockmont Dr</v>
      </c>
      <c r="C1374" s="5" t="str">
        <f ca="1">IFERROR(__xludf.DUMMYFUNCTION("""COMPUTED_VALUE"""),"Glendale")</f>
        <v>Glendale</v>
      </c>
      <c r="D1374" s="5" t="str">
        <f ca="1">IFERROR(__xludf.DUMMYFUNCTION("""COMPUTED_VALUE"""),"CA")</f>
        <v>CA</v>
      </c>
      <c r="E1374" s="5">
        <f ca="1">IFERROR(__xludf.DUMMYFUNCTION("""COMPUTED_VALUE"""),91202)</f>
        <v>91202</v>
      </c>
      <c r="F1374" s="19">
        <f ca="1">IFERROR(__xludf.DUMMYFUNCTION("""COMPUTED_VALUE"""),11500)</f>
        <v>11500</v>
      </c>
      <c r="G1374" s="19">
        <f ca="1">IFERROR(__xludf.DUMMYFUNCTION("""COMPUTED_VALUE"""),13950)</f>
        <v>13950</v>
      </c>
      <c r="H1374" s="18">
        <f ca="1">IFERROR(__xludf.DUMMYFUNCTION("""COMPUTED_VALUE"""),45676)</f>
        <v>45676</v>
      </c>
      <c r="I1374" s="5" t="str">
        <f ca="1">IFERROR(__xludf.DUMMYFUNCTION("""COMPUTED_VALUE"""),"Zillow")</f>
        <v>Zillow</v>
      </c>
      <c r="J1374" s="25" t="str">
        <f ca="1">IFERROR(__xludf.DUMMYFUNCTION("""COMPUTED_VALUE"""),"https://www.zillow.com/homedetails/330-Brockmont-Dr-Glendale-CA-91202/20827935_zpid/")</f>
        <v>https://www.zillow.com/homedetails/330-Brockmont-Dr-Glendale-CA-91202/20827935_zpid/</v>
      </c>
      <c r="K1374" s="5" t="str">
        <f ca="1">IFERROR(__xludf.DUMMYFUNCTION("""COMPUTED_VALUE"""),"David Nalbandyan")</f>
        <v>David Nalbandyan</v>
      </c>
      <c r="L1374" s="5"/>
      <c r="M1374" s="5"/>
      <c r="N1374" s="5" t="str">
        <f ca="1">IFERROR(__xludf.DUMMYFUNCTION("""COMPUTED_VALUE"""),"https://drive.google.com/open?id=1_cfB4rl0upXK3YL1BQzrPksImOv9g-iJ, https://drive.google.com/open?id=1iT3ErTMiJT2JsEXZlu3fok9m-U4HEy25, https://drive.google.com/open?id=1W3DEkpxJ5CGltYh2M-alxbf7LvwH6HAB")</f>
        <v>https://drive.google.com/open?id=1_cfB4rl0upXK3YL1BQzrPksImOv9g-iJ, https://drive.google.com/open?id=1iT3ErTMiJT2JsEXZlu3fok9m-U4HEy25, https://drive.google.com/open?id=1W3DEkpxJ5CGltYh2M-alxbf7LvwH6HAB</v>
      </c>
      <c r="O1374" s="5">
        <f ca="1">IFERROR(__xludf.DUMMYFUNCTION("""COMPUTED_VALUE"""),5632011016)</f>
        <v>5632011016</v>
      </c>
      <c r="P1374" s="5" t="str">
        <f ca="1">IFERROR(__xludf.DUMMYFUNCTION("""COMPUTED_VALUE"""),"(855) 525-7653")</f>
        <v>(855) 525-7653</v>
      </c>
      <c r="Q1374" s="5"/>
      <c r="R1374" s="5"/>
      <c r="S1374" s="5"/>
      <c r="T1374" s="18">
        <f ca="1">IFERROR(__xludf.DUMMYFUNCTION("""COMPUTED_VALUE"""),44947)</f>
        <v>44947</v>
      </c>
    </row>
    <row r="1375" spans="1:20" ht="12.75">
      <c r="A1375" s="24">
        <f ca="1">IFERROR(__xludf.DUMMYFUNCTION("""COMPUTED_VALUE"""),45676.7584224421)</f>
        <v>45676.758422442101</v>
      </c>
      <c r="B1375" s="5" t="str">
        <f ca="1">IFERROR(__xludf.DUMMYFUNCTION("""COMPUTED_VALUE"""),"6148 W 85th Pl")</f>
        <v>6148 W 85th Pl</v>
      </c>
      <c r="C1375" s="5" t="str">
        <f ca="1">IFERROR(__xludf.DUMMYFUNCTION("""COMPUTED_VALUE"""),"Los Angeles")</f>
        <v>Los Angeles</v>
      </c>
      <c r="D1375" s="5" t="str">
        <f ca="1">IFERROR(__xludf.DUMMYFUNCTION("""COMPUTED_VALUE"""),"CA")</f>
        <v>CA</v>
      </c>
      <c r="E1375" s="5">
        <f ca="1">IFERROR(__xludf.DUMMYFUNCTION("""COMPUTED_VALUE"""),90045)</f>
        <v>90045</v>
      </c>
      <c r="F1375" s="19">
        <f ca="1">IFERROR(__xludf.DUMMYFUNCTION("""COMPUTED_VALUE"""),1000)</f>
        <v>1000</v>
      </c>
      <c r="G1375" s="19">
        <f ca="1">IFERROR(__xludf.DUMMYFUNCTION("""COMPUTED_VALUE"""),8500)</f>
        <v>8500</v>
      </c>
      <c r="H1375" s="18">
        <f ca="1">IFERROR(__xludf.DUMMYFUNCTION("""COMPUTED_VALUE"""),45676)</f>
        <v>45676</v>
      </c>
      <c r="I1375" s="5" t="str">
        <f ca="1">IFERROR(__xludf.DUMMYFUNCTION("""COMPUTED_VALUE"""),"Zillow")</f>
        <v>Zillow</v>
      </c>
      <c r="J1375" s="25" t="str">
        <f ca="1">IFERROR(__xludf.DUMMYFUNCTION("""COMPUTED_VALUE"""),"https://www.zillow.com/homedetails/6148-W-85th-Pl-Los-Angeles-CA-90045/20380867_zpid/")</f>
        <v>https://www.zillow.com/homedetails/6148-W-85th-Pl-Los-Angeles-CA-90045/20380867_zpid/</v>
      </c>
      <c r="K1375" s="5" t="str">
        <f ca="1">IFERROR(__xludf.DUMMYFUNCTION("""COMPUTED_VALUE"""),"Casundra Renteria")</f>
        <v>Casundra Renteria</v>
      </c>
      <c r="L1375" s="5"/>
      <c r="M1375" s="5" t="str">
        <f ca="1">IFERROR(__xludf.DUMMYFUNCTION("""COMPUTED_VALUE"""),"This is a new listing according to Zillow. Fair market value is $5060. Should be no more than $8096 based on that 160% increase figure.")</f>
        <v>This is a new listing according to Zillow. Fair market value is $5060. Should be no more than $8096 based on that 160% increase figure.</v>
      </c>
      <c r="N1375" s="5" t="str">
        <f ca="1">IFERROR(__xludf.DUMMYFUNCTION("""COMPUTED_VALUE"""),"https://drive.google.com/open?id=1Xx86RB4dGLcXmUuppXuNy2T-5YESsPKU, https://drive.google.com/open?id=19avgNIS84mOT_st1fCF9QgSCGQ8Yli9k, https://drive.google.com/open?id=115s-LwJ35jBYLyd3-QIhbjVhE92ZazOG")</f>
        <v>https://drive.google.com/open?id=1Xx86RB4dGLcXmUuppXuNy2T-5YESsPKU, https://drive.google.com/open?id=19avgNIS84mOT_st1fCF9QgSCGQ8Yli9k, https://drive.google.com/open?id=115s-LwJ35jBYLyd3-QIhbjVhE92ZazOG</v>
      </c>
      <c r="O1375" s="5">
        <f ca="1">IFERROR(__xludf.DUMMYFUNCTION("""COMPUTED_VALUE"""),4107037017)</f>
        <v>4107037017</v>
      </c>
      <c r="P1375" s="5" t="str">
        <f ca="1">IFERROR(__xludf.DUMMYFUNCTION("""COMPUTED_VALUE"""),"(310) 497-2791")</f>
        <v>(310) 497-2791</v>
      </c>
      <c r="Q1375" s="5"/>
      <c r="R1375" s="5"/>
      <c r="S1375" s="5"/>
      <c r="T1375" s="5"/>
    </row>
    <row r="1376" spans="1:20" ht="12.75">
      <c r="A1376" s="24">
        <f ca="1">IFERROR(__xludf.DUMMYFUNCTION("""COMPUTED_VALUE"""),45676.8063684838)</f>
        <v>45676.806368483798</v>
      </c>
      <c r="B1376" s="5" t="str">
        <f ca="1">IFERROR(__xludf.DUMMYFUNCTION("""COMPUTED_VALUE"""),"3639 Shady Oak Rd")</f>
        <v>3639 Shady Oak Rd</v>
      </c>
      <c r="C1376" s="5" t="str">
        <f ca="1">IFERROR(__xludf.DUMMYFUNCTION("""COMPUTED_VALUE"""),"Studio City")</f>
        <v>Studio City</v>
      </c>
      <c r="D1376" s="5" t="str">
        <f ca="1">IFERROR(__xludf.DUMMYFUNCTION("""COMPUTED_VALUE"""),"CA")</f>
        <v>CA</v>
      </c>
      <c r="E1376" s="5">
        <f ca="1">IFERROR(__xludf.DUMMYFUNCTION("""COMPUTED_VALUE"""),91604)</f>
        <v>91604</v>
      </c>
      <c r="F1376" s="19">
        <f ca="1">IFERROR(__xludf.DUMMYFUNCTION("""COMPUTED_VALUE"""),28500)</f>
        <v>28500</v>
      </c>
      <c r="G1376" s="19">
        <f ca="1">IFERROR(__xludf.DUMMYFUNCTION("""COMPUTED_VALUE"""),36000)</f>
        <v>36000</v>
      </c>
      <c r="H1376" s="18">
        <f ca="1">IFERROR(__xludf.DUMMYFUNCTION("""COMPUTED_VALUE"""),45672)</f>
        <v>45672</v>
      </c>
      <c r="I1376" s="5" t="str">
        <f ca="1">IFERROR(__xludf.DUMMYFUNCTION("""COMPUTED_VALUE"""),"Redfin")</f>
        <v>Redfin</v>
      </c>
      <c r="J1376" s="25" t="str">
        <f ca="1">IFERROR(__xludf.DUMMYFUNCTION("""COMPUTED_VALUE"""),"https://www.redfin.com/CA/Studio-City/3639-Shady-Oak-Rd-91604/home/5249090#property-history")</f>
        <v>https://www.redfin.com/CA/Studio-City/3639-Shady-Oak-Rd-91604/home/5249090#property-history</v>
      </c>
      <c r="K1376" s="5" t="str">
        <f ca="1">IFERROR(__xludf.DUMMYFUNCTION("""COMPUTED_VALUE"""),"Andrew Dinsky")</f>
        <v>Andrew Dinsky</v>
      </c>
      <c r="L1376" s="5"/>
      <c r="M1376" s="5" t="str">
        <f ca="1">IFERROR(__xludf.DUMMYFUNCTION("""COMPUTED_VALUE"""),"Just as the first one I submitted, this listing was at a constant 28,500 for months, then all of a sudden after these fires, etc. They decided to raise the price by about 26.3%. Seems too convenient of timing especially to raise the price that drastically"&amp;".")</f>
        <v>Just as the first one I submitted, this listing was at a constant 28,500 for months, then all of a sudden after these fires, etc. They decided to raise the price by about 26.3%. Seems too convenient of timing especially to raise the price that drastically.</v>
      </c>
      <c r="N1376" s="5" t="str">
        <f ca="1">IFERROR(__xludf.DUMMYFUNCTION("""COMPUTED_VALUE"""),"https://drive.google.com/open?id=1d7RwR2JsYwHO_22z0QDm_0_VDDumPdz1, https://drive.google.com/open?id=1ex0miI4AkJQmgjJmNm44SV6RJKnpE5fq")</f>
        <v>https://drive.google.com/open?id=1d7RwR2JsYwHO_22z0QDm_0_VDDumPdz1, https://drive.google.com/open?id=1ex0miI4AkJQmgjJmNm44SV6RJKnpE5fq</v>
      </c>
      <c r="O1376" s="5" t="str">
        <f ca="1">IFERROR(__xludf.DUMMYFUNCTION("""COMPUTED_VALUE"""),"NA")</f>
        <v>NA</v>
      </c>
      <c r="P1376" s="5">
        <f ca="1">IFERROR(__xludf.DUMMYFUNCTION("""COMPUTED_VALUE"""),3107293393)</f>
        <v>3107293393</v>
      </c>
      <c r="Q1376" s="5" t="str">
        <f ca="1">IFERROR(__xludf.DUMMYFUNCTION("""COMPUTED_VALUE"""),"AndrewDinsky@gmail.com")</f>
        <v>AndrewDinsky@gmail.com</v>
      </c>
      <c r="R1376" s="5"/>
      <c r="S1376" s="5"/>
      <c r="T1376" s="18">
        <f ca="1">IFERROR(__xludf.DUMMYFUNCTION("""COMPUTED_VALUE"""),45345)</f>
        <v>45345</v>
      </c>
    </row>
    <row r="1377" spans="1:20" ht="12.75">
      <c r="A1377" s="24">
        <f ca="1">IFERROR(__xludf.DUMMYFUNCTION("""COMPUTED_VALUE"""),45676.8566474305)</f>
        <v>45676.856647430497</v>
      </c>
      <c r="B1377" s="5" t="str">
        <f ca="1">IFERROR(__xludf.DUMMYFUNCTION("""COMPUTED_VALUE"""),"1915 Lemoyne St")</f>
        <v>1915 Lemoyne St</v>
      </c>
      <c r="C1377" s="5" t="str">
        <f ca="1">IFERROR(__xludf.DUMMYFUNCTION("""COMPUTED_VALUE"""),"Los Angeles")</f>
        <v>Los Angeles</v>
      </c>
      <c r="D1377" s="5" t="str">
        <f ca="1">IFERROR(__xludf.DUMMYFUNCTION("""COMPUTED_VALUE"""),"CA")</f>
        <v>CA</v>
      </c>
      <c r="E1377" s="5">
        <f ca="1">IFERROR(__xludf.DUMMYFUNCTION("""COMPUTED_VALUE"""),90026)</f>
        <v>90026</v>
      </c>
      <c r="F1377" s="19">
        <f ca="1">IFERROR(__xludf.DUMMYFUNCTION("""COMPUTED_VALUE"""),7495)</f>
        <v>7495</v>
      </c>
      <c r="G1377" s="19">
        <f ca="1">IFERROR(__xludf.DUMMYFUNCTION("""COMPUTED_VALUE"""),7495)</f>
        <v>7495</v>
      </c>
      <c r="H1377" s="18">
        <f ca="1">IFERROR(__xludf.DUMMYFUNCTION("""COMPUTED_VALUE"""),45676)</f>
        <v>45676</v>
      </c>
      <c r="I1377" s="5" t="str">
        <f ca="1">IFERROR(__xludf.DUMMYFUNCTION("""COMPUTED_VALUE"""),"Zillow")</f>
        <v>Zillow</v>
      </c>
      <c r="J1377" s="25" t="str">
        <f ca="1">IFERROR(__xludf.DUMMYFUNCTION("""COMPUTED_VALUE"""),"https://www.zillow.com/homedetails/1915-Lemoyne-St-Los-Angeles-CA-90026/20742370_zpid/")</f>
        <v>https://www.zillow.com/homedetails/1915-Lemoyne-St-Los-Angeles-CA-90026/20742370_zpid/</v>
      </c>
      <c r="K1377" s="5" t="str">
        <f ca="1">IFERROR(__xludf.DUMMYFUNCTION("""COMPUTED_VALUE"""),"The CMLgroup")</f>
        <v>The CMLgroup</v>
      </c>
      <c r="L1377" s="5"/>
      <c r="M1377" s="5" t="str">
        <f ca="1">IFERROR(__xludf.DUMMYFUNCTION("""COMPUTED_VALUE"""),"This listing was posted after the fires and exceeds 160% of the Department of Housing and Urban Development's fair market value. The FMV for a 2-bedroom unit in 90026 is $2,480. 160% of $2,480 = $3,968. This posting is listed at $7,495.")</f>
        <v>This listing was posted after the fires and exceeds 160% of the Department of Housing and Urban Development's fair market value. The FMV for a 2-bedroom unit in 90026 is $2,480. 160% of $2,480 = $3,968. This posting is listed at $7,495.</v>
      </c>
      <c r="N1377" s="5" t="str">
        <f ca="1">IFERROR(__xludf.DUMMYFUNCTION("""COMPUTED_VALUE"""),"https://drive.google.com/open?id=1sVaH_WX_3VhZl-PT2jDBIAz_rCURBqTV, https://drive.google.com/open?id=1aNIxViq0pAiL8pogpQHty1yMGQrOw4Vc")</f>
        <v>https://drive.google.com/open?id=1sVaH_WX_3VhZl-PT2jDBIAz_rCURBqTV, https://drive.google.com/open?id=1aNIxViq0pAiL8pogpQHty1yMGQrOw4Vc</v>
      </c>
      <c r="O1377" s="5">
        <f ca="1">IFERROR(__xludf.DUMMYFUNCTION("""COMPUTED_VALUE"""),5420010028)</f>
        <v>5420010028</v>
      </c>
      <c r="P1377" s="5" t="str">
        <f ca="1">IFERROR(__xludf.DUMMYFUNCTION("""COMPUTED_VALUE"""),"(213) 466-0901")</f>
        <v>(213) 466-0901</v>
      </c>
      <c r="Q1377" s="5"/>
      <c r="R1377" s="5"/>
      <c r="S1377" s="5"/>
      <c r="T1377" s="18">
        <f ca="1">IFERROR(__xludf.DUMMYFUNCTION("""COMPUTED_VALUE"""),45676)</f>
        <v>45676</v>
      </c>
    </row>
    <row r="1378" spans="1:20" ht="12.75">
      <c r="A1378" s="24">
        <f ca="1">IFERROR(__xludf.DUMMYFUNCTION("""COMPUTED_VALUE"""),45677.2814609259)</f>
        <v>45677.2814609259</v>
      </c>
      <c r="B1378" s="5" t="str">
        <f ca="1">IFERROR(__xludf.DUMMYFUNCTION("""COMPUTED_VALUE"""),"15376 Valley Vista Blvd")</f>
        <v>15376 Valley Vista Blvd</v>
      </c>
      <c r="C1378" s="5" t="str">
        <f ca="1">IFERROR(__xludf.DUMMYFUNCTION("""COMPUTED_VALUE"""),"Sherman Oaks")</f>
        <v>Sherman Oaks</v>
      </c>
      <c r="D1378" s="5" t="str">
        <f ca="1">IFERROR(__xludf.DUMMYFUNCTION("""COMPUTED_VALUE"""),"CA")</f>
        <v>CA</v>
      </c>
      <c r="E1378" s="5">
        <f ca="1">IFERROR(__xludf.DUMMYFUNCTION("""COMPUTED_VALUE"""),91403)</f>
        <v>91403</v>
      </c>
      <c r="F1378" s="19">
        <f ca="1">IFERROR(__xludf.DUMMYFUNCTION("""COMPUTED_VALUE"""),7500)</f>
        <v>7500</v>
      </c>
      <c r="G1378" s="19">
        <f ca="1">IFERROR(__xludf.DUMMYFUNCTION("""COMPUTED_VALUE"""),8500)</f>
        <v>8500</v>
      </c>
      <c r="H1378" s="18">
        <f ca="1">IFERROR(__xludf.DUMMYFUNCTION("""COMPUTED_VALUE"""),45674)</f>
        <v>45674</v>
      </c>
      <c r="I1378" s="5" t="str">
        <f ca="1">IFERROR(__xludf.DUMMYFUNCTION("""COMPUTED_VALUE"""),"Zillow")</f>
        <v>Zillow</v>
      </c>
      <c r="J1378" s="25" t="str">
        <f ca="1">IFERROR(__xludf.DUMMYFUNCTION("""COMPUTED_VALUE"""),"https://www.zillow.com/homedetails/15376-Valley-Vista-Blvd-Sherman-Oaks-CA-91403/95634250_zpid/")</f>
        <v>https://www.zillow.com/homedetails/15376-Valley-Vista-Blvd-Sherman-Oaks-CA-91403/95634250_zpid/</v>
      </c>
      <c r="K1378" s="5" t="str">
        <f ca="1">IFERROR(__xludf.DUMMYFUNCTION("""COMPUTED_VALUE"""),"FRED ABCO DEVELOPMENT")</f>
        <v>FRED ABCO DEVELOPMENT</v>
      </c>
      <c r="L1378" s="5"/>
      <c r="M1378" s="5"/>
      <c r="N1378" s="5" t="str">
        <f ca="1">IFERROR(__xludf.DUMMYFUNCTION("""COMPUTED_VALUE"""),"https://drive.google.com/open?id=1iBSRWQN1UXxo_i6Lj6HNnEREujSYLpw5, https://drive.google.com/open?id=12lRiSY7ZQt8tdl7vbQxR6TMss9zxB6dp")</f>
        <v>https://drive.google.com/open?id=1iBSRWQN1UXxo_i6Lj6HNnEREujSYLpw5, https://drive.google.com/open?id=12lRiSY7ZQt8tdl7vbQxR6TMss9zxB6dp</v>
      </c>
      <c r="O1378" s="5">
        <f ca="1">IFERROR(__xludf.DUMMYFUNCTION("""COMPUTED_VALUE"""),2285001901)</f>
        <v>2285001901</v>
      </c>
      <c r="P1378" s="5">
        <f ca="1">IFERROR(__xludf.DUMMYFUNCTION("""COMPUTED_VALUE"""),2137864718)</f>
        <v>2137864718</v>
      </c>
      <c r="Q1378" s="5"/>
      <c r="R1378" s="5"/>
      <c r="S1378" s="5"/>
      <c r="T1378" s="18">
        <f ca="1">IFERROR(__xludf.DUMMYFUNCTION("""COMPUTED_VALUE"""),45570)</f>
        <v>45570</v>
      </c>
    </row>
    <row r="1379" spans="1:20" ht="12.75">
      <c r="A1379" s="24">
        <f ca="1">IFERROR(__xludf.DUMMYFUNCTION("""COMPUTED_VALUE"""),45677.3045163425)</f>
        <v>45677.304516342498</v>
      </c>
      <c r="B1379" s="5" t="str">
        <f ca="1">IFERROR(__xludf.DUMMYFUNCTION("""COMPUTED_VALUE"""),"10448 Hebron Ln")</f>
        <v>10448 Hebron Ln</v>
      </c>
      <c r="C1379" s="5" t="str">
        <f ca="1">IFERROR(__xludf.DUMMYFUNCTION("""COMPUTED_VALUE"""),"Los Angeles ")</f>
        <v xml:space="preserve">Los Angeles </v>
      </c>
      <c r="D1379" s="5" t="str">
        <f ca="1">IFERROR(__xludf.DUMMYFUNCTION("""COMPUTED_VALUE"""),"CA")</f>
        <v>CA</v>
      </c>
      <c r="E1379" s="5">
        <f ca="1">IFERROR(__xludf.DUMMYFUNCTION("""COMPUTED_VALUE"""),90077)</f>
        <v>90077</v>
      </c>
      <c r="F1379" s="19">
        <f ca="1">IFERROR(__xludf.DUMMYFUNCTION("""COMPUTED_VALUE"""),5250)</f>
        <v>5250</v>
      </c>
      <c r="G1379" s="19">
        <f ca="1">IFERROR(__xludf.DUMMYFUNCTION("""COMPUTED_VALUE"""),6000)</f>
        <v>6000</v>
      </c>
      <c r="H1379" s="18">
        <f ca="1">IFERROR(__xludf.DUMMYFUNCTION("""COMPUTED_VALUE"""),45676)</f>
        <v>45676</v>
      </c>
      <c r="I1379" s="5" t="str">
        <f ca="1">IFERROR(__xludf.DUMMYFUNCTION("""COMPUTED_VALUE"""),"Zillow")</f>
        <v>Zillow</v>
      </c>
      <c r="J1379" s="25" t="str">
        <f ca="1">IFERROR(__xludf.DUMMYFUNCTION("""COMPUTED_VALUE"""),"https://www.zillow.com/homedetails/10448-Hebron-Ln-Los-Angeles-CA-90077/20529691_zpid/")</f>
        <v>https://www.zillow.com/homedetails/10448-Hebron-Ln-Los-Angeles-CA-90077/20529691_zpid/</v>
      </c>
      <c r="K1379" s="5" t="str">
        <f ca="1">IFERROR(__xludf.DUMMYFUNCTION("""COMPUTED_VALUE"""),"Steve Vall")</f>
        <v>Steve Vall</v>
      </c>
      <c r="L1379" s="5"/>
      <c r="M1379" s="5"/>
      <c r="N1379" s="5" t="str">
        <f ca="1">IFERROR(__xludf.DUMMYFUNCTION("""COMPUTED_VALUE"""),"https://drive.google.com/open?id=1ha7W3u17NU6Aae245LSd8vEnXvGWLRJB, https://drive.google.com/open?id=1f4vGQztPjfpND97CpeGk1sybeOiqTZUO")</f>
        <v>https://drive.google.com/open?id=1ha7W3u17NU6Aae245LSd8vEnXvGWLRJB, https://drive.google.com/open?id=1f4vGQztPjfpND97CpeGk1sybeOiqTZUO</v>
      </c>
      <c r="O1379" s="5">
        <f ca="1">IFERROR(__xludf.DUMMYFUNCTION("""COMPUTED_VALUE"""),4371004020)</f>
        <v>4371004020</v>
      </c>
      <c r="P1379" s="5">
        <f ca="1">IFERROR(__xludf.DUMMYFUNCTION("""COMPUTED_VALUE"""),7206372495)</f>
        <v>7206372495</v>
      </c>
      <c r="Q1379" s="5"/>
      <c r="R1379" s="5"/>
      <c r="S1379" s="5"/>
      <c r="T1379" s="18">
        <f ca="1">IFERROR(__xludf.DUMMYFUNCTION("""COMPUTED_VALUE"""),43992)</f>
        <v>43992</v>
      </c>
    </row>
    <row r="1380" spans="1:20" ht="12.75">
      <c r="A1380" s="24">
        <f ca="1">IFERROR(__xludf.DUMMYFUNCTION("""COMPUTED_VALUE"""),45677.4212179398)</f>
        <v>45677.421217939802</v>
      </c>
      <c r="B1380" s="5" t="str">
        <f ca="1">IFERROR(__xludf.DUMMYFUNCTION("""COMPUTED_VALUE"""),"627 N Rossmore Avenue, Unit 413")</f>
        <v>627 N Rossmore Avenue, Unit 413</v>
      </c>
      <c r="C1380" s="5" t="str">
        <f ca="1">IFERROR(__xludf.DUMMYFUNCTION("""COMPUTED_VALUE"""),"Los Angeles")</f>
        <v>Los Angeles</v>
      </c>
      <c r="D1380" s="5" t="str">
        <f ca="1">IFERROR(__xludf.DUMMYFUNCTION("""COMPUTED_VALUE"""),"CA")</f>
        <v>CA</v>
      </c>
      <c r="E1380" s="5">
        <f ca="1">IFERROR(__xludf.DUMMYFUNCTION("""COMPUTED_VALUE"""),90004)</f>
        <v>90004</v>
      </c>
      <c r="F1380" s="19">
        <f ca="1">IFERROR(__xludf.DUMMYFUNCTION("""COMPUTED_VALUE"""),2550)</f>
        <v>2550</v>
      </c>
      <c r="G1380" s="19">
        <f ca="1">IFERROR(__xludf.DUMMYFUNCTION("""COMPUTED_VALUE"""),2910)</f>
        <v>2910</v>
      </c>
      <c r="H1380" s="18">
        <f ca="1">IFERROR(__xludf.DUMMYFUNCTION("""COMPUTED_VALUE"""),45677)</f>
        <v>45677</v>
      </c>
      <c r="I1380" s="5" t="str">
        <f ca="1">IFERROR(__xludf.DUMMYFUNCTION("""COMPUTED_VALUE"""),"Zillow")</f>
        <v>Zillow</v>
      </c>
      <c r="J1380" s="25" t="str">
        <f ca="1">IFERROR(__xludf.DUMMYFUNCTION("""COMPUTED_VALUE"""),"https://www.zillow.com/apartments/los-angeles-ca/madison-hancock-park/5XqKhY/?utm_campaign=iosappmessage&amp;utm_medium=referral&amp;utm_source=txtshare")</f>
        <v>https://www.zillow.com/apartments/los-angeles-ca/madison-hancock-park/5XqKhY/?utm_campaign=iosappmessage&amp;utm_medium=referral&amp;utm_source=txtshare</v>
      </c>
      <c r="K1380" s="5"/>
      <c r="L1380" s="5"/>
      <c r="M1380" s="5" t="str">
        <f ca="1">IFERROR(__xludf.DUMMYFUNCTION("""COMPUTED_VALUE"""),"I currently live here and have been actively monitoring the prices of this unit and can confirm a huge increase as of the fires. ")</f>
        <v xml:space="preserve">I currently live here and have been actively monitoring the prices of this unit and can confirm a huge increase as of the fires. </v>
      </c>
      <c r="N1380" s="26" t="str">
        <f ca="1">IFERROR(__xludf.DUMMYFUNCTION("""COMPUTED_VALUE"""),"https://drive.google.com/open?id=1B1lp06jT89d_3YplUKhvCrI6Wxtth8nr")</f>
        <v>https://drive.google.com/open?id=1B1lp06jT89d_3YplUKhvCrI6Wxtth8nr</v>
      </c>
      <c r="O1380" s="5" t="str">
        <f ca="1">IFERROR(__xludf.DUMMYFUNCTION("""COMPUTED_VALUE"""),"NA")</f>
        <v>NA</v>
      </c>
      <c r="P1380" s="5" t="str">
        <f ca="1">IFERROR(__xludf.DUMMYFUNCTION("""COMPUTED_VALUE"""),"(323) 443-3217")</f>
        <v>(323) 443-3217</v>
      </c>
      <c r="Q1380" s="5"/>
      <c r="R1380" s="5"/>
      <c r="S1380" s="5"/>
      <c r="T1380" s="18">
        <f ca="1">IFERROR(__xludf.DUMMYFUNCTION("""COMPUTED_VALUE"""),45663)</f>
        <v>45663</v>
      </c>
    </row>
    <row r="1381" spans="1:20" ht="12.75">
      <c r="A1381" s="24">
        <f ca="1">IFERROR(__xludf.DUMMYFUNCTION("""COMPUTED_VALUE"""),45677.6954542939)</f>
        <v>45677.695454293898</v>
      </c>
      <c r="B1381" s="5" t="str">
        <f ca="1">IFERROR(__xludf.DUMMYFUNCTION("""COMPUTED_VALUE"""),"1218 E Tujunga Ave")</f>
        <v>1218 E Tujunga Ave</v>
      </c>
      <c r="C1381" s="5" t="str">
        <f ca="1">IFERROR(__xludf.DUMMYFUNCTION("""COMPUTED_VALUE"""),"Burbank")</f>
        <v>Burbank</v>
      </c>
      <c r="D1381" s="5" t="str">
        <f ca="1">IFERROR(__xludf.DUMMYFUNCTION("""COMPUTED_VALUE"""),"CA")</f>
        <v>CA</v>
      </c>
      <c r="E1381" s="5">
        <f ca="1">IFERROR(__xludf.DUMMYFUNCTION("""COMPUTED_VALUE"""),91501)</f>
        <v>91501</v>
      </c>
      <c r="F1381" s="19">
        <f ca="1">IFERROR(__xludf.DUMMYFUNCTION("""COMPUTED_VALUE"""),7900)</f>
        <v>7900</v>
      </c>
      <c r="G1381" s="19">
        <f ca="1">IFERROR(__xludf.DUMMYFUNCTION("""COMPUTED_VALUE"""),11900)</f>
        <v>11900</v>
      </c>
      <c r="H1381" s="18">
        <f ca="1">IFERROR(__xludf.DUMMYFUNCTION("""COMPUTED_VALUE"""),45676)</f>
        <v>45676</v>
      </c>
      <c r="I1381" s="5" t="str">
        <f ca="1">IFERROR(__xludf.DUMMYFUNCTION("""COMPUTED_VALUE"""),"Zillow")</f>
        <v>Zillow</v>
      </c>
      <c r="J1381" s="25" t="str">
        <f ca="1">IFERROR(__xludf.DUMMYFUNCTION("""COMPUTED_VALUE"""),"https://www.zillow.com/homedetails/1218-E-Tujunga-Ave-Burbank-CA-91501/20816771_zpid/")</f>
        <v>https://www.zillow.com/homedetails/1218-E-Tujunga-Ave-Burbank-CA-91501/20816771_zpid/</v>
      </c>
      <c r="K1381" s="5" t="str">
        <f ca="1">IFERROR(__xludf.DUMMYFUNCTION("""COMPUTED_VALUE"""),"Isabelle Karabetian Monaco Residential Inc. ")</f>
        <v xml:space="preserve">Isabelle Karabetian Monaco Residential Inc. </v>
      </c>
      <c r="L1381" s="5" t="str">
        <f ca="1">IFERROR(__xludf.DUMMYFUNCTION("""COMPUTED_VALUE"""),"Isabelle Karabetian Monaco Residential Inc. ")</f>
        <v xml:space="preserve">Isabelle Karabetian Monaco Residential Inc. </v>
      </c>
      <c r="M1381" s="5" t="str">
        <f ca="1">IFERROR(__xludf.DUMMYFUNCTION("""COMPUTED_VALUE"""),"Price had been as high as $14,900/month (see screenshots)")</f>
        <v>Price had been as high as $14,900/month (see screenshots)</v>
      </c>
      <c r="N1381" s="5" t="str">
        <f ca="1">IFERROR(__xludf.DUMMYFUNCTION("""COMPUTED_VALUE"""),"https://drive.google.com/open?id=1-JTeC5oHcDgVfAMt_S_qopFAsRdq3Xbr, https://drive.google.com/open?id=1NoF4SE8IX4wICLMlALLeVqnOT87Ly4U0, https://drive.google.com/open?id=1-vrLygaa-RZ_AhC2xwh1aDvvV0z9ddvI")</f>
        <v>https://drive.google.com/open?id=1-JTeC5oHcDgVfAMt_S_qopFAsRdq3Xbr, https://drive.google.com/open?id=1NoF4SE8IX4wICLMlALLeVqnOT87Ly4U0, https://drive.google.com/open?id=1-vrLygaa-RZ_AhC2xwh1aDvvV0z9ddvI</v>
      </c>
      <c r="O1381" s="5">
        <f ca="1">IFERROR(__xludf.DUMMYFUNCTION("""COMPUTED_VALUE"""),5608026022)</f>
        <v>5608026022</v>
      </c>
      <c r="P1381" s="5" t="str">
        <f ca="1">IFERROR(__xludf.DUMMYFUNCTION("""COMPUTED_VALUE"""),"(818) 419-9991")</f>
        <v>(818) 419-9991</v>
      </c>
      <c r="Q1381" s="5"/>
      <c r="R1381" s="5" t="str">
        <f ca="1">IFERROR(__xludf.DUMMYFUNCTION("""COMPUTED_VALUE"""),"(818) 419-9991")</f>
        <v>(818) 419-9991</v>
      </c>
      <c r="S1381" s="5"/>
      <c r="T1381" s="18">
        <f ca="1">IFERROR(__xludf.DUMMYFUNCTION("""COMPUTED_VALUE"""),45630)</f>
        <v>45630</v>
      </c>
    </row>
    <row r="1382" spans="1:20" ht="12.75">
      <c r="A1382" s="24">
        <f ca="1">IFERROR(__xludf.DUMMYFUNCTION("""COMPUTED_VALUE"""),45677.9257949421)</f>
        <v>45677.925794942101</v>
      </c>
      <c r="B1382" s="5" t="str">
        <f ca="1">IFERROR(__xludf.DUMMYFUNCTION("""COMPUTED_VALUE"""),"563 Canon View Trl")</f>
        <v>563 Canon View Trl</v>
      </c>
      <c r="C1382" s="5" t="str">
        <f ca="1">IFERROR(__xludf.DUMMYFUNCTION("""COMPUTED_VALUE"""),"Topanga")</f>
        <v>Topanga</v>
      </c>
      <c r="D1382" s="5" t="str">
        <f ca="1">IFERROR(__xludf.DUMMYFUNCTION("""COMPUTED_VALUE"""),"CA")</f>
        <v>CA</v>
      </c>
      <c r="E1382" s="5">
        <f ca="1">IFERROR(__xludf.DUMMYFUNCTION("""COMPUTED_VALUE"""),90290)</f>
        <v>90290</v>
      </c>
      <c r="F1382" s="19">
        <f ca="1">IFERROR(__xludf.DUMMYFUNCTION("""COMPUTED_VALUE"""),6250)</f>
        <v>6250</v>
      </c>
      <c r="G1382" s="19">
        <f ca="1">IFERROR(__xludf.DUMMYFUNCTION("""COMPUTED_VALUE"""),10950)</f>
        <v>10950</v>
      </c>
      <c r="H1382" s="18">
        <f ca="1">IFERROR(__xludf.DUMMYFUNCTION("""COMPUTED_VALUE"""),45674)</f>
        <v>45674</v>
      </c>
      <c r="I1382" s="5" t="str">
        <f ca="1">IFERROR(__xludf.DUMMYFUNCTION("""COMPUTED_VALUE"""),"Zillow")</f>
        <v>Zillow</v>
      </c>
      <c r="J1382" s="25" t="str">
        <f ca="1">IFERROR(__xludf.DUMMYFUNCTION("""COMPUTED_VALUE"""),"https://www.zillow.com/homedetails/Topanga-CA-90290/2056259711_zpid/")</f>
        <v>https://www.zillow.com/homedetails/Topanga-CA-90290/2056259711_zpid/</v>
      </c>
      <c r="K1382" s="5" t="str">
        <f ca="1">IFERROR(__xludf.DUMMYFUNCTION("""COMPUTED_VALUE"""),"Nicolai Savaro, Berkshire Hathaway")</f>
        <v>Nicolai Savaro, Berkshire Hathaway</v>
      </c>
      <c r="L1382" s="5" t="str">
        <f ca="1">IFERROR(__xludf.DUMMYFUNCTION("""COMPUTED_VALUE"""),"Nicolai Savaro")</f>
        <v>Nicolai Savaro</v>
      </c>
      <c r="M1382" s="5"/>
      <c r="N1382" s="26" t="str">
        <f ca="1">IFERROR(__xludf.DUMMYFUNCTION("""COMPUTED_VALUE"""),"https://drive.google.com/open?id=1UUS1CCuv6yDuqkWjllfIzNDOaToUdsla")</f>
        <v>https://drive.google.com/open?id=1UUS1CCuv6yDuqkWjllfIzNDOaToUdsla</v>
      </c>
      <c r="O1382" s="5" t="str">
        <f ca="1">IFERROR(__xludf.DUMMYFUNCTION("""COMPUTED_VALUE"""),"NA")</f>
        <v>NA</v>
      </c>
      <c r="P1382" s="5" t="str">
        <f ca="1">IFERROR(__xludf.DUMMYFUNCTION("""COMPUTED_VALUE"""),"(310) 663-7600")</f>
        <v>(310) 663-7600</v>
      </c>
      <c r="Q1382" s="5"/>
      <c r="R1382" s="5" t="str">
        <f ca="1">IFERROR(__xludf.DUMMYFUNCTION("""COMPUTED_VALUE"""),"(310) 663-7600")</f>
        <v>(310) 663-7600</v>
      </c>
      <c r="S1382" s="5"/>
      <c r="T1382" s="18">
        <f ca="1">IFERROR(__xludf.DUMMYFUNCTION("""COMPUTED_VALUE"""),45464)</f>
        <v>45464</v>
      </c>
    </row>
    <row r="1383" spans="1:20" ht="12.75">
      <c r="A1383" s="24">
        <f ca="1">IFERROR(__xludf.DUMMYFUNCTION("""COMPUTED_VALUE"""),45677.9707188078)</f>
        <v>45677.970718807803</v>
      </c>
      <c r="B1383" s="5" t="str">
        <f ca="1">IFERROR(__xludf.DUMMYFUNCTION("""COMPUTED_VALUE"""),"444 N Catalina")</f>
        <v>444 N Catalina</v>
      </c>
      <c r="C1383" s="5" t="str">
        <f ca="1">IFERROR(__xludf.DUMMYFUNCTION("""COMPUTED_VALUE"""),"Pasadena ")</f>
        <v xml:space="preserve">Pasadena </v>
      </c>
      <c r="D1383" s="5" t="str">
        <f ca="1">IFERROR(__xludf.DUMMYFUNCTION("""COMPUTED_VALUE"""),"CA")</f>
        <v>CA</v>
      </c>
      <c r="E1383" s="5">
        <f ca="1">IFERROR(__xludf.DUMMYFUNCTION("""COMPUTED_VALUE"""),91106)</f>
        <v>91106</v>
      </c>
      <c r="F1383" s="19">
        <f ca="1">IFERROR(__xludf.DUMMYFUNCTION("""COMPUTED_VALUE"""),3000)</f>
        <v>3000</v>
      </c>
      <c r="G1383" s="19">
        <f ca="1">IFERROR(__xludf.DUMMYFUNCTION("""COMPUTED_VALUE"""),3500)</f>
        <v>3500</v>
      </c>
      <c r="H1383" s="18">
        <f ca="1">IFERROR(__xludf.DUMMYFUNCTION("""COMPUTED_VALUE"""),45678)</f>
        <v>45678</v>
      </c>
      <c r="I1383" s="5" t="str">
        <f ca="1">IFERROR(__xludf.DUMMYFUNCTION("""COMPUTED_VALUE"""),"Zillow")</f>
        <v>Zillow</v>
      </c>
      <c r="J1383" s="25" t="str">
        <f ca="1">IFERROR(__xludf.DUMMYFUNCTION("""COMPUTED_VALUE"""),"https://www.zillow.com/homedetails/444-N-Catalina-Ave-Pasadena-CA-91106/20867128_zpid/")</f>
        <v>https://www.zillow.com/homedetails/444-N-Catalina-Ave-Pasadena-CA-91106/20867128_zpid/</v>
      </c>
      <c r="K1383" s="5" t="str">
        <f ca="1">IFERROR(__xludf.DUMMYFUNCTION("""COMPUTED_VALUE"""),"Michael Castellanos")</f>
        <v>Michael Castellanos</v>
      </c>
      <c r="L1383" s="5"/>
      <c r="M1383" s="5"/>
      <c r="N1383" s="26" t="str">
        <f ca="1">IFERROR(__xludf.DUMMYFUNCTION("""COMPUTED_VALUE"""),"https://drive.google.com/open?id=1kwTx9wwd9hd_5iqXRle6dBfcI-MeRc2k")</f>
        <v>https://drive.google.com/open?id=1kwTx9wwd9hd_5iqXRle6dBfcI-MeRc2k</v>
      </c>
      <c r="O1383" s="5">
        <f ca="1">IFERROR(__xludf.DUMMYFUNCTION("""COMPUTED_VALUE"""),5732019030)</f>
        <v>5732019030</v>
      </c>
      <c r="P1383" s="5">
        <f ca="1">IFERROR(__xludf.DUMMYFUNCTION("""COMPUTED_VALUE"""),8188514155)</f>
        <v>8188514155</v>
      </c>
      <c r="Q1383" s="5"/>
      <c r="R1383" s="5">
        <f ca="1">IFERROR(__xludf.DUMMYFUNCTION("""COMPUTED_VALUE"""),8188514155)</f>
        <v>8188514155</v>
      </c>
      <c r="S1383" s="5"/>
      <c r="T1383" s="18">
        <f ca="1">IFERROR(__xludf.DUMMYFUNCTION("""COMPUTED_VALUE"""),45660)</f>
        <v>45660</v>
      </c>
    </row>
    <row r="1384" spans="1:20" ht="12.75">
      <c r="A1384" s="24">
        <f ca="1">IFERROR(__xludf.DUMMYFUNCTION("""COMPUTED_VALUE"""),45678.4438640393)</f>
        <v>45678.443864039298</v>
      </c>
      <c r="B1384" s="5" t="str">
        <f ca="1">IFERROR(__xludf.DUMMYFUNCTION("""COMPUTED_VALUE"""),"333 s wilton pl apt 4")</f>
        <v>333 s wilton pl apt 4</v>
      </c>
      <c r="C1384" s="5" t="str">
        <f ca="1">IFERROR(__xludf.DUMMYFUNCTION("""COMPUTED_VALUE"""),"Los Angeles")</f>
        <v>Los Angeles</v>
      </c>
      <c r="D1384" s="5" t="str">
        <f ca="1">IFERROR(__xludf.DUMMYFUNCTION("""COMPUTED_VALUE"""),"CA")</f>
        <v>CA</v>
      </c>
      <c r="E1384" s="5">
        <f ca="1">IFERROR(__xludf.DUMMYFUNCTION("""COMPUTED_VALUE"""),90020)</f>
        <v>90020</v>
      </c>
      <c r="F1384" s="19">
        <f ca="1">IFERROR(__xludf.DUMMYFUNCTION("""COMPUTED_VALUE"""),3800)</f>
        <v>3800</v>
      </c>
      <c r="G1384" s="19">
        <f ca="1">IFERROR(__xludf.DUMMYFUNCTION("""COMPUTED_VALUE"""),4200)</f>
        <v>4200</v>
      </c>
      <c r="H1384" s="18">
        <f ca="1">IFERROR(__xludf.DUMMYFUNCTION("""COMPUTED_VALUE"""),45678)</f>
        <v>45678</v>
      </c>
      <c r="I1384" s="5" t="str">
        <f ca="1">IFERROR(__xludf.DUMMYFUNCTION("""COMPUTED_VALUE"""),"Zillow")</f>
        <v>Zillow</v>
      </c>
      <c r="J1384" s="25" t="str">
        <f ca="1">IFERROR(__xludf.DUMMYFUNCTION("""COMPUTED_VALUE"""),"https://www.zillow.com/homedetails/333-S-Wilton-Pl-APT-4-Los-Angeles-CA-90020/89145531_zpid/")</f>
        <v>https://www.zillow.com/homedetails/333-S-Wilton-Pl-APT-4-Los-Angeles-CA-90020/89145531_zpid/</v>
      </c>
      <c r="K1384" s="5" t="str">
        <f ca="1">IFERROR(__xludf.DUMMYFUNCTION("""COMPUTED_VALUE"""),"John Michael Iglar")</f>
        <v>John Michael Iglar</v>
      </c>
      <c r="L1384" s="5"/>
      <c r="M1384" s="5" t="str">
        <f ca="1">IFERROR(__xludf.DUMMYFUNCTION("""COMPUTED_VALUE"""),"Increase of 10.5% from previous listing in 2024, also beyonnd 160% of fmr for 90020")</f>
        <v>Increase of 10.5% from previous listing in 2024, also beyonnd 160% of fmr for 90020</v>
      </c>
      <c r="N1384" s="26" t="str">
        <f ca="1">IFERROR(__xludf.DUMMYFUNCTION("""COMPUTED_VALUE"""),"https://drive.google.com/open?id=1LriUuyoAnAqiqZGaxPhlolBJZ3hKghqx")</f>
        <v>https://drive.google.com/open?id=1LriUuyoAnAqiqZGaxPhlolBJZ3hKghqx</v>
      </c>
      <c r="O1384" s="5">
        <f ca="1">IFERROR(__xludf.DUMMYFUNCTION("""COMPUTED_VALUE"""),5504023028)</f>
        <v>5504023028</v>
      </c>
      <c r="P1384" s="5" t="str">
        <f ca="1">IFERROR(__xludf.DUMMYFUNCTION("""COMPUTED_VALUE"""),"(310) 740-5090")</f>
        <v>(310) 740-5090</v>
      </c>
      <c r="Q1384" s="5"/>
      <c r="R1384" s="5"/>
      <c r="S1384" s="5"/>
      <c r="T1384" s="18">
        <f ca="1">IFERROR(__xludf.DUMMYFUNCTION("""COMPUTED_VALUE"""),45321)</f>
        <v>45321</v>
      </c>
    </row>
    <row r="1385" spans="1:20" ht="12.75">
      <c r="A1385" s="24">
        <f ca="1">IFERROR(__xludf.DUMMYFUNCTION("""COMPUTED_VALUE"""),45678.4763696527)</f>
        <v>45678.476369652701</v>
      </c>
      <c r="B1385" s="5" t="str">
        <f ca="1">IFERROR(__xludf.DUMMYFUNCTION("""COMPUTED_VALUE"""),"5959 franklin ave apt 410")</f>
        <v>5959 franklin ave apt 410</v>
      </c>
      <c r="C1385" s="5" t="str">
        <f ca="1">IFERROR(__xludf.DUMMYFUNCTION("""COMPUTED_VALUE"""),"los angeles")</f>
        <v>los angeles</v>
      </c>
      <c r="D1385" s="5" t="str">
        <f ca="1">IFERROR(__xludf.DUMMYFUNCTION("""COMPUTED_VALUE"""),"CA")</f>
        <v>CA</v>
      </c>
      <c r="E1385" s="5">
        <f ca="1">IFERROR(__xludf.DUMMYFUNCTION("""COMPUTED_VALUE"""),90028)</f>
        <v>90028</v>
      </c>
      <c r="F1385" s="19">
        <f ca="1">IFERROR(__xludf.DUMMYFUNCTION("""COMPUTED_VALUE"""),5463)</f>
        <v>5463</v>
      </c>
      <c r="G1385" s="19">
        <f ca="1">IFERROR(__xludf.DUMMYFUNCTION("""COMPUTED_VALUE"""),6112)</f>
        <v>6112</v>
      </c>
      <c r="H1385" s="18">
        <f ca="1">IFERROR(__xludf.DUMMYFUNCTION("""COMPUTED_VALUE"""),45671)</f>
        <v>45671</v>
      </c>
      <c r="I1385" s="5" t="str">
        <f ca="1">IFERROR(__xludf.DUMMYFUNCTION("""COMPUTED_VALUE"""),"Zillow")</f>
        <v>Zillow</v>
      </c>
      <c r="J1385" s="25" t="str">
        <f ca="1">IFERROR(__xludf.DUMMYFUNCTION("""COMPUTED_VALUE"""),"https://www.zillow.com/homedetails/5959-Franklin-Ave-APT-410-Los-Angeles-CA-90028/2089645455_zpid/")</f>
        <v>https://www.zillow.com/homedetails/5959-Franklin-Ave-APT-410-Los-Angeles-CA-90028/2089645455_zpid/</v>
      </c>
      <c r="K1385" s="5"/>
      <c r="L1385" s="5"/>
      <c r="M1385" s="5" t="str">
        <f ca="1">IFERROR(__xludf.DUMMYFUNCTION("""COMPUTED_VALUE"""),"rent increase of 11.9% on 1/14/25. listing is also currently listed at 3.2x the fmr for zip. reported to zillow. this likely applies to multiple listings at the same building.")</f>
        <v>rent increase of 11.9% on 1/14/25. listing is also currently listed at 3.2x the fmr for zip. reported to zillow. this likely applies to multiple listings at the same building.</v>
      </c>
      <c r="N1385" s="26" t="str">
        <f ca="1">IFERROR(__xludf.DUMMYFUNCTION("""COMPUTED_VALUE"""),"https://drive.google.com/open?id=1_NuodRg3Lyg5gGt3hW7bqc0u1oNBVp6A")</f>
        <v>https://drive.google.com/open?id=1_NuodRg3Lyg5gGt3hW7bqc0u1oNBVp6A</v>
      </c>
      <c r="O1385" s="5" t="str">
        <f ca="1">IFERROR(__xludf.DUMMYFUNCTION("""COMPUTED_VALUE"""),"NA")</f>
        <v>NA</v>
      </c>
      <c r="P1385" s="5" t="str">
        <f ca="1">IFERROR(__xludf.DUMMYFUNCTION("""COMPUTED_VALUE"""),"(323) 639-5670")</f>
        <v>(323) 639-5670</v>
      </c>
      <c r="Q1385" s="5"/>
      <c r="R1385" s="5"/>
      <c r="S1385" s="5"/>
      <c r="T1385" s="18">
        <f ca="1">IFERROR(__xludf.DUMMYFUNCTION("""COMPUTED_VALUE"""),45664)</f>
        <v>45664</v>
      </c>
    </row>
    <row r="1386" spans="1:20" ht="12.75">
      <c r="A1386" s="24">
        <f ca="1">IFERROR(__xludf.DUMMYFUNCTION("""COMPUTED_VALUE"""),45678.4796254861)</f>
        <v>45678.479625486099</v>
      </c>
      <c r="B1386" s="5" t="str">
        <f ca="1">IFERROR(__xludf.DUMMYFUNCTION("""COMPUTED_VALUE"""),"5959 franklin ave, unit 408")</f>
        <v>5959 franklin ave, unit 408</v>
      </c>
      <c r="C1386" s="5" t="str">
        <f ca="1">IFERROR(__xludf.DUMMYFUNCTION("""COMPUTED_VALUE"""),"Los Angeles")</f>
        <v>Los Angeles</v>
      </c>
      <c r="D1386" s="5" t="str">
        <f ca="1">IFERROR(__xludf.DUMMYFUNCTION("""COMPUTED_VALUE"""),"CA")</f>
        <v>CA</v>
      </c>
      <c r="E1386" s="5">
        <f ca="1">IFERROR(__xludf.DUMMYFUNCTION("""COMPUTED_VALUE"""),90028)</f>
        <v>90028</v>
      </c>
      <c r="F1386" s="19">
        <f ca="1">IFERROR(__xludf.DUMMYFUNCTION("""COMPUTED_VALUE"""),5463)</f>
        <v>5463</v>
      </c>
      <c r="G1386" s="19">
        <f ca="1">IFERROR(__xludf.DUMMYFUNCTION("""COMPUTED_VALUE"""),6112)</f>
        <v>6112</v>
      </c>
      <c r="H1386" s="18">
        <f ca="1">IFERROR(__xludf.DUMMYFUNCTION("""COMPUTED_VALUE"""),45671)</f>
        <v>45671</v>
      </c>
      <c r="I1386" s="5" t="str">
        <f ca="1">IFERROR(__xludf.DUMMYFUNCTION("""COMPUTED_VALUE"""),"Zillow")</f>
        <v>Zillow</v>
      </c>
      <c r="J1386" s="25" t="str">
        <f ca="1">IFERROR(__xludf.DUMMYFUNCTION("""COMPUTED_VALUE"""),"https://www.zillow.com/homedetails/5959-Franklin-Ave-408-Los-Angeles-CA-90028/2066621801_zpid/")</f>
        <v>https://www.zillow.com/homedetails/5959-Franklin-Ave-408-Los-Angeles-CA-90028/2066621801_zpid/</v>
      </c>
      <c r="K1386" s="5"/>
      <c r="L1386" s="5"/>
      <c r="M1386" s="5" t="str">
        <f ca="1">IFERROR(__xludf.DUMMYFUNCTION("""COMPUTED_VALUE"""),"rent increase of 11.9% on 1/14/25. listing is also currently listed at 3.2x the fmr for zip. reported to zillow. this likely applies to multiple listings at the same building.")</f>
        <v>rent increase of 11.9% on 1/14/25. listing is also currently listed at 3.2x the fmr for zip. reported to zillow. this likely applies to multiple listings at the same building.</v>
      </c>
      <c r="N1386" s="26" t="str">
        <f ca="1">IFERROR(__xludf.DUMMYFUNCTION("""COMPUTED_VALUE"""),"https://drive.google.com/open?id=1QXYKv7BCpuvizyCJeWdDhvY_ySHxdj8f")</f>
        <v>https://drive.google.com/open?id=1QXYKv7BCpuvizyCJeWdDhvY_ySHxdj8f</v>
      </c>
      <c r="O1386" s="5" t="str">
        <f ca="1">IFERROR(__xludf.DUMMYFUNCTION("""COMPUTED_VALUE"""),"NA")</f>
        <v>NA</v>
      </c>
      <c r="P1386" s="5" t="str">
        <f ca="1">IFERROR(__xludf.DUMMYFUNCTION("""COMPUTED_VALUE"""),"(323) 639-5670")</f>
        <v>(323) 639-5670</v>
      </c>
      <c r="Q1386" s="5"/>
      <c r="R1386" s="5"/>
      <c r="S1386" s="5"/>
      <c r="T1386" s="18">
        <f ca="1">IFERROR(__xludf.DUMMYFUNCTION("""COMPUTED_VALUE"""),45664)</f>
        <v>45664</v>
      </c>
    </row>
    <row r="1387" spans="1:20" ht="12.75">
      <c r="A1387" s="24">
        <f ca="1">IFERROR(__xludf.DUMMYFUNCTION("""COMPUTED_VALUE"""),45678.4826749421)</f>
        <v>45678.482674942097</v>
      </c>
      <c r="B1387" s="5" t="str">
        <f ca="1">IFERROR(__xludf.DUMMYFUNCTION("""COMPUTED_VALUE"""),"5959 franklin ave unit 409")</f>
        <v>5959 franklin ave unit 409</v>
      </c>
      <c r="C1387" s="5" t="str">
        <f ca="1">IFERROR(__xludf.DUMMYFUNCTION("""COMPUTED_VALUE"""),"los angeles")</f>
        <v>los angeles</v>
      </c>
      <c r="D1387" s="5" t="str">
        <f ca="1">IFERROR(__xludf.DUMMYFUNCTION("""COMPUTED_VALUE"""),"CA")</f>
        <v>CA</v>
      </c>
      <c r="E1387" s="5">
        <f ca="1">IFERROR(__xludf.DUMMYFUNCTION("""COMPUTED_VALUE"""),90028)</f>
        <v>90028</v>
      </c>
      <c r="F1387" s="19">
        <f ca="1">IFERROR(__xludf.DUMMYFUNCTION("""COMPUTED_VALUE"""),5463)</f>
        <v>5463</v>
      </c>
      <c r="G1387" s="19">
        <f ca="1">IFERROR(__xludf.DUMMYFUNCTION("""COMPUTED_VALUE"""),6112)</f>
        <v>6112</v>
      </c>
      <c r="H1387" s="18">
        <f ca="1">IFERROR(__xludf.DUMMYFUNCTION("""COMPUTED_VALUE"""),45671)</f>
        <v>45671</v>
      </c>
      <c r="I1387" s="5" t="str">
        <f ca="1">IFERROR(__xludf.DUMMYFUNCTION("""COMPUTED_VALUE"""),"Zillow")</f>
        <v>Zillow</v>
      </c>
      <c r="J1387" s="25" t="str">
        <f ca="1">IFERROR(__xludf.DUMMYFUNCTION("""COMPUTED_VALUE"""),"https://www.zillow.com/homedetails/5959-Franklin-Ave-APT-409-Los-Angeles-CA-90028/2089645452_zpid/")</f>
        <v>https://www.zillow.com/homedetails/5959-Franklin-Ave-APT-409-Los-Angeles-CA-90028/2089645452_zpid/</v>
      </c>
      <c r="K1387" s="5"/>
      <c r="L1387" s="5" t="str">
        <f ca="1">IFERROR(__xludf.DUMMYFUNCTION("""COMPUTED_VALUE"""),"Cohen Gidi Investments, LLC.")</f>
        <v>Cohen Gidi Investments, LLC.</v>
      </c>
      <c r="M1387" s="5" t="str">
        <f ca="1">IFERROR(__xludf.DUMMYFUNCTION("""COMPUTED_VALUE"""),"rent increase of 11.9% on 1/14/25. listing is also currently listed at 3.2x the fmr for zip. reported to zillow. this likely applies to multiple listings at the same building.")</f>
        <v>rent increase of 11.9% on 1/14/25. listing is also currently listed at 3.2x the fmr for zip. reported to zillow. this likely applies to multiple listings at the same building.</v>
      </c>
      <c r="N1387" s="26" t="str">
        <f ca="1">IFERROR(__xludf.DUMMYFUNCTION("""COMPUTED_VALUE"""),"https://drive.google.com/open?id=1jJIO4sap71UDmL-43UjBnjzoCWCbYH4k")</f>
        <v>https://drive.google.com/open?id=1jJIO4sap71UDmL-43UjBnjzoCWCbYH4k</v>
      </c>
      <c r="O1387" s="5" t="str">
        <f ca="1">IFERROR(__xludf.DUMMYFUNCTION("""COMPUTED_VALUE"""),"NA")</f>
        <v>NA</v>
      </c>
      <c r="P1387" s="5" t="str">
        <f ca="1">IFERROR(__xludf.DUMMYFUNCTION("""COMPUTED_VALUE"""),"(323) 639-5670")</f>
        <v>(323) 639-5670</v>
      </c>
      <c r="Q1387" s="5"/>
      <c r="R1387" s="5"/>
      <c r="S1387" s="5"/>
      <c r="T1387" s="18">
        <f ca="1">IFERROR(__xludf.DUMMYFUNCTION("""COMPUTED_VALUE"""),45664)</f>
        <v>45664</v>
      </c>
    </row>
    <row r="1388" spans="1:20" ht="12.75">
      <c r="A1388" s="24">
        <f ca="1">IFERROR(__xludf.DUMMYFUNCTION("""COMPUTED_VALUE"""),45678.4875825347)</f>
        <v>45678.487582534697</v>
      </c>
      <c r="B1388" s="5" t="str">
        <f ca="1">IFERROR(__xludf.DUMMYFUNCTION("""COMPUTED_VALUE"""),"1984 n orchid ave")</f>
        <v>1984 n orchid ave</v>
      </c>
      <c r="C1388" s="5" t="str">
        <f ca="1">IFERROR(__xludf.DUMMYFUNCTION("""COMPUTED_VALUE"""),"los angeles")</f>
        <v>los angeles</v>
      </c>
      <c r="D1388" s="5" t="str">
        <f ca="1">IFERROR(__xludf.DUMMYFUNCTION("""COMPUTED_VALUE"""),"CA")</f>
        <v>CA</v>
      </c>
      <c r="E1388" s="5">
        <f ca="1">IFERROR(__xludf.DUMMYFUNCTION("""COMPUTED_VALUE"""),90068)</f>
        <v>90068</v>
      </c>
      <c r="F1388" s="19">
        <f ca="1">IFERROR(__xludf.DUMMYFUNCTION("""COMPUTED_VALUE"""),1)</f>
        <v>1</v>
      </c>
      <c r="G1388" s="19">
        <f ca="1">IFERROR(__xludf.DUMMYFUNCTION("""COMPUTED_VALUE"""),3800)</f>
        <v>3800</v>
      </c>
      <c r="H1388" s="18">
        <f ca="1">IFERROR(__xludf.DUMMYFUNCTION("""COMPUTED_VALUE"""),45670)</f>
        <v>45670</v>
      </c>
      <c r="I1388" s="5" t="str">
        <f ca="1">IFERROR(__xludf.DUMMYFUNCTION("""COMPUTED_VALUE"""),"Zillow")</f>
        <v>Zillow</v>
      </c>
      <c r="J1388" s="25" t="str">
        <f ca="1">IFERROR(__xludf.DUMMYFUNCTION("""COMPUTED_VALUE"""),"https://www.zillow.com/homedetails/1984-N-Orchid-Ave-Los-Angeles-CA-90068/443984392_zpid/")</f>
        <v>https://www.zillow.com/homedetails/1984-N-Orchid-Ave-Los-Angeles-CA-90068/443984392_zpid/</v>
      </c>
      <c r="K1388" s="5" t="str">
        <f ca="1">IFERROR(__xludf.DUMMYFUNCTION("""COMPUTED_VALUE"""),"Rosalyn Barrett")</f>
        <v>Rosalyn Barrett</v>
      </c>
      <c r="L1388" s="5" t="str">
        <f ca="1">IFERROR(__xludf.DUMMYFUNCTION("""COMPUTED_VALUE"""),"Rosalyn Barrett")</f>
        <v>Rosalyn Barrett</v>
      </c>
      <c r="M1388" s="5" t="str">
        <f ca="1">IFERROR(__xludf.DUMMYFUNCTION("""COMPUTED_VALUE"""),"Listed for rent on 1/13/25 beyond 160% of FMR for zip (studio/90068 = $2330 x1.6=3728). reported to zillow")</f>
        <v>Listed for rent on 1/13/25 beyond 160% of FMR for zip (studio/90068 = $2330 x1.6=3728). reported to zillow</v>
      </c>
      <c r="N1388" s="26" t="str">
        <f ca="1">IFERROR(__xludf.DUMMYFUNCTION("""COMPUTED_VALUE"""),"https://drive.google.com/open?id=1wlAhDqasN1mxDd8IbitffDGWIzKsCuhj")</f>
        <v>https://drive.google.com/open?id=1wlAhDqasN1mxDd8IbitffDGWIzKsCuhj</v>
      </c>
      <c r="O1388" s="5" t="str">
        <f ca="1">IFERROR(__xludf.DUMMYFUNCTION("""COMPUTED_VALUE"""),"nA")</f>
        <v>nA</v>
      </c>
      <c r="P1388" s="5" t="str">
        <f ca="1">IFERROR(__xludf.DUMMYFUNCTION("""COMPUTED_VALUE"""),"(424) 373-8544")</f>
        <v>(424) 373-8544</v>
      </c>
      <c r="Q1388" s="5"/>
      <c r="R1388" s="5" t="str">
        <f ca="1">IFERROR(__xludf.DUMMYFUNCTION("""COMPUTED_VALUE"""),"(424) 373-8544")</f>
        <v>(424) 373-8544</v>
      </c>
      <c r="S1388" s="5"/>
      <c r="T1388" s="5"/>
    </row>
    <row r="1389" spans="1:20" ht="12.75">
      <c r="A1389" s="24">
        <f ca="1">IFERROR(__xludf.DUMMYFUNCTION("""COMPUTED_VALUE"""),45678.5021440046)</f>
        <v>45678.502144004597</v>
      </c>
      <c r="B1389" s="5" t="str">
        <f ca="1">IFERROR(__xludf.DUMMYFUNCTION("""COMPUTED_VALUE"""),"7077 Willoughby Ave #502")</f>
        <v>7077 Willoughby Ave #502</v>
      </c>
      <c r="C1389" s="5" t="str">
        <f ca="1">IFERROR(__xludf.DUMMYFUNCTION("""COMPUTED_VALUE"""),"los angeles")</f>
        <v>los angeles</v>
      </c>
      <c r="D1389" s="5" t="str">
        <f ca="1">IFERROR(__xludf.DUMMYFUNCTION("""COMPUTED_VALUE"""),"CA")</f>
        <v>CA</v>
      </c>
      <c r="E1389" s="5">
        <f ca="1">IFERROR(__xludf.DUMMYFUNCTION("""COMPUTED_VALUE"""),90038)</f>
        <v>90038</v>
      </c>
      <c r="F1389" s="19">
        <f ca="1">IFERROR(__xludf.DUMMYFUNCTION("""COMPUTED_VALUE"""),2690)</f>
        <v>2690</v>
      </c>
      <c r="G1389" s="19">
        <f ca="1">IFERROR(__xludf.DUMMYFUNCTION("""COMPUTED_VALUE"""),5114)</f>
        <v>5114</v>
      </c>
      <c r="H1389" s="18">
        <f ca="1">IFERROR(__xludf.DUMMYFUNCTION("""COMPUTED_VALUE"""),45678)</f>
        <v>45678</v>
      </c>
      <c r="I1389" s="5" t="str">
        <f ca="1">IFERROR(__xludf.DUMMYFUNCTION("""COMPUTED_VALUE"""),"Zillow")</f>
        <v>Zillow</v>
      </c>
      <c r="J1389" s="25" t="str">
        <f ca="1">IFERROR(__xludf.DUMMYFUNCTION("""COMPUTED_VALUE"""),"https://www.zillow.com/homedetails/7077-Willoughby-Ave-502-Los-Angeles-CA-90038/442766047_zpid/")</f>
        <v>https://www.zillow.com/homedetails/7077-Willoughby-Ave-502-Los-Angeles-CA-90038/442766047_zpid/</v>
      </c>
      <c r="K1389" s="5"/>
      <c r="L1389" s="5"/>
      <c r="M1389" s="5" t="str">
        <f ca="1">IFERROR(__xludf.DUMMYFUNCTION("""COMPUTED_VALUE"""),"Large price fluctuations between 1/9/25 and 1/21/25, oscillating between ~75% price increases and ~42% price decreases. Net increase between 12/15/24 and 1/21/25 is 190%. Reported to zillow")</f>
        <v>Large price fluctuations between 1/9/25 and 1/21/25, oscillating between ~75% price increases and ~42% price decreases. Net increase between 12/15/24 and 1/21/25 is 190%. Reported to zillow</v>
      </c>
      <c r="N1389" s="5" t="str">
        <f ca="1">IFERROR(__xludf.DUMMYFUNCTION("""COMPUTED_VALUE"""),"https://drive.google.com/open?id=1g90cYnUmd1zTa4VGSavrB1CA1B30BcFO, https://drive.google.com/open?id=1Q8msl95uhE1gvpuNfQtFj1dB4ZPXUt3X, https://drive.google.com/open?id=1B6VLcwK7s9NrRDtEzoPf-EirXEyoBa-R")</f>
        <v>https://drive.google.com/open?id=1g90cYnUmd1zTa4VGSavrB1CA1B30BcFO, https://drive.google.com/open?id=1Q8msl95uhE1gvpuNfQtFj1dB4ZPXUt3X, https://drive.google.com/open?id=1B6VLcwK7s9NrRDtEzoPf-EirXEyoBa-R</v>
      </c>
      <c r="O1389" s="5" t="str">
        <f ca="1">IFERROR(__xludf.DUMMYFUNCTION("""COMPUTED_VALUE"""),"NA")</f>
        <v>NA</v>
      </c>
      <c r="P1389" s="5" t="str">
        <f ca="1">IFERROR(__xludf.DUMMYFUNCTION("""COMPUTED_VALUE"""),"(323) 843-5950")</f>
        <v>(323) 843-5950</v>
      </c>
      <c r="Q1389" s="5"/>
      <c r="R1389" s="5"/>
      <c r="S1389" s="5"/>
      <c r="T1389" s="18">
        <f ca="1">IFERROR(__xludf.DUMMYFUNCTION("""COMPUTED_VALUE"""),45641)</f>
        <v>45641</v>
      </c>
    </row>
    <row r="1390" spans="1:20" ht="12.75">
      <c r="A1390" s="24">
        <f ca="1">IFERROR(__xludf.DUMMYFUNCTION("""COMPUTED_VALUE"""),45678.5130989467)</f>
        <v>45678.5130989467</v>
      </c>
      <c r="B1390" s="5" t="str">
        <f ca="1">IFERROR(__xludf.DUMMYFUNCTION("""COMPUTED_VALUE"""),"3100 Thatcher Ave")</f>
        <v>3100 Thatcher Ave</v>
      </c>
      <c r="C1390" s="5" t="str">
        <f ca="1">IFERROR(__xludf.DUMMYFUNCTION("""COMPUTED_VALUE"""),"Marina Del Rey")</f>
        <v>Marina Del Rey</v>
      </c>
      <c r="D1390" s="5" t="str">
        <f ca="1">IFERROR(__xludf.DUMMYFUNCTION("""COMPUTED_VALUE"""),"CA")</f>
        <v>CA</v>
      </c>
      <c r="E1390" s="5">
        <f ca="1">IFERROR(__xludf.DUMMYFUNCTION("""COMPUTED_VALUE"""),90292)</f>
        <v>90292</v>
      </c>
      <c r="F1390" s="19">
        <f ca="1">IFERROR(__xludf.DUMMYFUNCTION("""COMPUTED_VALUE"""),6000)</f>
        <v>6000</v>
      </c>
      <c r="G1390" s="19">
        <f ca="1">IFERROR(__xludf.DUMMYFUNCTION("""COMPUTED_VALUE"""),10500)</f>
        <v>10500</v>
      </c>
      <c r="H1390" s="18">
        <f ca="1">IFERROR(__xludf.DUMMYFUNCTION("""COMPUTED_VALUE"""),45674)</f>
        <v>45674</v>
      </c>
      <c r="I1390" s="5" t="str">
        <f ca="1">IFERROR(__xludf.DUMMYFUNCTION("""COMPUTED_VALUE"""),"Zillow")</f>
        <v>Zillow</v>
      </c>
      <c r="J1390" s="25" t="str">
        <f ca="1">IFERROR(__xludf.DUMMYFUNCTION("""COMPUTED_VALUE"""),"https://www.zillow.com/homedetails/3100-Thatcher-Ave-Marina-Del-Rey-CA-90292/20445098_zpid/?utm_campaign=iosappmessage&amp;utm_medium=referral&amp;utm_source=txtshare")</f>
        <v>https://www.zillow.com/homedetails/3100-Thatcher-Ave-Marina-Del-Rey-CA-90292/20445098_zpid/?utm_campaign=iosappmessage&amp;utm_medium=referral&amp;utm_source=txtshare</v>
      </c>
      <c r="K1390" s="5" t="str">
        <f ca="1">IFERROR(__xludf.DUMMYFUNCTION("""COMPUTED_VALUE"""),"Susan Allen")</f>
        <v>Susan Allen</v>
      </c>
      <c r="L1390" s="5"/>
      <c r="M1390" s="5"/>
      <c r="N1390" s="26" t="str">
        <f ca="1">IFERROR(__xludf.DUMMYFUNCTION("""COMPUTED_VALUE"""),"https://drive.google.com/open?id=1I3TiqkOsbNN6P1xDqgA8rh11Tp41tmAF")</f>
        <v>https://drive.google.com/open?id=1I3TiqkOsbNN6P1xDqgA8rh11Tp41tmAF</v>
      </c>
      <c r="O1390" s="5" t="str">
        <f ca="1">IFERROR(__xludf.DUMMYFUNCTION("""COMPUTED_VALUE"""),"NA")</f>
        <v>NA</v>
      </c>
      <c r="P1390" s="5">
        <f ca="1">IFERROR(__xludf.DUMMYFUNCTION("""COMPUTED_VALUE"""),3107040815)</f>
        <v>3107040815</v>
      </c>
      <c r="Q1390" s="5"/>
      <c r="R1390" s="5"/>
      <c r="S1390" s="5"/>
      <c r="T1390" s="18">
        <f ca="1">IFERROR(__xludf.DUMMYFUNCTION("""COMPUTED_VALUE"""),43927)</f>
        <v>43927</v>
      </c>
    </row>
    <row r="1391" spans="1:20" ht="12.75">
      <c r="A1391" s="24">
        <f ca="1">IFERROR(__xludf.DUMMYFUNCTION("""COMPUTED_VALUE"""),45678.5232468287)</f>
        <v>45678.523246828699</v>
      </c>
      <c r="B1391" s="5" t="str">
        <f ca="1">IFERROR(__xludf.DUMMYFUNCTION("""COMPUTED_VALUE"""),"11957 Darlington Ave")</f>
        <v>11957 Darlington Ave</v>
      </c>
      <c r="C1391" s="5" t="str">
        <f ca="1">IFERROR(__xludf.DUMMYFUNCTION("""COMPUTED_VALUE"""),"Los Angeles")</f>
        <v>Los Angeles</v>
      </c>
      <c r="D1391" s="5" t="str">
        <f ca="1">IFERROR(__xludf.DUMMYFUNCTION("""COMPUTED_VALUE"""),"CA")</f>
        <v>CA</v>
      </c>
      <c r="E1391" s="5">
        <f ca="1">IFERROR(__xludf.DUMMYFUNCTION("""COMPUTED_VALUE"""),90049)</f>
        <v>90049</v>
      </c>
      <c r="F1391" s="19">
        <f ca="1">IFERROR(__xludf.DUMMYFUNCTION("""COMPUTED_VALUE"""),4300)</f>
        <v>4300</v>
      </c>
      <c r="G1391" s="19">
        <f ca="1">IFERROR(__xludf.DUMMYFUNCTION("""COMPUTED_VALUE"""),4935)</f>
        <v>4935</v>
      </c>
      <c r="H1391" s="18">
        <f ca="1">IFERROR(__xludf.DUMMYFUNCTION("""COMPUTED_VALUE"""),45668)</f>
        <v>45668</v>
      </c>
      <c r="I1391" s="5" t="str">
        <f ca="1">IFERROR(__xludf.DUMMYFUNCTION("""COMPUTED_VALUE"""),"Zillow")</f>
        <v>Zillow</v>
      </c>
      <c r="J1391" s="25" t="str">
        <f ca="1">IFERROR(__xludf.DUMMYFUNCTION("""COMPUTED_VALUE"""),"https://www.zillow.com/homedetails/11957-Darlington-Ave-Los-Angeles-CA-90049/2071774414_zpid/?utm_campaign=iosappmessage&amp;utm_medium=referral&amp;utm_source=txtshare")</f>
        <v>https://www.zillow.com/homedetails/11957-Darlington-Ave-Los-Angeles-CA-90049/2071774414_zpid/?utm_campaign=iosappmessage&amp;utm_medium=referral&amp;utm_source=txtshare</v>
      </c>
      <c r="K1391" s="5" t="str">
        <f ca="1">IFERROR(__xludf.DUMMYFUNCTION("""COMPUTED_VALUE"""),"Manny Kreitenberg")</f>
        <v>Manny Kreitenberg</v>
      </c>
      <c r="L1391" s="5"/>
      <c r="M1391" s="5"/>
      <c r="N1391" s="26" t="str">
        <f ca="1">IFERROR(__xludf.DUMMYFUNCTION("""COMPUTED_VALUE"""),"https://drive.google.com/open?id=14Z8FdRLcqPkVn_Sh1-6UaGz4F3PsiMde")</f>
        <v>https://drive.google.com/open?id=14Z8FdRLcqPkVn_Sh1-6UaGz4F3PsiMde</v>
      </c>
      <c r="O1391" s="5" t="str">
        <f ca="1">IFERROR(__xludf.DUMMYFUNCTION("""COMPUTED_VALUE"""),"NA")</f>
        <v>NA</v>
      </c>
      <c r="P1391" s="5">
        <f ca="1">IFERROR(__xludf.DUMMYFUNCTION("""COMPUTED_VALUE"""),3105500757)</f>
        <v>3105500757</v>
      </c>
      <c r="Q1391" s="5"/>
      <c r="R1391" s="5"/>
      <c r="S1391" s="5"/>
      <c r="T1391" s="18">
        <f ca="1">IFERROR(__xludf.DUMMYFUNCTION("""COMPUTED_VALUE"""),45519)</f>
        <v>45519</v>
      </c>
    </row>
    <row r="1392" spans="1:20" ht="12.75">
      <c r="A1392" s="24">
        <f ca="1">IFERROR(__xludf.DUMMYFUNCTION("""COMPUTED_VALUE"""),45678.5417491203)</f>
        <v>45678.541749120297</v>
      </c>
      <c r="B1392" s="5" t="str">
        <f ca="1">IFERROR(__xludf.DUMMYFUNCTION("""COMPUTED_VALUE"""),"168 S Sierra Madre Blvd Unit 201 ")</f>
        <v xml:space="preserve">168 S Sierra Madre Blvd Unit 201 </v>
      </c>
      <c r="C1392" s="5" t="str">
        <f ca="1">IFERROR(__xludf.DUMMYFUNCTION("""COMPUTED_VALUE"""),"Pasadena ")</f>
        <v xml:space="preserve">Pasadena </v>
      </c>
      <c r="D1392" s="5" t="str">
        <f ca="1">IFERROR(__xludf.DUMMYFUNCTION("""COMPUTED_VALUE"""),"CA")</f>
        <v>CA</v>
      </c>
      <c r="E1392" s="5">
        <f ca="1">IFERROR(__xludf.DUMMYFUNCTION("""COMPUTED_VALUE"""),91107)</f>
        <v>91107</v>
      </c>
      <c r="F1392" s="19">
        <f ca="1">IFERROR(__xludf.DUMMYFUNCTION("""COMPUTED_VALUE"""),899000)</f>
        <v>899000</v>
      </c>
      <c r="G1392" s="19">
        <f ca="1">IFERROR(__xludf.DUMMYFUNCTION("""COMPUTED_VALUE"""),998000)</f>
        <v>998000</v>
      </c>
      <c r="H1392" s="18">
        <f ca="1">IFERROR(__xludf.DUMMYFUNCTION("""COMPUTED_VALUE"""),45671)</f>
        <v>45671</v>
      </c>
      <c r="I1392" s="5" t="str">
        <f ca="1">IFERROR(__xludf.DUMMYFUNCTION("""COMPUTED_VALUE"""),"Zillow")</f>
        <v>Zillow</v>
      </c>
      <c r="J1392" s="25" t="str">
        <f ca="1">IFERROR(__xludf.DUMMYFUNCTION("""COMPUTED_VALUE"""),"https://www.zillow.com/homedetails/168-S-Sierra-Madre-Blvd-UNIT-201-Pasadena-CA-91107/302796216_zpid/")</f>
        <v>https://www.zillow.com/homedetails/168-S-Sierra-Madre-Blvd-UNIT-201-Pasadena-CA-91107/302796216_zpid/</v>
      </c>
      <c r="K1392" s="5"/>
      <c r="L1392" s="5"/>
      <c r="M1392" s="5"/>
      <c r="N1392" s="26" t="str">
        <f ca="1">IFERROR(__xludf.DUMMYFUNCTION("""COMPUTED_VALUE"""),"https://drive.google.com/open?id=1o5fEEAc0-5ai1PZTg-DZZ6KCjhpKgkY_")</f>
        <v>https://drive.google.com/open?id=1o5fEEAc0-5ai1PZTg-DZZ6KCjhpKgkY_</v>
      </c>
      <c r="O1392" s="5" t="str">
        <f ca="1">IFERROR(__xludf.DUMMYFUNCTION("""COMPUTED_VALUE"""),"NA")</f>
        <v>NA</v>
      </c>
      <c r="P1392" s="5"/>
      <c r="Q1392" s="5"/>
      <c r="R1392" s="5"/>
      <c r="S1392" s="5"/>
      <c r="T1392" s="18">
        <f ca="1">IFERROR(__xludf.DUMMYFUNCTION("""COMPUTED_VALUE"""),45619)</f>
        <v>45619</v>
      </c>
    </row>
    <row r="1393" spans="1:20" ht="12.75">
      <c r="A1393" s="24">
        <f ca="1">IFERROR(__xludf.DUMMYFUNCTION("""COMPUTED_VALUE"""),45678.6517383217)</f>
        <v>45678.6517383217</v>
      </c>
      <c r="B1393" s="5" t="str">
        <f ca="1">IFERROR(__xludf.DUMMYFUNCTION("""COMPUTED_VALUE"""),"10910 B W Hesby St")</f>
        <v>10910 B W Hesby St</v>
      </c>
      <c r="C1393" s="5" t="str">
        <f ca="1">IFERROR(__xludf.DUMMYFUNCTION("""COMPUTED_VALUE"""),"North Hollywood")</f>
        <v>North Hollywood</v>
      </c>
      <c r="D1393" s="5" t="str">
        <f ca="1">IFERROR(__xludf.DUMMYFUNCTION("""COMPUTED_VALUE"""),"CA")</f>
        <v>CA</v>
      </c>
      <c r="E1393" s="5">
        <f ca="1">IFERROR(__xludf.DUMMYFUNCTION("""COMPUTED_VALUE"""),91601)</f>
        <v>91601</v>
      </c>
      <c r="F1393" s="19">
        <f ca="1">IFERROR(__xludf.DUMMYFUNCTION("""COMPUTED_VALUE"""),4250)</f>
        <v>4250</v>
      </c>
      <c r="G1393" s="19">
        <f ca="1">IFERROR(__xludf.DUMMYFUNCTION("""COMPUTED_VALUE"""),4300)</f>
        <v>4300</v>
      </c>
      <c r="H1393" s="18">
        <f ca="1">IFERROR(__xludf.DUMMYFUNCTION("""COMPUTED_VALUE"""),45662)</f>
        <v>45662</v>
      </c>
      <c r="I1393" s="5" t="str">
        <f ca="1">IFERROR(__xludf.DUMMYFUNCTION("""COMPUTED_VALUE"""),"Redfin")</f>
        <v>Redfin</v>
      </c>
      <c r="J1393" s="25" t="str">
        <f ca="1">IFERROR(__xludf.DUMMYFUNCTION("""COMPUTED_VALUE"""),"https://www.redfin.com/CA/North-Hollywood/10910-Hesby-St-91601/unit-B/apartment/180887414")</f>
        <v>https://www.redfin.com/CA/North-Hollywood/10910-Hesby-St-91601/unit-B/apartment/180887414</v>
      </c>
      <c r="K1393" s="5" t="str">
        <f ca="1">IFERROR(__xludf.DUMMYFUNCTION("""COMPUTED_VALUE"""),"JRealty")</f>
        <v>JRealty</v>
      </c>
      <c r="L1393" s="5" t="str">
        <f ca="1">IFERROR(__xludf.DUMMYFUNCTION("""COMPUTED_VALUE"""),"LLC")</f>
        <v>LLC</v>
      </c>
      <c r="M1393" s="5" t="str">
        <f ca="1">IFERROR(__xludf.DUMMYFUNCTION("""COMPUTED_VALUE"""),"This property appears on your list prior to this submission. However, the list shows the previous rent as 3,800 when in fact the previous rent was 4,250. Currently on the rental market at 4,300. ")</f>
        <v xml:space="preserve">This property appears on your list prior to this submission. However, the list shows the previous rent as 3,800 when in fact the previous rent was 4,250. Currently on the rental market at 4,300. </v>
      </c>
      <c r="N1393" s="5" t="str">
        <f ca="1">IFERROR(__xludf.DUMMYFUNCTION("""COMPUTED_VALUE"""),"https://drive.google.com/open?id=1vewe40GlBNOQv_hKW2TImuCoJDLYY3bO, https://drive.google.com/open?id=17vgvlH1P8w-NKuw3AibKUVmcnhbfsqVq")</f>
        <v>https://drive.google.com/open?id=1vewe40GlBNOQv_hKW2TImuCoJDLYY3bO, https://drive.google.com/open?id=17vgvlH1P8w-NKuw3AibKUVmcnhbfsqVq</v>
      </c>
      <c r="O1393" s="5" t="str">
        <f ca="1">IFERROR(__xludf.DUMMYFUNCTION("""COMPUTED_VALUE"""),"NA")</f>
        <v>NA</v>
      </c>
      <c r="P1393" s="5">
        <f ca="1">IFERROR(__xludf.DUMMYFUNCTION("""COMPUTED_VALUE"""),4247323896)</f>
        <v>4247323896</v>
      </c>
      <c r="Q1393" s="5" t="str">
        <f ca="1">IFERROR(__xludf.DUMMYFUNCTION("""COMPUTED_VALUE"""),"mdrobny@jrealty.org")</f>
        <v>mdrobny@jrealty.org</v>
      </c>
      <c r="R1393" s="5"/>
      <c r="S1393" s="5"/>
      <c r="T1393" s="18">
        <f ca="1">IFERROR(__xludf.DUMMYFUNCTION("""COMPUTED_VALUE"""),45641)</f>
        <v>45641</v>
      </c>
    </row>
    <row r="1394" spans="1:20" ht="12.75">
      <c r="A1394" s="24">
        <f ca="1">IFERROR(__xludf.DUMMYFUNCTION("""COMPUTED_VALUE"""),45678.6882193634)</f>
        <v>45678.688219363401</v>
      </c>
      <c r="B1394" s="5" t="str">
        <f ca="1">IFERROR(__xludf.DUMMYFUNCTION("""COMPUTED_VALUE"""),"2371 Midvale Ave")</f>
        <v>2371 Midvale Ave</v>
      </c>
      <c r="C1394" s="5" t="str">
        <f ca="1">IFERROR(__xludf.DUMMYFUNCTION("""COMPUTED_VALUE"""),"Los Angeles")</f>
        <v>Los Angeles</v>
      </c>
      <c r="D1394" s="5" t="str">
        <f ca="1">IFERROR(__xludf.DUMMYFUNCTION("""COMPUTED_VALUE"""),"CA")</f>
        <v>CA</v>
      </c>
      <c r="E1394" s="5">
        <f ca="1">IFERROR(__xludf.DUMMYFUNCTION("""COMPUTED_VALUE"""),90064)</f>
        <v>90064</v>
      </c>
      <c r="F1394" s="19">
        <f ca="1">IFERROR(__xludf.DUMMYFUNCTION("""COMPUTED_VALUE"""),1)</f>
        <v>1</v>
      </c>
      <c r="G1394" s="19">
        <f ca="1">IFERROR(__xludf.DUMMYFUNCTION("""COMPUTED_VALUE"""),19500)</f>
        <v>19500</v>
      </c>
      <c r="H1394" s="18">
        <f ca="1">IFERROR(__xludf.DUMMYFUNCTION("""COMPUTED_VALUE"""),45676)</f>
        <v>45676</v>
      </c>
      <c r="I1394" s="5" t="str">
        <f ca="1">IFERROR(__xludf.DUMMYFUNCTION("""COMPUTED_VALUE"""),"Zillow")</f>
        <v>Zillow</v>
      </c>
      <c r="J1394" s="25" t="str">
        <f ca="1">IFERROR(__xludf.DUMMYFUNCTION("""COMPUTED_VALUE"""),"https://www.zillow.com/homedetails/2371-Midvale-Ave-Los-Angeles-CA-90064/20501925_zpid/")</f>
        <v>https://www.zillow.com/homedetails/2371-Midvale-Ave-Los-Angeles-CA-90064/20501925_zpid/</v>
      </c>
      <c r="K1394" s="5" t="str">
        <f ca="1">IFERROR(__xludf.DUMMYFUNCTION("""COMPUTED_VALUE"""),"Emil M")</f>
        <v>Emil M</v>
      </c>
      <c r="L1394" s="5"/>
      <c r="M1394" s="5" t="str">
        <f ca="1">IFERROR(__xludf.DUMMYFUNCTION("""COMPUTED_VALUE"""),"This is a new listing and above 160% fair market value. ")</f>
        <v xml:space="preserve">This is a new listing and above 160% fair market value. </v>
      </c>
      <c r="N1394" s="5" t="str">
        <f ca="1">IFERROR(__xludf.DUMMYFUNCTION("""COMPUTED_VALUE"""),"https://drive.google.com/open?id=1Lfyk0x3nQKE_DvdoKNhBjYviTlYDHImU, https://drive.google.com/open?id=1qEI2E_rjifTDOhVcmAL1QhKwpZT-Mqu2, https://drive.google.com/open?id=1Hjv7aXQTg1meYml0P_h2ZsnTEesIr0EJ, https://drive.google.com/open?id=1tovB-cbXuhOEZT4Xj"&amp;"EVpTliUCoU6UZc_")</f>
        <v>https://drive.google.com/open?id=1Lfyk0x3nQKE_DvdoKNhBjYviTlYDHImU, https://drive.google.com/open?id=1qEI2E_rjifTDOhVcmAL1QhKwpZT-Mqu2, https://drive.google.com/open?id=1Hjv7aXQTg1meYml0P_h2ZsnTEesIr0EJ, https://drive.google.com/open?id=1tovB-cbXuhOEZT4XjEVpTliUCoU6UZc_</v>
      </c>
      <c r="O1394" s="5">
        <f ca="1">IFERROR(__xludf.DUMMYFUNCTION("""COMPUTED_VALUE"""),4322004024)</f>
        <v>4322004024</v>
      </c>
      <c r="P1394" s="5" t="str">
        <f ca="1">IFERROR(__xludf.DUMMYFUNCTION("""COMPUTED_VALUE"""),"(310) 254-5884")</f>
        <v>(310) 254-5884</v>
      </c>
      <c r="Q1394" s="5"/>
      <c r="R1394" s="5"/>
      <c r="S1394" s="5"/>
      <c r="T1394" s="5"/>
    </row>
    <row r="1395" spans="1:20" ht="12.75">
      <c r="A1395" s="24">
        <f ca="1">IFERROR(__xludf.DUMMYFUNCTION("""COMPUTED_VALUE"""),45678.6927165972)</f>
        <v>45678.692716597201</v>
      </c>
      <c r="B1395" s="5" t="str">
        <f ca="1">IFERROR(__xludf.DUMMYFUNCTION("""COMPUTED_VALUE"""),"24508 Park Granada")</f>
        <v>24508 Park Granada</v>
      </c>
      <c r="C1395" s="5" t="str">
        <f ca="1">IFERROR(__xludf.DUMMYFUNCTION("""COMPUTED_VALUE"""),"Calabasas")</f>
        <v>Calabasas</v>
      </c>
      <c r="D1395" s="5" t="str">
        <f ca="1">IFERROR(__xludf.DUMMYFUNCTION("""COMPUTED_VALUE"""),"CA")</f>
        <v>CA</v>
      </c>
      <c r="E1395" s="5">
        <f ca="1">IFERROR(__xludf.DUMMYFUNCTION("""COMPUTED_VALUE"""),91302)</f>
        <v>91302</v>
      </c>
      <c r="F1395" s="19">
        <f ca="1">IFERROR(__xludf.DUMMYFUNCTION("""COMPUTED_VALUE"""),8450)</f>
        <v>8450</v>
      </c>
      <c r="G1395" s="19">
        <f ca="1">IFERROR(__xludf.DUMMYFUNCTION("""COMPUTED_VALUE"""),12500)</f>
        <v>12500</v>
      </c>
      <c r="H1395" s="18">
        <f ca="1">IFERROR(__xludf.DUMMYFUNCTION("""COMPUTED_VALUE"""),45677)</f>
        <v>45677</v>
      </c>
      <c r="I1395" s="5" t="str">
        <f ca="1">IFERROR(__xludf.DUMMYFUNCTION("""COMPUTED_VALUE"""),"Zillow")</f>
        <v>Zillow</v>
      </c>
      <c r="J1395" s="25" t="str">
        <f ca="1">IFERROR(__xludf.DUMMYFUNCTION("""COMPUTED_VALUE"""),"https://www.zillow.com/homedetails/24508-Park-Granada-Calabasas-CA-91302/19896727_zpid/")</f>
        <v>https://www.zillow.com/homedetails/24508-Park-Granada-Calabasas-CA-91302/19896727_zpid/</v>
      </c>
      <c r="K1395" s="5" t="str">
        <f ca="1">IFERROR(__xludf.DUMMYFUNCTION("""COMPUTED_VALUE"""),"Brad Wiseman")</f>
        <v>Brad Wiseman</v>
      </c>
      <c r="L1395" s="5"/>
      <c r="M1395" s="5"/>
      <c r="N1395" s="5" t="str">
        <f ca="1">IFERROR(__xludf.DUMMYFUNCTION("""COMPUTED_VALUE"""),"https://drive.google.com/open?id=1Lkbyrl5y8-RFLjM9jXHruvOek-H3tyFP, https://drive.google.com/open?id=1MEJn-c69Hfk1s3gieWLi1SD4ZaGNybRc, https://drive.google.com/open?id=16Hz_6EoFzsspN5g1_8j1R5IUBDbAXWiF")</f>
        <v>https://drive.google.com/open?id=1Lkbyrl5y8-RFLjM9jXHruvOek-H3tyFP, https://drive.google.com/open?id=1MEJn-c69Hfk1s3gieWLi1SD4ZaGNybRc, https://drive.google.com/open?id=16Hz_6EoFzsspN5g1_8j1R5IUBDbAXWiF</v>
      </c>
      <c r="O1395" s="5">
        <f ca="1">IFERROR(__xludf.DUMMYFUNCTION("""COMPUTED_VALUE"""),2069023015)</f>
        <v>2069023015</v>
      </c>
      <c r="P1395" s="5" t="str">
        <f ca="1">IFERROR(__xludf.DUMMYFUNCTION("""COMPUTED_VALUE"""),"(818) 880-9900")</f>
        <v>(818) 880-9900</v>
      </c>
      <c r="Q1395" s="5"/>
      <c r="R1395" s="5"/>
      <c r="S1395" s="5"/>
      <c r="T1395" s="18">
        <f ca="1">IFERROR(__xludf.DUMMYFUNCTION("""COMPUTED_VALUE"""),43135)</f>
        <v>43135</v>
      </c>
    </row>
    <row r="1396" spans="1:20" ht="12.75">
      <c r="A1396" s="24">
        <f ca="1">IFERROR(__xludf.DUMMYFUNCTION("""COMPUTED_VALUE"""),45679.575684618)</f>
        <v>45679.575684618001</v>
      </c>
      <c r="B1396" s="5" t="str">
        <f ca="1">IFERROR(__xludf.DUMMYFUNCTION("""COMPUTED_VALUE"""),"test test ignore")</f>
        <v>test test ignore</v>
      </c>
      <c r="C1396" s="5" t="str">
        <f ca="1">IFERROR(__xludf.DUMMYFUNCTION("""COMPUTED_VALUE"""),"test")</f>
        <v>test</v>
      </c>
      <c r="D1396" s="5" t="str">
        <f ca="1">IFERROR(__xludf.DUMMYFUNCTION("""COMPUTED_VALUE"""),"CA")</f>
        <v>CA</v>
      </c>
      <c r="E1396" s="5">
        <f ca="1">IFERROR(__xludf.DUMMYFUNCTION("""COMPUTED_VALUE"""),33333)</f>
        <v>33333</v>
      </c>
      <c r="F1396" s="19">
        <f ca="1">IFERROR(__xludf.DUMMYFUNCTION("""COMPUTED_VALUE"""),4000)</f>
        <v>4000</v>
      </c>
      <c r="G1396" s="19">
        <f ca="1">IFERROR(__xludf.DUMMYFUNCTION("""COMPUTED_VALUE"""),4000)</f>
        <v>4000</v>
      </c>
      <c r="H1396" s="18">
        <f ca="1">IFERROR(__xludf.DUMMYFUNCTION("""COMPUTED_VALUE"""),45679)</f>
        <v>45679</v>
      </c>
      <c r="I1396" s="5" t="str">
        <f ca="1">IFERROR(__xludf.DUMMYFUNCTION("""COMPUTED_VALUE"""),"Redfin")</f>
        <v>Redfin</v>
      </c>
      <c r="J1396" s="25" t="str">
        <f ca="1">IFERROR(__xludf.DUMMYFUNCTION("""COMPUTED_VALUE"""),"google.com")</f>
        <v>google.com</v>
      </c>
      <c r="K1396" s="5"/>
      <c r="L1396" s="5"/>
      <c r="M1396" s="5"/>
      <c r="N1396" s="26" t="str">
        <f ca="1">IFERROR(__xludf.DUMMYFUNCTION("""COMPUTED_VALUE"""),"https://drive.google.com/open?id=1cKvTA6nlpqKkZ3aSQRv8dpQ_-NCgD-pX")</f>
        <v>https://drive.google.com/open?id=1cKvTA6nlpqKkZ3aSQRv8dpQ_-NCgD-pX</v>
      </c>
      <c r="O1396" s="5" t="str">
        <f ca="1">IFERROR(__xludf.DUMMYFUNCTION("""COMPUTED_VALUE"""),"ddddd")</f>
        <v>ddddd</v>
      </c>
      <c r="P1396" s="5"/>
      <c r="Q1396" s="5"/>
      <c r="R1396" s="5"/>
      <c r="S1396" s="5"/>
      <c r="T1396" s="18">
        <f ca="1">IFERROR(__xludf.DUMMYFUNCTION("""COMPUTED_VALUE"""),45679)</f>
        <v>45679</v>
      </c>
    </row>
    <row r="1397" spans="1:20" ht="12.75">
      <c r="A1397" s="24">
        <f ca="1">IFERROR(__xludf.DUMMYFUNCTION("""COMPUTED_VALUE"""),45679.5909816319)</f>
        <v>45679.590981631904</v>
      </c>
      <c r="B1397" s="5" t="str">
        <f ca="1">IFERROR(__xludf.DUMMYFUNCTION("""COMPUTED_VALUE"""),"1317 N Brand Blvd Unit 7")</f>
        <v>1317 N Brand Blvd Unit 7</v>
      </c>
      <c r="C1397" s="5" t="str">
        <f ca="1">IFERROR(__xludf.DUMMYFUNCTION("""COMPUTED_VALUE"""),"Glendale")</f>
        <v>Glendale</v>
      </c>
      <c r="D1397" s="5" t="str">
        <f ca="1">IFERROR(__xludf.DUMMYFUNCTION("""COMPUTED_VALUE"""),"CA")</f>
        <v>CA</v>
      </c>
      <c r="E1397" s="5">
        <f ca="1">IFERROR(__xludf.DUMMYFUNCTION("""COMPUTED_VALUE"""),91202)</f>
        <v>91202</v>
      </c>
      <c r="F1397" s="19">
        <f ca="1">IFERROR(__xludf.DUMMYFUNCTION("""COMPUTED_VALUE"""),1)</f>
        <v>1</v>
      </c>
      <c r="G1397" s="19">
        <f ca="1">IFERROR(__xludf.DUMMYFUNCTION("""COMPUTED_VALUE"""),4800)</f>
        <v>4800</v>
      </c>
      <c r="H1397" s="18">
        <f ca="1">IFERROR(__xludf.DUMMYFUNCTION("""COMPUTED_VALUE"""),45677)</f>
        <v>45677</v>
      </c>
      <c r="I1397" s="26" t="str">
        <f ca="1">IFERROR(__xludf.DUMMYFUNCTION("""COMPUTED_VALUE"""),"pinnacleestate.com")</f>
        <v>pinnacleestate.com</v>
      </c>
      <c r="J1397" s="25" t="str">
        <f ca="1">IFERROR(__xludf.DUMMYFUNCTION("""COMPUTED_VALUE"""),"https://pinnacleestate.com/listing/SR25004024/1317-n-brand-boulevard-7-glendale-ca-91202/")</f>
        <v>https://pinnacleestate.com/listing/SR25004024/1317-n-brand-boulevard-7-glendale-ca-91202/</v>
      </c>
      <c r="K1397" s="5" t="str">
        <f ca="1">IFERROR(__xludf.DUMMYFUNCTION("""COMPUTED_VALUE"""),"Mary Harutyunyan")</f>
        <v>Mary Harutyunyan</v>
      </c>
      <c r="L1397" s="5"/>
      <c r="M1397" s="5" t="str">
        <f ca="1">IFERROR(__xludf.DUMMYFUNCTION("""COMPUTED_VALUE"""),"Illegal third bedroom built without permits. Including only a screenshot from another unit in the building (all the units are roughly the same) that shows it clearly listed as a 2br 2ba. Previous rental price before updates unknown. ")</f>
        <v xml:space="preserve">Illegal third bedroom built without permits. Including only a screenshot from another unit in the building (all the units are roughly the same) that shows it clearly listed as a 2br 2ba. Previous rental price before updates unknown. </v>
      </c>
      <c r="N1397" s="26" t="str">
        <f ca="1">IFERROR(__xludf.DUMMYFUNCTION("""COMPUTED_VALUE"""),"https://drive.google.com/open?id=1_-4wDXJ2AeawEXkd9w8Nn6R1X0SGvOMF")</f>
        <v>https://drive.google.com/open?id=1_-4wDXJ2AeawEXkd9w8Nn6R1X0SGvOMF</v>
      </c>
      <c r="O1397" s="5" t="str">
        <f ca="1">IFERROR(__xludf.DUMMYFUNCTION("""COMPUTED_VALUE"""),"NA")</f>
        <v>NA</v>
      </c>
      <c r="P1397" s="5" t="str">
        <f ca="1">IFERROR(__xludf.DUMMYFUNCTION("""COMPUTED_VALUE"""),"818-624-7151")</f>
        <v>818-624-7151</v>
      </c>
      <c r="Q1397" s="5"/>
      <c r="R1397" s="5"/>
      <c r="S1397" s="5"/>
      <c r="T1397" s="5"/>
    </row>
    <row r="1398" spans="1:20" ht="12.75">
      <c r="A1398" s="24">
        <f ca="1">IFERROR(__xludf.DUMMYFUNCTION("""COMPUTED_VALUE"""),45679.6053045717)</f>
        <v>45679.605304571698</v>
      </c>
      <c r="B1398" s="5" t="str">
        <f ca="1">IFERROR(__xludf.DUMMYFUNCTION("""COMPUTED_VALUE"""),"823 S Sierra Bonita ")</f>
        <v xml:space="preserve">823 S Sierra Bonita </v>
      </c>
      <c r="C1398" s="5" t="str">
        <f ca="1">IFERROR(__xludf.DUMMYFUNCTION("""COMPUTED_VALUE"""),"Los Angeles")</f>
        <v>Los Angeles</v>
      </c>
      <c r="D1398" s="5" t="str">
        <f ca="1">IFERROR(__xludf.DUMMYFUNCTION("""COMPUTED_VALUE"""),"CA")</f>
        <v>CA</v>
      </c>
      <c r="E1398" s="5">
        <f ca="1">IFERROR(__xludf.DUMMYFUNCTION("""COMPUTED_VALUE"""),90036)</f>
        <v>90036</v>
      </c>
      <c r="F1398" s="19">
        <f ca="1">IFERROR(__xludf.DUMMYFUNCTION("""COMPUTED_VALUE"""),17995)</f>
        <v>17995</v>
      </c>
      <c r="G1398" s="19">
        <f ca="1">IFERROR(__xludf.DUMMYFUNCTION("""COMPUTED_VALUE"""),19950)</f>
        <v>19950</v>
      </c>
      <c r="H1398" s="18">
        <f ca="1">IFERROR(__xludf.DUMMYFUNCTION("""COMPUTED_VALUE"""),45667)</f>
        <v>45667</v>
      </c>
      <c r="I1398" s="5" t="str">
        <f ca="1">IFERROR(__xludf.DUMMYFUNCTION("""COMPUTED_VALUE"""),"Zillow")</f>
        <v>Zillow</v>
      </c>
      <c r="J1398" s="25" t="str">
        <f ca="1">IFERROR(__xludf.DUMMYFUNCTION("""COMPUTED_VALUE"""),"https://www.zillow.com/homedetails/823-S-Sierra-Bonita-Ave-Los-Angeles-CA-90036/20610339_zpid/")</f>
        <v>https://www.zillow.com/homedetails/823-S-Sierra-Bonita-Ave-Los-Angeles-CA-90036/20610339_zpid/</v>
      </c>
      <c r="K1398" s="5"/>
      <c r="L1398" s="5"/>
      <c r="M1398" s="5"/>
      <c r="N1398" s="26" t="str">
        <f ca="1">IFERROR(__xludf.DUMMYFUNCTION("""COMPUTED_VALUE"""),"https://drive.google.com/open?id=11i3sye6qTezDj4cms0xUyow4aLRHpad0")</f>
        <v>https://drive.google.com/open?id=11i3sye6qTezDj4cms0xUyow4aLRHpad0</v>
      </c>
      <c r="O1398" s="5" t="str">
        <f ca="1">IFERROR(__xludf.DUMMYFUNCTION("""COMPUTED_VALUE"""),"na")</f>
        <v>na</v>
      </c>
      <c r="P1398" s="5"/>
      <c r="Q1398" s="5"/>
      <c r="R1398" s="5"/>
      <c r="S1398" s="5"/>
      <c r="T1398" s="18">
        <f ca="1">IFERROR(__xludf.DUMMYFUNCTION("""COMPUTED_VALUE"""),45608)</f>
        <v>45608</v>
      </c>
    </row>
    <row r="1399" spans="1:20" ht="12.75">
      <c r="A1399" s="24">
        <f ca="1">IFERROR(__xludf.DUMMYFUNCTION("""COMPUTED_VALUE"""),45679.6244635069)</f>
        <v>45679.624463506902</v>
      </c>
      <c r="B1399" s="5" t="str">
        <f ca="1">IFERROR(__xludf.DUMMYFUNCTION("""COMPUTED_VALUE"""),"1205 E Oak Ave")</f>
        <v>1205 E Oak Ave</v>
      </c>
      <c r="C1399" s="5" t="str">
        <f ca="1">IFERROR(__xludf.DUMMYFUNCTION("""COMPUTED_VALUE"""),"El Segundo")</f>
        <v>El Segundo</v>
      </c>
      <c r="D1399" s="5" t="str">
        <f ca="1">IFERROR(__xludf.DUMMYFUNCTION("""COMPUTED_VALUE"""),"CA")</f>
        <v>CA</v>
      </c>
      <c r="E1399" s="5">
        <f ca="1">IFERROR(__xludf.DUMMYFUNCTION("""COMPUTED_VALUE"""),90245)</f>
        <v>90245</v>
      </c>
      <c r="F1399" s="19">
        <f ca="1">IFERROR(__xludf.DUMMYFUNCTION("""COMPUTED_VALUE"""),1)</f>
        <v>1</v>
      </c>
      <c r="G1399" s="19">
        <f ca="1">IFERROR(__xludf.DUMMYFUNCTION("""COMPUTED_VALUE"""),8000)</f>
        <v>8000</v>
      </c>
      <c r="H1399" s="18">
        <f ca="1">IFERROR(__xludf.DUMMYFUNCTION("""COMPUTED_VALUE"""),45679)</f>
        <v>45679</v>
      </c>
      <c r="I1399" s="5" t="str">
        <f ca="1">IFERROR(__xludf.DUMMYFUNCTION("""COMPUTED_VALUE"""),"Zillow")</f>
        <v>Zillow</v>
      </c>
      <c r="J1399" s="25" t="str">
        <f ca="1">IFERROR(__xludf.DUMMYFUNCTION("""COMPUTED_VALUE"""),"https://www.zillow.com/homedetails/1205-E-Oak-Ave-El-Segundo-CA-90245/20397741_zpid/")</f>
        <v>https://www.zillow.com/homedetails/1205-E-Oak-Ave-El-Segundo-CA-90245/20397741_zpid/</v>
      </c>
      <c r="K1399" s="5" t="str">
        <f ca="1">IFERROR(__xludf.DUMMYFUNCTION("""COMPUTED_VALUE"""),"Pol Schonhofer")</f>
        <v>Pol Schonhofer</v>
      </c>
      <c r="L1399" s="5"/>
      <c r="M1399" s="5" t="str">
        <f ca="1">IFERROR(__xludf.DUMMYFUNCTION("""COMPUTED_VALUE"""),"This is a new listing that is above fair market value. ")</f>
        <v xml:space="preserve">This is a new listing that is above fair market value. </v>
      </c>
      <c r="N1399" s="5" t="str">
        <f ca="1">IFERROR(__xludf.DUMMYFUNCTION("""COMPUTED_VALUE"""),"https://drive.google.com/open?id=1xJhUzp4BcSkKr8lvoL1m89KiWWnPQHFm, https://drive.google.com/open?id=1_HKt0rjMqe3VQPnHY1o6mGXO367XwNNw, https://drive.google.com/open?id=1eYT64aBnJcZxtmel3qZvJYk5m2pinXgV, https://drive.google.com/open?id=1GXAj_xqFyrs7P9FKu"&amp;"UNE1bYNlEd4M1Qv")</f>
        <v>https://drive.google.com/open?id=1xJhUzp4BcSkKr8lvoL1m89KiWWnPQHFm, https://drive.google.com/open?id=1_HKt0rjMqe3VQPnHY1o6mGXO367XwNNw, https://drive.google.com/open?id=1eYT64aBnJcZxtmel3qZvJYk5m2pinXgV, https://drive.google.com/open?id=1GXAj_xqFyrs7P9FKuUNE1bYNlEd4M1Qv</v>
      </c>
      <c r="O1399" s="5">
        <f ca="1">IFERROR(__xludf.DUMMYFUNCTION("""COMPUTED_VALUE"""),4139021016)</f>
        <v>4139021016</v>
      </c>
      <c r="P1399" s="5" t="str">
        <f ca="1">IFERROR(__xludf.DUMMYFUNCTION("""COMPUTED_VALUE"""),"(310) 980-5530")</f>
        <v>(310) 980-5530</v>
      </c>
      <c r="Q1399" s="5"/>
      <c r="R1399" s="5"/>
      <c r="S1399" s="5"/>
      <c r="T1399" s="5"/>
    </row>
    <row r="1400" spans="1:20" ht="12.75">
      <c r="A1400" s="24">
        <f ca="1">IFERROR(__xludf.DUMMYFUNCTION("""COMPUTED_VALUE"""),45679.6270247569)</f>
        <v>45679.627024756897</v>
      </c>
      <c r="B1400" s="5" t="str">
        <f ca="1">IFERROR(__xludf.DUMMYFUNCTION("""COMPUTED_VALUE"""),"3005 Haven Way")</f>
        <v>3005 Haven Way</v>
      </c>
      <c r="C1400" s="5" t="str">
        <f ca="1">IFERROR(__xludf.DUMMYFUNCTION("""COMPUTED_VALUE"""),"Burbank")</f>
        <v>Burbank</v>
      </c>
      <c r="D1400" s="5" t="str">
        <f ca="1">IFERROR(__xludf.DUMMYFUNCTION("""COMPUTED_VALUE"""),"CA")</f>
        <v>CA</v>
      </c>
      <c r="E1400" s="5">
        <f ca="1">IFERROR(__xludf.DUMMYFUNCTION("""COMPUTED_VALUE"""),91504)</f>
        <v>91504</v>
      </c>
      <c r="F1400" s="19">
        <f ca="1">IFERROR(__xludf.DUMMYFUNCTION("""COMPUTED_VALUE"""),9500)</f>
        <v>9500</v>
      </c>
      <c r="G1400" s="19">
        <f ca="1">IFERROR(__xludf.DUMMYFUNCTION("""COMPUTED_VALUE"""),10995)</f>
        <v>10995</v>
      </c>
      <c r="H1400" s="18">
        <f ca="1">IFERROR(__xludf.DUMMYFUNCTION("""COMPUTED_VALUE"""),45679)</f>
        <v>45679</v>
      </c>
      <c r="I1400" s="5" t="str">
        <f ca="1">IFERROR(__xludf.DUMMYFUNCTION("""COMPUTED_VALUE"""),"Zillow")</f>
        <v>Zillow</v>
      </c>
      <c r="J1400" s="25" t="str">
        <f ca="1">IFERROR(__xludf.DUMMYFUNCTION("""COMPUTED_VALUE"""),"https://www.zillow.com/homedetails/3005-Haven-Way-Burbank-CA-91504/20060244_zpid/")</f>
        <v>https://www.zillow.com/homedetails/3005-Haven-Way-Burbank-CA-91504/20060244_zpid/</v>
      </c>
      <c r="K1400" s="5" t="str">
        <f ca="1">IFERROR(__xludf.DUMMYFUNCTION("""COMPUTED_VALUE"""),"Armen Vartanians")</f>
        <v>Armen Vartanians</v>
      </c>
      <c r="L1400" s="5"/>
      <c r="M1400" s="5"/>
      <c r="N1400" s="5" t="str">
        <f ca="1">IFERROR(__xludf.DUMMYFUNCTION("""COMPUTED_VALUE"""),"https://drive.google.com/open?id=1BmbZxz2iF0Xg7hmPTK9AeXfmJQCD5dmP, https://drive.google.com/open?id=1JdB4d5_UPSyqkc7gI73OiYp1KqMk_R4i, https://drive.google.com/open?id=1qzwHXnfadqRGLRR_Xh5ViBQJCZvUugOS")</f>
        <v>https://drive.google.com/open?id=1BmbZxz2iF0Xg7hmPTK9AeXfmJQCD5dmP, https://drive.google.com/open?id=1JdB4d5_UPSyqkc7gI73OiYp1KqMk_R4i, https://drive.google.com/open?id=1qzwHXnfadqRGLRR_Xh5ViBQJCZvUugOS</v>
      </c>
      <c r="O1400" s="5">
        <f ca="1">IFERROR(__xludf.DUMMYFUNCTION("""COMPUTED_VALUE"""),2471039025)</f>
        <v>2471039025</v>
      </c>
      <c r="P1400" s="5" t="str">
        <f ca="1">IFERROR(__xludf.DUMMYFUNCTION("""COMPUTED_VALUE"""),"(818) 497-7223")</f>
        <v>(818) 497-7223</v>
      </c>
      <c r="Q1400" s="5"/>
      <c r="R1400" s="5"/>
      <c r="S1400" s="5"/>
      <c r="T1400" s="18">
        <f ca="1">IFERROR(__xludf.DUMMYFUNCTION("""COMPUTED_VALUE"""),45995)</f>
        <v>45995</v>
      </c>
    </row>
    <row r="1401" spans="1:20" ht="12.75">
      <c r="A1401" s="24">
        <f ca="1">IFERROR(__xludf.DUMMYFUNCTION("""COMPUTED_VALUE"""),45679.6301951736)</f>
        <v>45679.630195173602</v>
      </c>
      <c r="B1401" s="5" t="str">
        <f ca="1">IFERROR(__xludf.DUMMYFUNCTION("""COMPUTED_VALUE""")," 1142 S. Mullen Blvd")</f>
        <v xml:space="preserve"> 1142 S. Mullen Blvd</v>
      </c>
      <c r="C1401" s="5" t="str">
        <f ca="1">IFERROR(__xludf.DUMMYFUNCTION("""COMPUTED_VALUE"""),"Los Angeles")</f>
        <v>Los Angeles</v>
      </c>
      <c r="D1401" s="5" t="str">
        <f ca="1">IFERROR(__xludf.DUMMYFUNCTION("""COMPUTED_VALUE"""),"CA")</f>
        <v>CA</v>
      </c>
      <c r="E1401" s="5">
        <f ca="1">IFERROR(__xludf.DUMMYFUNCTION("""COMPUTED_VALUE"""),90019)</f>
        <v>90019</v>
      </c>
      <c r="F1401" s="19">
        <f ca="1">IFERROR(__xludf.DUMMYFUNCTION("""COMPUTED_VALUE"""),1850)</f>
        <v>1850</v>
      </c>
      <c r="G1401" s="19">
        <f ca="1">IFERROR(__xludf.DUMMYFUNCTION("""COMPUTED_VALUE"""),2450)</f>
        <v>2450</v>
      </c>
      <c r="H1401" s="18">
        <f ca="1">IFERROR(__xludf.DUMMYFUNCTION("""COMPUTED_VALUE"""),45672)</f>
        <v>45672</v>
      </c>
      <c r="I1401" s="5" t="str">
        <f ca="1">IFERROR(__xludf.DUMMYFUNCTION("""COMPUTED_VALUE"""),"Craigslist and leasingla.softr.app")</f>
        <v>Craigslist and leasingla.softr.app</v>
      </c>
      <c r="J1401" s="5" t="str">
        <f ca="1">IFERROR(__xludf.DUMMYFUNCTION("""COMPUTED_VALUE"""),"https://losangeles.craigslist.org/lac/sub/d/los-angeles-beautifully-furnished/7816220286.html and https://leasingla.softr.app/ (Search by neighborhood: Mid City and furnished one bedrooms.)")</f>
        <v>https://losangeles.craigslist.org/lac/sub/d/los-angeles-beautifully-furnished/7816220286.html and https://leasingla.softr.app/ (Search by neighborhood: Mid City and furnished one bedrooms.)</v>
      </c>
      <c r="K1401" s="5" t="str">
        <f ca="1">IFERROR(__xludf.DUMMYFUNCTION("""COMPUTED_VALUE"""),"Kristin Tostado")</f>
        <v>Kristin Tostado</v>
      </c>
      <c r="L1401" s="5" t="str">
        <f ca="1">IFERROR(__xludf.DUMMYFUNCTION("""COMPUTED_VALUE"""),"Unknown")</f>
        <v>Unknown</v>
      </c>
      <c r="M1401" s="5" t="str">
        <f ca="1">IFERROR(__xludf.DUMMYFUNCTION("""COMPUTED_VALUE"""),"Not listed on Zillow. Listed on Craigslist as a furnished sublet on Jan 6 at $1,850 for three weeks. Then listed on https://leasingla.softr.app/ on an unknown date for $2,450 (unclear whether this is for 3 weeks or a month).")</f>
        <v>Not listed on Zillow. Listed on Craigslist as a furnished sublet on Jan 6 at $1,850 for three weeks. Then listed on https://leasingla.softr.app/ on an unknown date for $2,450 (unclear whether this is for 3 weeks or a month).</v>
      </c>
      <c r="N1401" s="5" t="str">
        <f ca="1">IFERROR(__xludf.DUMMYFUNCTION("""COMPUTED_VALUE"""),"https://drive.google.com/open?id=1MZecFCxctDZJsWFtASA9hyJJOm0ramCB, https://drive.google.com/open?id=1wnHe5zFX0KmL8wGOKdFk0LC5Mj1J5ewy")</f>
        <v>https://drive.google.com/open?id=1MZecFCxctDZJsWFtASA9hyJJOm0ramCB, https://drive.google.com/open?id=1wnHe5zFX0KmL8wGOKdFk0LC5Mj1J5ewy</v>
      </c>
      <c r="O1401" s="5">
        <f ca="1">IFERROR(__xludf.DUMMYFUNCTION("""COMPUTED_VALUE"""),5083011025)</f>
        <v>5083011025</v>
      </c>
      <c r="P1401" s="5" t="str">
        <f ca="1">IFERROR(__xludf.DUMMYFUNCTION("""COMPUTED_VALUE"""),"(323) 206-0280")</f>
        <v>(323) 206-0280</v>
      </c>
      <c r="Q1401" s="5" t="str">
        <f ca="1">IFERROR(__xludf.DUMMYFUNCTION("""COMPUTED_VALUE"""),"kristen.tostado@cbrealty.com")</f>
        <v>kristen.tostado@cbrealty.com</v>
      </c>
      <c r="R1401" s="5" t="str">
        <f ca="1">IFERROR(__xludf.DUMMYFUNCTION("""COMPUTED_VALUE"""),"Unknown")</f>
        <v>Unknown</v>
      </c>
      <c r="S1401" s="5" t="str">
        <f ca="1">IFERROR(__xludf.DUMMYFUNCTION("""COMPUTED_VALUE"""),"7f1590c7554b35d7b46bbe037cf0ee11@hous.craigslist.org")</f>
        <v>7f1590c7554b35d7b46bbe037cf0ee11@hous.craigslist.org</v>
      </c>
      <c r="T1401" s="18">
        <f ca="1">IFERROR(__xludf.DUMMYFUNCTION("""COMPUTED_VALUE"""),45663)</f>
        <v>45663</v>
      </c>
    </row>
    <row r="1402" spans="1:20" ht="12.75">
      <c r="A1402" s="24">
        <f ca="1">IFERROR(__xludf.DUMMYFUNCTION("""COMPUTED_VALUE"""),45679.6346212731)</f>
        <v>45679.6346212731</v>
      </c>
      <c r="B1402" s="5" t="str">
        <f ca="1">IFERROR(__xludf.DUMMYFUNCTION("""COMPUTED_VALUE"""),"1511 Reeves St")</f>
        <v>1511 Reeves St</v>
      </c>
      <c r="C1402" s="5" t="str">
        <f ca="1">IFERROR(__xludf.DUMMYFUNCTION("""COMPUTED_VALUE"""),"Los Angeles")</f>
        <v>Los Angeles</v>
      </c>
      <c r="D1402" s="5" t="str">
        <f ca="1">IFERROR(__xludf.DUMMYFUNCTION("""COMPUTED_VALUE"""),"CA")</f>
        <v>CA</v>
      </c>
      <c r="E1402" s="5">
        <f ca="1">IFERROR(__xludf.DUMMYFUNCTION("""COMPUTED_VALUE"""),90035)</f>
        <v>90035</v>
      </c>
      <c r="F1402" s="19">
        <f ca="1">IFERROR(__xludf.DUMMYFUNCTION("""COMPUTED_VALUE"""),1)</f>
        <v>1</v>
      </c>
      <c r="G1402" s="19">
        <f ca="1">IFERROR(__xludf.DUMMYFUNCTION("""COMPUTED_VALUE"""),8500)</f>
        <v>8500</v>
      </c>
      <c r="H1402" s="18">
        <f ca="1">IFERROR(__xludf.DUMMYFUNCTION("""COMPUTED_VALUE"""),45679)</f>
        <v>45679</v>
      </c>
      <c r="I1402" s="5" t="str">
        <f ca="1">IFERROR(__xludf.DUMMYFUNCTION("""COMPUTED_VALUE"""),"Zillow")</f>
        <v>Zillow</v>
      </c>
      <c r="J1402" s="25" t="str">
        <f ca="1">IFERROR(__xludf.DUMMYFUNCTION("""COMPUTED_VALUE"""),"https://www.zillow.com/homedetails/1511-Reeves-St-Los-Angeles-CA-90035/20493174_zpid/")</f>
        <v>https://www.zillow.com/homedetails/1511-Reeves-St-Los-Angeles-CA-90035/20493174_zpid/</v>
      </c>
      <c r="K1402" s="5" t="str">
        <f ca="1">IFERROR(__xludf.DUMMYFUNCTION("""COMPUTED_VALUE"""),"Jacob Hausman")</f>
        <v>Jacob Hausman</v>
      </c>
      <c r="L1402" s="5"/>
      <c r="M1402" s="5" t="str">
        <f ca="1">IFERROR(__xludf.DUMMYFUNCTION("""COMPUTED_VALUE"""),"This is a new listing. Above fair market value. ")</f>
        <v xml:space="preserve">This is a new listing. Above fair market value. </v>
      </c>
      <c r="N1402" s="5" t="str">
        <f ca="1">IFERROR(__xludf.DUMMYFUNCTION("""COMPUTED_VALUE"""),"https://drive.google.com/open?id=1SDeODPFGnlDCgF-C4_DC0P_nwzXMRlpv, https://drive.google.com/open?id=19mdqvQ76ZnkK1BqDHF-r67aLCeMyZr4w, https://drive.google.com/open?id=1ZhvL8jwmkX5ZIKUXcSGYpG9o_GP5g-D7")</f>
        <v>https://drive.google.com/open?id=1SDeODPFGnlDCgF-C4_DC0P_nwzXMRlpv, https://drive.google.com/open?id=19mdqvQ76ZnkK1BqDHF-r67aLCeMyZr4w, https://drive.google.com/open?id=1ZhvL8jwmkX5ZIKUXcSGYpG9o_GP5g-D7</v>
      </c>
      <c r="O1402" s="5">
        <f ca="1">IFERROR(__xludf.DUMMYFUNCTION("""COMPUTED_VALUE"""),4306013002)</f>
        <v>4306013002</v>
      </c>
      <c r="P1402" s="5" t="str">
        <f ca="1">IFERROR(__xludf.DUMMYFUNCTION("""COMPUTED_VALUE"""),"310-678-3335")</f>
        <v>310-678-3335</v>
      </c>
      <c r="Q1402" s="5"/>
      <c r="R1402" s="5"/>
      <c r="S1402" s="5"/>
      <c r="T1402" s="5"/>
    </row>
    <row r="1403" spans="1:20" ht="12.75">
      <c r="A1403" s="24">
        <f ca="1">IFERROR(__xludf.DUMMYFUNCTION("""COMPUTED_VALUE"""),45679.637041412)</f>
        <v>45679.637041412003</v>
      </c>
      <c r="B1403" s="5" t="str">
        <f ca="1">IFERROR(__xludf.DUMMYFUNCTION("""COMPUTED_VALUE"""),"15440 Dickens St ")</f>
        <v xml:space="preserve">15440 Dickens St </v>
      </c>
      <c r="C1403" s="5" t="str">
        <f ca="1">IFERROR(__xludf.DUMMYFUNCTION("""COMPUTED_VALUE"""),"Sherman Oaks")</f>
        <v>Sherman Oaks</v>
      </c>
      <c r="D1403" s="5" t="str">
        <f ca="1">IFERROR(__xludf.DUMMYFUNCTION("""COMPUTED_VALUE"""),"CA")</f>
        <v>CA</v>
      </c>
      <c r="E1403" s="5">
        <f ca="1">IFERROR(__xludf.DUMMYFUNCTION("""COMPUTED_VALUE"""),91403)</f>
        <v>91403</v>
      </c>
      <c r="F1403" s="19">
        <f ca="1">IFERROR(__xludf.DUMMYFUNCTION("""COMPUTED_VALUE"""),1)</f>
        <v>1</v>
      </c>
      <c r="G1403" s="19">
        <f ca="1">IFERROR(__xludf.DUMMYFUNCTION("""COMPUTED_VALUE"""),10000)</f>
        <v>10000</v>
      </c>
      <c r="H1403" s="18">
        <f ca="1">IFERROR(__xludf.DUMMYFUNCTION("""COMPUTED_VALUE"""),45675)</f>
        <v>45675</v>
      </c>
      <c r="I1403" s="5" t="str">
        <f ca="1">IFERROR(__xludf.DUMMYFUNCTION("""COMPUTED_VALUE"""),"Zillow")</f>
        <v>Zillow</v>
      </c>
      <c r="J1403" s="25" t="str">
        <f ca="1">IFERROR(__xludf.DUMMYFUNCTION("""COMPUTED_VALUE"""),"https://www.zillow.com/homedetails/15440-Dickens-St-Sherman-Oaks-CA-91403/19991381_zpid/")</f>
        <v>https://www.zillow.com/homedetails/15440-Dickens-St-Sherman-Oaks-CA-91403/19991381_zpid/</v>
      </c>
      <c r="K1403" s="5" t="str">
        <f ca="1">IFERROR(__xludf.DUMMYFUNCTION("""COMPUTED_VALUE"""),"Emil Hartoonian")</f>
        <v>Emil Hartoonian</v>
      </c>
      <c r="L1403" s="5"/>
      <c r="M1403" s="5" t="str">
        <f ca="1">IFERROR(__xludf.DUMMYFUNCTION("""COMPUTED_VALUE"""),"I called Emil to inform him that he was breaking the law. When I asked if he was aware that what he was doing was wrong - he said that he didn't care and that it was legal. Absolute scum.
Also I was unable to put N/A in the rental price section for FMR s"&amp;"o I just put 1. Just a heads up.")</f>
        <v>I called Emil to inform him that he was breaking the law. When I asked if he was aware that what he was doing was wrong - he said that he didn't care and that it was legal. Absolute scum.
Also I was unable to put N/A in the rental price section for FMR so I just put 1. Just a heads up.</v>
      </c>
      <c r="N1403" s="5" t="str">
        <f ca="1">IFERROR(__xludf.DUMMYFUNCTION("""COMPUTED_VALUE"""),"https://drive.google.com/open?id=1PHedhH0REmvM5o4VhwgEik0hVdj4ilkU, https://drive.google.com/open?id=14bP4O-LEVrnCPVx51z_AB38licX4plWE, https://drive.google.com/open?id=1jkzoBPW2nnhRdaeTWEPZ6NJi5A_oQYZc")</f>
        <v>https://drive.google.com/open?id=1PHedhH0REmvM5o4VhwgEik0hVdj4ilkU, https://drive.google.com/open?id=14bP4O-LEVrnCPVx51z_AB38licX4plWE, https://drive.google.com/open?id=1jkzoBPW2nnhRdaeTWEPZ6NJi5A_oQYZc</v>
      </c>
      <c r="O1403" s="5">
        <f ca="1">IFERROR(__xludf.DUMMYFUNCTION("""COMPUTED_VALUE"""),2283017011)</f>
        <v>2283017011</v>
      </c>
      <c r="P1403" s="5" t="str">
        <f ca="1">IFERROR(__xludf.DUMMYFUNCTION("""COMPUTED_VALUE"""),"424 344-4631")</f>
        <v>424 344-4631</v>
      </c>
      <c r="Q1403" s="5"/>
      <c r="R1403" s="5"/>
      <c r="S1403" s="5"/>
      <c r="T1403" s="5"/>
    </row>
    <row r="1404" spans="1:20" ht="12.75">
      <c r="A1404" s="24">
        <f ca="1">IFERROR(__xludf.DUMMYFUNCTION("""COMPUTED_VALUE"""),45679.6382011342)</f>
        <v>45679.638201134199</v>
      </c>
      <c r="B1404" s="5" t="str">
        <f ca="1">IFERROR(__xludf.DUMMYFUNCTION("""COMPUTED_VALUE"""),"19715 Linda Dr")</f>
        <v>19715 Linda Dr</v>
      </c>
      <c r="C1404" s="5" t="str">
        <f ca="1">IFERROR(__xludf.DUMMYFUNCTION("""COMPUTED_VALUE"""),"Torrance")</f>
        <v>Torrance</v>
      </c>
      <c r="D1404" s="5" t="str">
        <f ca="1">IFERROR(__xludf.DUMMYFUNCTION("""COMPUTED_VALUE"""),"CA")</f>
        <v>CA</v>
      </c>
      <c r="E1404" s="5">
        <f ca="1">IFERROR(__xludf.DUMMYFUNCTION("""COMPUTED_VALUE"""),90503)</f>
        <v>90503</v>
      </c>
      <c r="F1404" s="19">
        <f ca="1">IFERROR(__xludf.DUMMYFUNCTION("""COMPUTED_VALUE"""),1)</f>
        <v>1</v>
      </c>
      <c r="G1404" s="19">
        <f ca="1">IFERROR(__xludf.DUMMYFUNCTION("""COMPUTED_VALUE"""),6000)</f>
        <v>6000</v>
      </c>
      <c r="H1404" s="18">
        <f ca="1">IFERROR(__xludf.DUMMYFUNCTION("""COMPUTED_VALUE"""),45679)</f>
        <v>45679</v>
      </c>
      <c r="I1404" s="5" t="str">
        <f ca="1">IFERROR(__xludf.DUMMYFUNCTION("""COMPUTED_VALUE"""),"Zillow")</f>
        <v>Zillow</v>
      </c>
      <c r="J1404" s="25" t="str">
        <f ca="1">IFERROR(__xludf.DUMMYFUNCTION("""COMPUTED_VALUE"""),"https://www.zillow.com/homedetails/19715-Linda-Dr-Torrance-CA-90503/21330436_zpid/")</f>
        <v>https://www.zillow.com/homedetails/19715-Linda-Dr-Torrance-CA-90503/21330436_zpid/</v>
      </c>
      <c r="K1404" s="5" t="str">
        <f ca="1">IFERROR(__xludf.DUMMYFUNCTION("""COMPUTED_VALUE"""),"Teresa Workman")</f>
        <v>Teresa Workman</v>
      </c>
      <c r="L1404" s="5"/>
      <c r="M1404" s="5" t="str">
        <f ca="1">IFERROR(__xludf.DUMMYFUNCTION("""COMPUTED_VALUE"""),"New listing. Above fair market value. ")</f>
        <v xml:space="preserve">New listing. Above fair market value. </v>
      </c>
      <c r="N1404" s="5" t="str">
        <f ca="1">IFERROR(__xludf.DUMMYFUNCTION("""COMPUTED_VALUE"""),"https://drive.google.com/open?id=1nGR9doN7YRx2IJc5m5dBTbCaaM1ccEkg, https://drive.google.com/open?id=1vs5Bd6TY2qf7OdkhJQvyWXgd9AJryIgG, https://drive.google.com/open?id=1vowmyo2mOVkmOGKZzcLlC5wKAz-WvsTQ")</f>
        <v>https://drive.google.com/open?id=1nGR9doN7YRx2IJc5m5dBTbCaaM1ccEkg, https://drive.google.com/open?id=1vs5Bd6TY2qf7OdkhJQvyWXgd9AJryIgG, https://drive.google.com/open?id=1vowmyo2mOVkmOGKZzcLlC5wKAz-WvsTQ</v>
      </c>
      <c r="O1404" s="5">
        <f ca="1">IFERROR(__xludf.DUMMYFUNCTION("""COMPUTED_VALUE"""),7520030012)</f>
        <v>7520030012</v>
      </c>
      <c r="P1404" s="5" t="str">
        <f ca="1">IFERROR(__xludf.DUMMYFUNCTION("""COMPUTED_VALUE"""),"(310) 626-5078")</f>
        <v>(310) 626-5078</v>
      </c>
      <c r="Q1404" s="5"/>
      <c r="R1404" s="5"/>
      <c r="S1404" s="5"/>
      <c r="T1404" s="5"/>
    </row>
    <row r="1405" spans="1:20" ht="12.75">
      <c r="A1405" s="24">
        <f ca="1">IFERROR(__xludf.DUMMYFUNCTION("""COMPUTED_VALUE"""),45679.639760706)</f>
        <v>45679.639760705999</v>
      </c>
      <c r="B1405" s="5" t="str">
        <f ca="1">IFERROR(__xludf.DUMMYFUNCTION("""COMPUTED_VALUE"""),"18025 Welby Way ")</f>
        <v xml:space="preserve">18025 Welby Way </v>
      </c>
      <c r="C1405" s="5" t="str">
        <f ca="1">IFERROR(__xludf.DUMMYFUNCTION("""COMPUTED_VALUE"""),"Reseda ")</f>
        <v xml:space="preserve">Reseda </v>
      </c>
      <c r="D1405" s="5" t="str">
        <f ca="1">IFERROR(__xludf.DUMMYFUNCTION("""COMPUTED_VALUE"""),"CA")</f>
        <v>CA</v>
      </c>
      <c r="E1405" s="5">
        <f ca="1">IFERROR(__xludf.DUMMYFUNCTION("""COMPUTED_VALUE"""),91335)</f>
        <v>91335</v>
      </c>
      <c r="F1405" s="19">
        <f ca="1">IFERROR(__xludf.DUMMYFUNCTION("""COMPUTED_VALUE"""),1)</f>
        <v>1</v>
      </c>
      <c r="G1405" s="19">
        <f ca="1">IFERROR(__xludf.DUMMYFUNCTION("""COMPUTED_VALUE"""),11700)</f>
        <v>11700</v>
      </c>
      <c r="H1405" s="18">
        <f ca="1">IFERROR(__xludf.DUMMYFUNCTION("""COMPUTED_VALUE"""),45675)</f>
        <v>45675</v>
      </c>
      <c r="I1405" s="5" t="str">
        <f ca="1">IFERROR(__xludf.DUMMYFUNCTION("""COMPUTED_VALUE"""),"Zillow")</f>
        <v>Zillow</v>
      </c>
      <c r="J1405" s="25" t="str">
        <f ca="1">IFERROR(__xludf.DUMMYFUNCTION("""COMPUTED_VALUE"""),"https://www.zillow.com/homedetails/18025-Welby-Way-Reseda-CA-91335/19917656_zpid/")</f>
        <v>https://www.zillow.com/homedetails/18025-Welby-Way-Reseda-CA-91335/19917656_zpid/</v>
      </c>
      <c r="K1405" s="5" t="str">
        <f ca="1">IFERROR(__xludf.DUMMYFUNCTION("""COMPUTED_VALUE"""),"Michelle Day")</f>
        <v>Michelle Day</v>
      </c>
      <c r="L1405" s="5" t="str">
        <f ca="1">IFERROR(__xludf.DUMMYFUNCTION("""COMPUTED_VALUE"""),"Michelle Day")</f>
        <v>Michelle Day</v>
      </c>
      <c r="M1405" s="5" t="str">
        <f ca="1">IFERROR(__xludf.DUMMYFUNCTION("""COMPUTED_VALUE"""),"She mentioned that she also had this listed on Airbnb. When I told her that it was illegal she said that she was just going to keep it up there because it was working for them.")</f>
        <v>She mentioned that she also had this listed on Airbnb. When I told her that it was illegal she said that she was just going to keep it up there because it was working for them.</v>
      </c>
      <c r="N1405" s="5" t="str">
        <f ca="1">IFERROR(__xludf.DUMMYFUNCTION("""COMPUTED_VALUE"""),"https://drive.google.com/open?id=1bhdt3ci1LZ4qRXzaslGJBDiLyAi5zwLa, https://drive.google.com/open?id=1sqT2PfK0jxDup44hKwG7goDHDSuCOAn1")</f>
        <v>https://drive.google.com/open?id=1bhdt3ci1LZ4qRXzaslGJBDiLyAi5zwLa, https://drive.google.com/open?id=1sqT2PfK0jxDup44hKwG7goDHDSuCOAn1</v>
      </c>
      <c r="O1405" s="5">
        <f ca="1">IFERROR(__xludf.DUMMYFUNCTION("""COMPUTED_VALUE"""),2122023030)</f>
        <v>2122023030</v>
      </c>
      <c r="P1405" s="5" t="str">
        <f ca="1">IFERROR(__xludf.DUMMYFUNCTION("""COMPUTED_VALUE"""),"(213) 463-5659")</f>
        <v>(213) 463-5659</v>
      </c>
      <c r="Q1405" s="5"/>
      <c r="R1405" s="5" t="str">
        <f ca="1">IFERROR(__xludf.DUMMYFUNCTION("""COMPUTED_VALUE"""),"(213) 463-5659")</f>
        <v>(213) 463-5659</v>
      </c>
      <c r="S1405" s="5"/>
      <c r="T1405" s="5"/>
    </row>
    <row r="1406" spans="1:20" ht="12.75">
      <c r="A1406" s="24">
        <f ca="1">IFERROR(__xludf.DUMMYFUNCTION("""COMPUTED_VALUE"""),45679.6975155902)</f>
        <v>45679.697515590196</v>
      </c>
      <c r="B1406" s="5" t="str">
        <f ca="1">IFERROR(__xludf.DUMMYFUNCTION("""COMPUTED_VALUE"""),"1980 Hillcrest Rd")</f>
        <v>1980 Hillcrest Rd</v>
      </c>
      <c r="C1406" s="5" t="str">
        <f ca="1">IFERROR(__xludf.DUMMYFUNCTION("""COMPUTED_VALUE"""),"Los Angeles")</f>
        <v>Los Angeles</v>
      </c>
      <c r="D1406" s="5" t="str">
        <f ca="1">IFERROR(__xludf.DUMMYFUNCTION("""COMPUTED_VALUE"""),"CA")</f>
        <v>CA</v>
      </c>
      <c r="E1406" s="5">
        <f ca="1">IFERROR(__xludf.DUMMYFUNCTION("""COMPUTED_VALUE"""),90068)</f>
        <v>90068</v>
      </c>
      <c r="F1406" s="19">
        <f ca="1">IFERROR(__xludf.DUMMYFUNCTION("""COMPUTED_VALUE"""),1)</f>
        <v>1</v>
      </c>
      <c r="G1406" s="19">
        <f ca="1">IFERROR(__xludf.DUMMYFUNCTION("""COMPUTED_VALUE"""),12999)</f>
        <v>12999</v>
      </c>
      <c r="H1406" s="18">
        <f ca="1">IFERROR(__xludf.DUMMYFUNCTION("""COMPUTED_VALUE"""),45680)</f>
        <v>45680</v>
      </c>
      <c r="I1406" s="5" t="str">
        <f ca="1">IFERROR(__xludf.DUMMYFUNCTION("""COMPUTED_VALUE"""),"Zillow")</f>
        <v>Zillow</v>
      </c>
      <c r="J1406" s="25" t="str">
        <f ca="1">IFERROR(__xludf.DUMMYFUNCTION("""COMPUTED_VALUE"""),"https://www.zillow.com/homedetails/1980-Hillcrest-Rd-Los-Angeles-CA-90068/20793792_zpid/")</f>
        <v>https://www.zillow.com/homedetails/1980-Hillcrest-Rd-Los-Angeles-CA-90068/20793792_zpid/</v>
      </c>
      <c r="K1406" s="5"/>
      <c r="L1406" s="5" t="str">
        <f ca="1">IFERROR(__xludf.DUMMYFUNCTION("""COMPUTED_VALUE"""),"Breanne Munro")</f>
        <v>Breanne Munro</v>
      </c>
      <c r="M1406" s="5" t="str">
        <f ca="1">IFERROR(__xludf.DUMMYFUNCTION("""COMPUTED_VALUE"""),"New listing. Over fair market value. ")</f>
        <v xml:space="preserve">New listing. Over fair market value. </v>
      </c>
      <c r="N1406" s="5" t="str">
        <f ca="1">IFERROR(__xludf.DUMMYFUNCTION("""COMPUTED_VALUE"""),"https://drive.google.com/open?id=1DNrcyBkKbE1gMMZIvh3S3Zwv9oBK16on, https://drive.google.com/open?id=1jXzERHDBwqVto5gi8pyPv7b3tNrK5ND0, https://drive.google.com/open?id=14-InADshRpcPhDq6ZnGATPIQkzk1dMbI, https://drive.google.com/open?id=1dlqHeS9UcmKBJw_Aa"&amp;"nj9mHQNIzB_D9sZ")</f>
        <v>https://drive.google.com/open?id=1DNrcyBkKbE1gMMZIvh3S3Zwv9oBK16on, https://drive.google.com/open?id=1jXzERHDBwqVto5gi8pyPv7b3tNrK5ND0, https://drive.google.com/open?id=14-InADshRpcPhDq6ZnGATPIQkzk1dMbI, https://drive.google.com/open?id=1dlqHeS9UcmKBJw_Aanj9mHQNIzB_D9sZ</v>
      </c>
      <c r="O1406" s="5">
        <f ca="1">IFERROR(__xludf.DUMMYFUNCTION("""COMPUTED_VALUE"""),5549022015)</f>
        <v>5549022015</v>
      </c>
      <c r="P1406" s="5"/>
      <c r="Q1406" s="5"/>
      <c r="R1406" s="5" t="str">
        <f ca="1">IFERROR(__xludf.DUMMYFUNCTION("""COMPUTED_VALUE"""),"(323) 287-4255")</f>
        <v>(323) 287-4255</v>
      </c>
      <c r="S1406" s="5"/>
      <c r="T1406" s="5"/>
    </row>
    <row r="1407" spans="1:20" ht="12.75">
      <c r="A1407" s="24">
        <f ca="1">IFERROR(__xludf.DUMMYFUNCTION("""COMPUTED_VALUE"""),45679.7007706828)</f>
        <v>45679.700770682801</v>
      </c>
      <c r="B1407" s="5" t="str">
        <f ca="1">IFERROR(__xludf.DUMMYFUNCTION("""COMPUTED_VALUE"""),"7826 W 80th St")</f>
        <v>7826 W 80th St</v>
      </c>
      <c r="C1407" s="5" t="str">
        <f ca="1">IFERROR(__xludf.DUMMYFUNCTION("""COMPUTED_VALUE"""),"Playa Del Rey")</f>
        <v>Playa Del Rey</v>
      </c>
      <c r="D1407" s="5" t="str">
        <f ca="1">IFERROR(__xludf.DUMMYFUNCTION("""COMPUTED_VALUE"""),"CA")</f>
        <v>CA</v>
      </c>
      <c r="E1407" s="5">
        <f ca="1">IFERROR(__xludf.DUMMYFUNCTION("""COMPUTED_VALUE"""),90293)</f>
        <v>90293</v>
      </c>
      <c r="F1407" s="19">
        <f ca="1">IFERROR(__xludf.DUMMYFUNCTION("""COMPUTED_VALUE"""),5025)</f>
        <v>5025</v>
      </c>
      <c r="G1407" s="19">
        <f ca="1">IFERROR(__xludf.DUMMYFUNCTION("""COMPUTED_VALUE"""),12500)</f>
        <v>12500</v>
      </c>
      <c r="H1407" s="18">
        <f ca="1">IFERROR(__xludf.DUMMYFUNCTION("""COMPUTED_VALUE"""),45680)</f>
        <v>45680</v>
      </c>
      <c r="I1407" s="5" t="str">
        <f ca="1">IFERROR(__xludf.DUMMYFUNCTION("""COMPUTED_VALUE"""),"Zillow")</f>
        <v>Zillow</v>
      </c>
      <c r="J1407" s="25" t="str">
        <f ca="1">IFERROR(__xludf.DUMMYFUNCTION("""COMPUTED_VALUE"""),"https://www.zillow.com/homedetails/7826-W-80th-St-Playa-Del-Rey-CA-90293/20385173_zpid/")</f>
        <v>https://www.zillow.com/homedetails/7826-W-80th-St-Playa-Del-Rey-CA-90293/20385173_zpid/</v>
      </c>
      <c r="K1407" s="5" t="str">
        <f ca="1">IFERROR(__xludf.DUMMYFUNCTION("""COMPUTED_VALUE"""),"Michele")</f>
        <v>Michele</v>
      </c>
      <c r="L1407" s="5"/>
      <c r="M1407" s="5"/>
      <c r="N1407" s="5" t="str">
        <f ca="1">IFERROR(__xludf.DUMMYFUNCTION("""COMPUTED_VALUE"""),"https://drive.google.com/open?id=1axk-yaUmDmWplmt2cJqmn2Mmazdoj7nd, https://drive.google.com/open?id=13LRGzQ6IW7JyXPr3k4X0y2Jkpzw8k65l, https://drive.google.com/open?id=1aYngn017DxeVSIIlT-T5kpf1BWAAOvrC, https://drive.google.com/open?id=1meduhLsQywKcX8RT0"&amp;"Z12iKEfsQvzSuck")</f>
        <v>https://drive.google.com/open?id=1axk-yaUmDmWplmt2cJqmn2Mmazdoj7nd, https://drive.google.com/open?id=13LRGzQ6IW7JyXPr3k4X0y2Jkpzw8k65l, https://drive.google.com/open?id=1aYngn017DxeVSIIlT-T5kpf1BWAAOvrC, https://drive.google.com/open?id=1meduhLsQywKcX8RT0Z12iKEfsQvzSuck</v>
      </c>
      <c r="O1407" s="5">
        <f ca="1">IFERROR(__xludf.DUMMYFUNCTION("""COMPUTED_VALUE"""),4114021006)</f>
        <v>4114021006</v>
      </c>
      <c r="P1407" s="5" t="str">
        <f ca="1">IFERROR(__xludf.DUMMYFUNCTION("""COMPUTED_VALUE"""),"(424) 496-5858")</f>
        <v>(424) 496-5858</v>
      </c>
      <c r="Q1407" s="5"/>
      <c r="R1407" s="5"/>
      <c r="S1407" s="5"/>
      <c r="T1407" s="18">
        <f ca="1">IFERROR(__xludf.DUMMYFUNCTION("""COMPUTED_VALUE"""),42757)</f>
        <v>42757</v>
      </c>
    </row>
    <row r="1408" spans="1:20" ht="12.75">
      <c r="A1408" s="24">
        <f ca="1">IFERROR(__xludf.DUMMYFUNCTION("""COMPUTED_VALUE"""),45679.7563143055)</f>
        <v>45679.756314305501</v>
      </c>
      <c r="B1408" s="5" t="str">
        <f ca="1">IFERROR(__xludf.DUMMYFUNCTION("""COMPUTED_VALUE"""),"1541 Ellsmere Ave")</f>
        <v>1541 Ellsmere Ave</v>
      </c>
      <c r="C1408" s="5" t="str">
        <f ca="1">IFERROR(__xludf.DUMMYFUNCTION("""COMPUTED_VALUE"""),"Los Angeles")</f>
        <v>Los Angeles</v>
      </c>
      <c r="D1408" s="5" t="str">
        <f ca="1">IFERROR(__xludf.DUMMYFUNCTION("""COMPUTED_VALUE"""),"CA")</f>
        <v>CA</v>
      </c>
      <c r="E1408" s="5">
        <f ca="1">IFERROR(__xludf.DUMMYFUNCTION("""COMPUTED_VALUE"""),90019)</f>
        <v>90019</v>
      </c>
      <c r="F1408" s="19">
        <f ca="1">IFERROR(__xludf.DUMMYFUNCTION("""COMPUTED_VALUE"""),4200)</f>
        <v>4200</v>
      </c>
      <c r="G1408" s="19">
        <f ca="1">IFERROR(__xludf.DUMMYFUNCTION("""COMPUTED_VALUE"""),5800)</f>
        <v>5800</v>
      </c>
      <c r="H1408" s="18">
        <f ca="1">IFERROR(__xludf.DUMMYFUNCTION("""COMPUTED_VALUE"""),45679)</f>
        <v>45679</v>
      </c>
      <c r="I1408" s="5" t="str">
        <f ca="1">IFERROR(__xludf.DUMMYFUNCTION("""COMPUTED_VALUE"""),"Zillow")</f>
        <v>Zillow</v>
      </c>
      <c r="J1408" s="25" t="str">
        <f ca="1">IFERROR(__xludf.DUMMYFUNCTION("""COMPUTED_VALUE"""),"https://www.zillow.com/homedetails/1541-Ellsmere-Ave-Los-Angeles-CA-90019/20600494_zpid/")</f>
        <v>https://www.zillow.com/homedetails/1541-Ellsmere-Ave-Los-Angeles-CA-90019/20600494_zpid/</v>
      </c>
      <c r="K1408" s="5" t="str">
        <f ca="1">IFERROR(__xludf.DUMMYFUNCTION("""COMPUTED_VALUE"""),"Kelly Castell")</f>
        <v>Kelly Castell</v>
      </c>
      <c r="L1408" s="5"/>
      <c r="M1408" s="5"/>
      <c r="N1408" s="5" t="str">
        <f ca="1">IFERROR(__xludf.DUMMYFUNCTION("""COMPUTED_VALUE"""),"https://drive.google.com/open?id=1KXieKUFJwh-Vlr3FE5fMQYt4mehunTSS, https://drive.google.com/open?id=1Emezgfhdshdzo-kaXcibChpPyGvmIt8B, https://drive.google.com/open?id=1b3bJiT_7FEx125azAd8pTVHhkOC1RUAc")</f>
        <v>https://drive.google.com/open?id=1KXieKUFJwh-Vlr3FE5fMQYt4mehunTSS, https://drive.google.com/open?id=1Emezgfhdshdzo-kaXcibChpPyGvmIt8B, https://drive.google.com/open?id=1b3bJiT_7FEx125azAd8pTVHhkOC1RUAc</v>
      </c>
      <c r="O1408" s="5">
        <f ca="1">IFERROR(__xludf.DUMMYFUNCTION("""COMPUTED_VALUE"""),5069017024)</f>
        <v>5069017024</v>
      </c>
      <c r="P1408" s="5" t="str">
        <f ca="1">IFERROR(__xludf.DUMMYFUNCTION("""COMPUTED_VALUE"""),"(310) 488-0847")</f>
        <v>(310) 488-0847</v>
      </c>
      <c r="Q1408" s="5"/>
      <c r="R1408" s="5"/>
      <c r="S1408" s="5"/>
      <c r="T1408" s="18">
        <f ca="1">IFERROR(__xludf.DUMMYFUNCTION("""COMPUTED_VALUE"""),44291)</f>
        <v>44291</v>
      </c>
    </row>
    <row r="1409" spans="1:20" ht="12.75">
      <c r="A1409" s="24">
        <f ca="1">IFERROR(__xludf.DUMMYFUNCTION("""COMPUTED_VALUE"""),45679.759263368)</f>
        <v>45679.759263368003</v>
      </c>
      <c r="B1409" s="5" t="str">
        <f ca="1">IFERROR(__xludf.DUMMYFUNCTION("""COMPUTED_VALUE"""),"4152 Arlington Ave")</f>
        <v>4152 Arlington Ave</v>
      </c>
      <c r="C1409" s="5" t="str">
        <f ca="1">IFERROR(__xludf.DUMMYFUNCTION("""COMPUTED_VALUE"""),"Los Angeles")</f>
        <v>Los Angeles</v>
      </c>
      <c r="D1409" s="5" t="str">
        <f ca="1">IFERROR(__xludf.DUMMYFUNCTION("""COMPUTED_VALUE"""),"CA")</f>
        <v>CA</v>
      </c>
      <c r="E1409" s="5">
        <f ca="1">IFERROR(__xludf.DUMMYFUNCTION("""COMPUTED_VALUE"""),90008)</f>
        <v>90008</v>
      </c>
      <c r="F1409" s="19">
        <f ca="1">IFERROR(__xludf.DUMMYFUNCTION("""COMPUTED_VALUE"""),4500)</f>
        <v>4500</v>
      </c>
      <c r="G1409" s="19">
        <f ca="1">IFERROR(__xludf.DUMMYFUNCTION("""COMPUTED_VALUE"""),6000)</f>
        <v>6000</v>
      </c>
      <c r="H1409" s="18">
        <f ca="1">IFERROR(__xludf.DUMMYFUNCTION("""COMPUTED_VALUE"""),45679)</f>
        <v>45679</v>
      </c>
      <c r="I1409" s="5" t="str">
        <f ca="1">IFERROR(__xludf.DUMMYFUNCTION("""COMPUTED_VALUE"""),"Zillow")</f>
        <v>Zillow</v>
      </c>
      <c r="J1409" s="25" t="str">
        <f ca="1">IFERROR(__xludf.DUMMYFUNCTION("""COMPUTED_VALUE"""),"https://www.zillow.com/homedetails/4152-Arlington-Ave-Los-Angeles-CA-90008/20574562_zpid/")</f>
        <v>https://www.zillow.com/homedetails/4152-Arlington-Ave-Los-Angeles-CA-90008/20574562_zpid/</v>
      </c>
      <c r="K1409" s="5" t="str">
        <f ca="1">IFERROR(__xludf.DUMMYFUNCTION("""COMPUTED_VALUE"""),"Nassir Tom Azhdam")</f>
        <v>Nassir Tom Azhdam</v>
      </c>
      <c r="L1409" s="5"/>
      <c r="M1409" s="5"/>
      <c r="N1409" s="5" t="str">
        <f ca="1">IFERROR(__xludf.DUMMYFUNCTION("""COMPUTED_VALUE"""),"https://drive.google.com/open?id=1laBk5r-rTUXbl0MoDRUdRFHQihw3zDpf, https://drive.google.com/open?id=1rbQYF3jcBgJjJZRoD3GvuEnTmM3i7fpP")</f>
        <v>https://drive.google.com/open?id=1laBk5r-rTUXbl0MoDRUdRFHQihw3zDpf, https://drive.google.com/open?id=1rbQYF3jcBgJjJZRoD3GvuEnTmM3i7fpP</v>
      </c>
      <c r="O1409" s="5">
        <f ca="1">IFERROR(__xludf.DUMMYFUNCTION("""COMPUTED_VALUE"""),5022018015)</f>
        <v>5022018015</v>
      </c>
      <c r="P1409" s="5" t="str">
        <f ca="1">IFERROR(__xludf.DUMMYFUNCTION("""COMPUTED_VALUE"""),"310-770-2646")</f>
        <v>310-770-2646</v>
      </c>
      <c r="Q1409" s="5"/>
      <c r="R1409" s="5"/>
      <c r="S1409" s="5"/>
      <c r="T1409" s="18">
        <f ca="1">IFERROR(__xludf.DUMMYFUNCTION("""COMPUTED_VALUE"""),44634)</f>
        <v>44634</v>
      </c>
    </row>
    <row r="1410" spans="1:20" ht="12.75">
      <c r="A1410" s="24">
        <f ca="1">IFERROR(__xludf.DUMMYFUNCTION("""COMPUTED_VALUE"""),45679.7740597685)</f>
        <v>45679.774059768497</v>
      </c>
      <c r="B1410" s="5" t="str">
        <f ca="1">IFERROR(__xludf.DUMMYFUNCTION("""COMPUTED_VALUE"""),"348 30th Pl")</f>
        <v>348 30th Pl</v>
      </c>
      <c r="C1410" s="5" t="str">
        <f ca="1">IFERROR(__xludf.DUMMYFUNCTION("""COMPUTED_VALUE"""),"Hermosa Beach")</f>
        <v>Hermosa Beach</v>
      </c>
      <c r="D1410" s="5" t="str">
        <f ca="1">IFERROR(__xludf.DUMMYFUNCTION("""COMPUTED_VALUE"""),"CA")</f>
        <v>CA</v>
      </c>
      <c r="E1410" s="5">
        <f ca="1">IFERROR(__xludf.DUMMYFUNCTION("""COMPUTED_VALUE"""),90254)</f>
        <v>90254</v>
      </c>
      <c r="F1410" s="19">
        <f ca="1">IFERROR(__xludf.DUMMYFUNCTION("""COMPUTED_VALUE"""),5800)</f>
        <v>5800</v>
      </c>
      <c r="G1410" s="19">
        <f ca="1">IFERROR(__xludf.DUMMYFUNCTION("""COMPUTED_VALUE"""),6500)</f>
        <v>6500</v>
      </c>
      <c r="H1410" s="18">
        <f ca="1">IFERROR(__xludf.DUMMYFUNCTION("""COMPUTED_VALUE"""),45680)</f>
        <v>45680</v>
      </c>
      <c r="I1410" s="5" t="str">
        <f ca="1">IFERROR(__xludf.DUMMYFUNCTION("""COMPUTED_VALUE"""),"Zillow")</f>
        <v>Zillow</v>
      </c>
      <c r="J1410" s="25" t="str">
        <f ca="1">IFERROR(__xludf.DUMMYFUNCTION("""COMPUTED_VALUE"""),"https://www.zillow.com/homedetails/348-30th-Pl-Hermosa-Beach-CA-90254/2091678115_zpid/")</f>
        <v>https://www.zillow.com/homedetails/348-30th-Pl-Hermosa-Beach-CA-90254/2091678115_zpid/</v>
      </c>
      <c r="K1410" s="5"/>
      <c r="L1410" s="5" t="str">
        <f ca="1">IFERROR(__xludf.DUMMYFUNCTION("""COMPUTED_VALUE"""),"kathryn")</f>
        <v>kathryn</v>
      </c>
      <c r="M1410" s="5"/>
      <c r="N1410" s="5" t="str">
        <f ca="1">IFERROR(__xludf.DUMMYFUNCTION("""COMPUTED_VALUE"""),"https://drive.google.com/open?id=1nmnFNoA1bwKPn9WkmbJiCL0mdWWMP_vC, https://drive.google.com/open?id=1Fj2sGn7JWCUi0Q3M0EXP8GPTsd5kP9T4, https://drive.google.com/open?id=1ynpe214E18yDkgMl307KJOcYV8k9_-ON, https://drive.google.com/open?id=1bYiHSvAhXVEve3tGS"&amp;"OmHVW25iAogNlu-")</f>
        <v>https://drive.google.com/open?id=1nmnFNoA1bwKPn9WkmbJiCL0mdWWMP_vC, https://drive.google.com/open?id=1Fj2sGn7JWCUi0Q3M0EXP8GPTsd5kP9T4, https://drive.google.com/open?id=1ynpe214E18yDkgMl307KJOcYV8k9_-ON, https://drive.google.com/open?id=1bYiHSvAhXVEve3tGSOmHVW25iAogNlu-</v>
      </c>
      <c r="O1410" s="5" t="str">
        <f ca="1">IFERROR(__xludf.DUMMYFUNCTION("""COMPUTED_VALUE"""),"NA")</f>
        <v>NA</v>
      </c>
      <c r="P1410" s="5"/>
      <c r="Q1410" s="5"/>
      <c r="R1410" s="5" t="str">
        <f ca="1">IFERROR(__xludf.DUMMYFUNCTION("""COMPUTED_VALUE"""),"(213) 786-8127")</f>
        <v>(213) 786-8127</v>
      </c>
      <c r="S1410" s="5"/>
      <c r="T1410" s="18">
        <f ca="1">IFERROR(__xludf.DUMMYFUNCTION("""COMPUTED_VALUE"""),44991)</f>
        <v>44991</v>
      </c>
    </row>
    <row r="1411" spans="1:20" ht="12.75">
      <c r="A1411" s="24">
        <f ca="1">IFERROR(__xludf.DUMMYFUNCTION("""COMPUTED_VALUE"""),45679.7773627083)</f>
        <v>45679.777362708301</v>
      </c>
      <c r="B1411" s="5" t="str">
        <f ca="1">IFERROR(__xludf.DUMMYFUNCTION("""COMPUTED_VALUE"""),"Undisclosed ")</f>
        <v xml:space="preserve">Undisclosed </v>
      </c>
      <c r="C1411" s="5" t="str">
        <f ca="1">IFERROR(__xludf.DUMMYFUNCTION("""COMPUTED_VALUE"""),"Glendale")</f>
        <v>Glendale</v>
      </c>
      <c r="D1411" s="5" t="str">
        <f ca="1">IFERROR(__xludf.DUMMYFUNCTION("""COMPUTED_VALUE"""),"CA")</f>
        <v>CA</v>
      </c>
      <c r="E1411" s="5">
        <f ca="1">IFERROR(__xludf.DUMMYFUNCTION("""COMPUTED_VALUE"""),91207)</f>
        <v>91207</v>
      </c>
      <c r="F1411" s="19">
        <f ca="1">IFERROR(__xludf.DUMMYFUNCTION("""COMPUTED_VALUE"""),15000)</f>
        <v>15000</v>
      </c>
      <c r="G1411" s="19">
        <f ca="1">IFERROR(__xludf.DUMMYFUNCTION("""COMPUTED_VALUE"""),25000)</f>
        <v>25000</v>
      </c>
      <c r="H1411" s="18">
        <f ca="1">IFERROR(__xludf.DUMMYFUNCTION("""COMPUTED_VALUE"""),45666)</f>
        <v>45666</v>
      </c>
      <c r="I1411" s="5" t="str">
        <f ca="1">IFERROR(__xludf.DUMMYFUNCTION("""COMPUTED_VALUE"""),"Zillow")</f>
        <v>Zillow</v>
      </c>
      <c r="J1411" s="25" t="str">
        <f ca="1">IFERROR(__xludf.DUMMYFUNCTION("""COMPUTED_VALUE"""),"https://www.zillow.com/homedetails/(undisclosed-Address)-Glendale-CA-91207/20838315_zpid/?utm_campaign=iosappmessage&amp;utm_medium=referral&amp;utm_source=txtshare")</f>
        <v>https://www.zillow.com/homedetails/(undisclosed-Address)-Glendale-CA-91207/20838315_zpid/?utm_campaign=iosappmessage&amp;utm_medium=referral&amp;utm_source=txtshare</v>
      </c>
      <c r="K1411" s="5" t="str">
        <f ca="1">IFERROR(__xludf.DUMMYFUNCTION("""COMPUTED_VALUE"""),"Lilian isadzhanyan")</f>
        <v>Lilian isadzhanyan</v>
      </c>
      <c r="L1411" s="5"/>
      <c r="M1411" s="5"/>
      <c r="N1411" s="5" t="str">
        <f ca="1">IFERROR(__xludf.DUMMYFUNCTION("""COMPUTED_VALUE"""),"https://drive.google.com/open?id=1EVZePinK8Ntgh-KulfgCh34JfJnWXbun, https://drive.google.com/open?id=196Td2BabP8kZr-IDNb95ZaBhnKnJJ6vU, https://drive.google.com/open?id=1Z9_JcpQRzl4L3W_dn9N58iDDd0R6ySb9")</f>
        <v>https://drive.google.com/open?id=1EVZePinK8Ntgh-KulfgCh34JfJnWXbun, https://drive.google.com/open?id=196Td2BabP8kZr-IDNb95ZaBhnKnJJ6vU, https://drive.google.com/open?id=1Z9_JcpQRzl4L3W_dn9N58iDDd0R6ySb9</v>
      </c>
      <c r="O1411" s="5" t="str">
        <f ca="1">IFERROR(__xludf.DUMMYFUNCTION("""COMPUTED_VALUE"""),"NA")</f>
        <v>NA</v>
      </c>
      <c r="P1411" s="5" t="str">
        <f ca="1">IFERROR(__xludf.DUMMYFUNCTION("""COMPUTED_VALUE"""),"818-937-3870")</f>
        <v>818-937-3870</v>
      </c>
      <c r="Q1411" s="5"/>
      <c r="R1411" s="5"/>
      <c r="S1411" s="5"/>
      <c r="T1411" s="18">
        <f ca="1">IFERROR(__xludf.DUMMYFUNCTION("""COMPUTED_VALUE"""),45618)</f>
        <v>45618</v>
      </c>
    </row>
    <row r="1412" spans="1:20" ht="12.75">
      <c r="A1412" s="24">
        <f ca="1">IFERROR(__xludf.DUMMYFUNCTION("""COMPUTED_VALUE"""),45679.8492402083)</f>
        <v>45679.849240208299</v>
      </c>
      <c r="B1412" s="5" t="str">
        <f ca="1">IFERROR(__xludf.DUMMYFUNCTION("""COMPUTED_VALUE"""),"3300 Craig Dr")</f>
        <v>3300 Craig Dr</v>
      </c>
      <c r="C1412" s="5" t="str">
        <f ca="1">IFERROR(__xludf.DUMMYFUNCTION("""COMPUTED_VALUE"""),"Los Angeles")</f>
        <v>Los Angeles</v>
      </c>
      <c r="D1412" s="5" t="str">
        <f ca="1">IFERROR(__xludf.DUMMYFUNCTION("""COMPUTED_VALUE"""),"CA")</f>
        <v>CA</v>
      </c>
      <c r="E1412" s="5">
        <f ca="1">IFERROR(__xludf.DUMMYFUNCTION("""COMPUTED_VALUE"""),90068)</f>
        <v>90068</v>
      </c>
      <c r="F1412" s="19">
        <f ca="1">IFERROR(__xludf.DUMMYFUNCTION("""COMPUTED_VALUE"""),1)</f>
        <v>1</v>
      </c>
      <c r="G1412" s="19">
        <f ca="1">IFERROR(__xludf.DUMMYFUNCTION("""COMPUTED_VALUE"""),9000)</f>
        <v>9000</v>
      </c>
      <c r="H1412" s="18">
        <f ca="1">IFERROR(__xludf.DUMMYFUNCTION("""COMPUTED_VALUE"""),45679)</f>
        <v>45679</v>
      </c>
      <c r="I1412" s="5" t="str">
        <f ca="1">IFERROR(__xludf.DUMMYFUNCTION("""COMPUTED_VALUE"""),"Redfin")</f>
        <v>Redfin</v>
      </c>
      <c r="J1412" s="25" t="str">
        <f ca="1">IFERROR(__xludf.DUMMYFUNCTION("""COMPUTED_VALUE"""),"https://www.redfin.com/CA/Los-Angeles/3300-Craig-Dr-90068/home/7128523")</f>
        <v>https://www.redfin.com/CA/Los-Angeles/3300-Craig-Dr-90068/home/7128523</v>
      </c>
      <c r="K1412" s="5" t="str">
        <f ca="1">IFERROR(__xludf.DUMMYFUNCTION("""COMPUTED_VALUE"""),"Greg Harris")</f>
        <v>Greg Harris</v>
      </c>
      <c r="L1412" s="5"/>
      <c r="M1412" s="5" t="str">
        <f ca="1">IFERROR(__xludf.DUMMYFUNCTION("""COMPUTED_VALUE"""),"New listing. Way over fair market value. ")</f>
        <v xml:space="preserve">New listing. Way over fair market value. </v>
      </c>
      <c r="N1412" s="5" t="str">
        <f ca="1">IFERROR(__xludf.DUMMYFUNCTION("""COMPUTED_VALUE"""),"https://drive.google.com/open?id=1fv5z3SCLJnhU5MgqvRNTCoHMOxocQvaj, https://drive.google.com/open?id=1JjTW6PLZBOwGhOrVDTxFLJhnYnNB3_15, https://drive.google.com/open?id=1i5jOIwEgBwyPdj430AwmLqqLuo-Ojy22")</f>
        <v>https://drive.google.com/open?id=1fv5z3SCLJnhU5MgqvRNTCoHMOxocQvaj, https://drive.google.com/open?id=1JjTW6PLZBOwGhOrVDTxFLJhnYnNB3_15, https://drive.google.com/open?id=1i5jOIwEgBwyPdj430AwmLqqLuo-Ojy22</v>
      </c>
      <c r="O1412" s="5" t="str">
        <f ca="1">IFERROR(__xludf.DUMMYFUNCTION("""COMPUTED_VALUE"""),"NA")</f>
        <v>NA</v>
      </c>
      <c r="P1412" s="5" t="str">
        <f ca="1">IFERROR(__xludf.DUMMYFUNCTION("""COMPUTED_VALUE"""),"323-356-8024")</f>
        <v>323-356-8024</v>
      </c>
      <c r="Q1412" s="5" t="str">
        <f ca="1">IFERROR(__xludf.DUMMYFUNCTION("""COMPUTED_VALUE"""),"greg@gregharrisestates.com")</f>
        <v>greg@gregharrisestates.com</v>
      </c>
      <c r="R1412" s="5"/>
      <c r="S1412" s="5"/>
      <c r="T1412" s="5"/>
    </row>
    <row r="1413" spans="1:20" ht="12.75">
      <c r="A1413" s="24">
        <f ca="1">IFERROR(__xludf.DUMMYFUNCTION("""COMPUTED_VALUE"""),45679.8519466088)</f>
        <v>45679.851946608796</v>
      </c>
      <c r="B1413" s="5" t="str">
        <f ca="1">IFERROR(__xludf.DUMMYFUNCTION("""COMPUTED_VALUE"""),"6601 Saloma Ave")</f>
        <v>6601 Saloma Ave</v>
      </c>
      <c r="C1413" s="5" t="str">
        <f ca="1">IFERROR(__xludf.DUMMYFUNCTION("""COMPUTED_VALUE"""),"Van Nuys")</f>
        <v>Van Nuys</v>
      </c>
      <c r="D1413" s="5" t="str">
        <f ca="1">IFERROR(__xludf.DUMMYFUNCTION("""COMPUTED_VALUE"""),"CA")</f>
        <v>CA</v>
      </c>
      <c r="E1413" s="5">
        <f ca="1">IFERROR(__xludf.DUMMYFUNCTION("""COMPUTED_VALUE"""),91405)</f>
        <v>91405</v>
      </c>
      <c r="F1413" s="19">
        <f ca="1">IFERROR(__xludf.DUMMYFUNCTION("""COMPUTED_VALUE"""),1700)</f>
        <v>1700</v>
      </c>
      <c r="G1413" s="19">
        <f ca="1">IFERROR(__xludf.DUMMYFUNCTION("""COMPUTED_VALUE"""),2450)</f>
        <v>2450</v>
      </c>
      <c r="H1413" s="18">
        <f ca="1">IFERROR(__xludf.DUMMYFUNCTION("""COMPUTED_VALUE"""),45679)</f>
        <v>45679</v>
      </c>
      <c r="I1413" s="5" t="str">
        <f ca="1">IFERROR(__xludf.DUMMYFUNCTION("""COMPUTED_VALUE"""),"Trulia")</f>
        <v>Trulia</v>
      </c>
      <c r="J1413" s="25" t="str">
        <f ca="1">IFERROR(__xludf.DUMMYFUNCTION("""COMPUTED_VALUE"""),"https://www.trulia.com/home/6601-saloma-ave-van-nuys-ca-91405-19968847?cid=shr%7Capp_ios_main_phone%7Crent%7Csrp_table_card_share")</f>
        <v>https://www.trulia.com/home/6601-saloma-ave-van-nuys-ca-91405-19968847?cid=shr%7Capp_ios_main_phone%7Crent%7Csrp_table_card_share</v>
      </c>
      <c r="K1413" s="5"/>
      <c r="L1413" s="5"/>
      <c r="M1413" s="5"/>
      <c r="N1413" s="5" t="str">
        <f ca="1">IFERROR(__xludf.DUMMYFUNCTION("""COMPUTED_VALUE"""),"https://drive.google.com/open?id=1drIlb6zQvHCn9Wwcvx6Dz63emdDvTxYa, https://drive.google.com/open?id=1oWmz8HPBFx9TYGoGOLKCWiaTv38gq5Mq")</f>
        <v>https://drive.google.com/open?id=1drIlb6zQvHCn9Wwcvx6Dz63emdDvTxYa, https://drive.google.com/open?id=1oWmz8HPBFx9TYGoGOLKCWiaTv38gq5Mq</v>
      </c>
      <c r="O1413" s="5" t="str">
        <f ca="1">IFERROR(__xludf.DUMMYFUNCTION("""COMPUTED_VALUE"""),"NA")</f>
        <v>NA</v>
      </c>
      <c r="P1413" s="5"/>
      <c r="Q1413" s="5"/>
      <c r="R1413" s="5"/>
      <c r="S1413" s="5"/>
      <c r="T1413" s="18">
        <f ca="1">IFERROR(__xludf.DUMMYFUNCTION("""COMPUTED_VALUE"""),-684831)</f>
        <v>-684831</v>
      </c>
    </row>
    <row r="1414" spans="1:20" ht="12.75">
      <c r="A1414" s="24">
        <f ca="1">IFERROR(__xludf.DUMMYFUNCTION("""COMPUTED_VALUE"""),45679.9471175925)</f>
        <v>45679.947117592499</v>
      </c>
      <c r="B1414" s="5" t="str">
        <f ca="1">IFERROR(__xludf.DUMMYFUNCTION("""COMPUTED_VALUE"""),"12025 Lucile St")</f>
        <v>12025 Lucile St</v>
      </c>
      <c r="C1414" s="5" t="str">
        <f ca="1">IFERROR(__xludf.DUMMYFUNCTION("""COMPUTED_VALUE"""),"Los Angeles ")</f>
        <v xml:space="preserve">Los Angeles </v>
      </c>
      <c r="D1414" s="5" t="str">
        <f ca="1">IFERROR(__xludf.DUMMYFUNCTION("""COMPUTED_VALUE"""),"CA")</f>
        <v>CA</v>
      </c>
      <c r="E1414" s="5">
        <f ca="1">IFERROR(__xludf.DUMMYFUNCTION("""COMPUTED_VALUE"""),90230)</f>
        <v>90230</v>
      </c>
      <c r="F1414" s="19">
        <f ca="1">IFERROR(__xludf.DUMMYFUNCTION("""COMPUTED_VALUE"""),1)</f>
        <v>1</v>
      </c>
      <c r="G1414" s="19">
        <f ca="1">IFERROR(__xludf.DUMMYFUNCTION("""COMPUTED_VALUE"""),11592)</f>
        <v>11592</v>
      </c>
      <c r="H1414" s="18">
        <f ca="1">IFERROR(__xludf.DUMMYFUNCTION("""COMPUTED_VALUE"""),45672)</f>
        <v>45672</v>
      </c>
      <c r="I1414" s="5" t="str">
        <f ca="1">IFERROR(__xludf.DUMMYFUNCTION("""COMPUTED_VALUE"""),"Zillow")</f>
        <v>Zillow</v>
      </c>
      <c r="J1414" s="25" t="str">
        <f ca="1">IFERROR(__xludf.DUMMYFUNCTION("""COMPUTED_VALUE"""),"https://www.zillow.com/homedetails/6137-Thicket-Way-San-Jose-CA-95119/19841831_zpid/")</f>
        <v>https://www.zillow.com/homedetails/6137-Thicket-Way-San-Jose-CA-95119/19841831_zpid/</v>
      </c>
      <c r="K1414" s="5" t="str">
        <f ca="1">IFERROR(__xludf.DUMMYFUNCTION("""COMPUTED_VALUE"""),"Stephanie Younger")</f>
        <v>Stephanie Younger</v>
      </c>
      <c r="L1414" s="5"/>
      <c r="M1414" s="5" t="str">
        <f ca="1">IFERROR(__xludf.DUMMYFUNCTION("""COMPUTED_VALUE"""),"It just seems way to much when I was looking through the listing's and it says it's like a 100 some percent increase maybe just cause it was listed in 2012 but with it being listed at such a high price right when the fires are destroying everything just s"&amp;"eemed not right ")</f>
        <v xml:space="preserve">It just seems way to much when I was looking through the listing's and it says it's like a 100 some percent increase maybe just cause it was listed in 2012 but with it being listed at such a high price right when the fires are destroying everything just seemed not right </v>
      </c>
      <c r="N1414" s="5" t="str">
        <f ca="1">IFERROR(__xludf.DUMMYFUNCTION("""COMPUTED_VALUE"""),"https://drive.google.com/open?id=1l_000g2cA2WTJdznu8ChygsfUEnN_e7F, https://drive.google.com/open?id=1YGtD-sEo2bS_ML4ME-oOears_oAOT8Wb")</f>
        <v>https://drive.google.com/open?id=1l_000g2cA2WTJdznu8ChygsfUEnN_e7F, https://drive.google.com/open?id=1YGtD-sEo2bS_ML4ME-oOears_oAOT8Wb</v>
      </c>
      <c r="O1414" s="5">
        <f ca="1">IFERROR(__xludf.DUMMYFUNCTION("""COMPUTED_VALUE"""),4220013016)</f>
        <v>4220013016</v>
      </c>
      <c r="P1414" s="5" t="str">
        <f ca="1">IFERROR(__xludf.DUMMYFUNCTION("""COMPUTED_VALUE"""),"424-655-2243")</f>
        <v>424-655-2243</v>
      </c>
      <c r="Q1414" s="5"/>
      <c r="R1414" s="5"/>
      <c r="S1414" s="5"/>
      <c r="T1414" s="18">
        <f ca="1">IFERROR(__xludf.DUMMYFUNCTION("""COMPUTED_VALUE"""),41256)</f>
        <v>41256</v>
      </c>
    </row>
    <row r="1415" spans="1:20" ht="12.75">
      <c r="A1415" s="24">
        <f ca="1">IFERROR(__xludf.DUMMYFUNCTION("""COMPUTED_VALUE"""),45680.3903790625)</f>
        <v>45680.390379062497</v>
      </c>
      <c r="B1415" s="5" t="str">
        <f ca="1">IFERROR(__xludf.DUMMYFUNCTION("""COMPUTED_VALUE"""),"Atwater Village")</f>
        <v>Atwater Village</v>
      </c>
      <c r="C1415" s="5" t="str">
        <f ca="1">IFERROR(__xludf.DUMMYFUNCTION("""COMPUTED_VALUE"""),"Los Angeles")</f>
        <v>Los Angeles</v>
      </c>
      <c r="D1415" s="5" t="str">
        <f ca="1">IFERROR(__xludf.DUMMYFUNCTION("""COMPUTED_VALUE"""),"CA")</f>
        <v>CA</v>
      </c>
      <c r="E1415" s="5">
        <f ca="1">IFERROR(__xludf.DUMMYFUNCTION("""COMPUTED_VALUE"""),90039)</f>
        <v>90039</v>
      </c>
      <c r="F1415" s="19">
        <f ca="1">IFERROR(__xludf.DUMMYFUNCTION("""COMPUTED_VALUE"""),6450)</f>
        <v>6450</v>
      </c>
      <c r="G1415" s="19">
        <f ca="1">IFERROR(__xludf.DUMMYFUNCTION("""COMPUTED_VALUE"""),27000)</f>
        <v>27000</v>
      </c>
      <c r="H1415" s="18">
        <f ca="1">IFERROR(__xludf.DUMMYFUNCTION("""COMPUTED_VALUE"""),45667)</f>
        <v>45667</v>
      </c>
      <c r="I1415" s="5" t="str">
        <f ca="1">IFERROR(__xludf.DUMMYFUNCTION("""COMPUTED_VALUE"""),"Zillow")</f>
        <v>Zillow</v>
      </c>
      <c r="J1415" s="25" t="str">
        <f ca="1">IFERROR(__xludf.DUMMYFUNCTION("""COMPUTED_VALUE"""),"https://www.zillow.com/homedetails/Los-Angeles-CA-90039/20812529_zpid/?utm_campaign=iosappmessage&amp;utm_medium=referral&amp;utm_source=txtshare")</f>
        <v>https://www.zillow.com/homedetails/Los-Angeles-CA-90039/20812529_zpid/?utm_campaign=iosappmessage&amp;utm_medium=referral&amp;utm_source=txtshare</v>
      </c>
      <c r="K1415" s="5" t="str">
        <f ca="1">IFERROR(__xludf.DUMMYFUNCTION("""COMPUTED_VALUE"""),"David J")</f>
        <v>David J</v>
      </c>
      <c r="L1415" s="5"/>
      <c r="M1415" s="5" t="str">
        <f ca="1">IFERROR(__xludf.DUMMYFUNCTION("""COMPUTED_VALUE"""),"Previously reported this to Zillow, they unlisted the property, but as of 1/15/25, it was listed at ""$6,950/month"", but in the description it notes that this is the price PER WEEK, which brings this to ~$27,800/month. They also removed the address after"&amp;" I reported the listing.")</f>
        <v>Previously reported this to Zillow, they unlisted the property, but as of 1/15/25, it was listed at "$6,950/month", but in the description it notes that this is the price PER WEEK, which brings this to ~$27,800/month. They also removed the address after I reported the listing.</v>
      </c>
      <c r="N1415" s="5" t="str">
        <f ca="1">IFERROR(__xludf.DUMMYFUNCTION("""COMPUTED_VALUE"""),"https://drive.google.com/open?id=1pGsjtfmN-hd3l1EiH_DHSUXsE4n3ucJJ, https://drive.google.com/open?id=141PZUXvHpJYH65CVsWBHjw6FQlafE6Ya, https://drive.google.com/open?id=1gk6Y4E9yCdNbzBjIxfQgqJmzudkcUjBi")</f>
        <v>https://drive.google.com/open?id=1pGsjtfmN-hd3l1EiH_DHSUXsE4n3ucJJ, https://drive.google.com/open?id=141PZUXvHpJYH65CVsWBHjw6FQlafE6Ya, https://drive.google.com/open?id=1gk6Y4E9yCdNbzBjIxfQgqJmzudkcUjBi</v>
      </c>
      <c r="O1415" s="5" t="str">
        <f ca="1">IFERROR(__xludf.DUMMYFUNCTION("""COMPUTED_VALUE"""),"NA")</f>
        <v>NA</v>
      </c>
      <c r="P1415" s="5" t="str">
        <f ca="1">IFERROR(__xludf.DUMMYFUNCTION("""COMPUTED_VALUE""")," (714) 599-8618")</f>
        <v xml:space="preserve"> (714) 599-8618</v>
      </c>
      <c r="Q1415" s="5"/>
      <c r="R1415" s="5"/>
      <c r="S1415" s="5"/>
      <c r="T1415" s="18">
        <f ca="1">IFERROR(__xludf.DUMMYFUNCTION("""COMPUTED_VALUE"""),45570)</f>
        <v>45570</v>
      </c>
    </row>
    <row r="1416" spans="1:20" ht="12.75">
      <c r="A1416" s="24">
        <f ca="1">IFERROR(__xludf.DUMMYFUNCTION("""COMPUTED_VALUE"""),45680.8686954282)</f>
        <v>45680.868695428202</v>
      </c>
      <c r="B1416" s="5" t="str">
        <f ca="1">IFERROR(__xludf.DUMMYFUNCTION("""COMPUTED_VALUE"""),"139 Hollister Ave")</f>
        <v>139 Hollister Ave</v>
      </c>
      <c r="C1416" s="5" t="str">
        <f ca="1">IFERROR(__xludf.DUMMYFUNCTION("""COMPUTED_VALUE"""),"Santa Monica")</f>
        <v>Santa Monica</v>
      </c>
      <c r="D1416" s="5" t="str">
        <f ca="1">IFERROR(__xludf.DUMMYFUNCTION("""COMPUTED_VALUE"""),"CA")</f>
        <v>CA</v>
      </c>
      <c r="E1416" s="5">
        <f ca="1">IFERROR(__xludf.DUMMYFUNCTION("""COMPUTED_VALUE"""),90405)</f>
        <v>90405</v>
      </c>
      <c r="F1416" s="19">
        <f ca="1">IFERROR(__xludf.DUMMYFUNCTION("""COMPUTED_VALUE"""),25000)</f>
        <v>25000</v>
      </c>
      <c r="G1416" s="19">
        <f ca="1">IFERROR(__xludf.DUMMYFUNCTION("""COMPUTED_VALUE"""),50000)</f>
        <v>50000</v>
      </c>
      <c r="H1416" s="18">
        <f ca="1">IFERROR(__xludf.DUMMYFUNCTION("""COMPUTED_VALUE"""),45667)</f>
        <v>45667</v>
      </c>
      <c r="I1416" s="5" t="str">
        <f ca="1">IFERROR(__xludf.DUMMYFUNCTION("""COMPUTED_VALUE"""),"MLS")</f>
        <v>MLS</v>
      </c>
      <c r="J1416" s="25" t="str">
        <f ca="1">IFERROR(__xludf.DUMMYFUNCTION("""COMPUTED_VALUE"""),"https://app.box.com/s/xb6ddzw7djfcl2e640xt5ic1s5xub02i")</f>
        <v>https://app.box.com/s/xb6ddzw7djfcl2e640xt5ic1s5xub02i</v>
      </c>
      <c r="K1416" s="5" t="str">
        <f ca="1">IFERROR(__xludf.DUMMYFUNCTION("""COMPUTED_VALUE"""),"Ben Lee")</f>
        <v>Ben Lee</v>
      </c>
      <c r="L1416" s="5" t="str">
        <f ca="1">IFERROR(__xludf.DUMMYFUNCTION("""COMPUTED_VALUE"""),"Ben Lee")</f>
        <v>Ben Lee</v>
      </c>
      <c r="M1416" s="5" t="str">
        <f ca="1">IFERROR(__xludf.DUMMYFUNCTION("""COMPUTED_VALUE"""),"Prior tenants paid $22,500 until mid January 2025. Landlord/Owner raised rent to $25k. New tenants paying $60,000 as of January 2025 after landlord/owner/agent listed for $50k. ")</f>
        <v xml:space="preserve">Prior tenants paid $22,500 until mid January 2025. Landlord/Owner raised rent to $25k. New tenants paying $60,000 as of January 2025 after landlord/owner/agent listed for $50k. </v>
      </c>
      <c r="N1416" s="26" t="str">
        <f ca="1">IFERROR(__xludf.DUMMYFUNCTION("""COMPUTED_VALUE"""),"https://drive.google.com/open?id=1oMdRJTQ0jEBUSzsCjyPm_Rm2hdAoEdm_")</f>
        <v>https://drive.google.com/open?id=1oMdRJTQ0jEBUSzsCjyPm_Rm2hdAoEdm_</v>
      </c>
      <c r="O1416" s="5" t="str">
        <f ca="1">IFERROR(__xludf.DUMMYFUNCTION("""COMPUTED_VALUE"""),"NA")</f>
        <v>NA</v>
      </c>
      <c r="P1416" s="5" t="str">
        <f ca="1">IFERROR(__xludf.DUMMYFUNCTION("""COMPUTED_VALUE"""),"(310) 858-5489")</f>
        <v>(310) 858-5489</v>
      </c>
      <c r="Q1416" s="5" t="str">
        <f ca="1">IFERROR(__xludf.DUMMYFUNCTION("""COMPUTED_VALUE"""),"ben@benleeproperties.com")</f>
        <v>ben@benleeproperties.com</v>
      </c>
      <c r="R1416" s="5" t="str">
        <f ca="1">IFERROR(__xludf.DUMMYFUNCTION("""COMPUTED_VALUE"""),"(310) 858-5489")</f>
        <v>(310) 858-5489</v>
      </c>
      <c r="S1416" s="5" t="str">
        <f ca="1">IFERROR(__xludf.DUMMYFUNCTION("""COMPUTED_VALUE"""),"ben@benleeproperties.com")</f>
        <v>ben@benleeproperties.com</v>
      </c>
      <c r="T1416" s="18">
        <f ca="1">IFERROR(__xludf.DUMMYFUNCTION("""COMPUTED_VALUE"""),45296)</f>
        <v>45296</v>
      </c>
    </row>
    <row r="1417" spans="1:20" ht="12.75">
      <c r="A1417" s="24">
        <f ca="1">IFERROR(__xludf.DUMMYFUNCTION("""COMPUTED_VALUE"""),45680.9107874768)</f>
        <v>45680.910787476801</v>
      </c>
      <c r="B1417" s="5" t="str">
        <f ca="1">IFERROR(__xludf.DUMMYFUNCTION("""COMPUTED_VALUE"""),"18948 Pacific Coast Hwy, Malibu, CA 90265")</f>
        <v>18948 Pacific Coast Hwy, Malibu, CA 90265</v>
      </c>
      <c r="C1417" s="5" t="str">
        <f ca="1">IFERROR(__xludf.DUMMYFUNCTION("""COMPUTED_VALUE"""),"Malibu")</f>
        <v>Malibu</v>
      </c>
      <c r="D1417" s="5" t="str">
        <f ca="1">IFERROR(__xludf.DUMMYFUNCTION("""COMPUTED_VALUE"""),"CA")</f>
        <v>CA</v>
      </c>
      <c r="E1417" s="5">
        <f ca="1">IFERROR(__xludf.DUMMYFUNCTION("""COMPUTED_VALUE"""),90265)</f>
        <v>90265</v>
      </c>
      <c r="F1417" s="19">
        <f ca="1">IFERROR(__xludf.DUMMYFUNCTION("""COMPUTED_VALUE"""),11750)</f>
        <v>11750</v>
      </c>
      <c r="G1417" s="19">
        <f ca="1">IFERROR(__xludf.DUMMYFUNCTION("""COMPUTED_VALUE"""),30000)</f>
        <v>30000</v>
      </c>
      <c r="H1417" s="18">
        <f ca="1">IFERROR(__xludf.DUMMYFUNCTION("""COMPUTED_VALUE"""),45673)</f>
        <v>45673</v>
      </c>
      <c r="I1417" s="5" t="str">
        <f ca="1">IFERROR(__xludf.DUMMYFUNCTION("""COMPUTED_VALUE"""),"Zillow")</f>
        <v>Zillow</v>
      </c>
      <c r="J1417" s="25" t="str">
        <f ca="1">IFERROR(__xludf.DUMMYFUNCTION("""COMPUTED_VALUE"""),"https://www.zillow.com/homedetails/18948-Pacific-Coast-Hwy-Malibu-CA-90265/89149270_zpid/")</f>
        <v>https://www.zillow.com/homedetails/18948-Pacific-Coast-Hwy-Malibu-CA-90265/89149270_zpid/</v>
      </c>
      <c r="K1417" s="5" t="str">
        <f ca="1">IFERROR(__xludf.DUMMYFUNCTION("""COMPUTED_VALUE"""),"Haley Johnson")</f>
        <v>Haley Johnson</v>
      </c>
      <c r="L1417" s="5"/>
      <c r="M1417" s="5" t="str">
        <f ca="1">IFERROR(__xludf.DUMMYFUNCTION("""COMPUTED_VALUE"""),"No additional information")</f>
        <v>No additional information</v>
      </c>
      <c r="N1417" s="26" t="str">
        <f ca="1">IFERROR(__xludf.DUMMYFUNCTION("""COMPUTED_VALUE"""),"https://drive.google.com/open?id=1LCExxb9za-YE9oWU2q-7V26BRGIU-MWf")</f>
        <v>https://drive.google.com/open?id=1LCExxb9za-YE9oWU2q-7V26BRGIU-MWf</v>
      </c>
      <c r="O1417" s="5">
        <f ca="1">IFERROR(__xludf.DUMMYFUNCTION("""COMPUTED_VALUE"""),4449002006)</f>
        <v>4449002006</v>
      </c>
      <c r="P1417" s="5" t="str">
        <f ca="1">IFERROR(__xludf.DUMMYFUNCTION("""COMPUTED_VALUE"""),"(213) 583-5176")</f>
        <v>(213) 583-5176</v>
      </c>
      <c r="Q1417" s="5"/>
      <c r="R1417" s="5"/>
      <c r="S1417" s="5"/>
      <c r="T1417" s="18">
        <f ca="1">IFERROR(__xludf.DUMMYFUNCTION("""COMPUTED_VALUE"""),44539)</f>
        <v>44539</v>
      </c>
    </row>
    <row r="1418" spans="1:20" ht="12.75">
      <c r="A1418" s="24">
        <f ca="1">IFERROR(__xludf.DUMMYFUNCTION("""COMPUTED_VALUE"""),45680.9147757638)</f>
        <v>45680.914775763798</v>
      </c>
      <c r="B1418" s="5" t="str">
        <f ca="1">IFERROR(__xludf.DUMMYFUNCTION("""COMPUTED_VALUE"""),"10802 Wilkins Ave")</f>
        <v>10802 Wilkins Ave</v>
      </c>
      <c r="C1418" s="5" t="str">
        <f ca="1">IFERROR(__xludf.DUMMYFUNCTION("""COMPUTED_VALUE"""),"Los Angeles")</f>
        <v>Los Angeles</v>
      </c>
      <c r="D1418" s="5" t="str">
        <f ca="1">IFERROR(__xludf.DUMMYFUNCTION("""COMPUTED_VALUE"""),"CA")</f>
        <v>CA</v>
      </c>
      <c r="E1418" s="5">
        <f ca="1">IFERROR(__xludf.DUMMYFUNCTION("""COMPUTED_VALUE"""),90024)</f>
        <v>90024</v>
      </c>
      <c r="F1418" s="19">
        <f ca="1">IFERROR(__xludf.DUMMYFUNCTION("""COMPUTED_VALUE"""),2500)</f>
        <v>2500</v>
      </c>
      <c r="G1418" s="19">
        <f ca="1">IFERROR(__xludf.DUMMYFUNCTION("""COMPUTED_VALUE"""),2800)</f>
        <v>2800</v>
      </c>
      <c r="H1418" s="18">
        <f ca="1">IFERROR(__xludf.DUMMYFUNCTION("""COMPUTED_VALUE"""),45674)</f>
        <v>45674</v>
      </c>
      <c r="I1418" s="5" t="str">
        <f ca="1">IFERROR(__xludf.DUMMYFUNCTION("""COMPUTED_VALUE"""),"Zillow")</f>
        <v>Zillow</v>
      </c>
      <c r="J1418" s="25" t="str">
        <f ca="1">IFERROR(__xludf.DUMMYFUNCTION("""COMPUTED_VALUE"""),"https://www.zillow.com/homedetails/10802-Wilkins-Ave-Los-Angeles-CA-90024/2053179796_zpid/")</f>
        <v>https://www.zillow.com/homedetails/10802-Wilkins-Ave-Los-Angeles-CA-90024/2053179796_zpid/</v>
      </c>
      <c r="K1418" s="5" t="str">
        <f ca="1">IFERROR(__xludf.DUMMYFUNCTION("""COMPUTED_VALUE"""),"Innis Casey")</f>
        <v>Innis Casey</v>
      </c>
      <c r="L1418" s="5"/>
      <c r="M1418" s="5" t="str">
        <f ca="1">IFERROR(__xludf.DUMMYFUNCTION("""COMPUTED_VALUE"""),"Listed as a single family residence but is actually a room above the garage (lol)")</f>
        <v>Listed as a single family residence but is actually a room above the garage (lol)</v>
      </c>
      <c r="N1418" s="26" t="str">
        <f ca="1">IFERROR(__xludf.DUMMYFUNCTION("""COMPUTED_VALUE"""),"https://drive.google.com/open?id=1czfPG1w6me5kfAnBCgqsEa-vAEfu2kLv")</f>
        <v>https://drive.google.com/open?id=1czfPG1w6me5kfAnBCgqsEa-vAEfu2kLv</v>
      </c>
      <c r="O1418" s="5" t="str">
        <f ca="1">IFERROR(__xludf.DUMMYFUNCTION("""COMPUTED_VALUE"""),"NA")</f>
        <v>NA</v>
      </c>
      <c r="P1418" s="5" t="str">
        <f ca="1">IFERROR(__xludf.DUMMYFUNCTION("""COMPUTED_VALUE"""),"(213) 566-7087")</f>
        <v>(213) 566-7087</v>
      </c>
      <c r="Q1418" s="5"/>
      <c r="R1418" s="5"/>
      <c r="S1418" s="5"/>
      <c r="T1418" s="18">
        <f ca="1">IFERROR(__xludf.DUMMYFUNCTION("""COMPUTED_VALUE"""),45320)</f>
        <v>45320</v>
      </c>
    </row>
    <row r="1419" spans="1:20" ht="12.75">
      <c r="A1419" s="24">
        <f ca="1">IFERROR(__xludf.DUMMYFUNCTION("""COMPUTED_VALUE"""),45681.7192277777)</f>
        <v>45681.719227777699</v>
      </c>
      <c r="B1419" s="5" t="str">
        <f ca="1">IFERROR(__xludf.DUMMYFUNCTION("""COMPUTED_VALUE"""),"17288 Falcon Pl")</f>
        <v>17288 Falcon Pl</v>
      </c>
      <c r="C1419" s="5" t="str">
        <f ca="1">IFERROR(__xludf.DUMMYFUNCTION("""COMPUTED_VALUE"""),"Granada Hills")</f>
        <v>Granada Hills</v>
      </c>
      <c r="D1419" s="5" t="str">
        <f ca="1">IFERROR(__xludf.DUMMYFUNCTION("""COMPUTED_VALUE"""),"CA")</f>
        <v>CA</v>
      </c>
      <c r="E1419" s="5">
        <f ca="1">IFERROR(__xludf.DUMMYFUNCTION("""COMPUTED_VALUE"""),91344)</f>
        <v>91344</v>
      </c>
      <c r="F1419" s="19">
        <f ca="1">IFERROR(__xludf.DUMMYFUNCTION("""COMPUTED_VALUE"""),14000)</f>
        <v>14000</v>
      </c>
      <c r="G1419" s="19">
        <f ca="1">IFERROR(__xludf.DUMMYFUNCTION("""COMPUTED_VALUE"""),16000)</f>
        <v>16000</v>
      </c>
      <c r="H1419" s="18">
        <f ca="1">IFERROR(__xludf.DUMMYFUNCTION("""COMPUTED_VALUE"""),45682)</f>
        <v>45682</v>
      </c>
      <c r="I1419" s="5" t="str">
        <f ca="1">IFERROR(__xludf.DUMMYFUNCTION("""COMPUTED_VALUE"""),"Zillow")</f>
        <v>Zillow</v>
      </c>
      <c r="J1419" s="25" t="str">
        <f ca="1">IFERROR(__xludf.DUMMYFUNCTION("""COMPUTED_VALUE"""),"https://www.zillow.com/homedetails/17288-Falcon-Pl-Granada-Hills-CA-91344/20109205_zpid/")</f>
        <v>https://www.zillow.com/homedetails/17288-Falcon-Pl-Granada-Hills-CA-91344/20109205_zpid/</v>
      </c>
      <c r="K1419" s="5" t="str">
        <f ca="1">IFERROR(__xludf.DUMMYFUNCTION("""COMPUTED_VALUE"""),"Britney Fine")</f>
        <v>Britney Fine</v>
      </c>
      <c r="L1419" s="5"/>
      <c r="M1419" s="5" t="str">
        <f ca="1">IFERROR(__xludf.DUMMYFUNCTION("""COMPUTED_VALUE"""),"Price increased by 14.3% since last year, and rent is over 350% the fair market rent for this zipcode.")</f>
        <v>Price increased by 14.3% since last year, and rent is over 350% the fair market rent for this zipcode.</v>
      </c>
      <c r="N1419" s="5" t="str">
        <f ca="1">IFERROR(__xludf.DUMMYFUNCTION("""COMPUTED_VALUE"""),"https://drive.google.com/open?id=13Oq7io-2h1QybSDnpIZStOXFRtqRZguV, https://drive.google.com/open?id=1Fi-l7rgjFSlv_NzxjB6S3MpgPxGYge1L")</f>
        <v>https://drive.google.com/open?id=13Oq7io-2h1QybSDnpIZStOXFRtqRZguV, https://drive.google.com/open?id=1Fi-l7rgjFSlv_NzxjB6S3MpgPxGYge1L</v>
      </c>
      <c r="O1419" s="5">
        <f ca="1">IFERROR(__xludf.DUMMYFUNCTION("""COMPUTED_VALUE"""),2608017022)</f>
        <v>2608017022</v>
      </c>
      <c r="P1419" s="5" t="str">
        <f ca="1">IFERROR(__xludf.DUMMYFUNCTION("""COMPUTED_VALUE"""),"(818) 305-6520")</f>
        <v>(818) 305-6520</v>
      </c>
      <c r="Q1419" s="5"/>
      <c r="R1419" s="5"/>
      <c r="S1419" s="5"/>
      <c r="T1419" s="18">
        <f ca="1">IFERROR(__xludf.DUMMYFUNCTION("""COMPUTED_VALUE"""),45566)</f>
        <v>45566</v>
      </c>
    </row>
    <row r="1420" spans="1:20" ht="12.75">
      <c r="A1420" s="24">
        <f ca="1">IFERROR(__xludf.DUMMYFUNCTION("""COMPUTED_VALUE"""),45681.7289337037)</f>
        <v>45681.7289337037</v>
      </c>
      <c r="B1420" s="5" t="str">
        <f ca="1">IFERROR(__xludf.DUMMYFUNCTION("""COMPUTED_VALUE"""),"5042 Laurel Canyon Blvd #2 ")</f>
        <v xml:space="preserve">5042 Laurel Canyon Blvd #2 </v>
      </c>
      <c r="C1420" s="5" t="str">
        <f ca="1">IFERROR(__xludf.DUMMYFUNCTION("""COMPUTED_VALUE"""),"Valley Village")</f>
        <v>Valley Village</v>
      </c>
      <c r="D1420" s="5" t="str">
        <f ca="1">IFERROR(__xludf.DUMMYFUNCTION("""COMPUTED_VALUE"""),"CA")</f>
        <v>CA</v>
      </c>
      <c r="E1420" s="5">
        <f ca="1">IFERROR(__xludf.DUMMYFUNCTION("""COMPUTED_VALUE"""),91607)</f>
        <v>91607</v>
      </c>
      <c r="F1420" s="19">
        <f ca="1">IFERROR(__xludf.DUMMYFUNCTION("""COMPUTED_VALUE"""),1)</f>
        <v>1</v>
      </c>
      <c r="G1420" s="19">
        <f ca="1">IFERROR(__xludf.DUMMYFUNCTION("""COMPUTED_VALUE"""),5250)</f>
        <v>5250</v>
      </c>
      <c r="H1420" s="18">
        <f ca="1">IFERROR(__xludf.DUMMYFUNCTION("""COMPUTED_VALUE"""),45682)</f>
        <v>45682</v>
      </c>
      <c r="I1420" s="5" t="str">
        <f ca="1">IFERROR(__xludf.DUMMYFUNCTION("""COMPUTED_VALUE"""),"Zillow")</f>
        <v>Zillow</v>
      </c>
      <c r="J1420" s="25" t="str">
        <f ca="1">IFERROR(__xludf.DUMMYFUNCTION("""COMPUTED_VALUE"""),"https://www.zillow.com/homedetails/5042-Laurel-Canyon-Blvd-2-Valley-Village-CA-91607/446243273_zpid/")</f>
        <v>https://www.zillow.com/homedetails/5042-Laurel-Canyon-Blvd-2-Valley-Village-CA-91607/446243273_zpid/</v>
      </c>
      <c r="K1420" s="5" t="str">
        <f ca="1">IFERROR(__xludf.DUMMYFUNCTION("""COMPUTED_VALUE"""),"Taryn Keyser")</f>
        <v>Taryn Keyser</v>
      </c>
      <c r="L1420" s="5"/>
      <c r="M1420" s="5" t="str">
        <f ca="1">IFERROR(__xludf.DUMMYFUNCTION("""COMPUTED_VALUE"""),"FMR for a 2 bed in this zipcode is $2860, this listing is 183% FMR")</f>
        <v>FMR for a 2 bed in this zipcode is $2860, this listing is 183% FMR</v>
      </c>
      <c r="N1420" s="5" t="str">
        <f ca="1">IFERROR(__xludf.DUMMYFUNCTION("""COMPUTED_VALUE"""),"https://drive.google.com/open?id=1l_qDExJOGy8lnBGpXuf2PFSJYNQY07Jw, https://drive.google.com/open?id=1NivsUPYHAMxdxUq4CnIKAdr0kc9xhczn")</f>
        <v>https://drive.google.com/open?id=1l_qDExJOGy8lnBGpXuf2PFSJYNQY07Jw, https://drive.google.com/open?id=1NivsUPYHAMxdxUq4CnIKAdr0kc9xhczn</v>
      </c>
      <c r="O1420" s="5" t="str">
        <f ca="1">IFERROR(__xludf.DUMMYFUNCTION("""COMPUTED_VALUE"""),"NA")</f>
        <v>NA</v>
      </c>
      <c r="P1420" s="5" t="str">
        <f ca="1">IFERROR(__xludf.DUMMYFUNCTION("""COMPUTED_VALUE"""),"(310) 497-9757")</f>
        <v>(310) 497-9757</v>
      </c>
      <c r="Q1420" s="5"/>
      <c r="R1420" s="5"/>
      <c r="S1420" s="5"/>
      <c r="T1420" s="5"/>
    </row>
    <row r="1421" spans="1:20" ht="12.75">
      <c r="A1421" s="24">
        <f ca="1">IFERROR(__xludf.DUMMYFUNCTION("""COMPUTED_VALUE"""),45681.8113324768)</f>
        <v>45681.811332476798</v>
      </c>
      <c r="B1421" s="5" t="str">
        <f ca="1">IFERROR(__xludf.DUMMYFUNCTION("""COMPUTED_VALUE"""),"2616 Glendale Blvd #0")</f>
        <v>2616 Glendale Blvd #0</v>
      </c>
      <c r="C1421" s="5" t="str">
        <f ca="1">IFERROR(__xludf.DUMMYFUNCTION("""COMPUTED_VALUE"""),"Los Angeles")</f>
        <v>Los Angeles</v>
      </c>
      <c r="D1421" s="5" t="str">
        <f ca="1">IFERROR(__xludf.DUMMYFUNCTION("""COMPUTED_VALUE"""),"CA")</f>
        <v>CA</v>
      </c>
      <c r="E1421" s="5">
        <f ca="1">IFERROR(__xludf.DUMMYFUNCTION("""COMPUTED_VALUE"""),90039)</f>
        <v>90039</v>
      </c>
      <c r="F1421" s="19">
        <f ca="1">IFERROR(__xludf.DUMMYFUNCTION("""COMPUTED_VALUE"""),3000)</f>
        <v>3000</v>
      </c>
      <c r="G1421" s="19">
        <f ca="1">IFERROR(__xludf.DUMMYFUNCTION("""COMPUTED_VALUE"""),3500)</f>
        <v>3500</v>
      </c>
      <c r="H1421" s="18">
        <f ca="1">IFERROR(__xludf.DUMMYFUNCTION("""COMPUTED_VALUE"""),45666)</f>
        <v>45666</v>
      </c>
      <c r="I1421" s="5" t="str">
        <f ca="1">IFERROR(__xludf.DUMMYFUNCTION("""COMPUTED_VALUE"""),"Zillow")</f>
        <v>Zillow</v>
      </c>
      <c r="J1421" s="25" t="str">
        <f ca="1">IFERROR(__xludf.DUMMYFUNCTION("""COMPUTED_VALUE"""),"https://www.zillow.com/homedetails/2616-Glendale-Blvd-0-Los-Angeles-CA-90039/2061183865_zpid/?utm_campaign=iosappmessage&amp;utm_medium=referral&amp;utm_source=txtshare")</f>
        <v>https://www.zillow.com/homedetails/2616-Glendale-Blvd-0-Los-Angeles-CA-90039/2061183865_zpid/?utm_campaign=iosappmessage&amp;utm_medium=referral&amp;utm_source=txtshare</v>
      </c>
      <c r="K1421" s="5" t="str">
        <f ca="1">IFERROR(__xludf.DUMMYFUNCTION("""COMPUTED_VALUE"""),"Ann Marie Uy (Vinjen Realty)")</f>
        <v>Ann Marie Uy (Vinjen Realty)</v>
      </c>
      <c r="L1421" s="5"/>
      <c r="M1421" s="5"/>
      <c r="N1421" s="26" t="str">
        <f ca="1">IFERROR(__xludf.DUMMYFUNCTION("""COMPUTED_VALUE"""),"https://drive.google.com/open?id=1m66NDH5o7GCsZHEKLS7R_OqXBtNftmzN")</f>
        <v>https://drive.google.com/open?id=1m66NDH5o7GCsZHEKLS7R_OqXBtNftmzN</v>
      </c>
      <c r="O1421" s="5" t="str">
        <f ca="1">IFERROR(__xludf.DUMMYFUNCTION("""COMPUTED_VALUE"""),"NA")</f>
        <v>NA</v>
      </c>
      <c r="P1421" s="5" t="str">
        <f ca="1">IFERROR(__xludf.DUMMYFUNCTION("""COMPUTED_VALUE"""),"323-359-1008")</f>
        <v>323-359-1008</v>
      </c>
      <c r="Q1421" s="5"/>
      <c r="R1421" s="5"/>
      <c r="S1421" s="5"/>
      <c r="T1421" s="18">
        <f ca="1">IFERROR(__xludf.DUMMYFUNCTION("""COMPUTED_VALUE"""),44862)</f>
        <v>44862</v>
      </c>
    </row>
    <row r="1422" spans="1:20" ht="12.75">
      <c r="A1422" s="24">
        <f ca="1">IFERROR(__xludf.DUMMYFUNCTION("""COMPUTED_VALUE"""),45682.3555197916)</f>
        <v>45682.355519791599</v>
      </c>
      <c r="B1422" s="5" t="str">
        <f ca="1">IFERROR(__xludf.DUMMYFUNCTION("""COMPUTED_VALUE"""),"432 n oakhurst drive #407")</f>
        <v>432 n oakhurst drive #407</v>
      </c>
      <c r="C1422" s="5" t="str">
        <f ca="1">IFERROR(__xludf.DUMMYFUNCTION("""COMPUTED_VALUE"""),"Beverly Hills")</f>
        <v>Beverly Hills</v>
      </c>
      <c r="D1422" s="5" t="str">
        <f ca="1">IFERROR(__xludf.DUMMYFUNCTION("""COMPUTED_VALUE"""),"CA")</f>
        <v>CA</v>
      </c>
      <c r="E1422" s="5">
        <f ca="1">IFERROR(__xludf.DUMMYFUNCTION("""COMPUTED_VALUE"""),90210)</f>
        <v>90210</v>
      </c>
      <c r="F1422" s="19">
        <f ca="1">IFERROR(__xludf.DUMMYFUNCTION("""COMPUTED_VALUE"""),18000)</f>
        <v>18000</v>
      </c>
      <c r="G1422" s="19">
        <f ca="1">IFERROR(__xludf.DUMMYFUNCTION("""COMPUTED_VALUE"""),25000)</f>
        <v>25000</v>
      </c>
      <c r="H1422" s="18">
        <f ca="1">IFERROR(__xludf.DUMMYFUNCTION("""COMPUTED_VALUE"""),45666)</f>
        <v>45666</v>
      </c>
      <c r="I1422" s="5" t="str">
        <f ca="1">IFERROR(__xludf.DUMMYFUNCTION("""COMPUTED_VALUE"""),"Zillow")</f>
        <v>Zillow</v>
      </c>
      <c r="J1422" s="25" t="str">
        <f ca="1">IFERROR(__xludf.DUMMYFUNCTION("""COMPUTED_VALUE"""),"https://www.zillow.com/homedetails/432-N-Oakhurst-Dr-407-Beverly-Hills-CA-90210/119677448_zpid/?utm_campaign=iosappmessage&amp;utm_medium=referral&amp;utm_source=txtshare")</f>
        <v>https://www.zillow.com/homedetails/432-N-Oakhurst-Dr-407-Beverly-Hills-CA-90210/119677448_zpid/?utm_campaign=iosappmessage&amp;utm_medium=referral&amp;utm_source=txtshare</v>
      </c>
      <c r="K1422" s="5"/>
      <c r="L1422" s="5"/>
      <c r="M1422" s="5"/>
      <c r="N1422" s="5" t="str">
        <f ca="1">IFERROR(__xludf.DUMMYFUNCTION("""COMPUTED_VALUE"""),"https://drive.google.com/open?id=1E5GN9okcnyBl3uWf6X3foLZvc5Yr-rM3, https://drive.google.com/open?id=1AM5s1S1oZ2MSY02xd8xF4wit5MkdO8vb")</f>
        <v>https://drive.google.com/open?id=1E5GN9okcnyBl3uWf6X3foLZvc5Yr-rM3, https://drive.google.com/open?id=1AM5s1S1oZ2MSY02xd8xF4wit5MkdO8vb</v>
      </c>
      <c r="O1422" s="5" t="str">
        <f ca="1">IFERROR(__xludf.DUMMYFUNCTION("""COMPUTED_VALUE"""),"NA")</f>
        <v>NA</v>
      </c>
      <c r="P1422" s="5"/>
      <c r="Q1422" s="5"/>
      <c r="R1422" s="5"/>
      <c r="S1422" s="5"/>
      <c r="T1422" s="18">
        <f ca="1">IFERROR(__xludf.DUMMYFUNCTION("""COMPUTED_VALUE"""),45600)</f>
        <v>45600</v>
      </c>
    </row>
    <row r="1423" spans="1:20" ht="12.75">
      <c r="A1423" s="24">
        <f ca="1">IFERROR(__xludf.DUMMYFUNCTION("""COMPUTED_VALUE"""),45682.4353337615)</f>
        <v>45682.435333761503</v>
      </c>
      <c r="B1423" s="5" t="str">
        <f ca="1">IFERROR(__xludf.DUMMYFUNCTION("""COMPUTED_VALUE"""),"5908 Wish Ave")</f>
        <v>5908 Wish Ave</v>
      </c>
      <c r="C1423" s="5" t="str">
        <f ca="1">IFERROR(__xludf.DUMMYFUNCTION("""COMPUTED_VALUE"""),"Encino")</f>
        <v>Encino</v>
      </c>
      <c r="D1423" s="5" t="str">
        <f ca="1">IFERROR(__xludf.DUMMYFUNCTION("""COMPUTED_VALUE"""),"CA")</f>
        <v>CA</v>
      </c>
      <c r="E1423" s="5">
        <f ca="1">IFERROR(__xludf.DUMMYFUNCTION("""COMPUTED_VALUE"""),91316)</f>
        <v>91316</v>
      </c>
      <c r="F1423" s="19">
        <f ca="1">IFERROR(__xludf.DUMMYFUNCTION("""COMPUTED_VALUE"""),5300)</f>
        <v>5300</v>
      </c>
      <c r="G1423" s="19">
        <f ca="1">IFERROR(__xludf.DUMMYFUNCTION("""COMPUTED_VALUE"""),5800)</f>
        <v>5800</v>
      </c>
      <c r="H1423" s="18">
        <f ca="1">IFERROR(__xludf.DUMMYFUNCTION("""COMPUTED_VALUE"""),45681)</f>
        <v>45681</v>
      </c>
      <c r="I1423" s="5" t="str">
        <f ca="1">IFERROR(__xludf.DUMMYFUNCTION("""COMPUTED_VALUE"""),"Zillow")</f>
        <v>Zillow</v>
      </c>
      <c r="J1423" s="25" t="str">
        <f ca="1">IFERROR(__xludf.DUMMYFUNCTION("""COMPUTED_VALUE"""),"https://www.zillow.com/homedetails/5908-Wish-Ave-Encino-CA-91316/19977848_zpid/")</f>
        <v>https://www.zillow.com/homedetails/5908-Wish-Ave-Encino-CA-91316/19977848_zpid/</v>
      </c>
      <c r="K1423" s="5"/>
      <c r="L1423" s="5" t="str">
        <f ca="1">IFERROR(__xludf.DUMMYFUNCTION("""COMPUTED_VALUE"""),"Darius Trugman")</f>
        <v>Darius Trugman</v>
      </c>
      <c r="M1423" s="5"/>
      <c r="N1423" s="26" t="str">
        <f ca="1">IFERROR(__xludf.DUMMYFUNCTION("""COMPUTED_VALUE"""),"https://drive.google.com/open?id=1SwIqrUwrXeYpqCbbId71Xo36zFuNPBhF")</f>
        <v>https://drive.google.com/open?id=1SwIqrUwrXeYpqCbbId71Xo36zFuNPBhF</v>
      </c>
      <c r="O1423" s="5">
        <f ca="1">IFERROR(__xludf.DUMMYFUNCTION("""COMPUTED_VALUE"""),2255002010)</f>
        <v>2255002010</v>
      </c>
      <c r="P1423" s="5"/>
      <c r="Q1423" s="5"/>
      <c r="R1423" s="5" t="str">
        <f ca="1">IFERROR(__xludf.DUMMYFUNCTION("""COMPUTED_VALUE"""),"(213) 423-5435")</f>
        <v>(213) 423-5435</v>
      </c>
      <c r="S1423" s="5"/>
      <c r="T1423" s="18">
        <f ca="1">IFERROR(__xludf.DUMMYFUNCTION("""COMPUTED_VALUE"""),45540)</f>
        <v>45540</v>
      </c>
    </row>
    <row r="1424" spans="1:20" ht="12.75">
      <c r="A1424" s="24">
        <f ca="1">IFERROR(__xludf.DUMMYFUNCTION("""COMPUTED_VALUE"""),45682.665858912)</f>
        <v>45682.665858911998</v>
      </c>
      <c r="B1424" s="5" t="str">
        <f ca="1">IFERROR(__xludf.DUMMYFUNCTION("""COMPUTED_VALUE"""),"1124 Sherbourne Dr")</f>
        <v>1124 Sherbourne Dr</v>
      </c>
      <c r="C1424" s="5" t="str">
        <f ca="1">IFERROR(__xludf.DUMMYFUNCTION("""COMPUTED_VALUE"""),"Los Angeles")</f>
        <v>Los Angeles</v>
      </c>
      <c r="D1424" s="5" t="str">
        <f ca="1">IFERROR(__xludf.DUMMYFUNCTION("""COMPUTED_VALUE"""),"CA")</f>
        <v>CA</v>
      </c>
      <c r="E1424" s="5">
        <f ca="1">IFERROR(__xludf.DUMMYFUNCTION("""COMPUTED_VALUE"""),90069)</f>
        <v>90069</v>
      </c>
      <c r="F1424" s="19">
        <f ca="1">IFERROR(__xludf.DUMMYFUNCTION("""COMPUTED_VALUE"""),4640)</f>
        <v>4640</v>
      </c>
      <c r="G1424" s="19">
        <f ca="1">IFERROR(__xludf.DUMMYFUNCTION("""COMPUTED_VALUE"""),5000)</f>
        <v>5000</v>
      </c>
      <c r="H1424" s="18">
        <f ca="1">IFERROR(__xludf.DUMMYFUNCTION("""COMPUTED_VALUE"""),45682)</f>
        <v>45682</v>
      </c>
      <c r="I1424" s="5" t="str">
        <f ca="1">IFERROR(__xludf.DUMMYFUNCTION("""COMPUTED_VALUE"""),"Zillow")</f>
        <v>Zillow</v>
      </c>
      <c r="J1424" s="25" t="str">
        <f ca="1">IFERROR(__xludf.DUMMYFUNCTION("""COMPUTED_VALUE"""),"https://www.zillow.com/apartments/west-hollywood-ca/via-at-sunset-plaza/5hqz9Q/")</f>
        <v>https://www.zillow.com/apartments/west-hollywood-ca/via-at-sunset-plaza/5hqz9Q/</v>
      </c>
      <c r="K1424" s="5" t="str">
        <f ca="1">IFERROR(__xludf.DUMMYFUNCTION("""COMPUTED_VALUE"""),"Julian - Quantum Prime Realty  Management")</f>
        <v>Julian - Quantum Prime Realty  Management</v>
      </c>
      <c r="L1424" s="5"/>
      <c r="M1424" s="5" t="str">
        <f ca="1">IFERROR(__xludf.DUMMYFUNCTION("""COMPUTED_VALUE"""),"I checked the AMR site and it said 160% of FMR was 4640. My friened looked at a 2BR here a couple months ago and the rent was $3800.")</f>
        <v>I checked the AMR site and it said 160% of FMR was 4640. My friened looked at a 2BR here a couple months ago and the rent was $3800.</v>
      </c>
      <c r="N1424" s="5" t="str">
        <f ca="1">IFERROR(__xludf.DUMMYFUNCTION("""COMPUTED_VALUE"""),"https://drive.google.com/open?id=1GOApQlDwK57sfQ2NR6QROupH2xKlpuLm, https://drive.google.com/open?id=1cKW7IXsEhjXCvgGtAlk5tkHtZ6qXd7ET, https://drive.google.com/open?id=1qLMLAHJe_6jK0HrEqI_34I_xogZN2BKz")</f>
        <v>https://drive.google.com/open?id=1GOApQlDwK57sfQ2NR6QROupH2xKlpuLm, https://drive.google.com/open?id=1cKW7IXsEhjXCvgGtAlk5tkHtZ6qXd7ET, https://drive.google.com/open?id=1qLMLAHJe_6jK0HrEqI_34I_xogZN2BKz</v>
      </c>
      <c r="O1424" s="5" t="str">
        <f ca="1">IFERROR(__xludf.DUMMYFUNCTION("""COMPUTED_VALUE"""),"NA")</f>
        <v>NA</v>
      </c>
      <c r="P1424" s="5" t="str">
        <f ca="1">IFERROR(__xludf.DUMMYFUNCTION("""COMPUTED_VALUE"""),"(213) 513-7164")</f>
        <v>(213) 513-7164</v>
      </c>
      <c r="Q1424" s="5"/>
      <c r="R1424" s="5"/>
      <c r="S1424" s="5"/>
      <c r="T1424" s="18">
        <f ca="1">IFERROR(__xludf.DUMMYFUNCTION("""COMPUTED_VALUE"""),45658)</f>
        <v>45658</v>
      </c>
    </row>
    <row r="1425" spans="1:20" ht="12.75">
      <c r="A1425" s="24">
        <f ca="1">IFERROR(__xludf.DUMMYFUNCTION("""COMPUTED_VALUE"""),45683.3505956713)</f>
        <v>45683.350595671298</v>
      </c>
      <c r="B1425" s="5" t="str">
        <f ca="1">IFERROR(__xludf.DUMMYFUNCTION("""COMPUTED_VALUE"""),"3833 Beverly Ridge Dr")</f>
        <v>3833 Beverly Ridge Dr</v>
      </c>
      <c r="C1425" s="5" t="str">
        <f ca="1">IFERROR(__xludf.DUMMYFUNCTION("""COMPUTED_VALUE"""),"Sherman Oaks")</f>
        <v>Sherman Oaks</v>
      </c>
      <c r="D1425" s="5" t="str">
        <f ca="1">IFERROR(__xludf.DUMMYFUNCTION("""COMPUTED_VALUE"""),"CA")</f>
        <v>CA</v>
      </c>
      <c r="E1425" s="5">
        <f ca="1">IFERROR(__xludf.DUMMYFUNCTION("""COMPUTED_VALUE"""),91423)</f>
        <v>91423</v>
      </c>
      <c r="F1425" s="19">
        <f ca="1">IFERROR(__xludf.DUMMYFUNCTION("""COMPUTED_VALUE"""),1)</f>
        <v>1</v>
      </c>
      <c r="G1425" s="19">
        <f ca="1">IFERROR(__xludf.DUMMYFUNCTION("""COMPUTED_VALUE"""),15000)</f>
        <v>15000</v>
      </c>
      <c r="H1425" s="18">
        <f ca="1">IFERROR(__xludf.DUMMYFUNCTION("""COMPUTED_VALUE"""),45683)</f>
        <v>45683</v>
      </c>
      <c r="I1425" s="5" t="str">
        <f ca="1">IFERROR(__xludf.DUMMYFUNCTION("""COMPUTED_VALUE"""),"Redfin")</f>
        <v>Redfin</v>
      </c>
      <c r="J1425" s="25" t="str">
        <f ca="1">IFERROR(__xludf.DUMMYFUNCTION("""COMPUTED_VALUE"""),"https://www.redfin.com/CA/Sherman-Oaks/3833-Beverly-Ridge-Dr-91423/home/4867740")</f>
        <v>https://www.redfin.com/CA/Sherman-Oaks/3833-Beverly-Ridge-Dr-91423/home/4867740</v>
      </c>
      <c r="K1425" s="5" t="str">
        <f ca="1">IFERROR(__xludf.DUMMYFUNCTION("""COMPUTED_VALUE"""),"Doug Puetz")</f>
        <v>Doug Puetz</v>
      </c>
      <c r="L1425" s="5"/>
      <c r="M1425" s="5" t="str">
        <f ca="1">IFERROR(__xludf.DUMMYFUNCTION("""COMPUTED_VALUE"""),"This is a three bedroom house in Sherman Oaks that does not appear to be ever listed for rent prior to 1/26/2025, when it was listed at $15,000. This is well beyond the FMR. ")</f>
        <v xml:space="preserve">This is a three bedroom house in Sherman Oaks that does not appear to be ever listed for rent prior to 1/26/2025, when it was listed at $15,000. This is well beyond the FMR. </v>
      </c>
      <c r="N1425" s="5" t="str">
        <f ca="1">IFERROR(__xludf.DUMMYFUNCTION("""COMPUTED_VALUE"""),"https://drive.google.com/open?id=15WtbnAboaqoBjH4uEvUhRHaC7fNb5zvl, https://drive.google.com/open?id=1yppeJG33Eu5bz0iVIfp_AbN49vx40JmO, https://drive.google.com/open?id=1lPGfgs82R4zr1yQfn_RqHRaNKxY9qaUp, https://drive.google.com/open?id=1zT6q0LfCEOQvoG6Kd"&amp;"ENAbQWyk8u2dtuv")</f>
        <v>https://drive.google.com/open?id=15WtbnAboaqoBjH4uEvUhRHaC7fNb5zvl, https://drive.google.com/open?id=1yppeJG33Eu5bz0iVIfp_AbN49vx40JmO, https://drive.google.com/open?id=1lPGfgs82R4zr1yQfn_RqHRaNKxY9qaUp, https://drive.google.com/open?id=1zT6q0LfCEOQvoG6KdENAbQWyk8u2dtuv</v>
      </c>
      <c r="O1425" s="5" t="str">
        <f ca="1">IFERROR(__xludf.DUMMYFUNCTION("""COMPUTED_VALUE"""),"NA")</f>
        <v>NA</v>
      </c>
      <c r="P1425" s="5" t="str">
        <f ca="1">IFERROR(__xludf.DUMMYFUNCTION("""COMPUTED_VALUE"""),"805-795-4455")</f>
        <v>805-795-4455</v>
      </c>
      <c r="Q1425" s="5"/>
      <c r="R1425" s="5"/>
      <c r="S1425" s="5"/>
      <c r="T1425" s="5"/>
    </row>
    <row r="1426" spans="1:20" ht="12.75">
      <c r="A1426" s="24">
        <f ca="1">IFERROR(__xludf.DUMMYFUNCTION("""COMPUTED_VALUE"""),45683.3818434259)</f>
        <v>45683.381843425901</v>
      </c>
      <c r="B1426" s="5" t="str">
        <f ca="1">IFERROR(__xludf.DUMMYFUNCTION("""COMPUTED_VALUE"""),"4321 Glenalbyn Dr")</f>
        <v>4321 Glenalbyn Dr</v>
      </c>
      <c r="C1426" s="5" t="str">
        <f ca="1">IFERROR(__xludf.DUMMYFUNCTION("""COMPUTED_VALUE"""),"Los Angeles")</f>
        <v>Los Angeles</v>
      </c>
      <c r="D1426" s="5" t="str">
        <f ca="1">IFERROR(__xludf.DUMMYFUNCTION("""COMPUTED_VALUE"""),"CA")</f>
        <v>CA</v>
      </c>
      <c r="E1426" s="5">
        <f ca="1">IFERROR(__xludf.DUMMYFUNCTION("""COMPUTED_VALUE"""),90065)</f>
        <v>90065</v>
      </c>
      <c r="F1426" s="19">
        <f ca="1">IFERROR(__xludf.DUMMYFUNCTION("""COMPUTED_VALUE"""),1)</f>
        <v>1</v>
      </c>
      <c r="G1426" s="19">
        <f ca="1">IFERROR(__xludf.DUMMYFUNCTION("""COMPUTED_VALUE"""),7000)</f>
        <v>7000</v>
      </c>
      <c r="H1426" s="18">
        <f ca="1">IFERROR(__xludf.DUMMYFUNCTION("""COMPUTED_VALUE"""),45682)</f>
        <v>45682</v>
      </c>
      <c r="I1426" s="5" t="str">
        <f ca="1">IFERROR(__xludf.DUMMYFUNCTION("""COMPUTED_VALUE"""),"Zillow")</f>
        <v>Zillow</v>
      </c>
      <c r="J1426" s="25" t="str">
        <f ca="1">IFERROR(__xludf.DUMMYFUNCTION("""COMPUTED_VALUE"""),"https://www.zillow.com/homedetails/4321-Glenalbyn-Dr-Los-Angeles-CA-90065/20760611_zpid/")</f>
        <v>https://www.zillow.com/homedetails/4321-Glenalbyn-Dr-Los-Angeles-CA-90065/20760611_zpid/</v>
      </c>
      <c r="K1426" s="5" t="str">
        <f ca="1">IFERROR(__xludf.DUMMYFUNCTION("""COMPUTED_VALUE"""),"Noe Blanco")</f>
        <v>Noe Blanco</v>
      </c>
      <c r="L1426" s="5"/>
      <c r="M1426" s="5" t="str">
        <f ca="1">IFERROR(__xludf.DUMMYFUNCTION("""COMPUTED_VALUE"""),"This is a 3 bedroom house that does not appear to have any rental history prior to 1/25/2025. The history shows it had been previously listed for sale for $1.6M, with that listing removed on 9/21/2024. $7000 for a 3 bedroom puts it at 230% of the FMR. ")</f>
        <v xml:space="preserve">This is a 3 bedroom house that does not appear to have any rental history prior to 1/25/2025. The history shows it had been previously listed for sale for $1.6M, with that listing removed on 9/21/2024. $7000 for a 3 bedroom puts it at 230% of the FMR. </v>
      </c>
      <c r="N1426" s="5" t="str">
        <f ca="1">IFERROR(__xludf.DUMMYFUNCTION("""COMPUTED_VALUE"""),"https://drive.google.com/open?id=1Fs2iwdxksb9qvBo3NwUSj9QGy64lymst, https://drive.google.com/open?id=1LxRtX_Lb8lmqqkby3-w7aSlxhaZUnVdc, https://drive.google.com/open?id=19ueHpxPErvJkNFvG56eTdNR_1iyF1HyC")</f>
        <v>https://drive.google.com/open?id=1Fs2iwdxksb9qvBo3NwUSj9QGy64lymst, https://drive.google.com/open?id=1LxRtX_Lb8lmqqkby3-w7aSlxhaZUnVdc, https://drive.google.com/open?id=19ueHpxPErvJkNFvG56eTdNR_1iyF1HyC</v>
      </c>
      <c r="O1426" s="5" t="str">
        <f ca="1">IFERROR(__xludf.DUMMYFUNCTION("""COMPUTED_VALUE"""),"NA")</f>
        <v>NA</v>
      </c>
      <c r="P1426" s="5" t="str">
        <f ca="1">IFERROR(__xludf.DUMMYFUNCTION("""COMPUTED_VALUE"""),"(310) 508-7155")</f>
        <v>(310) 508-7155</v>
      </c>
      <c r="Q1426" s="5"/>
      <c r="R1426" s="5"/>
      <c r="S1426" s="5"/>
      <c r="T1426" s="18">
        <f ca="1">IFERROR(__xludf.DUMMYFUNCTION("""COMPUTED_VALUE"""),45556)</f>
        <v>45556</v>
      </c>
    </row>
    <row r="1427" spans="1:20" ht="12.75">
      <c r="A1427" s="24">
        <f ca="1">IFERROR(__xludf.DUMMYFUNCTION("""COMPUTED_VALUE"""),45683.3989060416)</f>
        <v>45683.398906041599</v>
      </c>
      <c r="B1427" s="5" t="str">
        <f ca="1">IFERROR(__xludf.DUMMYFUNCTION("""COMPUTED_VALUE"""),"21908 Providencia St")</f>
        <v>21908 Providencia St</v>
      </c>
      <c r="C1427" s="5" t="str">
        <f ca="1">IFERROR(__xludf.DUMMYFUNCTION("""COMPUTED_VALUE"""),"Woodland Hills")</f>
        <v>Woodland Hills</v>
      </c>
      <c r="D1427" s="5" t="str">
        <f ca="1">IFERROR(__xludf.DUMMYFUNCTION("""COMPUTED_VALUE"""),"CA")</f>
        <v>CA</v>
      </c>
      <c r="E1427" s="5">
        <f ca="1">IFERROR(__xludf.DUMMYFUNCTION("""COMPUTED_VALUE"""),91364)</f>
        <v>91364</v>
      </c>
      <c r="F1427" s="19">
        <f ca="1">IFERROR(__xludf.DUMMYFUNCTION("""COMPUTED_VALUE"""),1)</f>
        <v>1</v>
      </c>
      <c r="G1427" s="19">
        <f ca="1">IFERROR(__xludf.DUMMYFUNCTION("""COMPUTED_VALUE"""),15000)</f>
        <v>15000</v>
      </c>
      <c r="H1427" s="18">
        <f ca="1">IFERROR(__xludf.DUMMYFUNCTION("""COMPUTED_VALUE"""),45682)</f>
        <v>45682</v>
      </c>
      <c r="I1427" s="5" t="str">
        <f ca="1">IFERROR(__xludf.DUMMYFUNCTION("""COMPUTED_VALUE"""),"Redfin")</f>
        <v>Redfin</v>
      </c>
      <c r="J1427" s="25" t="str">
        <f ca="1">IFERROR(__xludf.DUMMYFUNCTION("""COMPUTED_VALUE"""),"https://www.redfin.com/CA/Woodland-Hills/21908-Providencia-St-91364/home/4205476#property-history")</f>
        <v>https://www.redfin.com/CA/Woodland-Hills/21908-Providencia-St-91364/home/4205476#property-history</v>
      </c>
      <c r="K1427" s="5" t="str">
        <f ca="1">IFERROR(__xludf.DUMMYFUNCTION("""COMPUTED_VALUE"""),"William Gordon")</f>
        <v>William Gordon</v>
      </c>
      <c r="L1427" s="5"/>
      <c r="M1427" s="5" t="str">
        <f ca="1">IFERROR(__xludf.DUMMYFUNCTION("""COMPUTED_VALUE"""),"This is a 4 bedroom house that was sold on 7/16/2024 for $1.3M. It was not previously listed for rent until 1/25/2025, when it was listed at $15,000, putting it at 270% of the FMR")</f>
        <v>This is a 4 bedroom house that was sold on 7/16/2024 for $1.3M. It was not previously listed for rent until 1/25/2025, when it was listed at $15,000, putting it at 270% of the FMR</v>
      </c>
      <c r="N1427" s="5" t="str">
        <f ca="1">IFERROR(__xludf.DUMMYFUNCTION("""COMPUTED_VALUE"""),"https://drive.google.com/open?id=1jyft4gARbARo1PxWEsUAAtOA7Df-xVvL, https://drive.google.com/open?id=1SGaZ_s4nA9qzMMpRFTpPS6SK4jL3M3-v, https://drive.google.com/open?id=1UVg3Q0pUG7iOErap_0q_y879fPGXsdDC")</f>
        <v>https://drive.google.com/open?id=1jyft4gARbARo1PxWEsUAAtOA7Df-xVvL, https://drive.google.com/open?id=1SGaZ_s4nA9qzMMpRFTpPS6SK4jL3M3-v, https://drive.google.com/open?id=1UVg3Q0pUG7iOErap_0q_y879fPGXsdDC</v>
      </c>
      <c r="O1427" s="5" t="str">
        <f ca="1">IFERROR(__xludf.DUMMYFUNCTION("""COMPUTED_VALUE"""),"NA")</f>
        <v>NA</v>
      </c>
      <c r="P1427" s="5" t="str">
        <f ca="1">IFERROR(__xludf.DUMMYFUNCTION("""COMPUTED_VALUE"""),"805-824-5454")</f>
        <v>805-824-5454</v>
      </c>
      <c r="Q1427" s="5" t="str">
        <f ca="1">IFERROR(__xludf.DUMMYFUNCTION("""COMPUTED_VALUE"""),"gordon@gordonteamrealty.com")</f>
        <v>gordon@gordonteamrealty.com</v>
      </c>
      <c r="R1427" s="5"/>
      <c r="S1427" s="5"/>
      <c r="T1427" s="18">
        <f ca="1">IFERROR(__xludf.DUMMYFUNCTION("""COMPUTED_VALUE"""),45489)</f>
        <v>45489</v>
      </c>
    </row>
    <row r="1428" spans="1:20" ht="12.75">
      <c r="A1428" s="24">
        <f ca="1">IFERROR(__xludf.DUMMYFUNCTION("""COMPUTED_VALUE"""),45683.5774329398)</f>
        <v>45683.577432939797</v>
      </c>
      <c r="B1428" s="5" t="str">
        <f ca="1">IFERROR(__xludf.DUMMYFUNCTION("""COMPUTED_VALUE"""),"27589 Pacific Coast Highway")</f>
        <v>27589 Pacific Coast Highway</v>
      </c>
      <c r="C1428" s="5" t="str">
        <f ca="1">IFERROR(__xludf.DUMMYFUNCTION("""COMPUTED_VALUE"""),"Malibu")</f>
        <v>Malibu</v>
      </c>
      <c r="D1428" s="5" t="str">
        <f ca="1">IFERROR(__xludf.DUMMYFUNCTION("""COMPUTED_VALUE"""),"CA")</f>
        <v>CA</v>
      </c>
      <c r="E1428" s="5">
        <f ca="1">IFERROR(__xludf.DUMMYFUNCTION("""COMPUTED_VALUE"""),90265)</f>
        <v>90265</v>
      </c>
      <c r="F1428" s="19">
        <f ca="1">IFERROR(__xludf.DUMMYFUNCTION("""COMPUTED_VALUE"""),18500)</f>
        <v>18500</v>
      </c>
      <c r="G1428" s="19">
        <f ca="1">IFERROR(__xludf.DUMMYFUNCTION("""COMPUTED_VALUE"""),38000)</f>
        <v>38000</v>
      </c>
      <c r="H1428" s="18">
        <f ca="1">IFERROR(__xludf.DUMMYFUNCTION("""COMPUTED_VALUE"""),45683)</f>
        <v>45683</v>
      </c>
      <c r="I1428" s="5" t="str">
        <f ca="1">IFERROR(__xludf.DUMMYFUNCTION("""COMPUTED_VALUE"""),"Zillow")</f>
        <v>Zillow</v>
      </c>
      <c r="J1428" s="25" t="str">
        <f ca="1">IFERROR(__xludf.DUMMYFUNCTION("""COMPUTED_VALUE"""),"https://www.zillow.com/homedetails/27589-Pacific-Coast-Hwy-Malibu-CA-90265/20554627_zpid/")</f>
        <v>https://www.zillow.com/homedetails/27589-Pacific-Coast-Hwy-Malibu-CA-90265/20554627_zpid/</v>
      </c>
      <c r="K1428" s="5" t="str">
        <f ca="1">IFERROR(__xludf.DUMMYFUNCTION("""COMPUTED_VALUE"""),"Grace Stutz")</f>
        <v>Grace Stutz</v>
      </c>
      <c r="L1428" s="5" t="str">
        <f ca="1">IFERROR(__xludf.DUMMYFUNCTION("""COMPUTED_VALUE"""),"Isac Yafai")</f>
        <v>Isac Yafai</v>
      </c>
      <c r="M1428" s="5" t="str">
        <f ca="1">IFERROR(__xludf.DUMMYFUNCTION("""COMPUTED_VALUE"""),"This property is currently an Airbnb that only grosses around $19,000 per month for the last 12 months. The owners have doubled the advertised rent from both Airbnb and Zillow.")</f>
        <v>This property is currently an Airbnb that only grosses around $19,000 per month for the last 12 months. The owners have doubled the advertised rent from both Airbnb and Zillow.</v>
      </c>
      <c r="N1428" s="5" t="str">
        <f ca="1">IFERROR(__xludf.DUMMYFUNCTION("""COMPUTED_VALUE"""),"https://drive.google.com/open?id=1wVQkZ43YuCjFMP0C2MDMyeZ-nxRsJNy_, https://drive.google.com/open?id=1jYRd4n482m_NY9JvR-8P8tK9COBfhn4B")</f>
        <v>https://drive.google.com/open?id=1wVQkZ43YuCjFMP0C2MDMyeZ-nxRsJNy_, https://drive.google.com/open?id=1jYRd4n482m_NY9JvR-8P8tK9COBfhn4B</v>
      </c>
      <c r="O1428" s="5">
        <f ca="1">IFERROR(__xludf.DUMMYFUNCTION("""COMPUTED_VALUE"""),4460007022)</f>
        <v>4460007022</v>
      </c>
      <c r="P1428" s="5" t="str">
        <f ca="1">IFERROR(__xludf.DUMMYFUNCTION("""COMPUTED_VALUE"""),"(310) 579-5204")</f>
        <v>(310) 579-5204</v>
      </c>
      <c r="Q1428" s="5"/>
      <c r="R1428" s="5" t="str">
        <f ca="1">IFERROR(__xludf.DUMMYFUNCTION("""COMPUTED_VALUE"""),"818-426-2422")</f>
        <v>818-426-2422</v>
      </c>
      <c r="S1428" s="5" t="str">
        <f ca="1">IFERROR(__xludf.DUMMYFUNCTION("""COMPUTED_VALUE"""),"ezydds@yahoo.com")</f>
        <v>ezydds@yahoo.com</v>
      </c>
      <c r="T1428" s="18">
        <f ca="1">IFERROR(__xludf.DUMMYFUNCTION("""COMPUTED_VALUE"""),43862)</f>
        <v>43862</v>
      </c>
    </row>
    <row r="1429" spans="1:20" ht="12.75">
      <c r="A1429" s="24">
        <f ca="1">IFERROR(__xludf.DUMMYFUNCTION("""COMPUTED_VALUE"""),45683.583989375)</f>
        <v>45683.583989375002</v>
      </c>
      <c r="B1429" s="5" t="str">
        <f ca="1">IFERROR(__xludf.DUMMYFUNCTION("""COMPUTED_VALUE"""),"800 N Hobart Blvd")</f>
        <v>800 N Hobart Blvd</v>
      </c>
      <c r="C1429" s="5" t="str">
        <f ca="1">IFERROR(__xludf.DUMMYFUNCTION("""COMPUTED_VALUE"""),"Los Angeles")</f>
        <v>Los Angeles</v>
      </c>
      <c r="D1429" s="5" t="str">
        <f ca="1">IFERROR(__xludf.DUMMYFUNCTION("""COMPUTED_VALUE"""),"CA")</f>
        <v>CA</v>
      </c>
      <c r="E1429" s="5">
        <f ca="1">IFERROR(__xludf.DUMMYFUNCTION("""COMPUTED_VALUE"""),90029)</f>
        <v>90029</v>
      </c>
      <c r="F1429" s="19">
        <f ca="1">IFERROR(__xludf.DUMMYFUNCTION("""COMPUTED_VALUE"""),6000)</f>
        <v>6000</v>
      </c>
      <c r="G1429" s="19">
        <f ca="1">IFERROR(__xludf.DUMMYFUNCTION("""COMPUTED_VALUE"""),5300)</f>
        <v>5300</v>
      </c>
      <c r="H1429" s="18">
        <f ca="1">IFERROR(__xludf.DUMMYFUNCTION("""COMPUTED_VALUE"""),45681)</f>
        <v>45681</v>
      </c>
      <c r="I1429" s="5" t="str">
        <f ca="1">IFERROR(__xludf.DUMMYFUNCTION("""COMPUTED_VALUE"""),"Redfin")</f>
        <v>Redfin</v>
      </c>
      <c r="J1429" s="25" t="str">
        <f ca="1">IFERROR(__xludf.DUMMYFUNCTION("""COMPUTED_VALUE"""),"https://www.redfin.com/CA/Los-Angeles/800-N-Hobart-Blvd-90029/home/7109110")</f>
        <v>https://www.redfin.com/CA/Los-Angeles/800-N-Hobart-Blvd-90029/home/7109110</v>
      </c>
      <c r="K1429" s="5" t="str">
        <f ca="1">IFERROR(__xludf.DUMMYFUNCTION("""COMPUTED_VALUE""")," Alin Glogovicean")</f>
        <v xml:space="preserve"> Alin Glogovicean</v>
      </c>
      <c r="L1429" s="5"/>
      <c r="M1429" s="5" t="str">
        <f ca="1">IFERROR(__xludf.DUMMYFUNCTION("""COMPUTED_VALUE"""),"Don't know if there was rent gouging here, but submitting bc it was on the Rentals Scraped Data sheet and there is a suspicious decrease in rent–rent was listed as $6k on 1/14 and then decreased to $5.3k on 1/24.")</f>
        <v>Don't know if there was rent gouging here, but submitting bc it was on the Rentals Scraped Data sheet and there is a suspicious decrease in rent–rent was listed as $6k on 1/14 and then decreased to $5.3k on 1/24.</v>
      </c>
      <c r="N1429" s="26" t="str">
        <f ca="1">IFERROR(__xludf.DUMMYFUNCTION("""COMPUTED_VALUE"""),"https://drive.google.com/open?id=1Ft_q84PkOlBaZUNDPck4VrJ4LG9FDdF5")</f>
        <v>https://drive.google.com/open?id=1Ft_q84PkOlBaZUNDPck4VrJ4LG9FDdF5</v>
      </c>
      <c r="O1429" s="5" t="str">
        <f ca="1">IFERROR(__xludf.DUMMYFUNCTION("""COMPUTED_VALUE"""),"APN 5535031013")</f>
        <v>APN 5535031013</v>
      </c>
      <c r="P1429" s="5"/>
      <c r="Q1429" s="5"/>
      <c r="R1429" s="5"/>
      <c r="S1429" s="5"/>
      <c r="T1429" s="18">
        <f ca="1">IFERROR(__xludf.DUMMYFUNCTION("""COMPUTED_VALUE"""),45671)</f>
        <v>45671</v>
      </c>
    </row>
    <row r="1430" spans="1:20" ht="12.75">
      <c r="A1430" s="24">
        <f ca="1">IFERROR(__xludf.DUMMYFUNCTION("""COMPUTED_VALUE"""),45683.5878973263)</f>
        <v>45683.587897326302</v>
      </c>
      <c r="B1430" s="5" t="str">
        <f ca="1">IFERROR(__xludf.DUMMYFUNCTION("""COMPUTED_VALUE"""),"5153 W Maplewood Ave Unit 101")</f>
        <v>5153 W Maplewood Ave Unit 101</v>
      </c>
      <c r="C1430" s="5" t="str">
        <f ca="1">IFERROR(__xludf.DUMMYFUNCTION("""COMPUTED_VALUE"""),"Los Angeles")</f>
        <v>Los Angeles</v>
      </c>
      <c r="D1430" s="5" t="str">
        <f ca="1">IFERROR(__xludf.DUMMYFUNCTION("""COMPUTED_VALUE"""),"CA")</f>
        <v>CA</v>
      </c>
      <c r="E1430" s="5">
        <f ca="1">IFERROR(__xludf.DUMMYFUNCTION("""COMPUTED_VALUE"""),90004)</f>
        <v>90004</v>
      </c>
      <c r="F1430" s="19">
        <f ca="1">IFERROR(__xludf.DUMMYFUNCTION("""COMPUTED_VALUE"""),8000)</f>
        <v>8000</v>
      </c>
      <c r="G1430" s="19">
        <f ca="1">IFERROR(__xludf.DUMMYFUNCTION("""COMPUTED_VALUE"""),7000)</f>
        <v>7000</v>
      </c>
      <c r="H1430" s="18">
        <f ca="1">IFERROR(__xludf.DUMMYFUNCTION("""COMPUTED_VALUE"""),45670)</f>
        <v>45670</v>
      </c>
      <c r="I1430" s="5" t="str">
        <f ca="1">IFERROR(__xludf.DUMMYFUNCTION("""COMPUTED_VALUE"""),"Zillow")</f>
        <v>Zillow</v>
      </c>
      <c r="J1430" s="25" t="str">
        <f ca="1">IFERROR(__xludf.DUMMYFUNCTION("""COMPUTED_VALUE"""),"https://www.zillow.com/homedetails/5153-W-Maplewood-Ave-101-Los-Angeles-CA-90004/443923576_zpid/")</f>
        <v>https://www.zillow.com/homedetails/5153-W-Maplewood-Ave-101-Los-Angeles-CA-90004/443923576_zpid/</v>
      </c>
      <c r="K1430" s="26" t="str">
        <f ca="1">IFERROR(__xludf.DUMMYFUNCTION("""COMPUTED_VALUE"""),"https://www.redfin.com/CA/Los-Angeles/5153-W-Maplewood-Ave-90004/unit-101/home/194166375")</f>
        <v>https://www.redfin.com/CA/Los-Angeles/5153-W-Maplewood-Ave-90004/unit-101/home/194166375</v>
      </c>
      <c r="L1430" s="5"/>
      <c r="M1430" s="5"/>
      <c r="N1430" s="5" t="str">
        <f ca="1">IFERROR(__xludf.DUMMYFUNCTION("""COMPUTED_VALUE"""),"https://drive.google.com/open?id=1sB-c2duNh_7Z3AV48qwhiqt211YEGVhT, https://drive.google.com/open?id=1WvsquFgJgQmisWO_n108KL5RFR9q8U-P")</f>
        <v>https://drive.google.com/open?id=1sB-c2duNh_7Z3AV48qwhiqt211YEGVhT, https://drive.google.com/open?id=1WvsquFgJgQmisWO_n108KL5RFR9q8U-P</v>
      </c>
      <c r="O1430" s="5" t="str">
        <f ca="1">IFERROR(__xludf.DUMMYFUNCTION("""COMPUTED_VALUE"""),"N/A")</f>
        <v>N/A</v>
      </c>
      <c r="P1430" s="5" t="str">
        <f ca="1">IFERROR(__xludf.DUMMYFUNCTION("""COMPUTED_VALUE"""),"Joshua Shamoilia 310-770-9305 (agent)")</f>
        <v>Joshua Shamoilia 310-770-9305 (agent)</v>
      </c>
      <c r="Q1430" s="5"/>
      <c r="R1430" s="5"/>
      <c r="S1430" s="5"/>
      <c r="T1430" s="18">
        <f ca="1">IFERROR(__xludf.DUMMYFUNCTION("""COMPUTED_VALUE"""),45666)</f>
        <v>45666</v>
      </c>
    </row>
    <row r="1431" spans="1:20" ht="12.75">
      <c r="A1431" s="24">
        <f ca="1">IFERROR(__xludf.DUMMYFUNCTION("""COMPUTED_VALUE"""),45683.6740390509)</f>
        <v>45683.6740390509</v>
      </c>
      <c r="B1431" s="5" t="str">
        <f ca="1">IFERROR(__xludf.DUMMYFUNCTION("""COMPUTED_VALUE"""),"11516 Victory Blvd.")</f>
        <v>11516 Victory Blvd.</v>
      </c>
      <c r="C1431" s="5" t="str">
        <f ca="1">IFERROR(__xludf.DUMMYFUNCTION("""COMPUTED_VALUE"""),"North Hollywood")</f>
        <v>North Hollywood</v>
      </c>
      <c r="D1431" s="5" t="str">
        <f ca="1">IFERROR(__xludf.DUMMYFUNCTION("""COMPUTED_VALUE"""),"CA")</f>
        <v>CA</v>
      </c>
      <c r="E1431" s="5">
        <f ca="1">IFERROR(__xludf.DUMMYFUNCTION("""COMPUTED_VALUE"""),91606)</f>
        <v>91606</v>
      </c>
      <c r="F1431" s="19">
        <f ca="1">IFERROR(__xludf.DUMMYFUNCTION("""COMPUTED_VALUE"""),4395)</f>
        <v>4395</v>
      </c>
      <c r="G1431" s="19">
        <f ca="1">IFERROR(__xludf.DUMMYFUNCTION("""COMPUTED_VALUE"""),4695)</f>
        <v>4695</v>
      </c>
      <c r="H1431" s="18">
        <f ca="1">IFERROR(__xludf.DUMMYFUNCTION("""COMPUTED_VALUE"""),45677)</f>
        <v>45677</v>
      </c>
      <c r="I1431" s="5" t="str">
        <f ca="1">IFERROR(__xludf.DUMMYFUNCTION("""COMPUTED_VALUE"""),"Zillow")</f>
        <v>Zillow</v>
      </c>
      <c r="J1431" s="25" t="str">
        <f ca="1">IFERROR(__xludf.DUMMYFUNCTION("""COMPUTED_VALUE"""),"https://www.zillow.com/homedetails/11516-Victory-Blvd-North-Hollywood-CA-91606/20010764_zpid/")</f>
        <v>https://www.zillow.com/homedetails/11516-Victory-Blvd-North-Hollywood-CA-91606/20010764_zpid/</v>
      </c>
      <c r="K1431" s="5" t="str">
        <f ca="1">IFERROR(__xludf.DUMMYFUNCTION("""COMPUTED_VALUE"""),"Max ")</f>
        <v xml:space="preserve">Max </v>
      </c>
      <c r="L1431" s="5"/>
      <c r="M1431" s="5"/>
      <c r="N1431" s="5" t="str">
        <f ca="1">IFERROR(__xludf.DUMMYFUNCTION("""COMPUTED_VALUE"""),"https://drive.google.com/open?id=1UWBvnDxak4YHp8l8PWvEOhnLADlyUHQL, https://drive.google.com/open?id=1e7sMdEmrQZPhtEtq78UGE18MXgbgr1dq, https://drive.google.com/open?id=1D3YdS9oO-JYe0HTLD41Qh-nfyUestLqQ")</f>
        <v>https://drive.google.com/open?id=1UWBvnDxak4YHp8l8PWvEOhnLADlyUHQL, https://drive.google.com/open?id=1e7sMdEmrQZPhtEtq78UGE18MXgbgr1dq, https://drive.google.com/open?id=1D3YdS9oO-JYe0HTLD41Qh-nfyUestLqQ</v>
      </c>
      <c r="O1431" s="5">
        <f ca="1">IFERROR(__xludf.DUMMYFUNCTION("""COMPUTED_VALUE"""),2335025003)</f>
        <v>2335025003</v>
      </c>
      <c r="P1431" s="5">
        <f ca="1">IFERROR(__xludf.DUMMYFUNCTION("""COMPUTED_VALUE"""),2134310797)</f>
        <v>2134310797</v>
      </c>
      <c r="Q1431" s="5"/>
      <c r="R1431" s="5"/>
      <c r="S1431" s="5"/>
      <c r="T1431" s="18">
        <f ca="1">IFERROR(__xludf.DUMMYFUNCTION("""COMPUTED_VALUE"""),45660)</f>
        <v>45660</v>
      </c>
    </row>
    <row r="1432" spans="1:20" ht="12.75">
      <c r="A1432" s="24">
        <f ca="1">IFERROR(__xludf.DUMMYFUNCTION("""COMPUTED_VALUE"""),45683.6805945254)</f>
        <v>45683.680594525402</v>
      </c>
      <c r="B1432" s="5" t="str">
        <f ca="1">IFERROR(__xludf.DUMMYFUNCTION("""COMPUTED_VALUE"""),"11556 Burbank blvd., apt 408")</f>
        <v>11556 Burbank blvd., apt 408</v>
      </c>
      <c r="C1432" s="5" t="str">
        <f ca="1">IFERROR(__xludf.DUMMYFUNCTION("""COMPUTED_VALUE"""),"North hollywood ")</f>
        <v xml:space="preserve">North hollywood </v>
      </c>
      <c r="D1432" s="5" t="str">
        <f ca="1">IFERROR(__xludf.DUMMYFUNCTION("""COMPUTED_VALUE"""),"CA")</f>
        <v>CA</v>
      </c>
      <c r="E1432" s="5">
        <f ca="1">IFERROR(__xludf.DUMMYFUNCTION("""COMPUTED_VALUE"""),91601)</f>
        <v>91601</v>
      </c>
      <c r="F1432" s="19">
        <f ca="1">IFERROR(__xludf.DUMMYFUNCTION("""COMPUTED_VALUE"""),3895)</f>
        <v>3895</v>
      </c>
      <c r="G1432" s="19">
        <f ca="1">IFERROR(__xludf.DUMMYFUNCTION("""COMPUTED_VALUE"""),4245)</f>
        <v>4245</v>
      </c>
      <c r="H1432" s="18">
        <f ca="1">IFERROR(__xludf.DUMMYFUNCTION("""COMPUTED_VALUE"""),45679)</f>
        <v>45679</v>
      </c>
      <c r="I1432" s="5" t="str">
        <f ca="1">IFERROR(__xludf.DUMMYFUNCTION("""COMPUTED_VALUE"""),"Zillow")</f>
        <v>Zillow</v>
      </c>
      <c r="J1432" s="25" t="str">
        <f ca="1">IFERROR(__xludf.DUMMYFUNCTION("""COMPUTED_VALUE"""),"https://www.zillow.com/homedetails/11556-Burbank-Blvd-APT-408-North-Hollywood-CA-91601/89150365_zpid/")</f>
        <v>https://www.zillow.com/homedetails/11556-Burbank-Blvd-APT-408-North-Hollywood-CA-91601/89150365_zpid/</v>
      </c>
      <c r="K1432" s="5" t="str">
        <f ca="1">IFERROR(__xludf.DUMMYFUNCTION("""COMPUTED_VALUE"""),"Hugh Finkle Enterprises LLC")</f>
        <v>Hugh Finkle Enterprises LLC</v>
      </c>
      <c r="L1432" s="5"/>
      <c r="M1432" s="5" t="str">
        <f ca="1">IFERROR(__xludf.DUMMYFUNCTION("""COMPUTED_VALUE"""),"Had looked at this property just a day or two before price increase, was going to apply but then price went up")</f>
        <v>Had looked at this property just a day or two before price increase, was going to apply but then price went up</v>
      </c>
      <c r="N1432" s="5" t="str">
        <f ca="1">IFERROR(__xludf.DUMMYFUNCTION("""COMPUTED_VALUE"""),"https://drive.google.com/open?id=1-tJY3I0TK854PN6DiuJH9cX_MOxH7Ert, https://drive.google.com/open?id=1uX20K_8iOU-TWI2t_MEjxF2yVvxMv_t-, https://drive.google.com/open?id=1uhpe4PzPZutUK4jWJq3hQ2OtxCBo342h")</f>
        <v>https://drive.google.com/open?id=1-tJY3I0TK854PN6DiuJH9cX_MOxH7Ert, https://drive.google.com/open?id=1uX20K_8iOU-TWI2t_MEjxF2yVvxMv_t-, https://drive.google.com/open?id=1uhpe4PzPZutUK4jWJq3hQ2OtxCBo342h</v>
      </c>
      <c r="O1432" s="5">
        <f ca="1">IFERROR(__xludf.DUMMYFUNCTION("""COMPUTED_VALUE"""),2350001093)</f>
        <v>2350001093</v>
      </c>
      <c r="P1432" s="5" t="str">
        <f ca="1">IFERROR(__xludf.DUMMYFUNCTION("""COMPUTED_VALUE"""),"747-250-6000")</f>
        <v>747-250-6000</v>
      </c>
      <c r="Q1432" s="5"/>
      <c r="R1432" s="5"/>
      <c r="S1432" s="5"/>
      <c r="T1432" s="18">
        <f ca="1">IFERROR(__xludf.DUMMYFUNCTION("""COMPUTED_VALUE"""),45587)</f>
        <v>45587</v>
      </c>
    </row>
    <row r="1433" spans="1:20" ht="12.75">
      <c r="A1433" s="24">
        <f ca="1">IFERROR(__xludf.DUMMYFUNCTION("""COMPUTED_VALUE"""),45683.9583394444)</f>
        <v>45683.958339444398</v>
      </c>
      <c r="B1433" s="5" t="str">
        <f ca="1">IFERROR(__xludf.DUMMYFUNCTION("""COMPUTED_VALUE"""),"14818 Round Valley Drive")</f>
        <v>14818 Round Valley Drive</v>
      </c>
      <c r="C1433" s="5" t="str">
        <f ca="1">IFERROR(__xludf.DUMMYFUNCTION("""COMPUTED_VALUE"""),"Sherman Oaks")</f>
        <v>Sherman Oaks</v>
      </c>
      <c r="D1433" s="5" t="str">
        <f ca="1">IFERROR(__xludf.DUMMYFUNCTION("""COMPUTED_VALUE"""),"CA")</f>
        <v>CA</v>
      </c>
      <c r="E1433" s="5">
        <f ca="1">IFERROR(__xludf.DUMMYFUNCTION("""COMPUTED_VALUE"""),91403)</f>
        <v>91403</v>
      </c>
      <c r="F1433" s="19">
        <f ca="1">IFERROR(__xludf.DUMMYFUNCTION("""COMPUTED_VALUE"""),4000)</f>
        <v>4000</v>
      </c>
      <c r="G1433" s="19">
        <f ca="1">IFERROR(__xludf.DUMMYFUNCTION("""COMPUTED_VALUE"""),5500)</f>
        <v>5500</v>
      </c>
      <c r="H1433" s="18">
        <f ca="1">IFERROR(__xludf.DUMMYFUNCTION("""COMPUTED_VALUE"""),45676)</f>
        <v>45676</v>
      </c>
      <c r="I1433" s="5" t="str">
        <f ca="1">IFERROR(__xludf.DUMMYFUNCTION("""COMPUTED_VALUE"""),"Zillow")</f>
        <v>Zillow</v>
      </c>
      <c r="J1433" s="25" t="str">
        <f ca="1">IFERROR(__xludf.DUMMYFUNCTION("""COMPUTED_VALUE"""),"https://www.zillow.com/homedetails/14818-Round-Valley-Dr-Sherman-Oaks-CA-91403/19987890_zpid/?")</f>
        <v>https://www.zillow.com/homedetails/14818-Round-Valley-Dr-Sherman-Oaks-CA-91403/19987890_zpid/?</v>
      </c>
      <c r="K1433" s="5"/>
      <c r="L1433" s="5" t="str">
        <f ca="1">IFERROR(__xludf.DUMMYFUNCTION("""COMPUTED_VALUE"""),"Michelle Daneshrad")</f>
        <v>Michelle Daneshrad</v>
      </c>
      <c r="M1433" s="5"/>
      <c r="N1433" s="26" t="str">
        <f ca="1">IFERROR(__xludf.DUMMYFUNCTION("""COMPUTED_VALUE"""),"https://drive.google.com/open?id=1XTV6ufUZHZKR5DxbwjcIBshfm7CdV9W4")</f>
        <v>https://drive.google.com/open?id=1XTV6ufUZHZKR5DxbwjcIBshfm7CdV9W4</v>
      </c>
      <c r="O1433" s="5">
        <f ca="1">IFERROR(__xludf.DUMMYFUNCTION("""COMPUTED_VALUE"""),2275013002)</f>
        <v>2275013002</v>
      </c>
      <c r="P1433" s="5"/>
      <c r="Q1433" s="5"/>
      <c r="R1433" s="5" t="str">
        <f ca="1">IFERROR(__xludf.DUMMYFUNCTION("""COMPUTED_VALUE"""),"(818) 437-0956")</f>
        <v>(818) 437-0956</v>
      </c>
      <c r="S1433" s="5"/>
      <c r="T1433" s="18">
        <f ca="1">IFERROR(__xludf.DUMMYFUNCTION("""COMPUTED_VALUE"""),45674)</f>
        <v>45674</v>
      </c>
    </row>
    <row r="1434" spans="1:20" ht="12.75">
      <c r="A1434" s="24">
        <f ca="1">IFERROR(__xludf.DUMMYFUNCTION("""COMPUTED_VALUE"""),45684.4603138888)</f>
        <v>45684.460313888798</v>
      </c>
      <c r="B1434" s="5" t="str">
        <f ca="1">IFERROR(__xludf.DUMMYFUNCTION("""COMPUTED_VALUE"""),"1544 Ard Eevin")</f>
        <v>1544 Ard Eevin</v>
      </c>
      <c r="C1434" s="5" t="str">
        <f ca="1">IFERROR(__xludf.DUMMYFUNCTION("""COMPUTED_VALUE"""),"Glendale")</f>
        <v>Glendale</v>
      </c>
      <c r="D1434" s="5" t="str">
        <f ca="1">IFERROR(__xludf.DUMMYFUNCTION("""COMPUTED_VALUE"""),"CA")</f>
        <v>CA</v>
      </c>
      <c r="E1434" s="5">
        <f ca="1">IFERROR(__xludf.DUMMYFUNCTION("""COMPUTED_VALUE"""),91202)</f>
        <v>91202</v>
      </c>
      <c r="F1434" s="19">
        <f ca="1">IFERROR(__xludf.DUMMYFUNCTION("""COMPUTED_VALUE"""),1)</f>
        <v>1</v>
      </c>
      <c r="G1434" s="19">
        <f ca="1">IFERROR(__xludf.DUMMYFUNCTION("""COMPUTED_VALUE"""),15000)</f>
        <v>15000</v>
      </c>
      <c r="H1434" s="18">
        <f ca="1">IFERROR(__xludf.DUMMYFUNCTION("""COMPUTED_VALUE"""),45674)</f>
        <v>45674</v>
      </c>
      <c r="I1434" s="5" t="str">
        <f ca="1">IFERROR(__xludf.DUMMYFUNCTION("""COMPUTED_VALUE"""),"Zillow")</f>
        <v>Zillow</v>
      </c>
      <c r="J1434" s="25" t="str">
        <f ca="1">IFERROR(__xludf.DUMMYFUNCTION("""COMPUTED_VALUE"""),"https://www.zillow.com/homedetails/1544-Ard-Eevin-Ave-Glendale-CA-91202/20827167_zpid/")</f>
        <v>https://www.zillow.com/homedetails/1544-Ard-Eevin-Ave-Glendale-CA-91202/20827167_zpid/</v>
      </c>
      <c r="K1434" s="5" t="str">
        <f ca="1">IFERROR(__xludf.DUMMYFUNCTION("""COMPUTED_VALUE"""),"Naira Khnkoyan")</f>
        <v>Naira Khnkoyan</v>
      </c>
      <c r="L1434" s="5"/>
      <c r="M1434" s="5"/>
      <c r="N1434" s="5" t="str">
        <f ca="1">IFERROR(__xludf.DUMMYFUNCTION("""COMPUTED_VALUE"""),"https://drive.google.com/open?id=14njjidcPdWpFs9dg7R9PGK6Jgs21pgdG, https://drive.google.com/open?id=1lHJ66eKixIPXyv_uVVMfP0RikZ_AdwKf")</f>
        <v>https://drive.google.com/open?id=14njjidcPdWpFs9dg7R9PGK6Jgs21pgdG, https://drive.google.com/open?id=1lHJ66eKixIPXyv_uVVMfP0RikZ_AdwKf</v>
      </c>
      <c r="O1434" s="5" t="str">
        <f ca="1">IFERROR(__xludf.DUMMYFUNCTION("""COMPUTED_VALUE""")," Parcel number: 5629016004")</f>
        <v xml:space="preserve"> Parcel number: 5629016004</v>
      </c>
      <c r="P1434" s="5" t="str">
        <f ca="1">IFERROR(__xludf.DUMMYFUNCTION("""COMPUTED_VALUE"""),"P: (818)-850-7653  M: (818)-850-7653")</f>
        <v>P: (818)-850-7653  M: (818)-850-7653</v>
      </c>
      <c r="Q1434" s="5" t="str">
        <f ca="1">IFERROR(__xludf.DUMMYFUNCTION("""COMPUTED_VALUE"""),"Nairaplatinum@gmail.com")</f>
        <v>Nairaplatinum@gmail.com</v>
      </c>
      <c r="R1434" s="5"/>
      <c r="S1434" s="5"/>
      <c r="T1434" s="5"/>
    </row>
    <row r="1435" spans="1:20" ht="12.75">
      <c r="A1435" s="24">
        <f ca="1">IFERROR(__xludf.DUMMYFUNCTION("""COMPUTED_VALUE"""),45684.472486331)</f>
        <v>45684.472486330997</v>
      </c>
      <c r="B1435" s="5" t="str">
        <f ca="1">IFERROR(__xludf.DUMMYFUNCTION("""COMPUTED_VALUE"""),"3249 Beaudry Terrace")</f>
        <v>3249 Beaudry Terrace</v>
      </c>
      <c r="C1435" s="5" t="str">
        <f ca="1">IFERROR(__xludf.DUMMYFUNCTION("""COMPUTED_VALUE"""),"Glendale")</f>
        <v>Glendale</v>
      </c>
      <c r="D1435" s="5" t="str">
        <f ca="1">IFERROR(__xludf.DUMMYFUNCTION("""COMPUTED_VALUE"""),"CA")</f>
        <v>CA</v>
      </c>
      <c r="E1435" s="5">
        <f ca="1">IFERROR(__xludf.DUMMYFUNCTION("""COMPUTED_VALUE"""),91208)</f>
        <v>91208</v>
      </c>
      <c r="F1435" s="19">
        <f ca="1">IFERROR(__xludf.DUMMYFUNCTION("""COMPUTED_VALUE"""),1)</f>
        <v>1</v>
      </c>
      <c r="G1435" s="19">
        <f ca="1">IFERROR(__xludf.DUMMYFUNCTION("""COMPUTED_VALUE"""),28000)</f>
        <v>28000</v>
      </c>
      <c r="H1435" s="18">
        <f ca="1">IFERROR(__xludf.DUMMYFUNCTION("""COMPUTED_VALUE"""),45679)</f>
        <v>45679</v>
      </c>
      <c r="I1435" s="5" t="str">
        <f ca="1">IFERROR(__xludf.DUMMYFUNCTION("""COMPUTED_VALUE"""),"Zillow")</f>
        <v>Zillow</v>
      </c>
      <c r="J1435" s="25" t="str">
        <f ca="1">IFERROR(__xludf.DUMMYFUNCTION("""COMPUTED_VALUE"""),"https://www.zillow.com/homedetails/3249-Beaudry-Ter-Glendale-CA-91208/20820486_zpid/")</f>
        <v>https://www.zillow.com/homedetails/3249-Beaudry-Ter-Glendale-CA-91208/20820486_zpid/</v>
      </c>
      <c r="K1435" s="5" t="str">
        <f ca="1">IFERROR(__xludf.DUMMYFUNCTION("""COMPUTED_VALUE"""),"Omar B Keller Williams Realty")</f>
        <v>Omar B Keller Williams Realty</v>
      </c>
      <c r="L1435" s="5"/>
      <c r="M1435" s="5"/>
      <c r="N1435" s="26" t="str">
        <f ca="1">IFERROR(__xludf.DUMMYFUNCTION("""COMPUTED_VALUE"""),"https://drive.google.com/open?id=1iuv43QqQUHCy5joFrVfdrr9UHT7A11vG")</f>
        <v>https://drive.google.com/open?id=1iuv43QqQUHCy5joFrVfdrr9UHT7A11vG</v>
      </c>
      <c r="O1435" s="5">
        <f ca="1">IFERROR(__xludf.DUMMYFUNCTION("""COMPUTED_VALUE"""),5616012006)</f>
        <v>5616012006</v>
      </c>
      <c r="P1435" s="5" t="str">
        <f ca="1">IFERROR(__xludf.DUMMYFUNCTION("""COMPUTED_VALUE"""),"(818) 600-1787")</f>
        <v>(818) 600-1787</v>
      </c>
      <c r="Q1435" s="5"/>
      <c r="R1435" s="5"/>
      <c r="S1435" s="5"/>
      <c r="T1435" s="5"/>
    </row>
    <row r="1436" spans="1:20" ht="12.75">
      <c r="A1436" s="24">
        <f ca="1">IFERROR(__xludf.DUMMYFUNCTION("""COMPUTED_VALUE"""),45684.4871486689)</f>
        <v>45684.487148668901</v>
      </c>
      <c r="B1436" s="5" t="str">
        <f ca="1">IFERROR(__xludf.DUMMYFUNCTION("""COMPUTED_VALUE"""),"undisclosed ")</f>
        <v xml:space="preserve">undisclosed </v>
      </c>
      <c r="C1436" s="5" t="str">
        <f ca="1">IFERROR(__xludf.DUMMYFUNCTION("""COMPUTED_VALUE"""),"Los Angeles")</f>
        <v>Los Angeles</v>
      </c>
      <c r="D1436" s="5" t="str">
        <f ca="1">IFERROR(__xludf.DUMMYFUNCTION("""COMPUTED_VALUE"""),"CA")</f>
        <v>CA</v>
      </c>
      <c r="E1436" s="5">
        <f ca="1">IFERROR(__xludf.DUMMYFUNCTION("""COMPUTED_VALUE"""),90046)</f>
        <v>90046</v>
      </c>
      <c r="F1436" s="19">
        <f ca="1">IFERROR(__xludf.DUMMYFUNCTION("""COMPUTED_VALUE"""),3400)</f>
        <v>3400</v>
      </c>
      <c r="G1436" s="19">
        <f ca="1">IFERROR(__xludf.DUMMYFUNCTION("""COMPUTED_VALUE"""),4500)</f>
        <v>4500</v>
      </c>
      <c r="H1436" s="18">
        <f ca="1">IFERROR(__xludf.DUMMYFUNCTION("""COMPUTED_VALUE"""),45683)</f>
        <v>45683</v>
      </c>
      <c r="I1436" s="5" t="str">
        <f ca="1">IFERROR(__xludf.DUMMYFUNCTION("""COMPUTED_VALUE"""),"Zillow")</f>
        <v>Zillow</v>
      </c>
      <c r="J1436" s="25" t="str">
        <f ca="1">IFERROR(__xludf.DUMMYFUNCTION("""COMPUTED_VALUE"""),"https://www.zillow.com/homedetails/Los-Angeles-CA-90046/20801224_zpid/")</f>
        <v>https://www.zillow.com/homedetails/Los-Angeles-CA-90046/20801224_zpid/</v>
      </c>
      <c r="K1436" s="5" t="str">
        <f ca="1">IFERROR(__xludf.DUMMYFUNCTION("""COMPUTED_VALUE"""),"Patrick Whalen")</f>
        <v>Patrick Whalen</v>
      </c>
      <c r="L1436" s="5"/>
      <c r="M1436" s="5"/>
      <c r="N1436" s="5" t="str">
        <f ca="1">IFERROR(__xludf.DUMMYFUNCTION("""COMPUTED_VALUE"""),"https://drive.google.com/open?id=1QjKHgsk_lpvT_kJMvMkB0qabIZu2jxSw, https://drive.google.com/open?id=1RRSoHyIrJ_uSMSRO8TrEpK0jL-LHLI4G")</f>
        <v>https://drive.google.com/open?id=1QjKHgsk_lpvT_kJMvMkB0qabIZu2jxSw, https://drive.google.com/open?id=1RRSoHyIrJ_uSMSRO8TrEpK0jL-LHLI4G</v>
      </c>
      <c r="O1436" s="5" t="str">
        <f ca="1">IFERROR(__xludf.DUMMYFUNCTION("""COMPUTED_VALUE"""),"NA")</f>
        <v>NA</v>
      </c>
      <c r="P1436" s="5"/>
      <c r="Q1436" s="5"/>
      <c r="R1436" s="5"/>
      <c r="S1436" s="5"/>
      <c r="T1436" s="18">
        <f ca="1">IFERROR(__xludf.DUMMYFUNCTION("""COMPUTED_VALUE"""),44260)</f>
        <v>44260</v>
      </c>
    </row>
    <row r="1437" spans="1:20" ht="12.75">
      <c r="A1437" s="24">
        <f ca="1">IFERROR(__xludf.DUMMYFUNCTION("""COMPUTED_VALUE"""),45684.5381469328)</f>
        <v>45684.538146932799</v>
      </c>
      <c r="B1437" s="5" t="str">
        <f ca="1">IFERROR(__xludf.DUMMYFUNCTION("""COMPUTED_VALUE"""),"3319 Lowry Rd")</f>
        <v>3319 Lowry Rd</v>
      </c>
      <c r="C1437" s="5" t="str">
        <f ca="1">IFERROR(__xludf.DUMMYFUNCTION("""COMPUTED_VALUE"""),"Los Angeles")</f>
        <v>Los Angeles</v>
      </c>
      <c r="D1437" s="5" t="str">
        <f ca="1">IFERROR(__xludf.DUMMYFUNCTION("""COMPUTED_VALUE"""),"CA")</f>
        <v>CA</v>
      </c>
      <c r="E1437" s="5">
        <f ca="1">IFERROR(__xludf.DUMMYFUNCTION("""COMPUTED_VALUE"""),90027)</f>
        <v>90027</v>
      </c>
      <c r="F1437" s="19">
        <f ca="1">IFERROR(__xludf.DUMMYFUNCTION("""COMPUTED_VALUE"""),11500)</f>
        <v>11500</v>
      </c>
      <c r="G1437" s="19">
        <f ca="1">IFERROR(__xludf.DUMMYFUNCTION("""COMPUTED_VALUE"""),14850)</f>
        <v>14850</v>
      </c>
      <c r="H1437" s="18">
        <f ca="1">IFERROR(__xludf.DUMMYFUNCTION("""COMPUTED_VALUE"""),45684)</f>
        <v>45684</v>
      </c>
      <c r="I1437" s="5" t="str">
        <f ca="1">IFERROR(__xludf.DUMMYFUNCTION("""COMPUTED_VALUE"""),"Zillow")</f>
        <v>Zillow</v>
      </c>
      <c r="J1437" s="25" t="str">
        <f ca="1">IFERROR(__xludf.DUMMYFUNCTION("""COMPUTED_VALUE"""),"https://www.zillow.com/homedetails/3319-Lowry-Rd-Los-Angeles-CA-90027/20812073_zpid/?rtoken=9db7a4fd-48ca-4c28-ba61-2af3c71103fd~X1-ZU14fpvedl0k0sp_3z9zv&amp;utm_campaign=emo-instantsavedsearch-rental&amp;utm_source=email&amp;utm_term=urn:msg:20250127185117aa77945f18"&amp;"5927e8&amp;utm_medium=email&amp;utm_content=forrentimage&amp;sse=X1-SShhczic9znkri0000000000_4dbo5&amp;srp=H4sIAAAAAAAAAI2US4+bMBCAfw3HTTzgF4eq6m576LGbHqpeImNMoMU29WNfv740Rt5E2lXNwYKZj49hBrMfrVZ+P1h3dMqE/UevhJPjt6jc8yGIoD5U7Laqay2WWxtN79fzqvmUgsa6MKZAg3fASY0I8KbhmNGqvlsz"&amp;"SviQgBsAvgMKBBPEOG1bRBLibbyQIIpbTjACymizSR7VlQQDboHVDBAHTiv2OVFrhT+t1QmEOgWjV84fzq/0Xbkt+W+tN0BGH6y+V6fJmq99znM5kJ6Smg4/4Obu/skwYL8Q+D+6P0KH4+mUDcM0B+XOvbrsTaeue6Unky7rXHEnwvg2AzuSqcVN8sqsxdNmYkAb3GRSWnPJPYg5bjcOYvYqc+uwVREoFlHE6eXN+oAghF5l4zuu4OKryq+f1Dv"&amp;"cuvbi+dyw7IyyqEBThg2upMRgH8tsvrNFoNS+bHBikWXG9dH/nVzuuHhQfdoiX4yz86zX/8DFVlg3wOEwjvJlku2L+e0mlI8j7jtL0kD+AvvjLCdJBAAA")</f>
        <v>https://www.zillow.com/homedetails/3319-Lowry-Rd-Los-Angeles-CA-90027/20812073_zpid/?rtoken=9db7a4fd-48ca-4c28-ba61-2af3c71103fd~X1-ZU14fpvedl0k0sp_3z9zv&amp;utm_campaign=emo-instantsavedsearch-rental&amp;utm_source=email&amp;utm_term=urn:msg:20250127185117aa77945f185927e8&amp;utm_medium=email&amp;utm_content=forrentimage&amp;sse=X1-SShhczic9znkri0000000000_4dbo5&amp;srp=H4sIAAAAAAAAAI2US4+bMBCAfw3HTTzgF4eq6m576LGbHqpeImNMoMU29WNfv740Rt5E2lXNwYKZj49hBrMfrVZ+P1h3dMqE/UevhJPjt6jc8yGIoD5U7Laqay2WWxtN79fzqvmUgsa6MKZAg3fASY0I8KbhmNGqvlszSviQgBsAvgMKBBPEOG1bRBLibbyQIIpbTjACymizSR7VlQQDboHVDBAHTiv2OVFrhT+t1QmEOgWjV84fzq/0Xbkt+W+tN0BGH6y+V6fJmq99znM5kJ6Smg4/4Obu/skwYL8Q+D+6P0KH4+mUDcM0B+XOvbrsTaeue6Unky7rXHEnwvg2AzuSqcVN8sqsxdNmYkAb3GRSWnPJPYg5bjcOYvYqc+uwVREoFlHE6eXN+oAghF5l4zuu4OKryq+f1Dvcuvbi+dyw7IyyqEBThg2upMRgH8tsvrNFoNS+bHBikWXG9dH/nVzuuHhQfdoiX4yz86zX/8DFVlg3wOEwjvJlku2L+e0mlI8j7jtL0kD+AvvjLCdJBAAA</v>
      </c>
      <c r="K1437" s="5" t="str">
        <f ca="1">IFERROR(__xludf.DUMMYFUNCTION("""COMPUTED_VALUE"""),"Annie Lee")</f>
        <v>Annie Lee</v>
      </c>
      <c r="L1437" s="5"/>
      <c r="M1437" s="5"/>
      <c r="N1437" s="26" t="str">
        <f ca="1">IFERROR(__xludf.DUMMYFUNCTION("""COMPUTED_VALUE"""),"https://drive.google.com/open?id=17gh9zj3NOEysz2F36D7gjyTzwDDxylS5")</f>
        <v>https://drive.google.com/open?id=17gh9zj3NOEysz2F36D7gjyTzwDDxylS5</v>
      </c>
      <c r="O1437" s="5">
        <f ca="1">IFERROR(__xludf.DUMMYFUNCTION("""COMPUTED_VALUE"""),5592023020)</f>
        <v>5592023020</v>
      </c>
      <c r="P1437" s="5" t="str">
        <f ca="1">IFERROR(__xludf.DUMMYFUNCTION("""COMPUTED_VALUE"""),"(213) 219-6354")</f>
        <v>(213) 219-6354</v>
      </c>
      <c r="Q1437" s="5"/>
      <c r="R1437" s="5"/>
      <c r="S1437" s="5"/>
      <c r="T1437" s="18">
        <f ca="1">IFERROR(__xludf.DUMMYFUNCTION("""COMPUTED_VALUE"""),45441)</f>
        <v>45441</v>
      </c>
    </row>
    <row r="1438" spans="1:20" ht="12.75">
      <c r="A1438" s="24">
        <f ca="1">IFERROR(__xludf.DUMMYFUNCTION("""COMPUTED_VALUE"""),45684.5445667476)</f>
        <v>45684.544566747601</v>
      </c>
      <c r="B1438" s="5" t="str">
        <f ca="1">IFERROR(__xludf.DUMMYFUNCTION("""COMPUTED_VALUE"""),"546 Broadway St")</f>
        <v>546 Broadway St</v>
      </c>
      <c r="C1438" s="5" t="str">
        <f ca="1">IFERROR(__xludf.DUMMYFUNCTION("""COMPUTED_VALUE"""),"Venice")</f>
        <v>Venice</v>
      </c>
      <c r="D1438" s="5" t="str">
        <f ca="1">IFERROR(__xludf.DUMMYFUNCTION("""COMPUTED_VALUE"""),"CA")</f>
        <v>CA</v>
      </c>
      <c r="E1438" s="5">
        <f ca="1">IFERROR(__xludf.DUMMYFUNCTION("""COMPUTED_VALUE"""),90291)</f>
        <v>90291</v>
      </c>
      <c r="F1438" s="19">
        <f ca="1">IFERROR(__xludf.DUMMYFUNCTION("""COMPUTED_VALUE"""),1)</f>
        <v>1</v>
      </c>
      <c r="G1438" s="19">
        <f ca="1">IFERROR(__xludf.DUMMYFUNCTION("""COMPUTED_VALUE"""),16500)</f>
        <v>16500</v>
      </c>
      <c r="H1438" s="18">
        <f ca="1">IFERROR(__xludf.DUMMYFUNCTION("""COMPUTED_VALUE"""),45684)</f>
        <v>45684</v>
      </c>
      <c r="I1438" s="5" t="str">
        <f ca="1">IFERROR(__xludf.DUMMYFUNCTION("""COMPUTED_VALUE"""),"Redfin")</f>
        <v>Redfin</v>
      </c>
      <c r="J1438" s="25" t="str">
        <f ca="1">IFERROR(__xludf.DUMMYFUNCTION("""COMPUTED_VALUE"""),"https://www.redfin.com/CA/Venice/546-Broadway-St-90291/home/28904051")</f>
        <v>https://www.redfin.com/CA/Venice/546-Broadway-St-90291/home/28904051</v>
      </c>
      <c r="K1438" s="5"/>
      <c r="L1438" s="5"/>
      <c r="M1438" s="5" t="str">
        <f ca="1">IFERROR(__xludf.DUMMYFUNCTION("""COMPUTED_VALUE"""),"This is a new listing for a furnished 3 bedroom house in Venice, 90291 that has not previously been listed for rent. It was sold on Sept 23, 2022, and was just listed for rent on 1/27/2025 at $16,500. This rate is 329% of the FMR for that zip code.")</f>
        <v>This is a new listing for a furnished 3 bedroom house in Venice, 90291 that has not previously been listed for rent. It was sold on Sept 23, 2022, and was just listed for rent on 1/27/2025 at $16,500. This rate is 329% of the FMR for that zip code.</v>
      </c>
      <c r="N1438" s="5" t="str">
        <f ca="1">IFERROR(__xludf.DUMMYFUNCTION("""COMPUTED_VALUE"""),"https://drive.google.com/open?id=1eWkXSXISJYz40_jcdtSAB2D7SkDSo3qT, https://drive.google.com/open?id=1BBovBJkxzjnVHGpNqrlKlUOb31PAlhsY, https://drive.google.com/open?id=1TSEMGt2T-3nqrnrA_b0B8QKnE4wTKEC2")</f>
        <v>https://drive.google.com/open?id=1eWkXSXISJYz40_jcdtSAB2D7SkDSo3qT, https://drive.google.com/open?id=1BBovBJkxzjnVHGpNqrlKlUOb31PAlhsY, https://drive.google.com/open?id=1TSEMGt2T-3nqrnrA_b0B8QKnE4wTKEC2</v>
      </c>
      <c r="O1438" s="5" t="str">
        <f ca="1">IFERROR(__xludf.DUMMYFUNCTION("""COMPUTED_VALUE"""),"NA")</f>
        <v>NA</v>
      </c>
      <c r="P1438" s="5"/>
      <c r="Q1438" s="5"/>
      <c r="R1438" s="5"/>
      <c r="S1438" s="5"/>
      <c r="T1438" s="18">
        <f ca="1">IFERROR(__xludf.DUMMYFUNCTION("""COMPUTED_VALUE"""),44827)</f>
        <v>44827</v>
      </c>
    </row>
    <row r="1439" spans="1:20" ht="12.75">
      <c r="A1439" s="24">
        <f ca="1">IFERROR(__xludf.DUMMYFUNCTION("""COMPUTED_VALUE"""),45684.55226625)</f>
        <v>45684.552266250001</v>
      </c>
      <c r="B1439" s="5" t="str">
        <f ca="1">IFERROR(__xludf.DUMMYFUNCTION("""COMPUTED_VALUE"""),"12340 Moorpark St")</f>
        <v>12340 Moorpark St</v>
      </c>
      <c r="C1439" s="5" t="str">
        <f ca="1">IFERROR(__xludf.DUMMYFUNCTION("""COMPUTED_VALUE"""),"Studio City")</f>
        <v>Studio City</v>
      </c>
      <c r="D1439" s="5" t="str">
        <f ca="1">IFERROR(__xludf.DUMMYFUNCTION("""COMPUTED_VALUE"""),"CA")</f>
        <v>CA</v>
      </c>
      <c r="E1439" s="5">
        <f ca="1">IFERROR(__xludf.DUMMYFUNCTION("""COMPUTED_VALUE"""),91604)</f>
        <v>91604</v>
      </c>
      <c r="F1439" s="19">
        <f ca="1">IFERROR(__xludf.DUMMYFUNCTION("""COMPUTED_VALUE"""),3600)</f>
        <v>3600</v>
      </c>
      <c r="G1439" s="19">
        <f ca="1">IFERROR(__xludf.DUMMYFUNCTION("""COMPUTED_VALUE"""),5900)</f>
        <v>5900</v>
      </c>
      <c r="H1439" s="18">
        <f ca="1">IFERROR(__xludf.DUMMYFUNCTION("""COMPUTED_VALUE"""),45684)</f>
        <v>45684</v>
      </c>
      <c r="I1439" s="5" t="str">
        <f ca="1">IFERROR(__xludf.DUMMYFUNCTION("""COMPUTED_VALUE"""),"Zillow")</f>
        <v>Zillow</v>
      </c>
      <c r="J1439" s="25" t="str">
        <f ca="1">IFERROR(__xludf.DUMMYFUNCTION("""COMPUTED_VALUE"""),"https://www.zillow.com/homedetails/12340-Moorpark-St-Studio-City-CA-91604/20026068_zpid/")</f>
        <v>https://www.zillow.com/homedetails/12340-Moorpark-St-Studio-City-CA-91604/20026068_zpid/</v>
      </c>
      <c r="K1439" s="5" t="str">
        <f ca="1">IFERROR(__xludf.DUMMYFUNCTION("""COMPUTED_VALUE"""),"Manigeh Vahidi Monfared")</f>
        <v>Manigeh Vahidi Monfared</v>
      </c>
      <c r="L1439" s="5"/>
      <c r="M1439" s="5" t="str">
        <f ca="1">IFERROR(__xludf.DUMMYFUNCTION("""COMPUTED_VALUE"""),"This property is a two bedroom house. It was previously listed for rent at $3600 on 4/25/2023. It was listed on 1/27/2025 at $5900. This is a 64% increase over the last listed price, and is 171% of the FMR.")</f>
        <v>This property is a two bedroom house. It was previously listed for rent at $3600 on 4/25/2023. It was listed on 1/27/2025 at $5900. This is a 64% increase over the last listed price, and is 171% of the FMR.</v>
      </c>
      <c r="N1439" s="5" t="str">
        <f ca="1">IFERROR(__xludf.DUMMYFUNCTION("""COMPUTED_VALUE"""),"https://drive.google.com/open?id=1WDrQ9X6S_SffYumeYR4Jdb7TNhn1bTdl, https://drive.google.com/open?id=1xTM7perN5NQoOSoMzCtB3nXXzKEWyeHj, https://drive.google.com/open?id=1zWl6KHDqb9_oOoJFhjGUMm6hGHmVSDA8")</f>
        <v>https://drive.google.com/open?id=1WDrQ9X6S_SffYumeYR4Jdb7TNhn1bTdl, https://drive.google.com/open?id=1xTM7perN5NQoOSoMzCtB3nXXzKEWyeHj, https://drive.google.com/open?id=1zWl6KHDqb9_oOoJFhjGUMm6hGHmVSDA8</v>
      </c>
      <c r="O1439" s="5" t="str">
        <f ca="1">IFERROR(__xludf.DUMMYFUNCTION("""COMPUTED_VALUE"""),"NA")</f>
        <v>NA</v>
      </c>
      <c r="P1439" s="5" t="str">
        <f ca="1">IFERROR(__xludf.DUMMYFUNCTION("""COMPUTED_VALUE"""),"(818) 730-6665")</f>
        <v>(818) 730-6665</v>
      </c>
      <c r="Q1439" s="5"/>
      <c r="R1439" s="5"/>
      <c r="S1439" s="5"/>
      <c r="T1439" s="18">
        <f ca="1">IFERROR(__xludf.DUMMYFUNCTION("""COMPUTED_VALUE"""),45041)</f>
        <v>45041</v>
      </c>
    </row>
    <row r="1440" spans="1:20" ht="12.75">
      <c r="A1440" s="24">
        <f ca="1">IFERROR(__xludf.DUMMYFUNCTION("""COMPUTED_VALUE"""),45684.5622484375)</f>
        <v>45684.562248437498</v>
      </c>
      <c r="B1440" s="5" t="str">
        <f ca="1">IFERROR(__xludf.DUMMYFUNCTION("""COMPUTED_VALUE"""),"1410 Rancho Rd")</f>
        <v>1410 Rancho Rd</v>
      </c>
      <c r="C1440" s="5" t="str">
        <f ca="1">IFERROR(__xludf.DUMMYFUNCTION("""COMPUTED_VALUE"""),"Arcadia")</f>
        <v>Arcadia</v>
      </c>
      <c r="D1440" s="5" t="str">
        <f ca="1">IFERROR(__xludf.DUMMYFUNCTION("""COMPUTED_VALUE"""),"CA")</f>
        <v>CA</v>
      </c>
      <c r="E1440" s="5">
        <f ca="1">IFERROR(__xludf.DUMMYFUNCTION("""COMPUTED_VALUE"""),91006)</f>
        <v>91006</v>
      </c>
      <c r="F1440" s="19">
        <f ca="1">IFERROR(__xludf.DUMMYFUNCTION("""COMPUTED_VALUE"""),1)</f>
        <v>1</v>
      </c>
      <c r="G1440" s="19">
        <f ca="1">IFERROR(__xludf.DUMMYFUNCTION("""COMPUTED_VALUE"""),15000)</f>
        <v>15000</v>
      </c>
      <c r="H1440" s="18">
        <f ca="1">IFERROR(__xludf.DUMMYFUNCTION("""COMPUTED_VALUE"""),45684)</f>
        <v>45684</v>
      </c>
      <c r="I1440" s="5" t="str">
        <f ca="1">IFERROR(__xludf.DUMMYFUNCTION("""COMPUTED_VALUE"""),"Redfin")</f>
        <v>Redfin</v>
      </c>
      <c r="J1440" s="25" t="str">
        <f ca="1">IFERROR(__xludf.DUMMYFUNCTION("""COMPUTED_VALUE"""),"https://www.redfin.com/CA/Arcadia/1410-Rancho-Rd-91006/home/7229637")</f>
        <v>https://www.redfin.com/CA/Arcadia/1410-Rancho-Rd-91006/home/7229637</v>
      </c>
      <c r="K1440" s="5" t="str">
        <f ca="1">IFERROR(__xludf.DUMMYFUNCTION("""COMPUTED_VALUE"""),"Euni Sung")</f>
        <v>Euni Sung</v>
      </c>
      <c r="L1440" s="5"/>
      <c r="M1440" s="5" t="str">
        <f ca="1">IFERROR(__xludf.DUMMYFUNCTION("""COMPUTED_VALUE"""),"This is a furnished 4 bedroom house with no previous rental history. It was last purchased in 2016, appears to have been listed for sale and then unlisted in 2019. It is now listed for rent at $15,000/month, which is 378% of the FMR.")</f>
        <v>This is a furnished 4 bedroom house with no previous rental history. It was last purchased in 2016, appears to have been listed for sale and then unlisted in 2019. It is now listed for rent at $15,000/month, which is 378% of the FMR.</v>
      </c>
      <c r="N1440" s="5" t="str">
        <f ca="1">IFERROR(__xludf.DUMMYFUNCTION("""COMPUTED_VALUE"""),"https://drive.google.com/open?id=1QddOytEo9ZR5SMx7VFrZRqA_WDF8puyI, https://drive.google.com/open?id=1-bHcKNMXXrgEf1ZqABo7vYAjIhc3AbHQ, https://drive.google.com/open?id=1yJeu8yPM8RMk-3kAYosQ8xDuEwM1Rm4F")</f>
        <v>https://drive.google.com/open?id=1QddOytEo9ZR5SMx7VFrZRqA_WDF8puyI, https://drive.google.com/open?id=1-bHcKNMXXrgEf1ZqABo7vYAjIhc3AbHQ, https://drive.google.com/open?id=1yJeu8yPM8RMk-3kAYosQ8xDuEwM1Rm4F</v>
      </c>
      <c r="O1440" s="5" t="str">
        <f ca="1">IFERROR(__xludf.DUMMYFUNCTION("""COMPUTED_VALUE"""),"NA")</f>
        <v>NA</v>
      </c>
      <c r="P1440" s="5" t="str">
        <f ca="1">IFERROR(__xludf.DUMMYFUNCTION("""COMPUTED_VALUE"""),"626-321-2801")</f>
        <v>626-321-2801</v>
      </c>
      <c r="Q1440" s="5" t="str">
        <f ca="1">IFERROR(__xludf.DUMMYFUNCTION("""COMPUTED_VALUE"""),"euniquegroup@gmail.com")</f>
        <v>euniquegroup@gmail.com</v>
      </c>
      <c r="R1440" s="5"/>
      <c r="S1440" s="5"/>
      <c r="T1440" s="18">
        <f ca="1">IFERROR(__xludf.DUMMYFUNCTION("""COMPUTED_VALUE"""),42479)</f>
        <v>42479</v>
      </c>
    </row>
    <row r="1441" spans="1:20" ht="12.75">
      <c r="A1441" s="24">
        <f ca="1">IFERROR(__xludf.DUMMYFUNCTION("""COMPUTED_VALUE"""),45684.5866888541)</f>
        <v>45684.586688854099</v>
      </c>
      <c r="B1441" s="5" t="str">
        <f ca="1">IFERROR(__xludf.DUMMYFUNCTION("""COMPUTED_VALUE"""),"1905 Paseo Del Sol")</f>
        <v>1905 Paseo Del Sol</v>
      </c>
      <c r="C1441" s="5" t="str">
        <f ca="1">IFERROR(__xludf.DUMMYFUNCTION("""COMPUTED_VALUE"""),"Palos Verdes Estates")</f>
        <v>Palos Verdes Estates</v>
      </c>
      <c r="D1441" s="5" t="str">
        <f ca="1">IFERROR(__xludf.DUMMYFUNCTION("""COMPUTED_VALUE"""),"CA")</f>
        <v>CA</v>
      </c>
      <c r="E1441" s="5">
        <f ca="1">IFERROR(__xludf.DUMMYFUNCTION("""COMPUTED_VALUE"""),90274)</f>
        <v>90274</v>
      </c>
      <c r="F1441" s="19">
        <f ca="1">IFERROR(__xludf.DUMMYFUNCTION("""COMPUTED_VALUE"""),22000)</f>
        <v>22000</v>
      </c>
      <c r="G1441" s="19">
        <f ca="1">IFERROR(__xludf.DUMMYFUNCTION("""COMPUTED_VALUE"""),36888)</f>
        <v>36888</v>
      </c>
      <c r="H1441" s="18">
        <f ca="1">IFERROR(__xludf.DUMMYFUNCTION("""COMPUTED_VALUE"""),45683)</f>
        <v>45683</v>
      </c>
      <c r="I1441" s="5" t="str">
        <f ca="1">IFERROR(__xludf.DUMMYFUNCTION("""COMPUTED_VALUE"""),"Zillow")</f>
        <v>Zillow</v>
      </c>
      <c r="J1441" s="25" t="str">
        <f ca="1">IFERROR(__xludf.DUMMYFUNCTION("""COMPUTED_VALUE"""),"https://www.zillow.com/homedetails/1905-Paseo-Del-Sol-Palos-Verdes-Estates-CA-90274/21342846_zpid/")</f>
        <v>https://www.zillow.com/homedetails/1905-Paseo-Del-Sol-Palos-Verdes-Estates-CA-90274/21342846_zpid/</v>
      </c>
      <c r="K1441" s="5"/>
      <c r="L1441" s="5" t="str">
        <f ca="1">IFERROR(__xludf.DUMMYFUNCTION("""COMPUTED_VALUE"""),"Thomas T. Chan")</f>
        <v>Thomas T. Chan</v>
      </c>
      <c r="M1441" s="5"/>
      <c r="N1441" s="5" t="str">
        <f ca="1">IFERROR(__xludf.DUMMYFUNCTION("""COMPUTED_VALUE"""),"https://drive.google.com/open?id=1k25LGa6CqoXYv7nGpPzeR3mh9WnVl8Ij, https://drive.google.com/open?id=1E0KgbAP8TtzvDRNjN_26F0J7gUiJRQzp, https://drive.google.com/open?id=1kTfp_QokwSU4BkgZiSHdOcry2opTUUDc, https://drive.google.com/open?id=1j8qWua72bSWPxUYf9"&amp;"UFAp-CNDOg8ibQQ")</f>
        <v>https://drive.google.com/open?id=1k25LGa6CqoXYv7nGpPzeR3mh9WnVl8Ij, https://drive.google.com/open?id=1E0KgbAP8TtzvDRNjN_26F0J7gUiJRQzp, https://drive.google.com/open?id=1kTfp_QokwSU4BkgZiSHdOcry2opTUUDc, https://drive.google.com/open?id=1j8qWua72bSWPxUYf9UFAp-CNDOg8ibQQ</v>
      </c>
      <c r="O1441" s="5">
        <f ca="1">IFERROR(__xludf.DUMMYFUNCTION("""COMPUTED_VALUE"""),7544002011)</f>
        <v>7544002011</v>
      </c>
      <c r="P1441" s="5" t="str">
        <f ca="1">IFERROR(__xludf.DUMMYFUNCTION("""COMPUTED_VALUE"""),"(213) 667-6880")</f>
        <v>(213) 667-6880</v>
      </c>
      <c r="Q1441" s="5"/>
      <c r="R1441" s="5"/>
      <c r="S1441" s="5"/>
      <c r="T1441" s="18">
        <f ca="1">IFERROR(__xludf.DUMMYFUNCTION("""COMPUTED_VALUE"""),45520)</f>
        <v>45520</v>
      </c>
    </row>
    <row r="1442" spans="1:20" ht="12.75">
      <c r="A1442" s="24">
        <f ca="1">IFERROR(__xludf.DUMMYFUNCTION("""COMPUTED_VALUE"""),45684.6418215625)</f>
        <v>45684.641821562502</v>
      </c>
      <c r="B1442" s="5" t="str">
        <f ca="1">IFERROR(__xludf.DUMMYFUNCTION("""COMPUTED_VALUE"""),"315 S Highland Ave")</f>
        <v>315 S Highland Ave</v>
      </c>
      <c r="C1442" s="5" t="str">
        <f ca="1">IFERROR(__xludf.DUMMYFUNCTION("""COMPUTED_VALUE"""),"Los Angeles")</f>
        <v>Los Angeles</v>
      </c>
      <c r="D1442" s="5" t="str">
        <f ca="1">IFERROR(__xludf.DUMMYFUNCTION("""COMPUTED_VALUE"""),"CA")</f>
        <v>CA</v>
      </c>
      <c r="E1442" s="5">
        <f ca="1">IFERROR(__xludf.DUMMYFUNCTION("""COMPUTED_VALUE"""),90036)</f>
        <v>90036</v>
      </c>
      <c r="F1442" s="19">
        <f ca="1">IFERROR(__xludf.DUMMYFUNCTION("""COMPUTED_VALUE"""),12000)</f>
        <v>12000</v>
      </c>
      <c r="G1442" s="19">
        <f ca="1">IFERROR(__xludf.DUMMYFUNCTION("""COMPUTED_VALUE"""),14000)</f>
        <v>14000</v>
      </c>
      <c r="H1442" s="18">
        <f ca="1">IFERROR(__xludf.DUMMYFUNCTION("""COMPUTED_VALUE"""),45673)</f>
        <v>45673</v>
      </c>
      <c r="I1442" s="5" t="str">
        <f ca="1">IFERROR(__xludf.DUMMYFUNCTION("""COMPUTED_VALUE"""),"Zillow")</f>
        <v>Zillow</v>
      </c>
      <c r="J1442" s="25" t="str">
        <f ca="1">IFERROR(__xludf.DUMMYFUNCTION("""COMPUTED_VALUE"""),"https://www.zillow.com/homedetails/315-S-Highland-Ave-Los-Angeles-CA-90036/20775403_zpid/")</f>
        <v>https://www.zillow.com/homedetails/315-S-Highland-Ave-Los-Angeles-CA-90036/20775403_zpid/</v>
      </c>
      <c r="K1442" s="5" t="str">
        <f ca="1">IFERROR(__xludf.DUMMYFUNCTION("""COMPUTED_VALUE"""),"Ophelie Maskanian")</f>
        <v>Ophelie Maskanian</v>
      </c>
      <c r="L1442" s="5"/>
      <c r="M1442" s="5"/>
      <c r="N1442" s="26" t="str">
        <f ca="1">IFERROR(__xludf.DUMMYFUNCTION("""COMPUTED_VALUE"""),"https://drive.google.com/open?id=10_7aqsaYFls4A3Y-Ty9clJ03cVHUkgr8")</f>
        <v>https://drive.google.com/open?id=10_7aqsaYFls4A3Y-Ty9clJ03cVHUkgr8</v>
      </c>
      <c r="O1442" s="5">
        <f ca="1">IFERROR(__xludf.DUMMYFUNCTION("""COMPUTED_VALUE"""),5507004003)</f>
        <v>5507004003</v>
      </c>
      <c r="P1442" s="5" t="str">
        <f ca="1">IFERROR(__xludf.DUMMYFUNCTION("""COMPUTED_VALUE"""),"(818) 402-4547")</f>
        <v>(818) 402-4547</v>
      </c>
      <c r="Q1442" s="5"/>
      <c r="R1442" s="5"/>
      <c r="S1442" s="5"/>
      <c r="T1442" s="18">
        <f ca="1">IFERROR(__xludf.DUMMYFUNCTION("""COMPUTED_VALUE"""),45671)</f>
        <v>45671</v>
      </c>
    </row>
    <row r="1443" spans="1:20" ht="12.75">
      <c r="A1443" s="24">
        <f ca="1">IFERROR(__xludf.DUMMYFUNCTION("""COMPUTED_VALUE"""),45684.6813543171)</f>
        <v>45684.681354317101</v>
      </c>
      <c r="B1443" s="5" t="str">
        <f ca="1">IFERROR(__xludf.DUMMYFUNCTION("""COMPUTED_VALUE"""),"1140 Lemoyne St Unit 4")</f>
        <v>1140 Lemoyne St Unit 4</v>
      </c>
      <c r="C1443" s="5" t="str">
        <f ca="1">IFERROR(__xludf.DUMMYFUNCTION("""COMPUTED_VALUE"""),"Los Angeles")</f>
        <v>Los Angeles</v>
      </c>
      <c r="D1443" s="5" t="str">
        <f ca="1">IFERROR(__xludf.DUMMYFUNCTION("""COMPUTED_VALUE"""),"CA")</f>
        <v>CA</v>
      </c>
      <c r="E1443" s="5">
        <f ca="1">IFERROR(__xludf.DUMMYFUNCTION("""COMPUTED_VALUE"""),90026)</f>
        <v>90026</v>
      </c>
      <c r="F1443" s="19">
        <f ca="1">IFERROR(__xludf.DUMMYFUNCTION("""COMPUTED_VALUE"""),1)</f>
        <v>1</v>
      </c>
      <c r="G1443" s="19">
        <f ca="1">IFERROR(__xludf.DUMMYFUNCTION("""COMPUTED_VALUE"""),4250)</f>
        <v>4250</v>
      </c>
      <c r="H1443" s="18">
        <f ca="1">IFERROR(__xludf.DUMMYFUNCTION("""COMPUTED_VALUE"""),45664)</f>
        <v>45664</v>
      </c>
      <c r="I1443" s="5" t="str">
        <f ca="1">IFERROR(__xludf.DUMMYFUNCTION("""COMPUTED_VALUE"""),"Redfin")</f>
        <v>Redfin</v>
      </c>
      <c r="J1443" s="25" t="str">
        <f ca="1">IFERROR(__xludf.DUMMYFUNCTION("""COMPUTED_VALUE"""),"https://www.redfin.com/CA/Los-Angeles/1140-Lemoyne-St-90026/unit-4/apartment/193530951")</f>
        <v>https://www.redfin.com/CA/Los-Angeles/1140-Lemoyne-St-90026/unit-4/apartment/193530951</v>
      </c>
      <c r="K1443" s="5" t="str">
        <f ca="1">IFERROR(__xludf.DUMMYFUNCTION("""COMPUTED_VALUE"""),"Prakash Shroff")</f>
        <v>Prakash Shroff</v>
      </c>
      <c r="L1443" s="5"/>
      <c r="M1443" s="5" t="str">
        <f ca="1">IFERROR(__xludf.DUMMYFUNCTION("""COMPUTED_VALUE"""),"FMR for this type of home in this zip code is $2480/month. This listing is 171% of the FMR")</f>
        <v>FMR for this type of home in this zip code is $2480/month. This listing is 171% of the FMR</v>
      </c>
      <c r="N1443" s="26" t="str">
        <f ca="1">IFERROR(__xludf.DUMMYFUNCTION("""COMPUTED_VALUE"""),"https://drive.google.com/open?id=1BRBgStbfAiXKWWWJ_3PoOOTGnShpqbML")</f>
        <v>https://drive.google.com/open?id=1BRBgStbfAiXKWWWJ_3PoOOTGnShpqbML</v>
      </c>
      <c r="O1443" s="5" t="str">
        <f ca="1">IFERROR(__xludf.DUMMYFUNCTION("""COMPUTED_VALUE"""),"NA")</f>
        <v>NA</v>
      </c>
      <c r="P1443" s="5" t="str">
        <f ca="1">IFERROR(__xludf.DUMMYFUNCTION("""COMPUTED_VALUE"""),"323-868-0004")</f>
        <v>323-868-0004</v>
      </c>
      <c r="Q1443" s="5" t="str">
        <f ca="1">IFERROR(__xludf.DUMMYFUNCTION("""COMPUTED_VALUE"""),"prakash.shroff@compass.com")</f>
        <v>prakash.shroff@compass.com</v>
      </c>
      <c r="R1443" s="5"/>
      <c r="S1443" s="5"/>
      <c r="T1443" s="5"/>
    </row>
    <row r="1444" spans="1:20" ht="12.75">
      <c r="A1444" s="24">
        <f ca="1">IFERROR(__xludf.DUMMYFUNCTION("""COMPUTED_VALUE"""),45684.69039353)</f>
        <v>45684.69039353</v>
      </c>
      <c r="B1444" s="5" t="str">
        <f ca="1">IFERROR(__xludf.DUMMYFUNCTION("""COMPUTED_VALUE"""),"818 1/2 S Orange Grove Ave")</f>
        <v>818 1/2 S Orange Grove Ave</v>
      </c>
      <c r="C1444" s="5" t="str">
        <f ca="1">IFERROR(__xludf.DUMMYFUNCTION("""COMPUTED_VALUE"""),"Los Angeles")</f>
        <v>Los Angeles</v>
      </c>
      <c r="D1444" s="5" t="str">
        <f ca="1">IFERROR(__xludf.DUMMYFUNCTION("""COMPUTED_VALUE"""),"CA")</f>
        <v>CA</v>
      </c>
      <c r="E1444" s="5">
        <f ca="1">IFERROR(__xludf.DUMMYFUNCTION("""COMPUTED_VALUE"""),90036)</f>
        <v>90036</v>
      </c>
      <c r="F1444" s="19">
        <f ca="1">IFERROR(__xludf.DUMMYFUNCTION("""COMPUTED_VALUE"""),2401)</f>
        <v>2401</v>
      </c>
      <c r="G1444" s="19">
        <f ca="1">IFERROR(__xludf.DUMMYFUNCTION("""COMPUTED_VALUE"""),3550)</f>
        <v>3550</v>
      </c>
      <c r="H1444" s="18">
        <f ca="1">IFERROR(__xludf.DUMMYFUNCTION("""COMPUTED_VALUE"""),45658)</f>
        <v>45658</v>
      </c>
      <c r="I1444" s="26" t="str">
        <f ca="1">IFERROR(__xludf.DUMMYFUNCTION("""COMPUTED_VALUE"""),"Forrent.com")</f>
        <v>Forrent.com</v>
      </c>
      <c r="J1444" s="25" t="str">
        <f ca="1">IFERROR(__xludf.DUMMYFUNCTION("""COMPUTED_VALUE"""),"https://www.forrent.com/ca/los-angeles/818-s-orange-grove-ave/dktrd3j")</f>
        <v>https://www.forrent.com/ca/los-angeles/818-s-orange-grove-ave/dktrd3j</v>
      </c>
      <c r="K1444" s="5"/>
      <c r="L1444" s="5" t="str">
        <f ca="1">IFERROR(__xludf.DUMMYFUNCTION("""COMPUTED_VALUE"""),"George Glaviano")</f>
        <v>George Glaviano</v>
      </c>
      <c r="M1444" s="5"/>
      <c r="N1444" s="26" t="str">
        <f ca="1">IFERROR(__xludf.DUMMYFUNCTION("""COMPUTED_VALUE"""),"https://drive.google.com/open?id=1lsl9UArWXtrHschz8WHWj1I7KHMTE3cg")</f>
        <v>https://drive.google.com/open?id=1lsl9UArWXtrHschz8WHWj1I7KHMTE3cg</v>
      </c>
      <c r="O1444" s="5" t="str">
        <f ca="1">IFERROR(__xludf.DUMMYFUNCTION("""COMPUTED_VALUE"""),"N/a")</f>
        <v>N/a</v>
      </c>
      <c r="P1444" s="5"/>
      <c r="Q1444" s="5"/>
      <c r="R1444" s="5">
        <f ca="1">IFERROR(__xludf.DUMMYFUNCTION("""COMPUTED_VALUE"""),2138128218)</f>
        <v>2138128218</v>
      </c>
      <c r="S1444" s="5"/>
      <c r="T1444" s="18">
        <f ca="1">IFERROR(__xludf.DUMMYFUNCTION("""COMPUTED_VALUE"""),45536)</f>
        <v>45536</v>
      </c>
    </row>
    <row r="1445" spans="1:20" ht="12.75">
      <c r="A1445" s="24">
        <f ca="1">IFERROR(__xludf.DUMMYFUNCTION("""COMPUTED_VALUE"""),45684.6940717592)</f>
        <v>45684.694071759201</v>
      </c>
      <c r="B1445" s="5" t="str">
        <f ca="1">IFERROR(__xludf.DUMMYFUNCTION("""COMPUTED_VALUE"""),"2335 1/2 Mayberry St")</f>
        <v>2335 1/2 Mayberry St</v>
      </c>
      <c r="C1445" s="5" t="str">
        <f ca="1">IFERROR(__xludf.DUMMYFUNCTION("""COMPUTED_VALUE"""),"Los Angeles")</f>
        <v>Los Angeles</v>
      </c>
      <c r="D1445" s="5" t="str">
        <f ca="1">IFERROR(__xludf.DUMMYFUNCTION("""COMPUTED_VALUE"""),"CA")</f>
        <v>CA</v>
      </c>
      <c r="E1445" s="5">
        <f ca="1">IFERROR(__xludf.DUMMYFUNCTION("""COMPUTED_VALUE"""),90026)</f>
        <v>90026</v>
      </c>
      <c r="F1445" s="19">
        <f ca="1">IFERROR(__xludf.DUMMYFUNCTION("""COMPUTED_VALUE"""),1)</f>
        <v>1</v>
      </c>
      <c r="G1445" s="19">
        <f ca="1">IFERROR(__xludf.DUMMYFUNCTION("""COMPUTED_VALUE"""),4750)</f>
        <v>4750</v>
      </c>
      <c r="H1445" s="18">
        <f ca="1">IFERROR(__xludf.DUMMYFUNCTION("""COMPUTED_VALUE"""),45684)</f>
        <v>45684</v>
      </c>
      <c r="I1445" s="5" t="str">
        <f ca="1">IFERROR(__xludf.DUMMYFUNCTION("""COMPUTED_VALUE"""),"Redfin")</f>
        <v>Redfin</v>
      </c>
      <c r="J1445" s="25" t="str">
        <f ca="1">IFERROR(__xludf.DUMMYFUNCTION("""COMPUTED_VALUE"""),"https://www.redfin.com/CA/Los-Angeles/2335-1-2-Mayberry-St-90026/home/191197931")</f>
        <v>https://www.redfin.com/CA/Los-Angeles/2335-1-2-Mayberry-St-90026/home/191197931</v>
      </c>
      <c r="K1445" s="5"/>
      <c r="L1445" s="5"/>
      <c r="M1445" s="5" t="str">
        <f ca="1">IFERROR(__xludf.DUMMYFUNCTION("""COMPUTED_VALUE"""),"No price history, but this rental is 192% of the FMR")</f>
        <v>No price history, but this rental is 192% of the FMR</v>
      </c>
      <c r="N1445" s="26" t="str">
        <f ca="1">IFERROR(__xludf.DUMMYFUNCTION("""COMPUTED_VALUE"""),"https://drive.google.com/open?id=10VFoBYEy1DRBQZumpXkkekvnjevOcs-v")</f>
        <v>https://drive.google.com/open?id=10VFoBYEy1DRBQZumpXkkekvnjevOcs-v</v>
      </c>
      <c r="O1445" s="5" t="str">
        <f ca="1">IFERROR(__xludf.DUMMYFUNCTION("""COMPUTED_VALUE"""),"NA")</f>
        <v>NA</v>
      </c>
      <c r="P1445" s="5"/>
      <c r="Q1445" s="5"/>
      <c r="R1445" s="5"/>
      <c r="S1445" s="5"/>
      <c r="T1445" s="5"/>
    </row>
    <row r="1446" spans="1:20" ht="12.75">
      <c r="A1446" s="24">
        <f ca="1">IFERROR(__xludf.DUMMYFUNCTION("""COMPUTED_VALUE"""),45684.7025384953)</f>
        <v>45684.702538495301</v>
      </c>
      <c r="B1446" s="5" t="str">
        <f ca="1">IFERROR(__xludf.DUMMYFUNCTION("""COMPUTED_VALUE"""),"822 S Plymouth Blvd #2")</f>
        <v>822 S Plymouth Blvd #2</v>
      </c>
      <c r="C1446" s="5" t="str">
        <f ca="1">IFERROR(__xludf.DUMMYFUNCTION("""COMPUTED_VALUE"""),"Los Angeles")</f>
        <v>Los Angeles</v>
      </c>
      <c r="D1446" s="5" t="str">
        <f ca="1">IFERROR(__xludf.DUMMYFUNCTION("""COMPUTED_VALUE"""),"CA")</f>
        <v>CA</v>
      </c>
      <c r="E1446" s="5">
        <f ca="1">IFERROR(__xludf.DUMMYFUNCTION("""COMPUTED_VALUE"""),90005)</f>
        <v>90005</v>
      </c>
      <c r="F1446" s="19">
        <f ca="1">IFERROR(__xludf.DUMMYFUNCTION("""COMPUTED_VALUE"""),5900)</f>
        <v>5900</v>
      </c>
      <c r="G1446" s="19">
        <f ca="1">IFERROR(__xludf.DUMMYFUNCTION("""COMPUTED_VALUE"""),6500)</f>
        <v>6500</v>
      </c>
      <c r="H1446" s="18">
        <f ca="1">IFERROR(__xludf.DUMMYFUNCTION("""COMPUTED_VALUE"""),45671)</f>
        <v>45671</v>
      </c>
      <c r="I1446" s="5" t="str">
        <f ca="1">IFERROR(__xludf.DUMMYFUNCTION("""COMPUTED_VALUE"""),"Zillow")</f>
        <v>Zillow</v>
      </c>
      <c r="J1446" s="25" t="str">
        <f ca="1">IFERROR(__xludf.DUMMYFUNCTION("""COMPUTED_VALUE"""),"https://www.zillow.com/homedetails/822-S-Plymouth-Blvd-2-Los-Angeles-CA-90005/339398724_zpid/")</f>
        <v>https://www.zillow.com/homedetails/822-S-Plymouth-Blvd-2-Los-Angeles-CA-90005/339398724_zpid/</v>
      </c>
      <c r="K1446" s="5" t="str">
        <f ca="1">IFERROR(__xludf.DUMMYFUNCTION("""COMPUTED_VALUE"""),"JASMINE CHOI")</f>
        <v>JASMINE CHOI</v>
      </c>
      <c r="L1446" s="5"/>
      <c r="M1446" s="5"/>
      <c r="N1446" s="26" t="str">
        <f ca="1">IFERROR(__xludf.DUMMYFUNCTION("""COMPUTED_VALUE"""),"https://drive.google.com/open?id=1OEP5Ftb_oOApxHh8nhQPZNlkXoi3M07l")</f>
        <v>https://drive.google.com/open?id=1OEP5Ftb_oOApxHh8nhQPZNlkXoi3M07l</v>
      </c>
      <c r="O1446" s="5">
        <f ca="1">IFERROR(__xludf.DUMMYFUNCTION("""COMPUTED_VALUE"""),5090028052)</f>
        <v>5090028052</v>
      </c>
      <c r="P1446" s="5" t="str">
        <f ca="1">IFERROR(__xludf.DUMMYFUNCTION("""COMPUTED_VALUE"""),"(213) 220-6565")</f>
        <v>(213) 220-6565</v>
      </c>
      <c r="Q1446" s="5"/>
      <c r="R1446" s="5"/>
      <c r="S1446" s="5"/>
      <c r="T1446" s="18">
        <f ca="1">IFERROR(__xludf.DUMMYFUNCTION("""COMPUTED_VALUE"""),45321)</f>
        <v>45321</v>
      </c>
    </row>
    <row r="1447" spans="1:20" ht="12.75">
      <c r="A1447" s="24">
        <f ca="1">IFERROR(__xludf.DUMMYFUNCTION("""COMPUTED_VALUE"""),45684.707007662)</f>
        <v>45684.707007662</v>
      </c>
      <c r="B1447" s="5" t="str">
        <f ca="1">IFERROR(__xludf.DUMMYFUNCTION("""COMPUTED_VALUE"""),"235 N Hoover St")</f>
        <v>235 N Hoover St</v>
      </c>
      <c r="C1447" s="5" t="str">
        <f ca="1">IFERROR(__xludf.DUMMYFUNCTION("""COMPUTED_VALUE"""),"Los Angeles")</f>
        <v>Los Angeles</v>
      </c>
      <c r="D1447" s="5" t="str">
        <f ca="1">IFERROR(__xludf.DUMMYFUNCTION("""COMPUTED_VALUE"""),"CA")</f>
        <v>CA</v>
      </c>
      <c r="E1447" s="5">
        <f ca="1">IFERROR(__xludf.DUMMYFUNCTION("""COMPUTED_VALUE"""),90004)</f>
        <v>90004</v>
      </c>
      <c r="F1447" s="19">
        <f ca="1">IFERROR(__xludf.DUMMYFUNCTION("""COMPUTED_VALUE"""),1)</f>
        <v>1</v>
      </c>
      <c r="G1447" s="19">
        <f ca="1">IFERROR(__xludf.DUMMYFUNCTION("""COMPUTED_VALUE"""),4460)</f>
        <v>4460</v>
      </c>
      <c r="H1447" s="18">
        <f ca="1">IFERROR(__xludf.DUMMYFUNCTION("""COMPUTED_VALUE"""),45684)</f>
        <v>45684</v>
      </c>
      <c r="I1447" s="5" t="str">
        <f ca="1">IFERROR(__xludf.DUMMYFUNCTION("""COMPUTED_VALUE"""),"Redfin")</f>
        <v>Redfin</v>
      </c>
      <c r="J1447" s="25" t="str">
        <f ca="1">IFERROR(__xludf.DUMMYFUNCTION("""COMPUTED_VALUE"""),"https://www.redfin.com/CA/Los-Angeles/235-N-Hoover-St-90004/home/182324328")</f>
        <v>https://www.redfin.com/CA/Los-Angeles/235-N-Hoover-St-90004/home/182324328</v>
      </c>
      <c r="K1447" s="5"/>
      <c r="L1447" s="5" t="str">
        <f ca="1">IFERROR(__xludf.DUMMYFUNCTION("""COMPUTED_VALUE"""),"Silva")</f>
        <v>Silva</v>
      </c>
      <c r="M1447" s="5" t="str">
        <f ca="1">IFERROR(__xludf.DUMMYFUNCTION("""COMPUTED_VALUE"""),"No price history. 2 bed units range from $3575 - $5475, most of which are more than 160% FMR for this zip code")</f>
        <v>No price history. 2 bed units range from $3575 - $5475, most of which are more than 160% FMR for this zip code</v>
      </c>
      <c r="N1447" s="5" t="str">
        <f ca="1">IFERROR(__xludf.DUMMYFUNCTION("""COMPUTED_VALUE"""),"https://drive.google.com/open?id=1pnde3qyLo-okYkwtktd_FoqqUf2bADC3, https://drive.google.com/open?id=1UmPZZVzfYwLxIs0Ai9ldlJvU2YLXm8j6")</f>
        <v>https://drive.google.com/open?id=1pnde3qyLo-okYkwtktd_FoqqUf2bADC3, https://drive.google.com/open?id=1UmPZZVzfYwLxIs0Ai9ldlJvU2YLXm8j6</v>
      </c>
      <c r="O1447" s="5" t="str">
        <f ca="1">IFERROR(__xludf.DUMMYFUNCTION("""COMPUTED_VALUE"""),"N/A")</f>
        <v>N/A</v>
      </c>
      <c r="P1447" s="5"/>
      <c r="Q1447" s="5"/>
      <c r="R1447" s="5"/>
      <c r="S1447" s="5"/>
      <c r="T1447" s="5"/>
    </row>
    <row r="1448" spans="1:20" ht="12.75">
      <c r="A1448" s="24">
        <f ca="1">IFERROR(__xludf.DUMMYFUNCTION("""COMPUTED_VALUE"""),45684.7129121296)</f>
        <v>45684.712912129602</v>
      </c>
      <c r="B1448" s="5" t="str">
        <f ca="1">IFERROR(__xludf.DUMMYFUNCTION("""COMPUTED_VALUE"""),"355 Glendale Blvd")</f>
        <v>355 Glendale Blvd</v>
      </c>
      <c r="C1448" s="5" t="str">
        <f ca="1">IFERROR(__xludf.DUMMYFUNCTION("""COMPUTED_VALUE"""),"Los Angeles")</f>
        <v>Los Angeles</v>
      </c>
      <c r="D1448" s="5" t="str">
        <f ca="1">IFERROR(__xludf.DUMMYFUNCTION("""COMPUTED_VALUE"""),"CA")</f>
        <v>CA</v>
      </c>
      <c r="E1448" s="5">
        <f ca="1">IFERROR(__xludf.DUMMYFUNCTION("""COMPUTED_VALUE"""),90026)</f>
        <v>90026</v>
      </c>
      <c r="F1448" s="19">
        <f ca="1">IFERROR(__xludf.DUMMYFUNCTION("""COMPUTED_VALUE"""),1)</f>
        <v>1</v>
      </c>
      <c r="G1448" s="19">
        <f ca="1">IFERROR(__xludf.DUMMYFUNCTION("""COMPUTED_VALUE"""),5090)</f>
        <v>5090</v>
      </c>
      <c r="H1448" s="18">
        <f ca="1">IFERROR(__xludf.DUMMYFUNCTION("""COMPUTED_VALUE"""),45684)</f>
        <v>45684</v>
      </c>
      <c r="I1448" s="5" t="str">
        <f ca="1">IFERROR(__xludf.DUMMYFUNCTION("""COMPUTED_VALUE"""),"Redfin")</f>
        <v>Redfin</v>
      </c>
      <c r="J1448" s="25" t="str">
        <f ca="1">IFERROR(__xludf.DUMMYFUNCTION("""COMPUTED_VALUE"""),"https://www.redfin.com/CA/Los-Angeles/Inspire-Echo-Park/apartment/191903567")</f>
        <v>https://www.redfin.com/CA/Los-Angeles/Inspire-Echo-Park/apartment/191903567</v>
      </c>
      <c r="K1448" s="5"/>
      <c r="L1448" s="5" t="str">
        <f ca="1">IFERROR(__xludf.DUMMYFUNCTION("""COMPUTED_VALUE"""),"Inspire Echo Park")</f>
        <v>Inspire Echo Park</v>
      </c>
      <c r="M1448" s="5" t="str">
        <f ca="1">IFERROR(__xludf.DUMMYFUNCTION("""COMPUTED_VALUE"""),"No price history available. 2 Bd units range from $2836-$5354. upper limit prices are 216% above FMR for the area. Also, theres is an $800 difference between 2 units that are otherwise almost exactly the same.")</f>
        <v>No price history available. 2 Bd units range from $2836-$5354. upper limit prices are 216% above FMR for the area. Also, theres is an $800 difference between 2 units that are otherwise almost exactly the same.</v>
      </c>
      <c r="N1448" s="5" t="str">
        <f ca="1">IFERROR(__xludf.DUMMYFUNCTION("""COMPUTED_VALUE"""),"https://drive.google.com/open?id=1pgklqeaLWdpKoiqAor3cJsuOdeeCvmqi, https://drive.google.com/open?id=1tz0dOs7iW9C4CE8cYQIJbz-AD0oJsBpA, https://drive.google.com/open?id=1YeKwijiUJHZaenqwhcQCY2_Bc4zVjc4z")</f>
        <v>https://drive.google.com/open?id=1pgklqeaLWdpKoiqAor3cJsuOdeeCvmqi, https://drive.google.com/open?id=1tz0dOs7iW9C4CE8cYQIJbz-AD0oJsBpA, https://drive.google.com/open?id=1YeKwijiUJHZaenqwhcQCY2_Bc4zVjc4z</v>
      </c>
      <c r="O1448" s="5" t="str">
        <f ca="1">IFERROR(__xludf.DUMMYFUNCTION("""COMPUTED_VALUE"""),"NA")</f>
        <v>NA</v>
      </c>
      <c r="P1448" s="5" t="str">
        <f ca="1">IFERROR(__xludf.DUMMYFUNCTION("""COMPUTED_VALUE"""),"(833) 283-7735")</f>
        <v>(833) 283-7735</v>
      </c>
      <c r="Q1448" s="5"/>
      <c r="R1448" s="5"/>
      <c r="S1448" s="5"/>
      <c r="T1448" s="5"/>
    </row>
    <row r="1449" spans="1:20" ht="12.75">
      <c r="A1449" s="24">
        <f ca="1">IFERROR(__xludf.DUMMYFUNCTION("""COMPUTED_VALUE"""),45684.7158315625)</f>
        <v>45684.715831562498</v>
      </c>
      <c r="B1449" s="5" t="str">
        <f ca="1">IFERROR(__xludf.DUMMYFUNCTION("""COMPUTED_VALUE"""),"1485 Westerly Terrace")</f>
        <v>1485 Westerly Terrace</v>
      </c>
      <c r="C1449" s="5" t="str">
        <f ca="1">IFERROR(__xludf.DUMMYFUNCTION("""COMPUTED_VALUE"""),"Los Angeles")</f>
        <v>Los Angeles</v>
      </c>
      <c r="D1449" s="5" t="str">
        <f ca="1">IFERROR(__xludf.DUMMYFUNCTION("""COMPUTED_VALUE"""),"CA")</f>
        <v>CA</v>
      </c>
      <c r="E1449" s="5">
        <f ca="1">IFERROR(__xludf.DUMMYFUNCTION("""COMPUTED_VALUE"""),90026)</f>
        <v>90026</v>
      </c>
      <c r="F1449" s="19">
        <f ca="1">IFERROR(__xludf.DUMMYFUNCTION("""COMPUTED_VALUE"""),1)</f>
        <v>1</v>
      </c>
      <c r="G1449" s="19">
        <f ca="1">IFERROR(__xludf.DUMMYFUNCTION("""COMPUTED_VALUE"""),4500)</f>
        <v>4500</v>
      </c>
      <c r="H1449" s="18">
        <f ca="1">IFERROR(__xludf.DUMMYFUNCTION("""COMPUTED_VALUE"""),45679)</f>
        <v>45679</v>
      </c>
      <c r="I1449" s="5" t="str">
        <f ca="1">IFERROR(__xludf.DUMMYFUNCTION("""COMPUTED_VALUE"""),"Redfin")</f>
        <v>Redfin</v>
      </c>
      <c r="J1449" s="25" t="str">
        <f ca="1">IFERROR(__xludf.DUMMYFUNCTION("""COMPUTED_VALUE"""),"https://www.redfin.com/CA/Los-Angeles/1485-Westerly-Ter-90026/home/194389457")</f>
        <v>https://www.redfin.com/CA/Los-Angeles/1485-Westerly-Ter-90026/home/194389457</v>
      </c>
      <c r="K1449" s="5"/>
      <c r="L1449" s="5"/>
      <c r="M1449" s="5" t="str">
        <f ca="1">IFERROR(__xludf.DUMMYFUNCTION("""COMPUTED_VALUE"""),"rental price 181% of FMR listed on 1/22/25")</f>
        <v>rental price 181% of FMR listed on 1/22/25</v>
      </c>
      <c r="N1449" s="5" t="str">
        <f ca="1">IFERROR(__xludf.DUMMYFUNCTION("""COMPUTED_VALUE"""),"https://drive.google.com/open?id=129NTzZVDcxT7UsUiHAOunZgKt1NgfUEN, https://drive.google.com/open?id=1mVcmxDQsrAOQdXQD8VV83JcazizUQzAd")</f>
        <v>https://drive.google.com/open?id=129NTzZVDcxT7UsUiHAOunZgKt1NgfUEN, https://drive.google.com/open?id=1mVcmxDQsrAOQdXQD8VV83JcazizUQzAd</v>
      </c>
      <c r="O1449" s="5" t="str">
        <f ca="1">IFERROR(__xludf.DUMMYFUNCTION("""COMPUTED_VALUE"""),"NA")</f>
        <v>NA</v>
      </c>
      <c r="P1449" s="5">
        <f ca="1">IFERROR(__xludf.DUMMYFUNCTION("""COMPUTED_VALUE"""),3103406285)</f>
        <v>3103406285</v>
      </c>
      <c r="Q1449" s="5"/>
      <c r="R1449" s="5"/>
      <c r="S1449" s="5"/>
      <c r="T1449" s="5"/>
    </row>
    <row r="1450" spans="1:20" ht="12.75">
      <c r="A1450" s="24">
        <f ca="1">IFERROR(__xludf.DUMMYFUNCTION("""COMPUTED_VALUE"""),45684.7977592013)</f>
        <v>45684.797759201298</v>
      </c>
      <c r="B1450" s="5" t="str">
        <f ca="1">IFERROR(__xludf.DUMMYFUNCTION("""COMPUTED_VALUE"""),"2000 Kew Dr")</f>
        <v>2000 Kew Dr</v>
      </c>
      <c r="C1450" s="5" t="str">
        <f ca="1">IFERROR(__xludf.DUMMYFUNCTION("""COMPUTED_VALUE"""),"Los Angeles")</f>
        <v>Los Angeles</v>
      </c>
      <c r="D1450" s="5" t="str">
        <f ca="1">IFERROR(__xludf.DUMMYFUNCTION("""COMPUTED_VALUE"""),"CA")</f>
        <v>CA</v>
      </c>
      <c r="E1450" s="5">
        <f ca="1">IFERROR(__xludf.DUMMYFUNCTION("""COMPUTED_VALUE"""),90046)</f>
        <v>90046</v>
      </c>
      <c r="F1450" s="19">
        <f ca="1">IFERROR(__xludf.DUMMYFUNCTION("""COMPUTED_VALUE"""),8500)</f>
        <v>8500</v>
      </c>
      <c r="G1450" s="19">
        <f ca="1">IFERROR(__xludf.DUMMYFUNCTION("""COMPUTED_VALUE"""),15000)</f>
        <v>15000</v>
      </c>
      <c r="H1450" s="18">
        <f ca="1">IFERROR(__xludf.DUMMYFUNCTION("""COMPUTED_VALUE"""),45685)</f>
        <v>45685</v>
      </c>
      <c r="I1450" s="5" t="str">
        <f ca="1">IFERROR(__xludf.DUMMYFUNCTION("""COMPUTED_VALUE"""),"Zillow")</f>
        <v>Zillow</v>
      </c>
      <c r="J1450" s="25" t="str">
        <f ca="1">IFERROR(__xludf.DUMMYFUNCTION("""COMPUTED_VALUE"""),"https://www.zillow.com/homedetails/Los-Angeles-CA-90046/2088760040_zpid/")</f>
        <v>https://www.zillow.com/homedetails/Los-Angeles-CA-90046/2088760040_zpid/</v>
      </c>
      <c r="K1450" s="5"/>
      <c r="L1450" s="5" t="str">
        <f ca="1">IFERROR(__xludf.DUMMYFUNCTION("""COMPUTED_VALUE"""),"JORDAN ROKNI")</f>
        <v>JORDAN ROKNI</v>
      </c>
      <c r="M1450" s="5"/>
      <c r="N1450" s="26" t="str">
        <f ca="1">IFERROR(__xludf.DUMMYFUNCTION("""COMPUTED_VALUE"""),"https://drive.google.com/open?id=1AlZDurmsEK-AqBNylmndyqOsmE1SeiGo")</f>
        <v>https://drive.google.com/open?id=1AlZDurmsEK-AqBNylmndyqOsmE1SeiGo</v>
      </c>
      <c r="O1450" s="5" t="str">
        <f ca="1">IFERROR(__xludf.DUMMYFUNCTION("""COMPUTED_VALUE"""),"NA")</f>
        <v>NA</v>
      </c>
      <c r="P1450" s="5"/>
      <c r="Q1450" s="5"/>
      <c r="R1450" s="5" t="str">
        <f ca="1">IFERROR(__xludf.DUMMYFUNCTION("""COMPUTED_VALUE"""),"(424) 285-5578")</f>
        <v>(424) 285-5578</v>
      </c>
      <c r="S1450" s="5"/>
      <c r="T1450" s="18">
        <f ca="1">IFERROR(__xludf.DUMMYFUNCTION("""COMPUTED_VALUE"""),45449)</f>
        <v>45449</v>
      </c>
    </row>
    <row r="1451" spans="1:20" ht="12.75">
      <c r="A1451" s="24">
        <f ca="1">IFERROR(__xludf.DUMMYFUNCTION("""COMPUTED_VALUE"""),45684.9089823611)</f>
        <v>45684.908982361099</v>
      </c>
      <c r="B1451" s="5" t="str">
        <f ca="1">IFERROR(__xludf.DUMMYFUNCTION("""COMPUTED_VALUE"""),"7744 Mary Ellen Ave")</f>
        <v>7744 Mary Ellen Ave</v>
      </c>
      <c r="C1451" s="5" t="str">
        <f ca="1">IFERROR(__xludf.DUMMYFUNCTION("""COMPUTED_VALUE"""),"North Hollywood")</f>
        <v>North Hollywood</v>
      </c>
      <c r="D1451" s="5" t="str">
        <f ca="1">IFERROR(__xludf.DUMMYFUNCTION("""COMPUTED_VALUE"""),"CA")</f>
        <v>CA</v>
      </c>
      <c r="E1451" s="5">
        <f ca="1">IFERROR(__xludf.DUMMYFUNCTION("""COMPUTED_VALUE"""),91605)</f>
        <v>91605</v>
      </c>
      <c r="F1451" s="19">
        <f ca="1">IFERROR(__xludf.DUMMYFUNCTION("""COMPUTED_VALUE"""),1)</f>
        <v>1</v>
      </c>
      <c r="G1451" s="19">
        <f ca="1">IFERROR(__xludf.DUMMYFUNCTION("""COMPUTED_VALUE"""),7500)</f>
        <v>7500</v>
      </c>
      <c r="H1451" s="18">
        <f ca="1">IFERROR(__xludf.DUMMYFUNCTION("""COMPUTED_VALUE"""),45685)</f>
        <v>45685</v>
      </c>
      <c r="I1451" s="5" t="str">
        <f ca="1">IFERROR(__xludf.DUMMYFUNCTION("""COMPUTED_VALUE"""),"Zillow")</f>
        <v>Zillow</v>
      </c>
      <c r="J1451" s="25" t="str">
        <f ca="1">IFERROR(__xludf.DUMMYFUNCTION("""COMPUTED_VALUE"""),"https://www.zillow.com/homedetails/7744-Mary-Ellen-Ave-North-Hollywood-CA-91605/19996211_zpid/")</f>
        <v>https://www.zillow.com/homedetails/7744-Mary-Ellen-Ave-North-Hollywood-CA-91605/19996211_zpid/</v>
      </c>
      <c r="K1451" s="5" t="str">
        <f ca="1">IFERROR(__xludf.DUMMYFUNCTION("""COMPUTED_VALUE"""),"Melik Melikyan")</f>
        <v>Melik Melikyan</v>
      </c>
      <c r="L1451" s="5"/>
      <c r="M1451" s="5" t="str">
        <f ca="1">IFERROR(__xludf.DUMMYFUNCTION("""COMPUTED_VALUE"""),"FMR for 4 bed in this zipcode is $3440, this is 218% the FMR")</f>
        <v>FMR for 4 bed in this zipcode is $3440, this is 218% the FMR</v>
      </c>
      <c r="N1451" s="5" t="str">
        <f ca="1">IFERROR(__xludf.DUMMYFUNCTION("""COMPUTED_VALUE"""),"https://drive.google.com/open?id=1MP6j9zBWNftCTARnWFdIVht7dE80K61h, https://drive.google.com/open?id=1BPOBlzrIWisLvpK_DbpZ5-ZONUMw9t8r")</f>
        <v>https://drive.google.com/open?id=1MP6j9zBWNftCTARnWFdIVht7dE80K61h, https://drive.google.com/open?id=1BPOBlzrIWisLvpK_DbpZ5-ZONUMw9t8r</v>
      </c>
      <c r="O1451" s="5">
        <f ca="1">IFERROR(__xludf.DUMMYFUNCTION("""COMPUTED_VALUE"""),2303016056)</f>
        <v>2303016056</v>
      </c>
      <c r="P1451" s="5" t="str">
        <f ca="1">IFERROR(__xludf.DUMMYFUNCTION("""COMPUTED_VALUE"""),"(818) 281-1703")</f>
        <v>(818) 281-1703</v>
      </c>
      <c r="Q1451" s="5"/>
      <c r="R1451" s="5"/>
      <c r="S1451" s="5"/>
      <c r="T1451" s="5"/>
    </row>
    <row r="1452" spans="1:20" ht="12.75">
      <c r="A1452" s="24">
        <f ca="1">IFERROR(__xludf.DUMMYFUNCTION("""COMPUTED_VALUE"""),45684.9137295949)</f>
        <v>45684.913729594897</v>
      </c>
      <c r="B1452" s="5" t="str">
        <f ca="1">IFERROR(__xludf.DUMMYFUNCTION("""COMPUTED_VALUE"""),"740 N Kings Rd APT 103")</f>
        <v>740 N Kings Rd APT 103</v>
      </c>
      <c r="C1452" s="5" t="str">
        <f ca="1">IFERROR(__xludf.DUMMYFUNCTION("""COMPUTED_VALUE"""),"Los Angeles")</f>
        <v>Los Angeles</v>
      </c>
      <c r="D1452" s="5" t="str">
        <f ca="1">IFERROR(__xludf.DUMMYFUNCTION("""COMPUTED_VALUE"""),"CA")</f>
        <v>CA</v>
      </c>
      <c r="E1452" s="5">
        <f ca="1">IFERROR(__xludf.DUMMYFUNCTION("""COMPUTED_VALUE"""),90069)</f>
        <v>90069</v>
      </c>
      <c r="F1452" s="19">
        <f ca="1">IFERROR(__xludf.DUMMYFUNCTION("""COMPUTED_VALUE"""),4000)</f>
        <v>4000</v>
      </c>
      <c r="G1452" s="19">
        <f ca="1">IFERROR(__xludf.DUMMYFUNCTION("""COMPUTED_VALUE"""),5000)</f>
        <v>5000</v>
      </c>
      <c r="H1452" s="18">
        <f ca="1">IFERROR(__xludf.DUMMYFUNCTION("""COMPUTED_VALUE"""),45685)</f>
        <v>45685</v>
      </c>
      <c r="I1452" s="5" t="str">
        <f ca="1">IFERROR(__xludf.DUMMYFUNCTION("""COMPUTED_VALUE"""),"Zillow")</f>
        <v>Zillow</v>
      </c>
      <c r="J1452" s="25" t="str">
        <f ca="1">IFERROR(__xludf.DUMMYFUNCTION("""COMPUTED_VALUE"""),"https://www.zillow.com/homedetails/740-N-Kings-Rd-APT-103-Los-Angeles-CA-90069/20786497_zpid/")</f>
        <v>https://www.zillow.com/homedetails/740-N-Kings-Rd-APT-103-Los-Angeles-CA-90069/20786497_zpid/</v>
      </c>
      <c r="K1452" s="5"/>
      <c r="L1452" s="5" t="str">
        <f ca="1">IFERROR(__xludf.DUMMYFUNCTION("""COMPUTED_VALUE"""),"Raffoul Saadeh")</f>
        <v>Raffoul Saadeh</v>
      </c>
      <c r="M1452" s="5"/>
      <c r="N1452" s="5" t="str">
        <f ca="1">IFERROR(__xludf.DUMMYFUNCTION("""COMPUTED_VALUE"""),"https://drive.google.com/open?id=1NBwaQvmAazT2Pe2NYbblElxlQlnMYNrb, https://drive.google.com/open?id=1Ik0q488wjDysim-eLtVJYGdYkokWM4hC")</f>
        <v>https://drive.google.com/open?id=1NBwaQvmAazT2Pe2NYbblElxlQlnMYNrb, https://drive.google.com/open?id=1Ik0q488wjDysim-eLtVJYGdYkokWM4hC</v>
      </c>
      <c r="O1452" s="5">
        <f ca="1">IFERROR(__xludf.DUMMYFUNCTION("""COMPUTED_VALUE"""),5528003078)</f>
        <v>5528003078</v>
      </c>
      <c r="P1452" s="5"/>
      <c r="Q1452" s="5"/>
      <c r="R1452" s="5" t="str">
        <f ca="1">IFERROR(__xludf.DUMMYFUNCTION("""COMPUTED_VALUE"""),"(424) 355-5529")</f>
        <v>(424) 355-5529</v>
      </c>
      <c r="S1452" s="5"/>
      <c r="T1452" s="18">
        <f ca="1">IFERROR(__xludf.DUMMYFUNCTION("""COMPUTED_VALUE"""),45342)</f>
        <v>45342</v>
      </c>
    </row>
    <row r="1453" spans="1:20" ht="12.75">
      <c r="A1453" s="24">
        <f ca="1">IFERROR(__xludf.DUMMYFUNCTION("""COMPUTED_VALUE"""),45684.9197481828)</f>
        <v>45684.919748182801</v>
      </c>
      <c r="B1453" s="5" t="str">
        <f ca="1">IFERROR(__xludf.DUMMYFUNCTION("""COMPUTED_VALUE"""),"6564 Kelvin Ave")</f>
        <v>6564 Kelvin Ave</v>
      </c>
      <c r="C1453" s="5" t="str">
        <f ca="1">IFERROR(__xludf.DUMMYFUNCTION("""COMPUTED_VALUE"""),"Winnetka")</f>
        <v>Winnetka</v>
      </c>
      <c r="D1453" s="5" t="str">
        <f ca="1">IFERROR(__xludf.DUMMYFUNCTION("""COMPUTED_VALUE"""),"CA")</f>
        <v>CA</v>
      </c>
      <c r="E1453" s="5">
        <f ca="1">IFERROR(__xludf.DUMMYFUNCTION("""COMPUTED_VALUE"""),91306)</f>
        <v>91306</v>
      </c>
      <c r="F1453" s="19">
        <f ca="1">IFERROR(__xludf.DUMMYFUNCTION("""COMPUTED_VALUE"""),1)</f>
        <v>1</v>
      </c>
      <c r="G1453" s="19">
        <f ca="1">IFERROR(__xludf.DUMMYFUNCTION("""COMPUTED_VALUE"""),8998)</f>
        <v>8998</v>
      </c>
      <c r="H1453" s="18">
        <f ca="1">IFERROR(__xludf.DUMMYFUNCTION("""COMPUTED_VALUE"""),45685)</f>
        <v>45685</v>
      </c>
      <c r="I1453" s="5" t="str">
        <f ca="1">IFERROR(__xludf.DUMMYFUNCTION("""COMPUTED_VALUE"""),"Zillow")</f>
        <v>Zillow</v>
      </c>
      <c r="J1453" s="25" t="str">
        <f ca="1">IFERROR(__xludf.DUMMYFUNCTION("""COMPUTED_VALUE"""),"https://www.zillow.com/homedetails/6564-Kelvin-Ave-Winnetka-CA-91306/19930987_zpid/")</f>
        <v>https://www.zillow.com/homedetails/6564-Kelvin-Ave-Winnetka-CA-91306/19930987_zpid/</v>
      </c>
      <c r="K1453" s="5" t="str">
        <f ca="1">IFERROR(__xludf.DUMMYFUNCTION("""COMPUTED_VALUE"""),"Kay Sison")</f>
        <v>Kay Sison</v>
      </c>
      <c r="L1453" s="5"/>
      <c r="M1453" s="5" t="str">
        <f ca="1">IFERROR(__xludf.DUMMYFUNCTION("""COMPUTED_VALUE"""),"FMR for a 4-bed in this zipcode is $3320, this is 271% the FMR")</f>
        <v>FMR for a 4-bed in this zipcode is $3320, this is 271% the FMR</v>
      </c>
      <c r="N1453" s="5" t="str">
        <f ca="1">IFERROR(__xludf.DUMMYFUNCTION("""COMPUTED_VALUE"""),"https://drive.google.com/open?id=1naVj7__O4LPTEqkGbTGakpZQpi4gJuhV, https://drive.google.com/open?id=1KHCfSkrpeElVk8o7hRPsIyZ5myhm5tq2")</f>
        <v>https://drive.google.com/open?id=1naVj7__O4LPTEqkGbTGakpZQpi4gJuhV, https://drive.google.com/open?id=1KHCfSkrpeElVk8o7hRPsIyZ5myhm5tq2</v>
      </c>
      <c r="O1453" s="5">
        <f ca="1">IFERROR(__xludf.DUMMYFUNCTION("""COMPUTED_VALUE"""),2148022013)</f>
        <v>2148022013</v>
      </c>
      <c r="P1453" s="5" t="str">
        <f ca="1">IFERROR(__xludf.DUMMYFUNCTION("""COMPUTED_VALUE"""),"(818) 357-0177")</f>
        <v>(818) 357-0177</v>
      </c>
      <c r="Q1453" s="5"/>
      <c r="R1453" s="5"/>
      <c r="S1453" s="5"/>
      <c r="T1453" s="5"/>
    </row>
    <row r="1454" spans="1:20" ht="12.75">
      <c r="A1454" s="24">
        <f ca="1">IFERROR(__xludf.DUMMYFUNCTION("""COMPUTED_VALUE"""),45684.9370794791)</f>
        <v>45684.937079479103</v>
      </c>
      <c r="B1454" s="5" t="str">
        <f ca="1">IFERROR(__xludf.DUMMYFUNCTION("""COMPUTED_VALUE"""),"3047 12th Ave APT B")</f>
        <v>3047 12th Ave APT B</v>
      </c>
      <c r="C1454" s="5" t="str">
        <f ca="1">IFERROR(__xludf.DUMMYFUNCTION("""COMPUTED_VALUE"""),"Los Angeles")</f>
        <v>Los Angeles</v>
      </c>
      <c r="D1454" s="5" t="str">
        <f ca="1">IFERROR(__xludf.DUMMYFUNCTION("""COMPUTED_VALUE"""),"CA")</f>
        <v>CA</v>
      </c>
      <c r="E1454" s="5">
        <f ca="1">IFERROR(__xludf.DUMMYFUNCTION("""COMPUTED_VALUE"""),90018)</f>
        <v>90018</v>
      </c>
      <c r="F1454" s="19">
        <f ca="1">IFERROR(__xludf.DUMMYFUNCTION("""COMPUTED_VALUE"""),2400)</f>
        <v>2400</v>
      </c>
      <c r="G1454" s="19">
        <f ca="1">IFERROR(__xludf.DUMMYFUNCTION("""COMPUTED_VALUE"""),2800)</f>
        <v>2800</v>
      </c>
      <c r="H1454" s="18">
        <f ca="1">IFERROR(__xludf.DUMMYFUNCTION("""COMPUTED_VALUE"""),45684)</f>
        <v>45684</v>
      </c>
      <c r="I1454" s="5" t="str">
        <f ca="1">IFERROR(__xludf.DUMMYFUNCTION("""COMPUTED_VALUE"""),"Zillow")</f>
        <v>Zillow</v>
      </c>
      <c r="J1454" s="25" t="str">
        <f ca="1">IFERROR(__xludf.DUMMYFUNCTION("""COMPUTED_VALUE"""),"https://www.zillow.com/homedetails/3047-12th-Ave-APT-B-Los-Angeles-CA-90018/445906016_zpid/")</f>
        <v>https://www.zillow.com/homedetails/3047-12th-Ave-APT-B-Los-Angeles-CA-90018/445906016_zpid/</v>
      </c>
      <c r="K1454" s="5" t="str">
        <f ca="1">IFERROR(__xludf.DUMMYFUNCTION("""COMPUTED_VALUE"""),"Affordable Housing")</f>
        <v>Affordable Housing</v>
      </c>
      <c r="L1454" s="5"/>
      <c r="M1454" s="5"/>
      <c r="N1454" s="5" t="str">
        <f ca="1">IFERROR(__xludf.DUMMYFUNCTION("""COMPUTED_VALUE"""),"https://drive.google.com/open?id=1x3vclml_fHKzZuLaklxDe3D5OH2s2gBa, https://drive.google.com/open?id=1GgSyh-92Mg2AXn7-7ySgjhGKD5uojpy4")</f>
        <v>https://drive.google.com/open?id=1x3vclml_fHKzZuLaklxDe3D5OH2s2gBa, https://drive.google.com/open?id=1GgSyh-92Mg2AXn7-7ySgjhGKD5uojpy4</v>
      </c>
      <c r="O1454" s="5" t="str">
        <f ca="1">IFERROR(__xludf.DUMMYFUNCTION("""COMPUTED_VALUE"""),"NA")</f>
        <v>NA</v>
      </c>
      <c r="P1454" s="5" t="str">
        <f ca="1">IFERROR(__xludf.DUMMYFUNCTION("""COMPUTED_VALUE"""),"(323) 854-1508")</f>
        <v>(323) 854-1508</v>
      </c>
      <c r="Q1454" s="5"/>
      <c r="R1454" s="5"/>
      <c r="S1454" s="5"/>
      <c r="T1454" s="18">
        <f ca="1">IFERROR(__xludf.DUMMYFUNCTION("""COMPUTED_VALUE"""),45678)</f>
        <v>45678</v>
      </c>
    </row>
    <row r="1455" spans="1:20" ht="12.75">
      <c r="A1455" s="24">
        <f ca="1">IFERROR(__xludf.DUMMYFUNCTION("""COMPUTED_VALUE"""),45685.3091140277)</f>
        <v>45685.309114027703</v>
      </c>
      <c r="B1455" s="5" t="str">
        <f ca="1">IFERROR(__xludf.DUMMYFUNCTION("""COMPUTED_VALUE"""),"601 Bohlig Rd.")</f>
        <v>601 Bohlig Rd.</v>
      </c>
      <c r="C1455" s="5" t="str">
        <f ca="1">IFERROR(__xludf.DUMMYFUNCTION("""COMPUTED_VALUE"""),"Glendale")</f>
        <v>Glendale</v>
      </c>
      <c r="D1455" s="5" t="str">
        <f ca="1">IFERROR(__xludf.DUMMYFUNCTION("""COMPUTED_VALUE"""),"CA")</f>
        <v>CA</v>
      </c>
      <c r="E1455" s="5">
        <f ca="1">IFERROR(__xludf.DUMMYFUNCTION("""COMPUTED_VALUE"""),91207)</f>
        <v>91207</v>
      </c>
      <c r="F1455" s="19">
        <f ca="1">IFERROR(__xludf.DUMMYFUNCTION("""COMPUTED_VALUE"""),6000)</f>
        <v>6000</v>
      </c>
      <c r="G1455" s="19">
        <f ca="1">IFERROR(__xludf.DUMMYFUNCTION("""COMPUTED_VALUE"""),6500)</f>
        <v>6500</v>
      </c>
      <c r="H1455" s="18">
        <f ca="1">IFERROR(__xludf.DUMMYFUNCTION("""COMPUTED_VALUE"""),-684801)</f>
        <v>-684801</v>
      </c>
      <c r="I1455" s="5" t="str">
        <f ca="1">IFERROR(__xludf.DUMMYFUNCTION("""COMPUTED_VALUE"""),"Zillow")</f>
        <v>Zillow</v>
      </c>
      <c r="J1455" s="25" t="str">
        <f ca="1">IFERROR(__xludf.DUMMYFUNCTION("""COMPUTED_VALUE"""),"https://www.zillow.com/homedetails/601-Bohlig-Rd-Glendale-CA-91207/82878976_zpid/")</f>
        <v>https://www.zillow.com/homedetails/601-Bohlig-Rd-Glendale-CA-91207/82878976_zpid/</v>
      </c>
      <c r="K1455" s="5" t="str">
        <f ca="1">IFERROR(__xludf.DUMMYFUNCTION("""COMPUTED_VALUE"""),"Artin Sarkissian")</f>
        <v>Artin Sarkissian</v>
      </c>
      <c r="L1455" s="5"/>
      <c r="M1455" s="5" t="str">
        <f ca="1">IFERROR(__xludf.DUMMYFUNCTION("""COMPUTED_VALUE"""),"When they see you have an insurance settlement from the fire, they say they'll rent the house to you if you can match a higher offer of 6500 they got from another applicant")</f>
        <v>When they see you have an insurance settlement from the fire, they say they'll rent the house to you if you can match a higher offer of 6500 they got from another applicant</v>
      </c>
      <c r="N1455" s="26" t="str">
        <f ca="1">IFERROR(__xludf.DUMMYFUNCTION("""COMPUTED_VALUE"""),"https://drive.google.com/open?id=18T0bW4gyqZKZAhzvq7nST_NTiYPw7N0E")</f>
        <v>https://drive.google.com/open?id=18T0bW4gyqZKZAhzvq7nST_NTiYPw7N0E</v>
      </c>
      <c r="O1455" s="5">
        <f ca="1">IFERROR(__xludf.DUMMYFUNCTION("""COMPUTED_VALUE"""),5649021025)</f>
        <v>5649021025</v>
      </c>
      <c r="P1455" s="5" t="str">
        <f ca="1">IFERROR(__xludf.DUMMYFUNCTION("""COMPUTED_VALUE"""),"(213) 354-7233")</f>
        <v>(213) 354-7233</v>
      </c>
      <c r="Q1455" s="5"/>
      <c r="R1455" s="5"/>
      <c r="S1455" s="5"/>
      <c r="T1455" s="5"/>
    </row>
    <row r="1456" spans="1:20" ht="12.75">
      <c r="A1456" s="24">
        <f ca="1">IFERROR(__xludf.DUMMYFUNCTION("""COMPUTED_VALUE"""),45685.6238153009)</f>
        <v>45685.623815300904</v>
      </c>
      <c r="B1456" s="5" t="str">
        <f ca="1">IFERROR(__xludf.DUMMYFUNCTION("""COMPUTED_VALUE"""),"12337 Gorham Ave")</f>
        <v>12337 Gorham Ave</v>
      </c>
      <c r="C1456" s="5" t="str">
        <f ca="1">IFERROR(__xludf.DUMMYFUNCTION("""COMPUTED_VALUE"""),"Los Angeles ")</f>
        <v xml:space="preserve">Los Angeles </v>
      </c>
      <c r="D1456" s="5" t="str">
        <f ca="1">IFERROR(__xludf.DUMMYFUNCTION("""COMPUTED_VALUE"""),"CA")</f>
        <v>CA</v>
      </c>
      <c r="E1456" s="5">
        <f ca="1">IFERROR(__xludf.DUMMYFUNCTION("""COMPUTED_VALUE"""),90049)</f>
        <v>90049</v>
      </c>
      <c r="F1456" s="19">
        <f ca="1">IFERROR(__xludf.DUMMYFUNCTION("""COMPUTED_VALUE"""),10950)</f>
        <v>10950</v>
      </c>
      <c r="G1456" s="19">
        <f ca="1">IFERROR(__xludf.DUMMYFUNCTION("""COMPUTED_VALUE"""),13950)</f>
        <v>13950</v>
      </c>
      <c r="H1456" s="18">
        <f ca="1">IFERROR(__xludf.DUMMYFUNCTION("""COMPUTED_VALUE"""),45685)</f>
        <v>45685</v>
      </c>
      <c r="I1456" s="5" t="str">
        <f ca="1">IFERROR(__xludf.DUMMYFUNCTION("""COMPUTED_VALUE"""),"Zillow")</f>
        <v>Zillow</v>
      </c>
      <c r="J1456" s="25" t="str">
        <f ca="1">IFERROR(__xludf.DUMMYFUNCTION("""COMPUTED_VALUE"""),"https://www.zillow.com/homedetails/12337-Gorham-Ave-Los-Angeles-CA-90049/20467762_zpid/")</f>
        <v>https://www.zillow.com/homedetails/12337-Gorham-Ave-Los-Angeles-CA-90049/20467762_zpid/</v>
      </c>
      <c r="K1456" s="5"/>
      <c r="L1456" s="5" t="str">
        <f ca="1">IFERROR(__xludf.DUMMYFUNCTION("""COMPUTED_VALUE"""),"Gorham LLC")</f>
        <v>Gorham LLC</v>
      </c>
      <c r="M1456" s="5" t="str">
        <f ca="1">IFERROR(__xludf.DUMMYFUNCTION("""COMPUTED_VALUE"""),"Short term rental")</f>
        <v>Short term rental</v>
      </c>
      <c r="N1456" s="26" t="str">
        <f ca="1">IFERROR(__xludf.DUMMYFUNCTION("""COMPUTED_VALUE"""),"https://drive.google.com/open?id=1kRPNk5QCHZzqhVoRBFGiVOT8Sb20tf5O")</f>
        <v>https://drive.google.com/open?id=1kRPNk5QCHZzqhVoRBFGiVOT8Sb20tf5O</v>
      </c>
      <c r="O1456" s="5">
        <f ca="1">IFERROR(__xludf.DUMMYFUNCTION("""COMPUTED_VALUE"""),4264015026)</f>
        <v>4264015026</v>
      </c>
      <c r="P1456" s="5"/>
      <c r="Q1456" s="5"/>
      <c r="R1456" s="5">
        <f ca="1">IFERROR(__xludf.DUMMYFUNCTION("""COMPUTED_VALUE"""),3109103410)</f>
        <v>3109103410</v>
      </c>
      <c r="S1456" s="5"/>
      <c r="T1456" s="18">
        <f ca="1">IFERROR(__xludf.DUMMYFUNCTION("""COMPUTED_VALUE"""),45531)</f>
        <v>45531</v>
      </c>
    </row>
    <row r="1457" spans="1:20" ht="12.75">
      <c r="A1457" s="24">
        <f ca="1">IFERROR(__xludf.DUMMYFUNCTION("""COMPUTED_VALUE"""),45685.6315767592)</f>
        <v>45685.631576759202</v>
      </c>
      <c r="B1457" s="5" t="str">
        <f ca="1">IFERROR(__xludf.DUMMYFUNCTION("""COMPUTED_VALUE"""),"1445 S Sherbourne Dr #A")</f>
        <v>1445 S Sherbourne Dr #A</v>
      </c>
      <c r="C1457" s="5" t="str">
        <f ca="1">IFERROR(__xludf.DUMMYFUNCTION("""COMPUTED_VALUE"""),"Los Angeles")</f>
        <v>Los Angeles</v>
      </c>
      <c r="D1457" s="5" t="str">
        <f ca="1">IFERROR(__xludf.DUMMYFUNCTION("""COMPUTED_VALUE"""),"CA")</f>
        <v>CA</v>
      </c>
      <c r="E1457" s="5">
        <f ca="1">IFERROR(__xludf.DUMMYFUNCTION("""COMPUTED_VALUE"""),90035)</f>
        <v>90035</v>
      </c>
      <c r="F1457" s="19">
        <f ca="1">IFERROR(__xludf.DUMMYFUNCTION("""COMPUTED_VALUE"""),1850)</f>
        <v>1850</v>
      </c>
      <c r="G1457" s="19">
        <f ca="1">IFERROR(__xludf.DUMMYFUNCTION("""COMPUTED_VALUE"""),2050)</f>
        <v>2050</v>
      </c>
      <c r="H1457" s="18">
        <f ca="1">IFERROR(__xludf.DUMMYFUNCTION("""COMPUTED_VALUE"""),45671)</f>
        <v>45671</v>
      </c>
      <c r="I1457" s="5" t="str">
        <f ca="1">IFERROR(__xludf.DUMMYFUNCTION("""COMPUTED_VALUE"""),"Zillow")</f>
        <v>Zillow</v>
      </c>
      <c r="J1457" s="25" t="str">
        <f ca="1">IFERROR(__xludf.DUMMYFUNCTION("""COMPUTED_VALUE"""),"https://www.zillow.com/homedetails/1445-S-Sherbourne-Dr-A-Los-Angeles-CA-90035/421015404_zpid/")</f>
        <v>https://www.zillow.com/homedetails/1445-S-Sherbourne-Dr-A-Los-Angeles-CA-90035/421015404_zpid/</v>
      </c>
      <c r="K1457" s="5" t="str">
        <f ca="1">IFERROR(__xludf.DUMMYFUNCTION("""COMPUTED_VALUE"""),"Ari Hoffman")</f>
        <v>Ari Hoffman</v>
      </c>
      <c r="L1457" s="5" t="str">
        <f ca="1">IFERROR(__xludf.DUMMYFUNCTION("""COMPUTED_VALUE"""),"Hoffman Brothers Realty")</f>
        <v>Hoffman Brothers Realty</v>
      </c>
      <c r="M1457" s="5"/>
      <c r="N1457" s="5" t="str">
        <f ca="1">IFERROR(__xludf.DUMMYFUNCTION("""COMPUTED_VALUE"""),"https://drive.google.com/open?id=1BvQ6R95uNhrozoZ09px3hscfx0aF1bbS, https://drive.google.com/open?id=1pPRvRJUeqw3BN7LUNhqit3FljQ_CqoPH, https://drive.google.com/open?id=1YuwLMvYgkSzr3WRcTitPPcydCXQJM5Xs")</f>
        <v>https://drive.google.com/open?id=1BvQ6R95uNhrozoZ09px3hscfx0aF1bbS, https://drive.google.com/open?id=1pPRvRJUeqw3BN7LUNhqit3FljQ_CqoPH, https://drive.google.com/open?id=1YuwLMvYgkSzr3WRcTitPPcydCXQJM5Xs</v>
      </c>
      <c r="O1457" s="5" t="str">
        <f ca="1">IFERROR(__xludf.DUMMYFUNCTION("""COMPUTED_VALUE"""),"NA")</f>
        <v>NA</v>
      </c>
      <c r="P1457" s="5" t="str">
        <f ca="1">IFERROR(__xludf.DUMMYFUNCTION("""COMPUTED_VALUE"""),"323.416.3316")</f>
        <v>323.416.3316</v>
      </c>
      <c r="Q1457" s="5"/>
      <c r="R1457" s="5"/>
      <c r="S1457" s="5"/>
      <c r="T1457" s="18">
        <f ca="1">IFERROR(__xludf.DUMMYFUNCTION("""COMPUTED_VALUE"""),45532)</f>
        <v>45532</v>
      </c>
    </row>
    <row r="1458" spans="1:20" ht="12.75">
      <c r="A1458" s="24">
        <f ca="1">IFERROR(__xludf.DUMMYFUNCTION("""COMPUTED_VALUE"""),45685.6989710185)</f>
        <v>45685.698971018501</v>
      </c>
      <c r="B1458" s="5" t="str">
        <f ca="1">IFERROR(__xludf.DUMMYFUNCTION("""COMPUTED_VALUE"""),"1101 s bundy drive ")</f>
        <v xml:space="preserve">1101 s bundy drive </v>
      </c>
      <c r="C1458" s="5" t="str">
        <f ca="1">IFERROR(__xludf.DUMMYFUNCTION("""COMPUTED_VALUE"""),"Los angeles")</f>
        <v>Los angeles</v>
      </c>
      <c r="D1458" s="5" t="str">
        <f ca="1">IFERROR(__xludf.DUMMYFUNCTION("""COMPUTED_VALUE"""),"CA")</f>
        <v>CA</v>
      </c>
      <c r="E1458" s="5">
        <f ca="1">IFERROR(__xludf.DUMMYFUNCTION("""COMPUTED_VALUE"""),90049)</f>
        <v>90049</v>
      </c>
      <c r="F1458" s="19">
        <f ca="1">IFERROR(__xludf.DUMMYFUNCTION("""COMPUTED_VALUE"""),18900)</f>
        <v>18900</v>
      </c>
      <c r="G1458" s="19">
        <f ca="1">IFERROR(__xludf.DUMMYFUNCTION("""COMPUTED_VALUE"""),26900)</f>
        <v>26900</v>
      </c>
      <c r="H1458" s="18">
        <f ca="1">IFERROR(__xludf.DUMMYFUNCTION("""COMPUTED_VALUE"""),45678)</f>
        <v>45678</v>
      </c>
      <c r="I1458" s="5" t="str">
        <f ca="1">IFERROR(__xludf.DUMMYFUNCTION("""COMPUTED_VALUE"""),"Zillow")</f>
        <v>Zillow</v>
      </c>
      <c r="J1458" s="25" t="str">
        <f ca="1">IFERROR(__xludf.DUMMYFUNCTION("""COMPUTED_VALUE"""),"https://www.zillow.com/homedetails/1101-S-Bundy-Dr-Los-Angeles-CA-90049/20468041_zpid/?utm_campaign=iosappmessage&amp;utm_medium=referral&amp;utm_source=txtshare")</f>
        <v>https://www.zillow.com/homedetails/1101-S-Bundy-Dr-Los-Angeles-CA-90049/20468041_zpid/?utm_campaign=iosappmessage&amp;utm_medium=referral&amp;utm_source=txtshare</v>
      </c>
      <c r="K1458" s="5" t="str">
        <f ca="1">IFERROR(__xludf.DUMMYFUNCTION("""COMPUTED_VALUE"""),"Kay")</f>
        <v>Kay</v>
      </c>
      <c r="L1458" s="5"/>
      <c r="M1458" s="5"/>
      <c r="N1458" s="5" t="str">
        <f ca="1">IFERROR(__xludf.DUMMYFUNCTION("""COMPUTED_VALUE"""),"https://drive.google.com/open?id=1IgihLAz5i-nLsATmmku7RVUapNk_7kKo, https://drive.google.com/open?id=15z3vWIKN5Ye6dOw4tuVeF9UwH7qf9U07")</f>
        <v>https://drive.google.com/open?id=1IgihLAz5i-nLsATmmku7RVUapNk_7kKo, https://drive.google.com/open?id=15z3vWIKN5Ye6dOw4tuVeF9UwH7qf9U07</v>
      </c>
      <c r="O1458" s="5">
        <f ca="1">IFERROR(__xludf.DUMMYFUNCTION("""COMPUTED_VALUE"""),4264025020)</f>
        <v>4264025020</v>
      </c>
      <c r="P1458" s="5">
        <f ca="1">IFERROR(__xludf.DUMMYFUNCTION("""COMPUTED_VALUE"""),8184484488)</f>
        <v>8184484488</v>
      </c>
      <c r="Q1458" s="5"/>
      <c r="R1458" s="5"/>
      <c r="S1458" s="5"/>
      <c r="T1458" s="18">
        <f ca="1">IFERROR(__xludf.DUMMYFUNCTION("""COMPUTED_VALUE"""),44857)</f>
        <v>44857</v>
      </c>
    </row>
    <row r="1459" spans="1:20" ht="12.75">
      <c r="A1459" s="24">
        <f ca="1">IFERROR(__xludf.DUMMYFUNCTION("""COMPUTED_VALUE"""),45685.9328607175)</f>
        <v>45685.932860717498</v>
      </c>
      <c r="B1459" s="5" t="str">
        <f ca="1">IFERROR(__xludf.DUMMYFUNCTION("""COMPUTED_VALUE"""),"8600 Wilshire Blvd")</f>
        <v>8600 Wilshire Blvd</v>
      </c>
      <c r="C1459" s="5" t="str">
        <f ca="1">IFERROR(__xludf.DUMMYFUNCTION("""COMPUTED_VALUE"""),"Beverly Hills, CA ")</f>
        <v xml:space="preserve">Beverly Hills, CA </v>
      </c>
      <c r="D1459" s="5" t="str">
        <f ca="1">IFERROR(__xludf.DUMMYFUNCTION("""COMPUTED_VALUE"""),"CA")</f>
        <v>CA</v>
      </c>
      <c r="E1459" s="5">
        <f ca="1">IFERROR(__xludf.DUMMYFUNCTION("""COMPUTED_VALUE"""),90211)</f>
        <v>90211</v>
      </c>
      <c r="F1459" s="19">
        <f ca="1">IFERROR(__xludf.DUMMYFUNCTION("""COMPUTED_VALUE"""),100)</f>
        <v>100</v>
      </c>
      <c r="G1459" s="19">
        <f ca="1">IFERROR(__xludf.DUMMYFUNCTION("""COMPUTED_VALUE"""),17000)</f>
        <v>17000</v>
      </c>
      <c r="H1459" s="18">
        <f ca="1">IFERROR(__xludf.DUMMYFUNCTION("""COMPUTED_VALUE"""),45685)</f>
        <v>45685</v>
      </c>
      <c r="I1459" s="5" t="str">
        <f ca="1">IFERROR(__xludf.DUMMYFUNCTION("""COMPUTED_VALUE"""),"Zillow")</f>
        <v>Zillow</v>
      </c>
      <c r="J1459" s="25" t="str">
        <f ca="1">IFERROR(__xludf.DUMMYFUNCTION("""COMPUTED_VALUE"""),"https://www.zillow.com/apartments/beverly-hills-ca/gardenhouse-beverly-hills/9MNYSn/")</f>
        <v>https://www.zillow.com/apartments/beverly-hills-ca/gardenhouse-beverly-hills/9MNYSn/</v>
      </c>
      <c r="K1459" s="5"/>
      <c r="L1459" s="5"/>
      <c r="M1459" s="5"/>
      <c r="N1459" s="26" t="str">
        <f ca="1">IFERROR(__xludf.DUMMYFUNCTION("""COMPUTED_VALUE"""),"https://drive.google.com/open?id=11S6SgzPBefvvnPdjvBr_Zbkiaer2tHDS")</f>
        <v>https://drive.google.com/open?id=11S6SgzPBefvvnPdjvBr_Zbkiaer2tHDS</v>
      </c>
      <c r="O1459" s="5" t="str">
        <f ca="1">IFERROR(__xludf.DUMMYFUNCTION("""COMPUTED_VALUE"""),"NA")</f>
        <v>NA</v>
      </c>
      <c r="P1459" s="5" t="str">
        <f ca="1">IFERROR(__xludf.DUMMYFUNCTION("""COMPUTED_VALUE"""),"(562) 568-9573")</f>
        <v>(562) 568-9573</v>
      </c>
      <c r="Q1459" s="5"/>
      <c r="R1459" s="5"/>
      <c r="S1459" s="5"/>
      <c r="T1459" s="5"/>
    </row>
    <row r="1460" spans="1:20" ht="12.75">
      <c r="A1460" s="24">
        <f ca="1">IFERROR(__xludf.DUMMYFUNCTION("""COMPUTED_VALUE"""),45686.6489480787)</f>
        <v>45686.648948078699</v>
      </c>
      <c r="B1460" s="5" t="str">
        <f ca="1">IFERROR(__xludf.DUMMYFUNCTION("""COMPUTED_VALUE"""),"6216 Acadia Ave.")</f>
        <v>6216 Acadia Ave.</v>
      </c>
      <c r="C1460" s="5" t="str">
        <f ca="1">IFERROR(__xludf.DUMMYFUNCTION("""COMPUTED_VALUE"""),"Agoura Hills")</f>
        <v>Agoura Hills</v>
      </c>
      <c r="D1460" s="5" t="str">
        <f ca="1">IFERROR(__xludf.DUMMYFUNCTION("""COMPUTED_VALUE"""),"CA")</f>
        <v>CA</v>
      </c>
      <c r="E1460" s="5">
        <f ca="1">IFERROR(__xludf.DUMMYFUNCTION("""COMPUTED_VALUE"""),91301)</f>
        <v>91301</v>
      </c>
      <c r="F1460" s="19">
        <f ca="1">IFERROR(__xludf.DUMMYFUNCTION("""COMPUTED_VALUE"""),1295)</f>
        <v>1295</v>
      </c>
      <c r="G1460" s="19">
        <f ca="1">IFERROR(__xludf.DUMMYFUNCTION("""COMPUTED_VALUE"""),9000)</f>
        <v>9000</v>
      </c>
      <c r="H1460" s="18">
        <f ca="1">IFERROR(__xludf.DUMMYFUNCTION("""COMPUTED_VALUE"""),45680)</f>
        <v>45680</v>
      </c>
      <c r="I1460" s="5" t="str">
        <f ca="1">IFERROR(__xludf.DUMMYFUNCTION("""COMPUTED_VALUE"""),"Zillow")</f>
        <v>Zillow</v>
      </c>
      <c r="J1460" s="25" t="str">
        <f ca="1">IFERROR(__xludf.DUMMYFUNCTION("""COMPUTED_VALUE"""),"https://www.zillow.com/homedetails/6216-Acadia-Ave-Agoura-Hills-CA-91301/19883802_zpid/?rtoken=d6ebb56f-63c7-4267-bc1d-c2146bdb0fe7~X1-ZUtjknhst6klqh_5cfwe&amp;utm_campaign=emo-instant_home_recs_email&amp;utm_source=email&amp;utm_term=urn:msg:202501091753331089190533"&amp;"00b629&amp;utm_medium=email&amp;utm_content=forsaleimage-_rid-fg6emvuxXzhMjdwdmpWUyD_")</f>
        <v>https://www.zillow.com/homedetails/6216-Acadia-Ave-Agoura-Hills-CA-91301/19883802_zpid/?rtoken=d6ebb56f-63c7-4267-bc1d-c2146bdb0fe7~X1-ZUtjknhst6klqh_5cfwe&amp;utm_campaign=emo-instant_home_recs_email&amp;utm_source=email&amp;utm_term=urn:msg:20250109175333108919053300b629&amp;utm_medium=email&amp;utm_content=forsaleimage-_rid-fg6emvuxXzhMjdwdmpWUyD_</v>
      </c>
      <c r="K1460" s="5" t="str">
        <f ca="1">IFERROR(__xludf.DUMMYFUNCTION("""COMPUTED_VALUE"""),"GP Properties ")</f>
        <v xml:space="preserve">GP Properties </v>
      </c>
      <c r="L1460" s="5" t="str">
        <f ca="1">IFERROR(__xludf.DUMMYFUNCTION("""COMPUTED_VALUE"""),"GP Properties ")</f>
        <v xml:space="preserve">GP Properties </v>
      </c>
      <c r="M1460" s="5" t="str">
        <f ca="1">IFERROR(__xludf.DUMMYFUNCTION("""COMPUTED_VALUE"""),"The house below was listed for sale on January 9, 2025 for 1.295K. I inquired about it within hours of it being listed and was told that the listing was being removed. The agent said they are no longer wanting to sell. She wouldn’t elaborate.This was whil"&amp;"e the fires broke out in LA County and thousands of people were displaced due to the devastation of their homes.")</f>
        <v>The house below was listed for sale on January 9, 2025 for 1.295K. I inquired about it within hours of it being listed and was told that the listing was being removed. The agent said they are no longer wanting to sell. She wouldn’t elaborate.This was while the fires broke out in LA County and thousands of people were displaced due to the devastation of their homes.</v>
      </c>
      <c r="N1460" s="26" t="str">
        <f ca="1">IFERROR(__xludf.DUMMYFUNCTION("""COMPUTED_VALUE"""),"https://drive.google.com/open?id=1Le_pBRL_Y5lGbHN75KgkkROJhnLOU8TD")</f>
        <v>https://drive.google.com/open?id=1Le_pBRL_Y5lGbHN75KgkkROJhnLOU8TD</v>
      </c>
      <c r="O1460" s="5">
        <f ca="1">IFERROR(__xludf.DUMMYFUNCTION("""COMPUTED_VALUE"""),2050004002)</f>
        <v>2050004002</v>
      </c>
      <c r="P1460" s="5" t="str">
        <f ca="1">IFERROR(__xludf.DUMMYFUNCTION("""COMPUTED_VALUE"""),"(818) 693-9744")</f>
        <v>(818) 693-9744</v>
      </c>
      <c r="Q1460" s="5"/>
      <c r="R1460" s="5" t="str">
        <f ca="1">IFERROR(__xludf.DUMMYFUNCTION("""COMPUTED_VALUE"""),"(818) 693-9744")</f>
        <v>(818) 693-9744</v>
      </c>
      <c r="S1460" s="5"/>
      <c r="T1460" s="18">
        <f ca="1">IFERROR(__xludf.DUMMYFUNCTION("""COMPUTED_VALUE"""),45666)</f>
        <v>45666</v>
      </c>
    </row>
    <row r="1461" spans="1:20" ht="12.75">
      <c r="A1461" s="24">
        <f ca="1">IFERROR(__xludf.DUMMYFUNCTION("""COMPUTED_VALUE"""),45686.7865800925)</f>
        <v>45686.786580092499</v>
      </c>
      <c r="B1461" s="5" t="str">
        <f ca="1">IFERROR(__xludf.DUMMYFUNCTION("""COMPUTED_VALUE"""),"5353 Del Moreno Dr")</f>
        <v>5353 Del Moreno Dr</v>
      </c>
      <c r="C1461" s="5" t="str">
        <f ca="1">IFERROR(__xludf.DUMMYFUNCTION("""COMPUTED_VALUE"""),"Woodland Hills")</f>
        <v>Woodland Hills</v>
      </c>
      <c r="D1461" s="5" t="str">
        <f ca="1">IFERROR(__xludf.DUMMYFUNCTION("""COMPUTED_VALUE"""),"CA")</f>
        <v>CA</v>
      </c>
      <c r="E1461" s="5">
        <f ca="1">IFERROR(__xludf.DUMMYFUNCTION("""COMPUTED_VALUE"""),91364)</f>
        <v>91364</v>
      </c>
      <c r="F1461" s="19">
        <f ca="1">IFERROR(__xludf.DUMMYFUNCTION("""COMPUTED_VALUE"""),8000)</f>
        <v>8000</v>
      </c>
      <c r="G1461" s="19">
        <f ca="1">IFERROR(__xludf.DUMMYFUNCTION("""COMPUTED_VALUE"""),16500)</f>
        <v>16500</v>
      </c>
      <c r="H1461" s="18">
        <f ca="1">IFERROR(__xludf.DUMMYFUNCTION("""COMPUTED_VALUE"""),45687)</f>
        <v>45687</v>
      </c>
      <c r="I1461" s="5" t="str">
        <f ca="1">IFERROR(__xludf.DUMMYFUNCTION("""COMPUTED_VALUE"""),"Zillow")</f>
        <v>Zillow</v>
      </c>
      <c r="J1461" s="25" t="str">
        <f ca="1">IFERROR(__xludf.DUMMYFUNCTION("""COMPUTED_VALUE"""),"https://www.zillow.com/homedetails/5353-Del-Moreno-Dr-Woodland-Hills-CA-91364/19941545_zpid/")</f>
        <v>https://www.zillow.com/homedetails/5353-Del-Moreno-Dr-Woodland-Hills-CA-91364/19941545_zpid/</v>
      </c>
      <c r="K1461" s="5"/>
      <c r="L1461" s="5" t="str">
        <f ca="1">IFERROR(__xludf.DUMMYFUNCTION("""COMPUTED_VALUE"""),"Manuel Estevez")</f>
        <v>Manuel Estevez</v>
      </c>
      <c r="M1461" s="5"/>
      <c r="N1461" s="5" t="str">
        <f ca="1">IFERROR(__xludf.DUMMYFUNCTION("""COMPUTED_VALUE"""),"https://drive.google.com/open?id=17DDeusyqu91eDOg0dUzK1L2GOlNMfmw7, https://drive.google.com/open?id=1e9-bRt4jrSIjlvybdxpvDTYvbHoenRcJ")</f>
        <v>https://drive.google.com/open?id=17DDeusyqu91eDOg0dUzK1L2GOlNMfmw7, https://drive.google.com/open?id=1e9-bRt4jrSIjlvybdxpvDTYvbHoenRcJ</v>
      </c>
      <c r="O1461" s="5">
        <f ca="1">IFERROR(__xludf.DUMMYFUNCTION("""COMPUTED_VALUE"""),2166035032)</f>
        <v>2166035032</v>
      </c>
      <c r="P1461" s="5"/>
      <c r="Q1461" s="5"/>
      <c r="R1461" s="5" t="str">
        <f ca="1">IFERROR(__xludf.DUMMYFUNCTION("""COMPUTED_VALUE"""),"(661) 747-3739")</f>
        <v>(661) 747-3739</v>
      </c>
      <c r="S1461" s="5"/>
      <c r="T1461" s="18">
        <f ca="1">IFERROR(__xludf.DUMMYFUNCTION("""COMPUTED_VALUE"""),45308)</f>
        <v>45308</v>
      </c>
    </row>
    <row r="1462" spans="1:20" ht="12.75">
      <c r="A1462" s="24">
        <f ca="1">IFERROR(__xludf.DUMMYFUNCTION("""COMPUTED_VALUE"""),45687.3932739583)</f>
        <v>45687.393273958303</v>
      </c>
      <c r="B1462" s="5" t="str">
        <f ca="1">IFERROR(__xludf.DUMMYFUNCTION("""COMPUTED_VALUE"""),"4740 Sunnyslope Ave,")</f>
        <v>4740 Sunnyslope Ave,</v>
      </c>
      <c r="C1462" s="5" t="str">
        <f ca="1">IFERROR(__xludf.DUMMYFUNCTION("""COMPUTED_VALUE"""),"Sherman Oaks")</f>
        <v>Sherman Oaks</v>
      </c>
      <c r="D1462" s="5" t="str">
        <f ca="1">IFERROR(__xludf.DUMMYFUNCTION("""COMPUTED_VALUE"""),"CA")</f>
        <v>CA</v>
      </c>
      <c r="E1462" s="5">
        <f ca="1">IFERROR(__xludf.DUMMYFUNCTION("""COMPUTED_VALUE"""),91423)</f>
        <v>91423</v>
      </c>
      <c r="F1462" s="19">
        <f ca="1">IFERROR(__xludf.DUMMYFUNCTION("""COMPUTED_VALUE"""),17900)</f>
        <v>17900</v>
      </c>
      <c r="G1462" s="19">
        <f ca="1">IFERROR(__xludf.DUMMYFUNCTION("""COMPUTED_VALUE"""),24500)</f>
        <v>24500</v>
      </c>
      <c r="H1462" s="18">
        <f ca="1">IFERROR(__xludf.DUMMYFUNCTION("""COMPUTED_VALUE"""),45672)</f>
        <v>45672</v>
      </c>
      <c r="I1462" s="5" t="str">
        <f ca="1">IFERROR(__xludf.DUMMYFUNCTION("""COMPUTED_VALUE"""),"Zillow")</f>
        <v>Zillow</v>
      </c>
      <c r="J1462" s="25" t="str">
        <f ca="1">IFERROR(__xludf.DUMMYFUNCTION("""COMPUTED_VALUE"""),"https://www.zillow.com/homedetails/4740-Sunnyslope-Ave-Sherman-Oaks-CA-91423/20022323_zpid/?utm_campaign=iosappmessage&amp;utm_medium=referral&amp;utm_source=txtshare")</f>
        <v>https://www.zillow.com/homedetails/4740-Sunnyslope-Ave-Sherman-Oaks-CA-91423/20022323_zpid/?utm_campaign=iosappmessage&amp;utm_medium=referral&amp;utm_source=txtshare</v>
      </c>
      <c r="K1462" s="26" t="str">
        <f ca="1">IFERROR(__xludf.DUMMYFUNCTION("""COMPUTED_VALUE"""),"https://www.zillow.com/homedetails/4740-Sunnyslope-Ave-Sherman-Oaks-CA-91423/20022323_zpid/?utm_campaign=iosappmessage&amp;utm_medium=referral&amp;utm_source=txtshare")</f>
        <v>https://www.zillow.com/homedetails/4740-Sunnyslope-Ave-Sherman-Oaks-CA-91423/20022323_zpid/?utm_campaign=iosappmessage&amp;utm_medium=referral&amp;utm_source=txtshare</v>
      </c>
      <c r="L1462" s="5"/>
      <c r="M1462" s="5"/>
      <c r="N1462" s="26" t="str">
        <f ca="1">IFERROR(__xludf.DUMMYFUNCTION("""COMPUTED_VALUE"""),"https://drive.google.com/open?id=1s73MGgaYy9OPLAJrKaneXZgQubClS9b_")</f>
        <v>https://drive.google.com/open?id=1s73MGgaYy9OPLAJrKaneXZgQubClS9b_</v>
      </c>
      <c r="O1462" s="5" t="str">
        <f ca="1">IFERROR(__xludf.DUMMYFUNCTION("""COMPUTED_VALUE"""),"Parcel number: 2359022004")</f>
        <v>Parcel number: 2359022004</v>
      </c>
      <c r="P1462" s="5" t="str">
        <f ca="1">IFERROR(__xludf.DUMMYFUNCTION("""COMPUTED_VALUE"""),"Listing Provided by: Dennis Chernov DRE #01850113 424-230-3700,  The Agency")</f>
        <v>Listing Provided by: Dennis Chernov DRE #01850113 424-230-3700,  The Agency</v>
      </c>
      <c r="Q1462" s="5"/>
      <c r="R1462" s="5"/>
      <c r="S1462" s="5"/>
      <c r="T1462" s="18">
        <f ca="1">IFERROR(__xludf.DUMMYFUNCTION("""COMPUTED_VALUE"""),45566)</f>
        <v>45566</v>
      </c>
    </row>
    <row r="1463" spans="1:20" ht="12.75">
      <c r="A1463" s="24">
        <f ca="1">IFERROR(__xludf.DUMMYFUNCTION("""COMPUTED_VALUE"""),45687.588848287)</f>
        <v>45687.588848287</v>
      </c>
      <c r="B1463" s="5" t="str">
        <f ca="1">IFERROR(__xludf.DUMMYFUNCTION("""COMPUTED_VALUE"""),"5051 Arundel Dr")</f>
        <v>5051 Arundel Dr</v>
      </c>
      <c r="C1463" s="5" t="str">
        <f ca="1">IFERROR(__xludf.DUMMYFUNCTION("""COMPUTED_VALUE"""),"Woodland Hills")</f>
        <v>Woodland Hills</v>
      </c>
      <c r="D1463" s="5" t="str">
        <f ca="1">IFERROR(__xludf.DUMMYFUNCTION("""COMPUTED_VALUE"""),"CA")</f>
        <v>CA</v>
      </c>
      <c r="E1463" s="5">
        <f ca="1">IFERROR(__xludf.DUMMYFUNCTION("""COMPUTED_VALUE"""),91364)</f>
        <v>91364</v>
      </c>
      <c r="F1463" s="19">
        <f ca="1">IFERROR(__xludf.DUMMYFUNCTION("""COMPUTED_VALUE"""),1)</f>
        <v>1</v>
      </c>
      <c r="G1463" s="19">
        <f ca="1">IFERROR(__xludf.DUMMYFUNCTION("""COMPUTED_VALUE"""),17000)</f>
        <v>17000</v>
      </c>
      <c r="H1463" s="18">
        <f ca="1">IFERROR(__xludf.DUMMYFUNCTION("""COMPUTED_VALUE"""),45687)</f>
        <v>45687</v>
      </c>
      <c r="I1463" s="5" t="str">
        <f ca="1">IFERROR(__xludf.DUMMYFUNCTION("""COMPUTED_VALUE"""),"Zillow")</f>
        <v>Zillow</v>
      </c>
      <c r="J1463" s="25" t="str">
        <f ca="1">IFERROR(__xludf.DUMMYFUNCTION("""COMPUTED_VALUE"""),"https://www.zillow.com/homedetails/5051-Arundel-Dr-Woodland-Hills-CA-91364/19946455_zpid/")</f>
        <v>https://www.zillow.com/homedetails/5051-Arundel-Dr-Woodland-Hills-CA-91364/19946455_zpid/</v>
      </c>
      <c r="K1463" s="5" t="str">
        <f ca="1">IFERROR(__xludf.DUMMYFUNCTION("""COMPUTED_VALUE"""),"Cesar Leyva Avenue Homes")</f>
        <v>Cesar Leyva Avenue Homes</v>
      </c>
      <c r="L1463" s="5"/>
      <c r="M1463" s="5" t="str">
        <f ca="1">IFERROR(__xludf.DUMMYFUNCTION("""COMPUTED_VALUE"""),"way above fair market value")</f>
        <v>way above fair market value</v>
      </c>
      <c r="N1463" s="26" t="str">
        <f ca="1">IFERROR(__xludf.DUMMYFUNCTION("""COMPUTED_VALUE"""),"https://drive.google.com/open?id=1Y6VUJvtHp5CeZ_-_bRaybKbphdmnsZmB")</f>
        <v>https://drive.google.com/open?id=1Y6VUJvtHp5CeZ_-_bRaybKbphdmnsZmB</v>
      </c>
      <c r="O1463" s="5">
        <f ca="1">IFERROR(__xludf.DUMMYFUNCTION("""COMPUTED_VALUE"""),2175014024)</f>
        <v>2175014024</v>
      </c>
      <c r="P1463" s="5" t="str">
        <f ca="1">IFERROR(__xludf.DUMMYFUNCTION("""COMPUTED_VALUE"""),"(424) 202-4243")</f>
        <v>(424) 202-4243</v>
      </c>
      <c r="Q1463" s="5"/>
      <c r="R1463" s="5"/>
      <c r="S1463" s="5"/>
      <c r="T1463" s="5"/>
    </row>
    <row r="1464" spans="1:20" ht="12.75">
      <c r="A1464" s="24">
        <f ca="1">IFERROR(__xludf.DUMMYFUNCTION("""COMPUTED_VALUE"""),45687.5913222106)</f>
        <v>45687.591322210603</v>
      </c>
      <c r="B1464" s="5" t="str">
        <f ca="1">IFERROR(__xludf.DUMMYFUNCTION("""COMPUTED_VALUE"""),"711 Pepper Tree Ln")</f>
        <v>711 Pepper Tree Ln</v>
      </c>
      <c r="C1464" s="5" t="str">
        <f ca="1">IFERROR(__xludf.DUMMYFUNCTION("""COMPUTED_VALUE"""),"Long Beach")</f>
        <v>Long Beach</v>
      </c>
      <c r="D1464" s="5" t="str">
        <f ca="1">IFERROR(__xludf.DUMMYFUNCTION("""COMPUTED_VALUE"""),"CA")</f>
        <v>CA</v>
      </c>
      <c r="E1464" s="5">
        <f ca="1">IFERROR(__xludf.DUMMYFUNCTION("""COMPUTED_VALUE"""),90815)</f>
        <v>90815</v>
      </c>
      <c r="F1464" s="19">
        <f ca="1">IFERROR(__xludf.DUMMYFUNCTION("""COMPUTED_VALUE"""),1)</f>
        <v>1</v>
      </c>
      <c r="G1464" s="19">
        <f ca="1">IFERROR(__xludf.DUMMYFUNCTION("""COMPUTED_VALUE"""),7150)</f>
        <v>7150</v>
      </c>
      <c r="H1464" s="18">
        <f ca="1">IFERROR(__xludf.DUMMYFUNCTION("""COMPUTED_VALUE"""),45687)</f>
        <v>45687</v>
      </c>
      <c r="I1464" s="5" t="str">
        <f ca="1">IFERROR(__xludf.DUMMYFUNCTION("""COMPUTED_VALUE"""),"Zillow")</f>
        <v>Zillow</v>
      </c>
      <c r="J1464" s="25" t="str">
        <f ca="1">IFERROR(__xludf.DUMMYFUNCTION("""COMPUTED_VALUE"""),"https://www.zillow.com/homedetails/711-Pepper-Tree-Ln-Long-Beach-CA-90815/21212112_zpid/")</f>
        <v>https://www.zillow.com/homedetails/711-Pepper-Tree-Ln-Long-Beach-CA-90815/21212112_zpid/</v>
      </c>
      <c r="K1464" s="5"/>
      <c r="L1464" s="5" t="str">
        <f ca="1">IFERROR(__xludf.DUMMYFUNCTION("""COMPUTED_VALUE"""),"Nasir Tejani Property owner")</f>
        <v>Nasir Tejani Property owner</v>
      </c>
      <c r="M1464" s="5" t="str">
        <f ca="1">IFERROR(__xludf.DUMMYFUNCTION("""COMPUTED_VALUE"""),"above 160% FMR of $4180. FYI can't enter ""NA"" for before price on google form, it requires a #")</f>
        <v>above 160% FMR of $4180. FYI can't enter "NA" for before price on google form, it requires a #</v>
      </c>
      <c r="N1464" s="26" t="str">
        <f ca="1">IFERROR(__xludf.DUMMYFUNCTION("""COMPUTED_VALUE"""),"https://drive.google.com/open?id=1EeBalKQkXL4HZxKuCeLjd9umy_HQtqW4")</f>
        <v>https://drive.google.com/open?id=1EeBalKQkXL4HZxKuCeLjd9umy_HQtqW4</v>
      </c>
      <c r="O1464" s="5">
        <f ca="1">IFERROR(__xludf.DUMMYFUNCTION("""COMPUTED_VALUE"""),7239022028)</f>
        <v>7239022028</v>
      </c>
      <c r="P1464" s="5"/>
      <c r="Q1464" s="5"/>
      <c r="R1464" s="5" t="str">
        <f ca="1">IFERROR(__xludf.DUMMYFUNCTION("""COMPUTED_VALUE"""),"(562) 826-2632")</f>
        <v>(562) 826-2632</v>
      </c>
      <c r="S1464" s="5"/>
      <c r="T1464" s="5"/>
    </row>
    <row r="1465" spans="1:20" ht="12.75">
      <c r="A1465" s="24">
        <f ca="1">IFERROR(__xludf.DUMMYFUNCTION("""COMPUTED_VALUE"""),45687.5935599652)</f>
        <v>45687.5935599652</v>
      </c>
      <c r="B1465" s="5" t="str">
        <f ca="1">IFERROR(__xludf.DUMMYFUNCTION("""COMPUTED_VALUE"""),"31 Breeze Ave #A")</f>
        <v>31 Breeze Ave #A</v>
      </c>
      <c r="C1465" s="5" t="str">
        <f ca="1">IFERROR(__xludf.DUMMYFUNCTION("""COMPUTED_VALUE"""),"Venice")</f>
        <v>Venice</v>
      </c>
      <c r="D1465" s="5" t="str">
        <f ca="1">IFERROR(__xludf.DUMMYFUNCTION("""COMPUTED_VALUE"""),"CA")</f>
        <v>CA</v>
      </c>
      <c r="E1465" s="5">
        <f ca="1">IFERROR(__xludf.DUMMYFUNCTION("""COMPUTED_VALUE"""),90291)</f>
        <v>90291</v>
      </c>
      <c r="F1465" s="19">
        <f ca="1">IFERROR(__xludf.DUMMYFUNCTION("""COMPUTED_VALUE"""),1)</f>
        <v>1</v>
      </c>
      <c r="G1465" s="19">
        <f ca="1">IFERROR(__xludf.DUMMYFUNCTION("""COMPUTED_VALUE"""),11000)</f>
        <v>11000</v>
      </c>
      <c r="H1465" s="18">
        <f ca="1">IFERROR(__xludf.DUMMYFUNCTION("""COMPUTED_VALUE"""),45687)</f>
        <v>45687</v>
      </c>
      <c r="I1465" s="5" t="str">
        <f ca="1">IFERROR(__xludf.DUMMYFUNCTION("""COMPUTED_VALUE"""),"Zillow")</f>
        <v>Zillow</v>
      </c>
      <c r="J1465" s="25" t="str">
        <f ca="1">IFERROR(__xludf.DUMMYFUNCTION("""COMPUTED_VALUE"""),"https://www.zillow.com/homedetails/31-Breeze-Ave-A-Venice-CA-90291/446741294_zpid/")</f>
        <v>https://www.zillow.com/homedetails/31-Breeze-Ave-A-Venice-CA-90291/446741294_zpid/</v>
      </c>
      <c r="K1465" s="5" t="str">
        <f ca="1">IFERROR(__xludf.DUMMYFUNCTION("""COMPUTED_VALUE"""),"Frankie Levangie Coldwell Banker Realty")</f>
        <v>Frankie Levangie Coldwell Banker Realty</v>
      </c>
      <c r="L1465" s="5"/>
      <c r="M1465" s="5" t="str">
        <f ca="1">IFERROR(__xludf.DUMMYFUNCTION("""COMPUTED_VALUE"""),"over 160% market rate of $5010.")</f>
        <v>over 160% market rate of $5010.</v>
      </c>
      <c r="N1465" s="26" t="str">
        <f ca="1">IFERROR(__xludf.DUMMYFUNCTION("""COMPUTED_VALUE"""),"https://drive.google.com/open?id=1NaSPvO4e_haleuOjlN_T_yObxVQdnLTw")</f>
        <v>https://drive.google.com/open?id=1NaSPvO4e_haleuOjlN_T_yObxVQdnLTw</v>
      </c>
      <c r="O1465" s="5" t="str">
        <f ca="1">IFERROR(__xludf.DUMMYFUNCTION("""COMPUTED_VALUE"""),"NA")</f>
        <v>NA</v>
      </c>
      <c r="P1465" s="5" t="str">
        <f ca="1">IFERROR(__xludf.DUMMYFUNCTION("""COMPUTED_VALUE"""),"(310) 717-0993")</f>
        <v>(310) 717-0993</v>
      </c>
      <c r="Q1465" s="5"/>
      <c r="R1465" s="5"/>
      <c r="S1465" s="5"/>
      <c r="T1465" s="5"/>
    </row>
    <row r="1466" spans="1:20" ht="12.75">
      <c r="A1466" s="24">
        <f ca="1">IFERROR(__xludf.DUMMYFUNCTION("""COMPUTED_VALUE"""),45687.5952342013)</f>
        <v>45687.595234201297</v>
      </c>
      <c r="B1466" s="5" t="str">
        <f ca="1">IFERROR(__xludf.DUMMYFUNCTION("""COMPUTED_VALUE"""),"201 Avenue E")</f>
        <v>201 Avenue E</v>
      </c>
      <c r="C1466" s="5" t="str">
        <f ca="1">IFERROR(__xludf.DUMMYFUNCTION("""COMPUTED_VALUE"""),"Redondo Beach")</f>
        <v>Redondo Beach</v>
      </c>
      <c r="D1466" s="5" t="str">
        <f ca="1">IFERROR(__xludf.DUMMYFUNCTION("""COMPUTED_VALUE"""),"CA")</f>
        <v>CA</v>
      </c>
      <c r="E1466" s="5">
        <f ca="1">IFERROR(__xludf.DUMMYFUNCTION("""COMPUTED_VALUE"""),90277)</f>
        <v>90277</v>
      </c>
      <c r="F1466" s="19">
        <f ca="1">IFERROR(__xludf.DUMMYFUNCTION("""COMPUTED_VALUE"""),1)</f>
        <v>1</v>
      </c>
      <c r="G1466" s="19">
        <f ca="1">IFERROR(__xludf.DUMMYFUNCTION("""COMPUTED_VALUE"""),8025)</f>
        <v>8025</v>
      </c>
      <c r="H1466" s="18">
        <f ca="1">IFERROR(__xludf.DUMMYFUNCTION("""COMPUTED_VALUE"""),45687)</f>
        <v>45687</v>
      </c>
      <c r="I1466" s="5" t="str">
        <f ca="1">IFERROR(__xludf.DUMMYFUNCTION("""COMPUTED_VALUE"""),"Zillow")</f>
        <v>Zillow</v>
      </c>
      <c r="J1466" s="25" t="str">
        <f ca="1">IFERROR(__xludf.DUMMYFUNCTION("""COMPUTED_VALUE"""),"https://www.zillow.com/homedetails/201-Avenue-E-Redondo-Beach-CA-90277/446741345_zpid/")</f>
        <v>https://www.zillow.com/homedetails/201-Avenue-E-Redondo-Beach-CA-90277/446741345_zpid/</v>
      </c>
      <c r="K1466" s="5"/>
      <c r="L1466" s="5" t="str">
        <f ca="1">IFERROR(__xludf.DUMMYFUNCTION("""COMPUTED_VALUE"""),"Nicole McCowan")</f>
        <v>Nicole McCowan</v>
      </c>
      <c r="M1466" s="5" t="str">
        <f ca="1">IFERROR(__xludf.DUMMYFUNCTION("""COMPUTED_VALUE"""),"over 160% of FMR of $4,380")</f>
        <v>over 160% of FMR of $4,380</v>
      </c>
      <c r="N1466" s="26" t="str">
        <f ca="1">IFERROR(__xludf.DUMMYFUNCTION("""COMPUTED_VALUE"""),"https://drive.google.com/open?id=1v5YbLxEiuEHe9EPwgvwK3-fq_Q7ckyrU")</f>
        <v>https://drive.google.com/open?id=1v5YbLxEiuEHe9EPwgvwK3-fq_Q7ckyrU</v>
      </c>
      <c r="O1466" s="5" t="str">
        <f ca="1">IFERROR(__xludf.DUMMYFUNCTION("""COMPUTED_VALUE"""),"NA")</f>
        <v>NA</v>
      </c>
      <c r="P1466" s="5"/>
      <c r="Q1466" s="5"/>
      <c r="R1466" s="5" t="str">
        <f ca="1">IFERROR(__xludf.DUMMYFUNCTION("""COMPUTED_VALUE"""),"(310) 292-5924")</f>
        <v>(310) 292-5924</v>
      </c>
      <c r="S1466" s="5"/>
      <c r="T1466" s="5"/>
    </row>
    <row r="1467" spans="1:20" ht="12.75">
      <c r="A1467" s="24">
        <f ca="1">IFERROR(__xludf.DUMMYFUNCTION("""COMPUTED_VALUE"""),45687.5969466782)</f>
        <v>45687.596946678197</v>
      </c>
      <c r="B1467" s="5" t="str">
        <f ca="1">IFERROR(__xludf.DUMMYFUNCTION("""COMPUTED_VALUE"""),"829 E Camino Real Ave")</f>
        <v>829 E Camino Real Ave</v>
      </c>
      <c r="C1467" s="5" t="str">
        <f ca="1">IFERROR(__xludf.DUMMYFUNCTION("""COMPUTED_VALUE"""),"Arcadia")</f>
        <v>Arcadia</v>
      </c>
      <c r="D1467" s="5" t="str">
        <f ca="1">IFERROR(__xludf.DUMMYFUNCTION("""COMPUTED_VALUE"""),"CA")</f>
        <v>CA</v>
      </c>
      <c r="E1467" s="5">
        <f ca="1">IFERROR(__xludf.DUMMYFUNCTION("""COMPUTED_VALUE"""),91006)</f>
        <v>91006</v>
      </c>
      <c r="F1467" s="19">
        <f ca="1">IFERROR(__xludf.DUMMYFUNCTION("""COMPUTED_VALUE"""),1)</f>
        <v>1</v>
      </c>
      <c r="G1467" s="19">
        <f ca="1">IFERROR(__xludf.DUMMYFUNCTION("""COMPUTED_VALUE"""),9900)</f>
        <v>9900</v>
      </c>
      <c r="H1467" s="18">
        <f ca="1">IFERROR(__xludf.DUMMYFUNCTION("""COMPUTED_VALUE"""),45687)</f>
        <v>45687</v>
      </c>
      <c r="I1467" s="5" t="str">
        <f ca="1">IFERROR(__xludf.DUMMYFUNCTION("""COMPUTED_VALUE"""),"Zillow")</f>
        <v>Zillow</v>
      </c>
      <c r="J1467" s="25" t="str">
        <f ca="1">IFERROR(__xludf.DUMMYFUNCTION("""COMPUTED_VALUE"""),"https://www.zillow.com/homedetails/829-E-Camino-Real-Ave-Arcadia-CA-91006/20892517_zpid/")</f>
        <v>https://www.zillow.com/homedetails/829-E-Camino-Real-Ave-Arcadia-CA-91006/20892517_zpid/</v>
      </c>
      <c r="K1467" s="5"/>
      <c r="L1467" s="5" t="str">
        <f ca="1">IFERROR(__xludf.DUMMYFUNCTION("""COMPUTED_VALUE"""),"Bruce")</f>
        <v>Bruce</v>
      </c>
      <c r="M1467" s="5" t="str">
        <f ca="1">IFERROR(__xludf.DUMMYFUNCTION("""COMPUTED_VALUE"""),"over 160% of FMR of $3,970")</f>
        <v>over 160% of FMR of $3,970</v>
      </c>
      <c r="N1467" s="26" t="str">
        <f ca="1">IFERROR(__xludf.DUMMYFUNCTION("""COMPUTED_VALUE"""),"https://drive.google.com/open?id=1abzIKvbzBMsqalGucuDjtuk34yv7JlcJ")</f>
        <v>https://drive.google.com/open?id=1abzIKvbzBMsqalGucuDjtuk34yv7JlcJ</v>
      </c>
      <c r="O1467" s="5">
        <f ca="1">IFERROR(__xludf.DUMMYFUNCTION("""COMPUTED_VALUE"""),5780025061)</f>
        <v>5780025061</v>
      </c>
      <c r="P1467" s="5"/>
      <c r="Q1467" s="5"/>
      <c r="R1467" s="5" t="str">
        <f ca="1">IFERROR(__xludf.DUMMYFUNCTION("""COMPUTED_VALUE"""),"(818) 600-2221")</f>
        <v>(818) 600-2221</v>
      </c>
      <c r="S1467" s="5"/>
      <c r="T1467" s="5"/>
    </row>
    <row r="1468" spans="1:20" ht="12.75">
      <c r="A1468" s="24">
        <f ca="1">IFERROR(__xludf.DUMMYFUNCTION("""COMPUTED_VALUE"""),45687.5991957754)</f>
        <v>45687.599195775401</v>
      </c>
      <c r="B1468" s="5" t="str">
        <f ca="1">IFERROR(__xludf.DUMMYFUNCTION("""COMPUTED_VALUE"""),"967 Maltman Ave #967")</f>
        <v>967 Maltman Ave #967</v>
      </c>
      <c r="C1468" s="5" t="str">
        <f ca="1">IFERROR(__xludf.DUMMYFUNCTION("""COMPUTED_VALUE"""),"Los Angeles")</f>
        <v>Los Angeles</v>
      </c>
      <c r="D1468" s="5" t="str">
        <f ca="1">IFERROR(__xludf.DUMMYFUNCTION("""COMPUTED_VALUE"""),"CA")</f>
        <v>CA</v>
      </c>
      <c r="E1468" s="5">
        <f ca="1">IFERROR(__xludf.DUMMYFUNCTION("""COMPUTED_VALUE"""),90026)</f>
        <v>90026</v>
      </c>
      <c r="F1468" s="19">
        <f ca="1">IFERROR(__xludf.DUMMYFUNCTION("""COMPUTED_VALUE"""),1)</f>
        <v>1</v>
      </c>
      <c r="G1468" s="19">
        <f ca="1">IFERROR(__xludf.DUMMYFUNCTION("""COMPUTED_VALUE"""),5400)</f>
        <v>5400</v>
      </c>
      <c r="H1468" s="18">
        <f ca="1">IFERROR(__xludf.DUMMYFUNCTION("""COMPUTED_VALUE"""),45687)</f>
        <v>45687</v>
      </c>
      <c r="I1468" s="5" t="str">
        <f ca="1">IFERROR(__xludf.DUMMYFUNCTION("""COMPUTED_VALUE"""),"Zillow")</f>
        <v>Zillow</v>
      </c>
      <c r="J1468" s="25" t="str">
        <f ca="1">IFERROR(__xludf.DUMMYFUNCTION("""COMPUTED_VALUE"""),"https://www.zillow.com/homedetails/967-Maltman-Ave-967-Los-Angeles-CA-90026/446740935_zpid/")</f>
        <v>https://www.zillow.com/homedetails/967-Maltman-Ave-967-Los-Angeles-CA-90026/446740935_zpid/</v>
      </c>
      <c r="K1468" s="5"/>
      <c r="L1468" s="5" t="str">
        <f ca="1">IFERROR(__xludf.DUMMYFUNCTION("""COMPUTED_VALUE"""),"Jonathan LehrerGraiwer")</f>
        <v>Jonathan LehrerGraiwer</v>
      </c>
      <c r="M1468" s="5" t="str">
        <f ca="1">IFERROR(__xludf.DUMMYFUNCTION("""COMPUTED_VALUE"""),"over 160% of FMR of $2,480")</f>
        <v>over 160% of FMR of $2,480</v>
      </c>
      <c r="N1468" s="26" t="str">
        <f ca="1">IFERROR(__xludf.DUMMYFUNCTION("""COMPUTED_VALUE"""),"https://drive.google.com/open?id=1rpoVzu5-CqXzWJWkOYoh13LP3G49WVD0")</f>
        <v>https://drive.google.com/open?id=1rpoVzu5-CqXzWJWkOYoh13LP3G49WVD0</v>
      </c>
      <c r="O1468" s="5" t="str">
        <f ca="1">IFERROR(__xludf.DUMMYFUNCTION("""COMPUTED_VALUE"""),"NA")</f>
        <v>NA</v>
      </c>
      <c r="P1468" s="5"/>
      <c r="Q1468" s="5"/>
      <c r="R1468" s="5" t="str">
        <f ca="1">IFERROR(__xludf.DUMMYFUNCTION("""COMPUTED_VALUE"""),"(213) 799-1032")</f>
        <v>(213) 799-1032</v>
      </c>
      <c r="S1468" s="5"/>
      <c r="T1468" s="5"/>
    </row>
    <row r="1469" spans="1:20" ht="12.75">
      <c r="A1469" s="24">
        <f ca="1">IFERROR(__xludf.DUMMYFUNCTION("""COMPUTED_VALUE"""),45687.6007628588)</f>
        <v>45687.600762858798</v>
      </c>
      <c r="B1469" s="5" t="str">
        <f ca="1">IFERROR(__xludf.DUMMYFUNCTION("""COMPUTED_VALUE"""),"1500 Fairfield St")</f>
        <v>1500 Fairfield St</v>
      </c>
      <c r="C1469" s="5" t="str">
        <f ca="1">IFERROR(__xludf.DUMMYFUNCTION("""COMPUTED_VALUE"""),"Glendale")</f>
        <v>Glendale</v>
      </c>
      <c r="D1469" s="5" t="str">
        <f ca="1">IFERROR(__xludf.DUMMYFUNCTION("""COMPUTED_VALUE"""),"CA")</f>
        <v>CA</v>
      </c>
      <c r="E1469" s="5">
        <f ca="1">IFERROR(__xludf.DUMMYFUNCTION("""COMPUTED_VALUE"""),91201)</f>
        <v>91201</v>
      </c>
      <c r="F1469" s="19">
        <f ca="1">IFERROR(__xludf.DUMMYFUNCTION("""COMPUTED_VALUE"""),1)</f>
        <v>1</v>
      </c>
      <c r="G1469" s="19">
        <f ca="1">IFERROR(__xludf.DUMMYFUNCTION("""COMPUTED_VALUE"""),6000)</f>
        <v>6000</v>
      </c>
      <c r="H1469" s="18">
        <f ca="1">IFERROR(__xludf.DUMMYFUNCTION("""COMPUTED_VALUE"""),45687)</f>
        <v>45687</v>
      </c>
      <c r="I1469" s="5" t="str">
        <f ca="1">IFERROR(__xludf.DUMMYFUNCTION("""COMPUTED_VALUE"""),"Zillow")</f>
        <v>Zillow</v>
      </c>
      <c r="J1469" s="25" t="str">
        <f ca="1">IFERROR(__xludf.DUMMYFUNCTION("""COMPUTED_VALUE"""),"https://www.zillow.com/homedetails/1500-Fairfield-St-Glendale-CA-91201/20825768_zpid/")</f>
        <v>https://www.zillow.com/homedetails/1500-Fairfield-St-Glendale-CA-91201/20825768_zpid/</v>
      </c>
      <c r="K1469" s="5" t="str">
        <f ca="1">IFERROR(__xludf.DUMMYFUNCTION("""COMPUTED_VALUE"""),"Meadow Scott")</f>
        <v>Meadow Scott</v>
      </c>
      <c r="L1469" s="5"/>
      <c r="M1469" s="5" t="str">
        <f ca="1">IFERROR(__xludf.DUMMYFUNCTION("""COMPUTED_VALUE"""),"over 160% of FMR of $3,550")</f>
        <v>over 160% of FMR of $3,550</v>
      </c>
      <c r="N1469" s="26" t="str">
        <f ca="1">IFERROR(__xludf.DUMMYFUNCTION("""COMPUTED_VALUE"""),"https://drive.google.com/open?id=1xAvlnku_N_UETf63C4w2eMx-tCwjYjmd")</f>
        <v>https://drive.google.com/open?id=1xAvlnku_N_UETf63C4w2eMx-tCwjYjmd</v>
      </c>
      <c r="O1469" s="5">
        <f ca="1">IFERROR(__xludf.DUMMYFUNCTION("""COMPUTED_VALUE"""),5626021020)</f>
        <v>5626021020</v>
      </c>
      <c r="P1469" s="5" t="str">
        <f ca="1">IFERROR(__xludf.DUMMYFUNCTION("""COMPUTED_VALUE"""),"(818) 521-3566")</f>
        <v>(818) 521-3566</v>
      </c>
      <c r="Q1469" s="5"/>
      <c r="R1469" s="5"/>
      <c r="S1469" s="5"/>
      <c r="T1469" s="5"/>
    </row>
    <row r="1470" spans="1:20" ht="12.75">
      <c r="A1470" s="24">
        <f ca="1">IFERROR(__xludf.DUMMYFUNCTION("""COMPUTED_VALUE"""),45687.6024174189)</f>
        <v>45687.602417418901</v>
      </c>
      <c r="B1470" s="5" t="str">
        <f ca="1">IFERROR(__xludf.DUMMYFUNCTION("""COMPUTED_VALUE"""),"3025 E Corto Pl")</f>
        <v>3025 E Corto Pl</v>
      </c>
      <c r="C1470" s="5" t="str">
        <f ca="1">IFERROR(__xludf.DUMMYFUNCTION("""COMPUTED_VALUE"""),"Long Beach")</f>
        <v>Long Beach</v>
      </c>
      <c r="D1470" s="5" t="str">
        <f ca="1">IFERROR(__xludf.DUMMYFUNCTION("""COMPUTED_VALUE"""),"CA")</f>
        <v>CA</v>
      </c>
      <c r="E1470" s="5">
        <f ca="1">IFERROR(__xludf.DUMMYFUNCTION("""COMPUTED_VALUE"""),90803)</f>
        <v>90803</v>
      </c>
      <c r="F1470" s="19">
        <f ca="1">IFERROR(__xludf.DUMMYFUNCTION("""COMPUTED_VALUE"""),1)</f>
        <v>1</v>
      </c>
      <c r="G1470" s="19">
        <f ca="1">IFERROR(__xludf.DUMMYFUNCTION("""COMPUTED_VALUE"""),8700)</f>
        <v>8700</v>
      </c>
      <c r="H1470" s="18">
        <f ca="1">IFERROR(__xludf.DUMMYFUNCTION("""COMPUTED_VALUE"""),45687)</f>
        <v>45687</v>
      </c>
      <c r="I1470" s="5" t="str">
        <f ca="1">IFERROR(__xludf.DUMMYFUNCTION("""COMPUTED_VALUE"""),"Zillow")</f>
        <v>Zillow</v>
      </c>
      <c r="J1470" s="25" t="str">
        <f ca="1">IFERROR(__xludf.DUMMYFUNCTION("""COMPUTED_VALUE"""),"https://www.zillow.com/homedetails/3025-E-Corto-Pl-Long-Beach-CA-90803/21230067_zpid/")</f>
        <v>https://www.zillow.com/homedetails/3025-E-Corto-Pl-Long-Beach-CA-90803/21230067_zpid/</v>
      </c>
      <c r="K1470" s="5"/>
      <c r="L1470" s="5" t="str">
        <f ca="1">IFERROR(__xludf.DUMMYFUNCTION("""COMPUTED_VALUE"""),"Laura Sanabria")</f>
        <v>Laura Sanabria</v>
      </c>
      <c r="M1470" s="5" t="str">
        <f ca="1">IFERROR(__xludf.DUMMYFUNCTION("""COMPUTED_VALUE"""),"over 160% of FMR of $4,240")</f>
        <v>over 160% of FMR of $4,240</v>
      </c>
      <c r="N1470" s="26" t="str">
        <f ca="1">IFERROR(__xludf.DUMMYFUNCTION("""COMPUTED_VALUE"""),"https://drive.google.com/open?id=16siES5D4re8bLFGBEyfK2eMx-M2s1nKZ")</f>
        <v>https://drive.google.com/open?id=16siES5D4re8bLFGBEyfK2eMx-M2s1nKZ</v>
      </c>
      <c r="O1470" s="5">
        <f ca="1">IFERROR(__xludf.DUMMYFUNCTION("""COMPUTED_VALUE"""),7264005026)</f>
        <v>7264005026</v>
      </c>
      <c r="P1470" s="5"/>
      <c r="Q1470" s="5"/>
      <c r="R1470" s="5" t="str">
        <f ca="1">IFERROR(__xludf.DUMMYFUNCTION("""COMPUTED_VALUE"""),"(562) 526-1895")</f>
        <v>(562) 526-1895</v>
      </c>
      <c r="S1470" s="5"/>
      <c r="T1470" s="5"/>
    </row>
    <row r="1471" spans="1:20" ht="12.75">
      <c r="A1471" s="24">
        <f ca="1">IFERROR(__xludf.DUMMYFUNCTION("""COMPUTED_VALUE"""),45687.6046105208)</f>
        <v>45687.604610520801</v>
      </c>
      <c r="B1471" s="5" t="str">
        <f ca="1">IFERROR(__xludf.DUMMYFUNCTION("""COMPUTED_VALUE"""),"8160 Mannix Dr")</f>
        <v>8160 Mannix Dr</v>
      </c>
      <c r="C1471" s="5" t="str">
        <f ca="1">IFERROR(__xludf.DUMMYFUNCTION("""COMPUTED_VALUE"""),"Los Angeles")</f>
        <v>Los Angeles</v>
      </c>
      <c r="D1471" s="5" t="str">
        <f ca="1">IFERROR(__xludf.DUMMYFUNCTION("""COMPUTED_VALUE"""),"CA")</f>
        <v>CA</v>
      </c>
      <c r="E1471" s="5">
        <f ca="1">IFERROR(__xludf.DUMMYFUNCTION("""COMPUTED_VALUE"""),90046)</f>
        <v>90046</v>
      </c>
      <c r="F1471" s="19">
        <f ca="1">IFERROR(__xludf.DUMMYFUNCTION("""COMPUTED_VALUE"""),1)</f>
        <v>1</v>
      </c>
      <c r="G1471" s="19">
        <f ca="1">IFERROR(__xludf.DUMMYFUNCTION("""COMPUTED_VALUE"""),7800)</f>
        <v>7800</v>
      </c>
      <c r="H1471" s="18">
        <f ca="1">IFERROR(__xludf.DUMMYFUNCTION("""COMPUTED_VALUE"""),45687)</f>
        <v>45687</v>
      </c>
      <c r="I1471" s="5" t="str">
        <f ca="1">IFERROR(__xludf.DUMMYFUNCTION("""COMPUTED_VALUE"""),"Zillow")</f>
        <v>Zillow</v>
      </c>
      <c r="J1471" s="25" t="str">
        <f ca="1">IFERROR(__xludf.DUMMYFUNCTION("""COMPUTED_VALUE"""),"https://www.zillow.com/homedetails/8160-Mannix-Dr-Los-Angeles-CA-90046/20797616_zpid/")</f>
        <v>https://www.zillow.com/homedetails/8160-Mannix-Dr-Los-Angeles-CA-90046/20797616_zpid/</v>
      </c>
      <c r="K1471" s="5" t="str">
        <f ca="1">IFERROR(__xludf.DUMMYFUNCTION("""COMPUTED_VALUE"""),"Dan Nessel Berkshire Hathaway Home Services - Santa Monica")</f>
        <v>Dan Nessel Berkshire Hathaway Home Services - Santa Monica</v>
      </c>
      <c r="L1471" s="5"/>
      <c r="M1471" s="5" t="str">
        <f ca="1">IFERROR(__xludf.DUMMYFUNCTION("""COMPUTED_VALUE"""),"over 160% FMR of $4,080")</f>
        <v>over 160% FMR of $4,080</v>
      </c>
      <c r="N1471" s="26" t="str">
        <f ca="1">IFERROR(__xludf.DUMMYFUNCTION("""COMPUTED_VALUE"""),"https://drive.google.com/open?id=1UsxWfi1AZJfrV2Q59IjPTTRd7I1Aioab")</f>
        <v>https://drive.google.com/open?id=1UsxWfi1AZJfrV2Q59IjPTTRd7I1Aioab</v>
      </c>
      <c r="O1471" s="5">
        <f ca="1">IFERROR(__xludf.DUMMYFUNCTION("""COMPUTED_VALUE"""),5556004019)</f>
        <v>5556004019</v>
      </c>
      <c r="P1471" s="5" t="str">
        <f ca="1">IFERROR(__xludf.DUMMYFUNCTION("""COMPUTED_VALUE"""),"(310) 365-0195")</f>
        <v>(310) 365-0195</v>
      </c>
      <c r="Q1471" s="5"/>
      <c r="R1471" s="5"/>
      <c r="S1471" s="5"/>
      <c r="T1471" s="5"/>
    </row>
    <row r="1472" spans="1:20" ht="12.75">
      <c r="A1472" s="24">
        <f ca="1">IFERROR(__xludf.DUMMYFUNCTION("""COMPUTED_VALUE"""),45687.6063785185)</f>
        <v>45687.606378518503</v>
      </c>
      <c r="B1472" s="5" t="str">
        <f ca="1">IFERROR(__xludf.DUMMYFUNCTION("""COMPUTED_VALUE"""),"2521 Alma Ave")</f>
        <v>2521 Alma Ave</v>
      </c>
      <c r="C1472" s="5" t="str">
        <f ca="1">IFERROR(__xludf.DUMMYFUNCTION("""COMPUTED_VALUE"""),"Manhattan Beach")</f>
        <v>Manhattan Beach</v>
      </c>
      <c r="D1472" s="5" t="str">
        <f ca="1">IFERROR(__xludf.DUMMYFUNCTION("""COMPUTED_VALUE"""),"CA")</f>
        <v>CA</v>
      </c>
      <c r="E1472" s="5">
        <f ca="1">IFERROR(__xludf.DUMMYFUNCTION("""COMPUTED_VALUE"""),90266)</f>
        <v>90266</v>
      </c>
      <c r="F1472" s="19">
        <f ca="1">IFERROR(__xludf.DUMMYFUNCTION("""COMPUTED_VALUE"""),1)</f>
        <v>1</v>
      </c>
      <c r="G1472" s="19">
        <f ca="1">IFERROR(__xludf.DUMMYFUNCTION("""COMPUTED_VALUE"""),19500)</f>
        <v>19500</v>
      </c>
      <c r="H1472" s="18">
        <f ca="1">IFERROR(__xludf.DUMMYFUNCTION("""COMPUTED_VALUE"""),45687)</f>
        <v>45687</v>
      </c>
      <c r="I1472" s="5" t="str">
        <f ca="1">IFERROR(__xludf.DUMMYFUNCTION("""COMPUTED_VALUE"""),"Zillow")</f>
        <v>Zillow</v>
      </c>
      <c r="J1472" s="25" t="str">
        <f ca="1">IFERROR(__xludf.DUMMYFUNCTION("""COMPUTED_VALUE"""),"https://www.zillow.com/homedetails/2521-Alma-Ave-Manhattan-Beach-CA-90266/20421440_zpid/")</f>
        <v>https://www.zillow.com/homedetails/2521-Alma-Ave-Manhattan-Beach-CA-90266/20421440_zpid/</v>
      </c>
      <c r="K1472" s="5"/>
      <c r="L1472" s="5" t="str">
        <f ca="1">IFERROR(__xludf.DUMMYFUNCTION("""COMPUTED_VALUE"""),"Gina Kloes EOS Real Estate Invesments II, LLC")</f>
        <v>Gina Kloes EOS Real Estate Invesments II, LLC</v>
      </c>
      <c r="M1472" s="5" t="str">
        <f ca="1">IFERROR(__xludf.DUMMYFUNCTION("""COMPUTED_VALUE"""),"way above 160% of FMR of $5,550")</f>
        <v>way above 160% of FMR of $5,550</v>
      </c>
      <c r="N1472" s="26" t="str">
        <f ca="1">IFERROR(__xludf.DUMMYFUNCTION("""COMPUTED_VALUE"""),"https://drive.google.com/open?id=18JRzYr-QJaYargq-ei0vZneeRWFIWslb")</f>
        <v>https://drive.google.com/open?id=18JRzYr-QJaYargq-ei0vZneeRWFIWslb</v>
      </c>
      <c r="O1472" s="5">
        <f ca="1">IFERROR(__xludf.DUMMYFUNCTION("""COMPUTED_VALUE"""),4177015018)</f>
        <v>4177015018</v>
      </c>
      <c r="P1472" s="5"/>
      <c r="Q1472" s="5"/>
      <c r="R1472" s="5" t="str">
        <f ca="1">IFERROR(__xludf.DUMMYFUNCTION("""COMPUTED_VALUE"""),"(650) 297-3394")</f>
        <v>(650) 297-3394</v>
      </c>
      <c r="S1472" s="5"/>
      <c r="T1472" s="5"/>
    </row>
    <row r="1473" spans="1:20" ht="12.75">
      <c r="A1473" s="24">
        <f ca="1">IFERROR(__xludf.DUMMYFUNCTION("""COMPUTED_VALUE"""),45687.6100665277)</f>
        <v>45687.610066527697</v>
      </c>
      <c r="B1473" s="5" t="str">
        <f ca="1">IFERROR(__xludf.DUMMYFUNCTION("""COMPUTED_VALUE"""),"2890 Eider St")</f>
        <v>2890 Eider St</v>
      </c>
      <c r="C1473" s="5" t="str">
        <f ca="1">IFERROR(__xludf.DUMMYFUNCTION("""COMPUTED_VALUE"""),"La Verne")</f>
        <v>La Verne</v>
      </c>
      <c r="D1473" s="5" t="str">
        <f ca="1">IFERROR(__xludf.DUMMYFUNCTION("""COMPUTED_VALUE"""),"CA")</f>
        <v>CA</v>
      </c>
      <c r="E1473" s="5">
        <f ca="1">IFERROR(__xludf.DUMMYFUNCTION("""COMPUTED_VALUE"""),91750)</f>
        <v>91750</v>
      </c>
      <c r="F1473" s="19">
        <f ca="1">IFERROR(__xludf.DUMMYFUNCTION("""COMPUTED_VALUE"""),1)</f>
        <v>1</v>
      </c>
      <c r="G1473" s="19">
        <f ca="1">IFERROR(__xludf.DUMMYFUNCTION("""COMPUTED_VALUE"""),10000)</f>
        <v>10000</v>
      </c>
      <c r="H1473" s="18">
        <f ca="1">IFERROR(__xludf.DUMMYFUNCTION("""COMPUTED_VALUE"""),45682)</f>
        <v>45682</v>
      </c>
      <c r="I1473" s="5" t="str">
        <f ca="1">IFERROR(__xludf.DUMMYFUNCTION("""COMPUTED_VALUE"""),"Zillow")</f>
        <v>Zillow</v>
      </c>
      <c r="J1473" s="25" t="str">
        <f ca="1">IFERROR(__xludf.DUMMYFUNCTION("""COMPUTED_VALUE"""),"https://www.zillow.com/homedetails/2890-Eider-St-La-Verne-CA-91750/51602754_zpid/")</f>
        <v>https://www.zillow.com/homedetails/2890-Eider-St-La-Verne-CA-91750/51602754_zpid/</v>
      </c>
      <c r="K1473" s="5" t="str">
        <f ca="1">IFERROR(__xludf.DUMMYFUNCTION("""COMPUTED_VALUE"""),"Nicholas Abbadessa RE/MAX Masters")</f>
        <v>Nicholas Abbadessa RE/MAX Masters</v>
      </c>
      <c r="L1473" s="5"/>
      <c r="M1473" s="5" t="str">
        <f ca="1">IFERROR(__xludf.DUMMYFUNCTION("""COMPUTED_VALUE"""),"way over 160% of FMR of $3,670")</f>
        <v>way over 160% of FMR of $3,670</v>
      </c>
      <c r="N1473" s="26" t="str">
        <f ca="1">IFERROR(__xludf.DUMMYFUNCTION("""COMPUTED_VALUE"""),"https://drive.google.com/open?id=1SOQhMkB4tAOzBYExiDY_O5mffAI2QFXr")</f>
        <v>https://drive.google.com/open?id=1SOQhMkB4tAOzBYExiDY_O5mffAI2QFXr</v>
      </c>
      <c r="O1473" s="5">
        <f ca="1">IFERROR(__xludf.DUMMYFUNCTION("""COMPUTED_VALUE"""),8666063038)</f>
        <v>8666063038</v>
      </c>
      <c r="P1473" s="5" t="str">
        <f ca="1">IFERROR(__xludf.DUMMYFUNCTION("""COMPUTED_VALUE"""),"(909) 292-7888")</f>
        <v>(909) 292-7888</v>
      </c>
      <c r="Q1473" s="5"/>
      <c r="R1473" s="5"/>
      <c r="S1473" s="5"/>
      <c r="T1473" s="5"/>
    </row>
    <row r="1474" spans="1:20" ht="12.75">
      <c r="A1474" s="24">
        <f ca="1">IFERROR(__xludf.DUMMYFUNCTION("""COMPUTED_VALUE"""),45687.6145874768)</f>
        <v>45687.614587476797</v>
      </c>
      <c r="B1474" s="5" t="str">
        <f ca="1">IFERROR(__xludf.DUMMYFUNCTION("""COMPUTED_VALUE"""),"1277 Via Esperanza")</f>
        <v>1277 Via Esperanza</v>
      </c>
      <c r="C1474" s="5" t="str">
        <f ca="1">IFERROR(__xludf.DUMMYFUNCTION("""COMPUTED_VALUE"""),"San Dimas")</f>
        <v>San Dimas</v>
      </c>
      <c r="D1474" s="5" t="str">
        <f ca="1">IFERROR(__xludf.DUMMYFUNCTION("""COMPUTED_VALUE"""),"CA")</f>
        <v>CA</v>
      </c>
      <c r="E1474" s="5">
        <f ca="1">IFERROR(__xludf.DUMMYFUNCTION("""COMPUTED_VALUE"""),91773)</f>
        <v>91773</v>
      </c>
      <c r="F1474" s="19">
        <f ca="1">IFERROR(__xludf.DUMMYFUNCTION("""COMPUTED_VALUE"""),1)</f>
        <v>1</v>
      </c>
      <c r="G1474" s="19">
        <f ca="1">IFERROR(__xludf.DUMMYFUNCTION("""COMPUTED_VALUE"""),7500)</f>
        <v>7500</v>
      </c>
      <c r="H1474" s="18">
        <f ca="1">IFERROR(__xludf.DUMMYFUNCTION("""COMPUTED_VALUE"""),45681)</f>
        <v>45681</v>
      </c>
      <c r="I1474" s="5" t="str">
        <f ca="1">IFERROR(__xludf.DUMMYFUNCTION("""COMPUTED_VALUE"""),"Zillow")</f>
        <v>Zillow</v>
      </c>
      <c r="J1474" s="25" t="str">
        <f ca="1">IFERROR(__xludf.DUMMYFUNCTION("""COMPUTED_VALUE"""),"https://www.zillow.com/homedetails/1277-Via-Esperanza-San-Dimas-CA-91773/21533522_zpid/")</f>
        <v>https://www.zillow.com/homedetails/1277-Via-Esperanza-San-Dimas-CA-91773/21533522_zpid/</v>
      </c>
      <c r="K1474" s="5"/>
      <c r="L1474" s="5" t="str">
        <f ca="1">IFERROR(__xludf.DUMMYFUNCTION("""COMPUTED_VALUE"""),"Michelle")</f>
        <v>Michelle</v>
      </c>
      <c r="M1474" s="5" t="str">
        <f ca="1">IFERROR(__xludf.DUMMYFUNCTION("""COMPUTED_VALUE"""),"over 160% fair market rate of $4,020")</f>
        <v>over 160% fair market rate of $4,020</v>
      </c>
      <c r="N1474" s="26" t="str">
        <f ca="1">IFERROR(__xludf.DUMMYFUNCTION("""COMPUTED_VALUE"""),"https://drive.google.com/open?id=1c6Sydm4-gMhMndgiC83egOxF0gnDXgx1")</f>
        <v>https://drive.google.com/open?id=1c6Sydm4-gMhMndgiC83egOxF0gnDXgx1</v>
      </c>
      <c r="O1474" s="5">
        <f ca="1">IFERROR(__xludf.DUMMYFUNCTION("""COMPUTED_VALUE"""),8395014012)</f>
        <v>8395014012</v>
      </c>
      <c r="P1474" s="5"/>
      <c r="Q1474" s="5"/>
      <c r="R1474" s="5" t="str">
        <f ca="1">IFERROR(__xludf.DUMMYFUNCTION("""COMPUTED_VALUE"""),"(650) 766-4679")</f>
        <v>(650) 766-4679</v>
      </c>
      <c r="S1474" s="5"/>
      <c r="T1474" s="5"/>
    </row>
    <row r="1475" spans="1:20" ht="12.75">
      <c r="A1475" s="24">
        <f ca="1">IFERROR(__xludf.DUMMYFUNCTION("""COMPUTED_VALUE"""),45687.6200689467)</f>
        <v>45687.6200689467</v>
      </c>
      <c r="B1475" s="5" t="str">
        <f ca="1">IFERROR(__xludf.DUMMYFUNCTION("""COMPUTED_VALUE"""),"8 Rancho Laguna Dr")</f>
        <v>8 Rancho Laguna Dr</v>
      </c>
      <c r="C1475" s="5" t="str">
        <f ca="1">IFERROR(__xludf.DUMMYFUNCTION("""COMPUTED_VALUE"""),"Pomona")</f>
        <v>Pomona</v>
      </c>
      <c r="D1475" s="5" t="str">
        <f ca="1">IFERROR(__xludf.DUMMYFUNCTION("""COMPUTED_VALUE"""),"CA")</f>
        <v>CA</v>
      </c>
      <c r="E1475" s="5">
        <f ca="1">IFERROR(__xludf.DUMMYFUNCTION("""COMPUTED_VALUE"""),91766)</f>
        <v>91766</v>
      </c>
      <c r="F1475" s="19">
        <f ca="1">IFERROR(__xludf.DUMMYFUNCTION("""COMPUTED_VALUE"""),1)</f>
        <v>1</v>
      </c>
      <c r="G1475" s="19">
        <f ca="1">IFERROR(__xludf.DUMMYFUNCTION("""COMPUTED_VALUE"""),7500)</f>
        <v>7500</v>
      </c>
      <c r="H1475" s="18">
        <f ca="1">IFERROR(__xludf.DUMMYFUNCTION("""COMPUTED_VALUE"""),45685)</f>
        <v>45685</v>
      </c>
      <c r="I1475" s="5" t="str">
        <f ca="1">IFERROR(__xludf.DUMMYFUNCTION("""COMPUTED_VALUE"""),"Zillow")</f>
        <v>Zillow</v>
      </c>
      <c r="J1475" s="25" t="str">
        <f ca="1">IFERROR(__xludf.DUMMYFUNCTION("""COMPUTED_VALUE"""),"https://www.zillow.com/homedetails/8-Rancho-Laguna-Dr-Pomona-CA-91766/21662573_zpid/")</f>
        <v>https://www.zillow.com/homedetails/8-Rancho-Laguna-Dr-Pomona-CA-91766/21662573_zpid/</v>
      </c>
      <c r="K1475" s="5" t="str">
        <f ca="1">IFERROR(__xludf.DUMMYFUNCTION("""COMPUTED_VALUE"""),"MonthTwoMonth Management company")</f>
        <v>MonthTwoMonth Management company</v>
      </c>
      <c r="L1475" s="5"/>
      <c r="M1475" s="5" t="str">
        <f ca="1">IFERROR(__xludf.DUMMYFUNCTION("""COMPUTED_VALUE"""),"over 160% FMR of $3240")</f>
        <v>over 160% FMR of $3240</v>
      </c>
      <c r="N1475" s="26" t="str">
        <f ca="1">IFERROR(__xludf.DUMMYFUNCTION("""COMPUTED_VALUE"""),"https://drive.google.com/open?id=1ZYodMFoHDKAARoBVdxz_kO0vJX6joR1j")</f>
        <v>https://drive.google.com/open?id=1ZYodMFoHDKAARoBVdxz_kO0vJX6joR1j</v>
      </c>
      <c r="O1475" s="5">
        <f ca="1">IFERROR(__xludf.DUMMYFUNCTION("""COMPUTED_VALUE"""),8704015018)</f>
        <v>8704015018</v>
      </c>
      <c r="P1475" s="5" t="str">
        <f ca="1">IFERROR(__xludf.DUMMYFUNCTION("""COMPUTED_VALUE"""),"(949) 438-0617")</f>
        <v>(949) 438-0617</v>
      </c>
      <c r="Q1475" s="5"/>
      <c r="R1475" s="5"/>
      <c r="S1475" s="5"/>
      <c r="T1475" s="5"/>
    </row>
    <row r="1476" spans="1:20" ht="12.75">
      <c r="A1476" s="24">
        <f ca="1">IFERROR(__xludf.DUMMYFUNCTION("""COMPUTED_VALUE"""),45687.6236088078)</f>
        <v>45687.6236088078</v>
      </c>
      <c r="B1476" s="5" t="str">
        <f ca="1">IFERROR(__xludf.DUMMYFUNCTION("""COMPUTED_VALUE"""),"1714 Kanola Rd")</f>
        <v>1714 Kanola Rd</v>
      </c>
      <c r="C1476" s="5" t="str">
        <f ca="1">IFERROR(__xludf.DUMMYFUNCTION("""COMPUTED_VALUE"""),"La Habra Heights")</f>
        <v>La Habra Heights</v>
      </c>
      <c r="D1476" s="5" t="str">
        <f ca="1">IFERROR(__xludf.DUMMYFUNCTION("""COMPUTED_VALUE"""),"CA")</f>
        <v>CA</v>
      </c>
      <c r="E1476" s="5">
        <f ca="1">IFERROR(__xludf.DUMMYFUNCTION("""COMPUTED_VALUE"""),90631)</f>
        <v>90631</v>
      </c>
      <c r="F1476" s="19">
        <f ca="1">IFERROR(__xludf.DUMMYFUNCTION("""COMPUTED_VALUE"""),1)</f>
        <v>1</v>
      </c>
      <c r="G1476" s="19">
        <f ca="1">IFERROR(__xludf.DUMMYFUNCTION("""COMPUTED_VALUE"""),17000)</f>
        <v>17000</v>
      </c>
      <c r="H1476" s="18">
        <f ca="1">IFERROR(__xludf.DUMMYFUNCTION("""COMPUTED_VALUE"""),45679)</f>
        <v>45679</v>
      </c>
      <c r="I1476" s="5" t="str">
        <f ca="1">IFERROR(__xludf.DUMMYFUNCTION("""COMPUTED_VALUE"""),"Zillow")</f>
        <v>Zillow</v>
      </c>
      <c r="J1476" s="25" t="str">
        <f ca="1">IFERROR(__xludf.DUMMYFUNCTION("""COMPUTED_VALUE"""),"https://www.zillow.com/homedetails/1714-Kanola-Rd-La-Habra-Heights-CA-90631/21480664_zpid/")</f>
        <v>https://www.zillow.com/homedetails/1714-Kanola-Rd-La-Habra-Heights-CA-90631/21480664_zpid/</v>
      </c>
      <c r="K1476" s="5"/>
      <c r="L1476" s="5" t="str">
        <f ca="1">IFERROR(__xludf.DUMMYFUNCTION("""COMPUTED_VALUE"""),"Rod")</f>
        <v>Rod</v>
      </c>
      <c r="M1476" s="5" t="str">
        <f ca="1">IFERROR(__xludf.DUMMYFUNCTION("""COMPUTED_VALUE"""),"over 160% FMR of $4,030")</f>
        <v>over 160% FMR of $4,030</v>
      </c>
      <c r="N1476" s="26" t="str">
        <f ca="1">IFERROR(__xludf.DUMMYFUNCTION("""COMPUTED_VALUE"""),"https://drive.google.com/open?id=11FqYL67IIl99BVRazO5sKDPOA0Pu_Yn1")</f>
        <v>https://drive.google.com/open?id=11FqYL67IIl99BVRazO5sKDPOA0Pu_Yn1</v>
      </c>
      <c r="O1476" s="5">
        <f ca="1">IFERROR(__xludf.DUMMYFUNCTION("""COMPUTED_VALUE"""),8266017003)</f>
        <v>8266017003</v>
      </c>
      <c r="P1476" s="5"/>
      <c r="Q1476" s="5"/>
      <c r="R1476" s="5" t="str">
        <f ca="1">IFERROR(__xludf.DUMMYFUNCTION("""COMPUTED_VALUE"""),"(562) 824-5176")</f>
        <v>(562) 824-5176</v>
      </c>
      <c r="S1476" s="5"/>
      <c r="T1476" s="5"/>
    </row>
    <row r="1477" spans="1:20" ht="12.75">
      <c r="A1477" s="24">
        <f ca="1">IFERROR(__xludf.DUMMYFUNCTION("""COMPUTED_VALUE"""),45687.6273615046)</f>
        <v>45687.627361504601</v>
      </c>
      <c r="B1477" s="5" t="str">
        <f ca="1">IFERROR(__xludf.DUMMYFUNCTION("""COMPUTED_VALUE"""),"(Undisclosed Address)")</f>
        <v>(Undisclosed Address)</v>
      </c>
      <c r="C1477" s="5" t="str">
        <f ca="1">IFERROR(__xludf.DUMMYFUNCTION("""COMPUTED_VALUE"""),"Rosemead")</f>
        <v>Rosemead</v>
      </c>
      <c r="D1477" s="5" t="str">
        <f ca="1">IFERROR(__xludf.DUMMYFUNCTION("""COMPUTED_VALUE"""),"CA")</f>
        <v>CA</v>
      </c>
      <c r="E1477" s="5">
        <f ca="1">IFERROR(__xludf.DUMMYFUNCTION("""COMPUTED_VALUE"""),91770)</f>
        <v>91770</v>
      </c>
      <c r="F1477" s="19">
        <f ca="1">IFERROR(__xludf.DUMMYFUNCTION("""COMPUTED_VALUE"""),12000)</f>
        <v>12000</v>
      </c>
      <c r="G1477" s="19">
        <f ca="1">IFERROR(__xludf.DUMMYFUNCTION("""COMPUTED_VALUE"""),13500)</f>
        <v>13500</v>
      </c>
      <c r="H1477" s="18">
        <f ca="1">IFERROR(__xludf.DUMMYFUNCTION("""COMPUTED_VALUE"""),45682)</f>
        <v>45682</v>
      </c>
      <c r="I1477" s="5" t="str">
        <f ca="1">IFERROR(__xludf.DUMMYFUNCTION("""COMPUTED_VALUE"""),"Zillow")</f>
        <v>Zillow</v>
      </c>
      <c r="J1477" s="25" t="str">
        <f ca="1">IFERROR(__xludf.DUMMYFUNCTION("""COMPUTED_VALUE"""),"https://www.zillow.com/homedetails/Rosemead-CA-91770/20682798_zpid/")</f>
        <v>https://www.zillow.com/homedetails/Rosemead-CA-91770/20682798_zpid/</v>
      </c>
      <c r="K1477" s="5" t="str">
        <f ca="1">IFERROR(__xludf.DUMMYFUNCTION("""COMPUTED_VALUE"""),"Homads Management company")</f>
        <v>Homads Management company</v>
      </c>
      <c r="L1477" s="5"/>
      <c r="M1477" s="5" t="str">
        <f ca="1">IFERROR(__xludf.DUMMYFUNCTION("""COMPUTED_VALUE"""),"increase over 10% after 1/7, AND ALSO over 160% of FMR of $3240")</f>
        <v>increase over 10% after 1/7, AND ALSO over 160% of FMR of $3240</v>
      </c>
      <c r="N1477" s="26" t="str">
        <f ca="1">IFERROR(__xludf.DUMMYFUNCTION("""COMPUTED_VALUE"""),"https://drive.google.com/open?id=1CrCZuUMYgaBxT6GgROjIkdQQ40ikdLj5")</f>
        <v>https://drive.google.com/open?id=1CrCZuUMYgaBxT6GgROjIkdQQ40ikdLj5</v>
      </c>
      <c r="O1477" s="5" t="str">
        <f ca="1">IFERROR(__xludf.DUMMYFUNCTION("""COMPUTED_VALUE"""),"NA")</f>
        <v>NA</v>
      </c>
      <c r="P1477" s="5"/>
      <c r="Q1477" s="5"/>
      <c r="R1477" s="5"/>
      <c r="S1477" s="5"/>
      <c r="T1477" s="18">
        <f ca="1">IFERROR(__xludf.DUMMYFUNCTION("""COMPUTED_VALUE"""),45600)</f>
        <v>45600</v>
      </c>
    </row>
    <row r="1478" spans="1:20" ht="12.75">
      <c r="A1478" s="24">
        <f ca="1">IFERROR(__xludf.DUMMYFUNCTION("""COMPUTED_VALUE"""),45687.6308763194)</f>
        <v>45687.630876319403</v>
      </c>
      <c r="B1478" s="5" t="str">
        <f ca="1">IFERROR(__xludf.DUMMYFUNCTION("""COMPUTED_VALUE"""),"477 N Baldwin Ave")</f>
        <v>477 N Baldwin Ave</v>
      </c>
      <c r="C1478" s="5" t="str">
        <f ca="1">IFERROR(__xludf.DUMMYFUNCTION("""COMPUTED_VALUE"""),"Sierra Madre")</f>
        <v>Sierra Madre</v>
      </c>
      <c r="D1478" s="5" t="str">
        <f ca="1">IFERROR(__xludf.DUMMYFUNCTION("""COMPUTED_VALUE"""),"CA")</f>
        <v>CA</v>
      </c>
      <c r="E1478" s="5">
        <f ca="1">IFERROR(__xludf.DUMMYFUNCTION("""COMPUTED_VALUE"""),91024)</f>
        <v>91024</v>
      </c>
      <c r="F1478" s="19">
        <f ca="1">IFERROR(__xludf.DUMMYFUNCTION("""COMPUTED_VALUE"""),1)</f>
        <v>1</v>
      </c>
      <c r="G1478" s="19">
        <f ca="1">IFERROR(__xludf.DUMMYFUNCTION("""COMPUTED_VALUE"""),12000)</f>
        <v>12000</v>
      </c>
      <c r="H1478" s="18">
        <f ca="1">IFERROR(__xludf.DUMMYFUNCTION("""COMPUTED_VALUE"""),45673)</f>
        <v>45673</v>
      </c>
      <c r="I1478" s="5" t="str">
        <f ca="1">IFERROR(__xludf.DUMMYFUNCTION("""COMPUTED_VALUE"""),"Zillow")</f>
        <v>Zillow</v>
      </c>
      <c r="J1478" s="25" t="str">
        <f ca="1">IFERROR(__xludf.DUMMYFUNCTION("""COMPUTED_VALUE"""),"https://www.zillow.com/homedetails/477-N-Baldwin-Ave-Sierra-Madre-CA-91024/20882270_zpid/")</f>
        <v>https://www.zillow.com/homedetails/477-N-Baldwin-Ave-Sierra-Madre-CA-91024/20882270_zpid/</v>
      </c>
      <c r="K1478" s="5" t="str">
        <f ca="1">IFERROR(__xludf.DUMMYFUNCTION("""COMPUTED_VALUE"""),"Tony Wang Berkshire Hathaway HomeSeervices California Properties")</f>
        <v>Tony Wang Berkshire Hathaway HomeSeervices California Properties</v>
      </c>
      <c r="L1478" s="5"/>
      <c r="M1478" s="5" t="str">
        <f ca="1">IFERROR(__xludf.DUMMYFUNCTION("""COMPUTED_VALUE"""),"way over 160% FMR of $3620")</f>
        <v>way over 160% FMR of $3620</v>
      </c>
      <c r="N1478" s="26" t="str">
        <f ca="1">IFERROR(__xludf.DUMMYFUNCTION("""COMPUTED_VALUE"""),"https://drive.google.com/open?id=1bRCQFCAkf-HhBF99jAfm6n9G7TQgEuWu")</f>
        <v>https://drive.google.com/open?id=1bRCQFCAkf-HhBF99jAfm6n9G7TQgEuWu</v>
      </c>
      <c r="O1478" s="5">
        <f ca="1">IFERROR(__xludf.DUMMYFUNCTION("""COMPUTED_VALUE"""),5762017003)</f>
        <v>5762017003</v>
      </c>
      <c r="P1478" s="5" t="str">
        <f ca="1">IFERROR(__xludf.DUMMYFUNCTION("""COMPUTED_VALUE""")," (626) 590-7534")</f>
        <v xml:space="preserve"> (626) 590-7534</v>
      </c>
      <c r="Q1478" s="5"/>
      <c r="R1478" s="5"/>
      <c r="S1478" s="5"/>
      <c r="T1478" s="5"/>
    </row>
    <row r="1479" spans="1:20" ht="12.75">
      <c r="A1479" s="24">
        <f ca="1">IFERROR(__xludf.DUMMYFUNCTION("""COMPUTED_VALUE"""),45687.6321283217)</f>
        <v>45687.632128321697</v>
      </c>
      <c r="B1479" s="5" t="str">
        <f ca="1">IFERROR(__xludf.DUMMYFUNCTION("""COMPUTED_VALUE"""),"(Undisclosed Address)")</f>
        <v>(Undisclosed Address)</v>
      </c>
      <c r="C1479" s="5" t="str">
        <f ca="1">IFERROR(__xludf.DUMMYFUNCTION("""COMPUTED_VALUE"""),"Monterey Park")</f>
        <v>Monterey Park</v>
      </c>
      <c r="D1479" s="5" t="str">
        <f ca="1">IFERROR(__xludf.DUMMYFUNCTION("""COMPUTED_VALUE"""),"CA")</f>
        <v>CA</v>
      </c>
      <c r="E1479" s="5">
        <f ca="1">IFERROR(__xludf.DUMMYFUNCTION("""COMPUTED_VALUE"""),91754)</f>
        <v>91754</v>
      </c>
      <c r="F1479" s="19">
        <f ca="1">IFERROR(__xludf.DUMMYFUNCTION("""COMPUTED_VALUE"""),1)</f>
        <v>1</v>
      </c>
      <c r="G1479" s="19">
        <f ca="1">IFERROR(__xludf.DUMMYFUNCTION("""COMPUTED_VALUE"""),11500)</f>
        <v>11500</v>
      </c>
      <c r="H1479" s="18">
        <f ca="1">IFERROR(__xludf.DUMMYFUNCTION("""COMPUTED_VALUE"""),45675)</f>
        <v>45675</v>
      </c>
      <c r="I1479" s="5" t="str">
        <f ca="1">IFERROR(__xludf.DUMMYFUNCTION("""COMPUTED_VALUE"""),"Zillow")</f>
        <v>Zillow</v>
      </c>
      <c r="J1479" s="25" t="str">
        <f ca="1">IFERROR(__xludf.DUMMYFUNCTION("""COMPUTED_VALUE"""),"https://www.zillow.com/homedetails/Monterey-Park-CA-91754/20659701_zpid/")</f>
        <v>https://www.zillow.com/homedetails/Monterey-Park-CA-91754/20659701_zpid/</v>
      </c>
      <c r="K1479" s="5" t="str">
        <f ca="1">IFERROR(__xludf.DUMMYFUNCTION("""COMPUTED_VALUE"""),"Homads Management company")</f>
        <v>Homads Management company</v>
      </c>
      <c r="L1479" s="5"/>
      <c r="M1479" s="5" t="str">
        <f ca="1">IFERROR(__xludf.DUMMYFUNCTION("""COMPUTED_VALUE"""),"way over 160% of FMR of $3240")</f>
        <v>way over 160% of FMR of $3240</v>
      </c>
      <c r="N1479" s="26" t="str">
        <f ca="1">IFERROR(__xludf.DUMMYFUNCTION("""COMPUTED_VALUE"""),"https://drive.google.com/open?id=1utN8_9HkVtTb6U9qtJpoV6RVyqHIqO8i")</f>
        <v>https://drive.google.com/open?id=1utN8_9HkVtTb6U9qtJpoV6RVyqHIqO8i</v>
      </c>
      <c r="O1479" s="5" t="str">
        <f ca="1">IFERROR(__xludf.DUMMYFUNCTION("""COMPUTED_VALUE"""),"NA")</f>
        <v>NA</v>
      </c>
      <c r="P1479" s="5"/>
      <c r="Q1479" s="5"/>
      <c r="R1479" s="5"/>
      <c r="S1479" s="5"/>
      <c r="T1479" s="5"/>
    </row>
    <row r="1480" spans="1:20" ht="12.75">
      <c r="A1480" s="24">
        <f ca="1">IFERROR(__xludf.DUMMYFUNCTION("""COMPUTED_VALUE"""),45687.6545605555)</f>
        <v>45687.6545605555</v>
      </c>
      <c r="B1480" s="5" t="str">
        <f ca="1">IFERROR(__xludf.DUMMYFUNCTION("""COMPUTED_VALUE"""),"253 S Allen Ave, Apt 3")</f>
        <v>253 S Allen Ave, Apt 3</v>
      </c>
      <c r="C1480" s="5" t="str">
        <f ca="1">IFERROR(__xludf.DUMMYFUNCTION("""COMPUTED_VALUE"""),"Pasadena")</f>
        <v>Pasadena</v>
      </c>
      <c r="D1480" s="5" t="str">
        <f ca="1">IFERROR(__xludf.DUMMYFUNCTION("""COMPUTED_VALUE"""),"CA")</f>
        <v>CA</v>
      </c>
      <c r="E1480" s="5">
        <f ca="1">IFERROR(__xludf.DUMMYFUNCTION("""COMPUTED_VALUE"""),91106)</f>
        <v>91106</v>
      </c>
      <c r="F1480" s="19">
        <f ca="1">IFERROR(__xludf.DUMMYFUNCTION("""COMPUTED_VALUE"""),2350)</f>
        <v>2350</v>
      </c>
      <c r="G1480" s="19">
        <f ca="1">IFERROR(__xludf.DUMMYFUNCTION("""COMPUTED_VALUE"""),2650)</f>
        <v>2650</v>
      </c>
      <c r="H1480" s="18">
        <f ca="1">IFERROR(__xludf.DUMMYFUNCTION("""COMPUTED_VALUE"""),45682)</f>
        <v>45682</v>
      </c>
      <c r="I1480" s="5" t="str">
        <f ca="1">IFERROR(__xludf.DUMMYFUNCTION("""COMPUTED_VALUE"""),"Zillow")</f>
        <v>Zillow</v>
      </c>
      <c r="J1480" s="25" t="str">
        <f ca="1">IFERROR(__xludf.DUMMYFUNCTION("""COMPUTED_VALUE"""),"https://www.zillow.com/homedetails/245-S-Allen-Ave-Pasadena-CA-91106/250338832_zpid/")</f>
        <v>https://www.zillow.com/homedetails/245-S-Allen-Ave-Pasadena-CA-91106/250338832_zpid/</v>
      </c>
      <c r="K1480" s="5" t="str">
        <f ca="1">IFERROR(__xludf.DUMMYFUNCTION("""COMPUTED_VALUE"""),"Pat Hung")</f>
        <v>Pat Hung</v>
      </c>
      <c r="L1480" s="5" t="str">
        <f ca="1">IFERROR(__xludf.DUMMYFUNCTION("""COMPUTED_VALUE"""),"Pat Hung")</f>
        <v>Pat Hung</v>
      </c>
      <c r="M1480" s="5" t="str">
        <f ca="1">IFERROR(__xludf.DUMMYFUNCTION("""COMPUTED_VALUE"""),"The unit is not habitable. The roof is severely damaged and the heat does not work in the unit. It is technically illegal to rent this apartment. Not occupied due to non-habitability. Also the landlord listed the unit at 2 different addresses. ")</f>
        <v xml:space="preserve">The unit is not habitable. The roof is severely damaged and the heat does not work in the unit. It is technically illegal to rent this apartment. Not occupied due to non-habitability. Also the landlord listed the unit at 2 different addresses. </v>
      </c>
      <c r="N1480" s="5" t="str">
        <f ca="1">IFERROR(__xludf.DUMMYFUNCTION("""COMPUTED_VALUE"""),"https://drive.google.com/open?id=10a_P9C71TTKBI3ZUIRsc8La0IadixXws, https://drive.google.com/open?id=1QR0MhVPdxVcuvvXXk1v7LhcrjBtMp69a, https://drive.google.com/open?id=1oaMw8KSXmzHsBBOxrKPqn5cljZWxYENI, https://drive.google.com/open?id=1vcAQ51Epr7slVxKM4"&amp;"TLXsmqvRr7uItrx, https://drive.google.com/open?id=1Emrd6bKY3d0uFODgXr4LLpqJ960V7R6R")</f>
        <v>https://drive.google.com/open?id=10a_P9C71TTKBI3ZUIRsc8La0IadixXws, https://drive.google.com/open?id=1QR0MhVPdxVcuvvXXk1v7LhcrjBtMp69a, https://drive.google.com/open?id=1oaMw8KSXmzHsBBOxrKPqn5cljZWxYENI, https://drive.google.com/open?id=1vcAQ51Epr7slVxKM4TLXsmqvRr7uItrx, https://drive.google.com/open?id=1Emrd6bKY3d0uFODgXr4LLpqJ960V7R6R</v>
      </c>
      <c r="O1480" s="5">
        <f ca="1">IFERROR(__xludf.DUMMYFUNCTION("""COMPUTED_VALUE"""),5736027019)</f>
        <v>5736027019</v>
      </c>
      <c r="P1480" s="5" t="str">
        <f ca="1">IFERROR(__xludf.DUMMYFUNCTION("""COMPUTED_VALUE"""),"(626) 872-8466")</f>
        <v>(626) 872-8466</v>
      </c>
      <c r="Q1480" s="5"/>
      <c r="R1480" s="5" t="str">
        <f ca="1">IFERROR(__xludf.DUMMYFUNCTION("""COMPUTED_VALUE"""),"(626) 872-8466")</f>
        <v>(626) 872-8466</v>
      </c>
      <c r="S1480" s="5"/>
      <c r="T1480" s="18">
        <f ca="1">IFERROR(__xludf.DUMMYFUNCTION("""COMPUTED_VALUE"""),45658)</f>
        <v>45658</v>
      </c>
    </row>
    <row r="1481" spans="1:20" ht="12.75">
      <c r="A1481" s="24">
        <f ca="1">IFERROR(__xludf.DUMMYFUNCTION("""COMPUTED_VALUE"""),45687.7133636458)</f>
        <v>45687.713363645802</v>
      </c>
      <c r="B1481" s="5" t="str">
        <f ca="1">IFERROR(__xludf.DUMMYFUNCTION("""COMPUTED_VALUE"""),"525 E Seaside Way UNIT 806")</f>
        <v>525 E Seaside Way UNIT 806</v>
      </c>
      <c r="C1481" s="5" t="str">
        <f ca="1">IFERROR(__xludf.DUMMYFUNCTION("""COMPUTED_VALUE"""),"Long Beach")</f>
        <v>Long Beach</v>
      </c>
      <c r="D1481" s="5" t="str">
        <f ca="1">IFERROR(__xludf.DUMMYFUNCTION("""COMPUTED_VALUE"""),"CA")</f>
        <v>CA</v>
      </c>
      <c r="E1481" s="5">
        <f ca="1">IFERROR(__xludf.DUMMYFUNCTION("""COMPUTED_VALUE"""),90802)</f>
        <v>90802</v>
      </c>
      <c r="F1481" s="19">
        <f ca="1">IFERROR(__xludf.DUMMYFUNCTION("""COMPUTED_VALUE"""),2050)</f>
        <v>2050</v>
      </c>
      <c r="G1481" s="19">
        <f ca="1">IFERROR(__xludf.DUMMYFUNCTION("""COMPUTED_VALUE"""),2850)</f>
        <v>2850</v>
      </c>
      <c r="H1481" s="18">
        <f ca="1">IFERROR(__xludf.DUMMYFUNCTION("""COMPUTED_VALUE"""),45682)</f>
        <v>45682</v>
      </c>
      <c r="I1481" s="5" t="str">
        <f ca="1">IFERROR(__xludf.DUMMYFUNCTION("""COMPUTED_VALUE"""),"Zillow")</f>
        <v>Zillow</v>
      </c>
      <c r="J1481" s="25" t="str">
        <f ca="1">IFERROR(__xludf.DUMMYFUNCTION("""COMPUTED_VALUE"""),"https://www.zillow.com/homedetails/525-E-Seaside-Way-UNIT-806-Long-Beach-CA-90802/21238743_zpid/")</f>
        <v>https://www.zillow.com/homedetails/525-E-Seaside-Way-UNIT-806-Long-Beach-CA-90802/21238743_zpid/</v>
      </c>
      <c r="K1481" s="5" t="str">
        <f ca="1">IFERROR(__xludf.DUMMYFUNCTION("""COMPUTED_VALUE"""),"Kenneth Tananan")</f>
        <v>Kenneth Tananan</v>
      </c>
      <c r="L1481" s="5"/>
      <c r="M1481" s="5"/>
      <c r="N1481" s="26" t="str">
        <f ca="1">IFERROR(__xludf.DUMMYFUNCTION("""COMPUTED_VALUE"""),"https://drive.google.com/open?id=1S0q24nx2xiJELrOuGsGcKT-dpDFhNxwQ")</f>
        <v>https://drive.google.com/open?id=1S0q24nx2xiJELrOuGsGcKT-dpDFhNxwQ</v>
      </c>
      <c r="O1481" s="5">
        <f ca="1">IFERROR(__xludf.DUMMYFUNCTION("""COMPUTED_VALUE"""),7278006101)</f>
        <v>7278006101</v>
      </c>
      <c r="P1481" s="5" t="str">
        <f ca="1">IFERROR(__xludf.DUMMYFUNCTION("""COMPUTED_VALUE"""),"(909) 568-8058")</f>
        <v>(909) 568-8058</v>
      </c>
      <c r="Q1481" s="5"/>
      <c r="R1481" s="5"/>
      <c r="S1481" s="5"/>
      <c r="T1481" s="18">
        <f ca="1">IFERROR(__xludf.DUMMYFUNCTION("""COMPUTED_VALUE"""),44001)</f>
        <v>44001</v>
      </c>
    </row>
    <row r="1482" spans="1:20" ht="12.75">
      <c r="A1482" s="24">
        <f ca="1">IFERROR(__xludf.DUMMYFUNCTION("""COMPUTED_VALUE"""),45687.9063009838)</f>
        <v>45687.906300983799</v>
      </c>
      <c r="B1482" s="5" t="str">
        <f ca="1">IFERROR(__xludf.DUMMYFUNCTION("""COMPUTED_VALUE"""),"11035 Moorpark St, Apt 202")</f>
        <v>11035 Moorpark St, Apt 202</v>
      </c>
      <c r="C1482" s="5" t="str">
        <f ca="1">IFERROR(__xludf.DUMMYFUNCTION("""COMPUTED_VALUE"""),"North Hollywood")</f>
        <v>North Hollywood</v>
      </c>
      <c r="D1482" s="5" t="str">
        <f ca="1">IFERROR(__xludf.DUMMYFUNCTION("""COMPUTED_VALUE"""),"CA")</f>
        <v>CA</v>
      </c>
      <c r="E1482" s="5">
        <f ca="1">IFERROR(__xludf.DUMMYFUNCTION("""COMPUTED_VALUE"""),91602)</f>
        <v>91602</v>
      </c>
      <c r="F1482" s="19">
        <f ca="1">IFERROR(__xludf.DUMMYFUNCTION("""COMPUTED_VALUE"""),3502.75)</f>
        <v>3502.75</v>
      </c>
      <c r="G1482" s="19">
        <f ca="1">IFERROR(__xludf.DUMMYFUNCTION("""COMPUTED_VALUE"""),3814.49)</f>
        <v>3814.49</v>
      </c>
      <c r="H1482" s="18">
        <f ca="1">IFERROR(__xludf.DUMMYFUNCTION("""COMPUTED_VALUE"""),45717)</f>
        <v>45717</v>
      </c>
      <c r="I1482" s="5" t="str">
        <f ca="1">IFERROR(__xludf.DUMMYFUNCTION("""COMPUTED_VALUE"""),"Posted Notice")</f>
        <v>Posted Notice</v>
      </c>
      <c r="J1482" s="25" t="str">
        <f ca="1">IFERROR(__xludf.DUMMYFUNCTION("""COMPUTED_VALUE"""),"https://www.zillow.com/b/moorpark-north-hollywood-ca-5XkmrC/")</f>
        <v>https://www.zillow.com/b/moorpark-north-hollywood-ca-5XkmrC/</v>
      </c>
      <c r="K1482" s="5" t="str">
        <f ca="1">IFERROR(__xludf.DUMMYFUNCTION("""COMPUTED_VALUE"""),"Kristee Casey")</f>
        <v>Kristee Casey</v>
      </c>
      <c r="L1482" s="5" t="str">
        <f ca="1">IFERROR(__xludf.DUMMYFUNCTION("""COMPUTED_VALUE"""),"Dan &amp; Joseph Braum")</f>
        <v>Dan &amp; Joseph Braum</v>
      </c>
      <c r="M1482" s="5" t="str">
        <f ca="1">IFERROR(__xludf.DUMMYFUNCTION("""COMPUTED_VALUE"""),"I've lived here for 5yrs. Braum Real Estate has operated as illegally as possible at every turn. They consistently refuse to take care of building repairs and updates, refuse to replace broken appliances, completely ignore standards and practices, commit "&amp;"frequent and more fragrant violations of LA City and CBSC regulations including, but not limited to, improper permits for renovation of new spaces/structures, improper ventilation while painting and construction...They also hike rent higher than any legal"&amp;" allowance every year and continue to get away with it. They ignore any protocol of any kind when giving proper notice to construction on the building, the apartments, the garage, and outer structures. Their entire team also deals in illegal activities of"&amp;" all kinds out of their office which have never been properly investigated by the authorities. After calling them out about all their various violations over these years and setting up an email tracker to track their every move, they now won't even acknow"&amp;"ledge my messages which include a recent building security breach on an unbelievable level. Dan, Joseph, Kristee, and every member of their team need to be behind bars and sued into the stratosphere. ")</f>
        <v xml:space="preserve">I've lived here for 5yrs. Braum Real Estate has operated as illegally as possible at every turn. They consistently refuse to take care of building repairs and updates, refuse to replace broken appliances, completely ignore standards and practices, commit frequent and more fragrant violations of LA City and CBSC regulations including, but not limited to, improper permits for renovation of new spaces/structures, improper ventilation while painting and construction...They also hike rent higher than any legal allowance every year and continue to get away with it. They ignore any protocol of any kind when giving proper notice to construction on the building, the apartments, the garage, and outer structures. Their entire team also deals in illegal activities of all kinds out of their office which have never been properly investigated by the authorities. After calling them out about all their various violations over these years and setting up an email tracker to track their every move, they now won't even acknowledge my messages which include a recent building security breach on an unbelievable level. Dan, Joseph, Kristee, and every member of their team need to be behind bars and sued into the stratosphere. </v>
      </c>
      <c r="N1482" s="5" t="str">
        <f ca="1">IFERROR(__xludf.DUMMYFUNCTION("""COMPUTED_VALUE"""),"https://drive.google.com/open?id=1Tam9mFa0jqIeQbOYGNm6Q55079hP538Y, https://drive.google.com/open?id=1dCO7_TQ6xm7Fx931y13RdUeVgRl3otv8")</f>
        <v>https://drive.google.com/open?id=1Tam9mFa0jqIeQbOYGNm6Q55079hP538Y, https://drive.google.com/open?id=1dCO7_TQ6xm7Fx931y13RdUeVgRl3otv8</v>
      </c>
      <c r="O1482" s="5" t="str">
        <f ca="1">IFERROR(__xludf.DUMMYFUNCTION("""COMPUTED_VALUE"""),"NA")</f>
        <v>NA</v>
      </c>
      <c r="P1482" s="5" t="str">
        <f ca="1">IFERROR(__xludf.DUMMYFUNCTION("""COMPUTED_VALUE"""),"818-205-9000 (ext 106)")</f>
        <v>818-205-9000 (ext 106)</v>
      </c>
      <c r="Q1482" s="5" t="str">
        <f ca="1">IFERROR(__xludf.DUMMYFUNCTION("""COMPUTED_VALUE"""),"kcbraum@gmail.com")</f>
        <v>kcbraum@gmail.com</v>
      </c>
      <c r="R1482" s="5" t="str">
        <f ca="1">IFERROR(__xludf.DUMMYFUNCTION("""COMPUTED_VALUE"""),"818-205-9000")</f>
        <v>818-205-9000</v>
      </c>
      <c r="S1482" s="5" t="str">
        <f ca="1">IFERROR(__xludf.DUMMYFUNCTION("""COMPUTED_VALUE"""),"dan@braumre.com")</f>
        <v>dan@braumre.com</v>
      </c>
      <c r="T1482" s="18">
        <f ca="1">IFERROR(__xludf.DUMMYFUNCTION("""COMPUTED_VALUE"""),45687)</f>
        <v>45687</v>
      </c>
    </row>
    <row r="1483" spans="1:20" ht="12.75">
      <c r="A1483" s="24">
        <f ca="1">IFERROR(__xludf.DUMMYFUNCTION("""COMPUTED_VALUE"""),45688.4798667592)</f>
        <v>45688.479866759197</v>
      </c>
      <c r="B1483" s="5" t="str">
        <f ca="1">IFERROR(__xludf.DUMMYFUNCTION("""COMPUTED_VALUE"""),"19246 Liam Lane")</f>
        <v>19246 Liam Lane</v>
      </c>
      <c r="C1483" s="5" t="str">
        <f ca="1">IFERROR(__xludf.DUMMYFUNCTION("""COMPUTED_VALUE"""),"Tarzana")</f>
        <v>Tarzana</v>
      </c>
      <c r="D1483" s="5" t="str">
        <f ca="1">IFERROR(__xludf.DUMMYFUNCTION("""COMPUTED_VALUE"""),"CA")</f>
        <v>CA</v>
      </c>
      <c r="E1483" s="5">
        <f ca="1">IFERROR(__xludf.DUMMYFUNCTION("""COMPUTED_VALUE"""),91356)</f>
        <v>91356</v>
      </c>
      <c r="F1483" s="19">
        <f ca="1">IFERROR(__xludf.DUMMYFUNCTION("""COMPUTED_VALUE"""),7950)</f>
        <v>7950</v>
      </c>
      <c r="G1483" s="19">
        <f ca="1">IFERROR(__xludf.DUMMYFUNCTION("""COMPUTED_VALUE"""),12800)</f>
        <v>12800</v>
      </c>
      <c r="H1483" s="18">
        <f ca="1">IFERROR(__xludf.DUMMYFUNCTION("""COMPUTED_VALUE"""),45684)</f>
        <v>45684</v>
      </c>
      <c r="I1483" s="5" t="str">
        <f ca="1">IFERROR(__xludf.DUMMYFUNCTION("""COMPUTED_VALUE"""),"Zillow")</f>
        <v>Zillow</v>
      </c>
      <c r="J1483" s="25" t="str">
        <f ca="1">IFERROR(__xludf.DUMMYFUNCTION("""COMPUTED_VALUE"""),"https://www.zillow.com/homedetails/19246-Liam-Ln-Tarzana-CA-91356/119639050_zpid/")</f>
        <v>https://www.zillow.com/homedetails/19246-Liam-Ln-Tarzana-CA-91356/119639050_zpid/</v>
      </c>
      <c r="K1483" s="5" t="str">
        <f ca="1">IFERROR(__xludf.DUMMYFUNCTION("""COMPUTED_VALUE"""),"Mohammed Kazemi")</f>
        <v>Mohammed Kazemi</v>
      </c>
      <c r="L1483" s="5" t="str">
        <f ca="1">IFERROR(__xludf.DUMMYFUNCTION("""COMPUTED_VALUE"""),"Mohammed Kazemi")</f>
        <v>Mohammed Kazemi</v>
      </c>
      <c r="M1483" s="5" t="str">
        <f ca="1">IFERROR(__xludf.DUMMYFUNCTION("""COMPUTED_VALUE"""),"This popped up on HotPads as a rental and I thought the price seemed unusual... looked up the address on Zillow to see the price history, and wanted to share to make people who were displaced by fires aware of this unit/ listing person")</f>
        <v>This popped up on HotPads as a rental and I thought the price seemed unusual... looked up the address on Zillow to see the price history, and wanted to share to make people who were displaced by fires aware of this unit/ listing person</v>
      </c>
      <c r="N1483" s="5" t="str">
        <f ca="1">IFERROR(__xludf.DUMMYFUNCTION("""COMPUTED_VALUE"""),"https://drive.google.com/open?id=1qj1gmV24Gt7JxtXCnyEuEma7LSIjs4z8, https://drive.google.com/open?id=1Ze0JqLdE69-j7wPB76tRFHy_FqDoglnh, https://drive.google.com/open?id=1TplmQkyj3m4azv--wvq_P5TZIhR9WnhK, https://drive.google.com/open?id=1se7j5CL1BIkIe6y9K"&amp;"TmKLNajk-IfPAdw")</f>
        <v>https://drive.google.com/open?id=1qj1gmV24Gt7JxtXCnyEuEma7LSIjs4z8, https://drive.google.com/open?id=1Ze0JqLdE69-j7wPB76tRFHy_FqDoglnh, https://drive.google.com/open?id=1TplmQkyj3m4azv--wvq_P5TZIhR9WnhK, https://drive.google.com/open?id=1se7j5CL1BIkIe6y9KTmKLNajk-IfPAdw</v>
      </c>
      <c r="O1483" s="5">
        <f ca="1">IFERROR(__xludf.DUMMYFUNCTION("""COMPUTED_VALUE"""),2156002034)</f>
        <v>2156002034</v>
      </c>
      <c r="P1483" s="5" t="str">
        <f ca="1">IFERROR(__xludf.DUMMYFUNCTION("""COMPUTED_VALUE"""),"(310) 868-2381")</f>
        <v>(310) 868-2381</v>
      </c>
      <c r="Q1483" s="5"/>
      <c r="R1483" s="5" t="str">
        <f ca="1">IFERROR(__xludf.DUMMYFUNCTION("""COMPUTED_VALUE"""),"(310) 868-2381")</f>
        <v>(310) 868-2381</v>
      </c>
      <c r="S1483" s="5"/>
      <c r="T1483" s="18">
        <f ca="1">IFERROR(__xludf.DUMMYFUNCTION("""COMPUTED_VALUE"""),45632)</f>
        <v>45632</v>
      </c>
    </row>
    <row r="1484" spans="1:20" ht="12.75">
      <c r="A1484" s="24">
        <f ca="1">IFERROR(__xludf.DUMMYFUNCTION("""COMPUTED_VALUE"""),45688.676440162)</f>
        <v>45688.676440162002</v>
      </c>
      <c r="B1484" s="5" t="str">
        <f ca="1">IFERROR(__xludf.DUMMYFUNCTION("""COMPUTED_VALUE"""),"1280 S Barrington Ave, Apt 18")</f>
        <v>1280 S Barrington Ave, Apt 18</v>
      </c>
      <c r="C1484" s="5" t="str">
        <f ca="1">IFERROR(__xludf.DUMMYFUNCTION("""COMPUTED_VALUE"""),"Los Angeles")</f>
        <v>Los Angeles</v>
      </c>
      <c r="D1484" s="5" t="str">
        <f ca="1">IFERROR(__xludf.DUMMYFUNCTION("""COMPUTED_VALUE"""),"CA")</f>
        <v>CA</v>
      </c>
      <c r="E1484" s="5">
        <f ca="1">IFERROR(__xludf.DUMMYFUNCTION("""COMPUTED_VALUE"""),90025)</f>
        <v>90025</v>
      </c>
      <c r="F1484" s="19">
        <f ca="1">IFERROR(__xludf.DUMMYFUNCTION("""COMPUTED_VALUE"""),2885)</f>
        <v>2885</v>
      </c>
      <c r="G1484" s="19">
        <f ca="1">IFERROR(__xludf.DUMMYFUNCTION("""COMPUTED_VALUE"""),3375)</f>
        <v>3375</v>
      </c>
      <c r="H1484" s="18">
        <f ca="1">IFERROR(__xludf.DUMMYFUNCTION("""COMPUTED_VALUE"""),45688)</f>
        <v>45688</v>
      </c>
      <c r="I1484" s="5" t="str">
        <f ca="1">IFERROR(__xludf.DUMMYFUNCTION("""COMPUTED_VALUE"""),"Zillow")</f>
        <v>Zillow</v>
      </c>
      <c r="J1484" s="25" t="str">
        <f ca="1">IFERROR(__xludf.DUMMYFUNCTION("""COMPUTED_VALUE"""),"https://www.zillow.com/homedetails/1280-S-Barrington-Ave-APT-18-Los-Angeles-CA-90025/2081689347_zpid/")</f>
        <v>https://www.zillow.com/homedetails/1280-S-Barrington-Ave-APT-18-Los-Angeles-CA-90025/2081689347_zpid/</v>
      </c>
      <c r="K1484" s="5"/>
      <c r="L1484" s="5" t="str">
        <f ca="1">IFERROR(__xludf.DUMMYFUNCTION("""COMPUTED_VALUE"""),"Mike")</f>
        <v>Mike</v>
      </c>
      <c r="M1484" s="5"/>
      <c r="N1484" s="5" t="str">
        <f ca="1">IFERROR(__xludf.DUMMYFUNCTION("""COMPUTED_VALUE"""),"https://drive.google.com/open?id=18FGrCkeQDJWMnoH8GqjEaeZqMtGEc5ui, https://drive.google.com/open?id=1VfuxSSBD7nr7rFFGwkUg6XldVV0Et8BD")</f>
        <v>https://drive.google.com/open?id=18FGrCkeQDJWMnoH8GqjEaeZqMtGEc5ui, https://drive.google.com/open?id=1VfuxSSBD7nr7rFFGwkUg6XldVV0Et8BD</v>
      </c>
      <c r="O1484" s="5" t="str">
        <f ca="1">IFERROR(__xludf.DUMMYFUNCTION("""COMPUTED_VALUE"""),"NA")</f>
        <v>NA</v>
      </c>
      <c r="P1484" s="5"/>
      <c r="Q1484" s="5"/>
      <c r="R1484" s="5" t="str">
        <f ca="1">IFERROR(__xludf.DUMMYFUNCTION("""COMPUTED_VALUE"""),"(310) 213-1770")</f>
        <v>(310) 213-1770</v>
      </c>
      <c r="S1484" s="5"/>
      <c r="T1484" s="18">
        <f ca="1">IFERROR(__xludf.DUMMYFUNCTION("""COMPUTED_VALUE"""),45656)</f>
        <v>45656</v>
      </c>
    </row>
    <row r="1485" spans="1:20" ht="12.75">
      <c r="A1485" s="24">
        <f ca="1">IFERROR(__xludf.DUMMYFUNCTION("""COMPUTED_VALUE"""),45688.9051039004)</f>
        <v>45688.905103900397</v>
      </c>
      <c r="B1485" s="5" t="str">
        <f ca="1">IFERROR(__xludf.DUMMYFUNCTION("""COMPUTED_VALUE"""),"2609 Doray Circle ")</f>
        <v xml:space="preserve">2609 Doray Circle </v>
      </c>
      <c r="C1485" s="5" t="str">
        <f ca="1">IFERROR(__xludf.DUMMYFUNCTION("""COMPUTED_VALUE"""),"Monrovia ")</f>
        <v xml:space="preserve">Monrovia </v>
      </c>
      <c r="D1485" s="5" t="str">
        <f ca="1">IFERROR(__xludf.DUMMYFUNCTION("""COMPUTED_VALUE"""),"CA")</f>
        <v>CA</v>
      </c>
      <c r="E1485" s="5">
        <f ca="1">IFERROR(__xludf.DUMMYFUNCTION("""COMPUTED_VALUE"""),91606)</f>
        <v>91606</v>
      </c>
      <c r="F1485" s="19">
        <f ca="1">IFERROR(__xludf.DUMMYFUNCTION("""COMPUTED_VALUE"""),3000)</f>
        <v>3000</v>
      </c>
      <c r="G1485" s="19">
        <f ca="1">IFERROR(__xludf.DUMMYFUNCTION("""COMPUTED_VALUE"""),3800)</f>
        <v>3800</v>
      </c>
      <c r="H1485" s="18">
        <f ca="1">IFERROR(__xludf.DUMMYFUNCTION("""COMPUTED_VALUE"""),45688)</f>
        <v>45688</v>
      </c>
      <c r="I1485" s="5" t="str">
        <f ca="1">IFERROR(__xludf.DUMMYFUNCTION("""COMPUTED_VALUE"""),"MLS")</f>
        <v>MLS</v>
      </c>
      <c r="J1485" s="25" t="str">
        <f ca="1">IFERROR(__xludf.DUMMYFUNCTION("""COMPUTED_VALUE"""),"https://guests.themls.com/Listings.aspx")</f>
        <v>https://guests.themls.com/Listings.aspx</v>
      </c>
      <c r="K1485" s="5" t="str">
        <f ca="1">IFERROR(__xludf.DUMMYFUNCTION("""COMPUTED_VALUE"""),"Yvonne Lu")</f>
        <v>Yvonne Lu</v>
      </c>
      <c r="L1485" s="5"/>
      <c r="M1485" s="5"/>
      <c r="N1485" s="26" t="str">
        <f ca="1">IFERROR(__xludf.DUMMYFUNCTION("""COMPUTED_VALUE"""),"https://drive.google.com/open?id=1371QNG3j-1KX8YRxJFy9VLIhmVjpAzWa")</f>
        <v>https://drive.google.com/open?id=1371QNG3j-1KX8YRxJFy9VLIhmVjpAzWa</v>
      </c>
      <c r="O1485" s="5" t="str">
        <f ca="1">IFERROR(__xludf.DUMMYFUNCTION("""COMPUTED_VALUE"""),"n/a")</f>
        <v>n/a</v>
      </c>
      <c r="P1485" s="5">
        <f ca="1">IFERROR(__xludf.DUMMYFUNCTION("""COMPUTED_VALUE"""),6264000084)</f>
        <v>6264000084</v>
      </c>
      <c r="Q1485" s="5"/>
      <c r="R1485" s="5"/>
      <c r="S1485" s="5"/>
      <c r="T1485" s="18">
        <f ca="1">IFERROR(__xludf.DUMMYFUNCTION("""COMPUTED_VALUE"""),45333)</f>
        <v>45333</v>
      </c>
    </row>
    <row r="1486" spans="1:20" ht="12.75">
      <c r="A1486" s="24">
        <f ca="1">IFERROR(__xludf.DUMMYFUNCTION("""COMPUTED_VALUE"""),45689.4997564583)</f>
        <v>45689.499756458303</v>
      </c>
      <c r="B1486" s="5" t="str">
        <f ca="1">IFERROR(__xludf.DUMMYFUNCTION("""COMPUTED_VALUE"""),"1287 W 37th Pl APT 6")</f>
        <v>1287 W 37th Pl APT 6</v>
      </c>
      <c r="C1486" s="5" t="str">
        <f ca="1">IFERROR(__xludf.DUMMYFUNCTION("""COMPUTED_VALUE"""),"Los Angeles")</f>
        <v>Los Angeles</v>
      </c>
      <c r="D1486" s="5" t="str">
        <f ca="1">IFERROR(__xludf.DUMMYFUNCTION("""COMPUTED_VALUE"""),"CA")</f>
        <v>CA</v>
      </c>
      <c r="E1486" s="5">
        <f ca="1">IFERROR(__xludf.DUMMYFUNCTION("""COMPUTED_VALUE"""),90007)</f>
        <v>90007</v>
      </c>
      <c r="F1486" s="19">
        <f ca="1">IFERROR(__xludf.DUMMYFUNCTION("""COMPUTED_VALUE"""),3170)</f>
        <v>3170</v>
      </c>
      <c r="G1486" s="19">
        <f ca="1">IFERROR(__xludf.DUMMYFUNCTION("""COMPUTED_VALUE"""),3750)</f>
        <v>3750</v>
      </c>
      <c r="H1486" s="18">
        <f ca="1">IFERROR(__xludf.DUMMYFUNCTION("""COMPUTED_VALUE"""),45637)</f>
        <v>45637</v>
      </c>
      <c r="I1486" s="5" t="str">
        <f ca="1">IFERROR(__xludf.DUMMYFUNCTION("""COMPUTED_VALUE"""),"Zillow")</f>
        <v>Zillow</v>
      </c>
      <c r="J1486" s="25" t="str">
        <f ca="1">IFERROR(__xludf.DUMMYFUNCTION("""COMPUTED_VALUE"""),"https://www.zillow.com/homedetails/1287-W-37th-Pl-APT-6-Los-Angeles-CA-90007/2112831084_zpid/")</f>
        <v>https://www.zillow.com/homedetails/1287-W-37th-Pl-APT-6-Los-Angeles-CA-90007/2112831084_zpid/</v>
      </c>
      <c r="K1486" s="5" t="str">
        <f ca="1">IFERROR(__xludf.DUMMYFUNCTION("""COMPUTED_VALUE"""),"Community Builders Management")</f>
        <v>Community Builders Management</v>
      </c>
      <c r="L1486" s="5"/>
      <c r="M1486" s="5" t="str">
        <f ca="1">IFERROR(__xludf.DUMMYFUNCTION("""COMPUTED_VALUE"""),"From apartments.com spreadsheet")</f>
        <v>From apartments.com spreadsheet</v>
      </c>
      <c r="N1486" s="5" t="str">
        <f ca="1">IFERROR(__xludf.DUMMYFUNCTION("""COMPUTED_VALUE"""),"https://drive.google.com/open?id=1ElXYGuqAJZHh5YHTbrXwmm8so2fqkFZS, https://drive.google.com/open?id=1JfK8wRtPgiRJjuGs82RJGcIYWSsIOW91")</f>
        <v>https://drive.google.com/open?id=1ElXYGuqAJZHh5YHTbrXwmm8so2fqkFZS, https://drive.google.com/open?id=1JfK8wRtPgiRJjuGs82RJGcIYWSsIOW91</v>
      </c>
      <c r="O1486" s="5" t="str">
        <f ca="1">IFERROR(__xludf.DUMMYFUNCTION("""COMPUTED_VALUE"""),"NA")</f>
        <v>NA</v>
      </c>
      <c r="P1486" s="5" t="str">
        <f ca="1">IFERROR(__xludf.DUMMYFUNCTION("""COMPUTED_VALUE"""),"(800) 604-3430")</f>
        <v>(800) 604-3430</v>
      </c>
      <c r="Q1486" s="5"/>
      <c r="R1486" s="5"/>
      <c r="S1486" s="5"/>
      <c r="T1486" s="18">
        <f ca="1">IFERROR(__xludf.DUMMYFUNCTION("""COMPUTED_VALUE"""),45456)</f>
        <v>45456</v>
      </c>
    </row>
    <row r="1487" spans="1:20" ht="12.75">
      <c r="A1487" s="24">
        <f ca="1">IFERROR(__xludf.DUMMYFUNCTION("""COMPUTED_VALUE"""),45689.5195537615)</f>
        <v>45689.5195537615</v>
      </c>
      <c r="B1487" s="5" t="str">
        <f ca="1">IFERROR(__xludf.DUMMYFUNCTION("""COMPUTED_VALUE"""),"1238 W Adams Blvd APT 2")</f>
        <v>1238 W Adams Blvd APT 2</v>
      </c>
      <c r="C1487" s="5" t="str">
        <f ca="1">IFERROR(__xludf.DUMMYFUNCTION("""COMPUTED_VALUE"""),"Los Angeles")</f>
        <v>Los Angeles</v>
      </c>
      <c r="D1487" s="5" t="str">
        <f ca="1">IFERROR(__xludf.DUMMYFUNCTION("""COMPUTED_VALUE"""),"CA")</f>
        <v>CA</v>
      </c>
      <c r="E1487" s="5">
        <f ca="1">IFERROR(__xludf.DUMMYFUNCTION("""COMPUTED_VALUE"""),90007)</f>
        <v>90007</v>
      </c>
      <c r="F1487" s="19">
        <f ca="1">IFERROR(__xludf.DUMMYFUNCTION("""COMPUTED_VALUE"""),1)</f>
        <v>1</v>
      </c>
      <c r="G1487" s="19">
        <f ca="1">IFERROR(__xludf.DUMMYFUNCTION("""COMPUTED_VALUE"""),2500)</f>
        <v>2500</v>
      </c>
      <c r="H1487" s="18">
        <f ca="1">IFERROR(__xludf.DUMMYFUNCTION("""COMPUTED_VALUE"""),45689)</f>
        <v>45689</v>
      </c>
      <c r="I1487" s="5" t="str">
        <f ca="1">IFERROR(__xludf.DUMMYFUNCTION("""COMPUTED_VALUE"""),"Zillow")</f>
        <v>Zillow</v>
      </c>
      <c r="J1487" s="25" t="str">
        <f ca="1">IFERROR(__xludf.DUMMYFUNCTION("""COMPUTED_VALUE"""),"https://www.zillow.com/homedetails/1238-W-Adams-Blvd-APT-2-Los-Angeles-CA-90007/2115053245_zpid/")</f>
        <v>https://www.zillow.com/homedetails/1238-W-Adams-Blvd-APT-2-Los-Angeles-CA-90007/2115053245_zpid/</v>
      </c>
      <c r="K1487" s="5" t="str">
        <f ca="1">IFERROR(__xludf.DUMMYFUNCTION("""COMPUTED_VALUE"""),"First Choice Housing")</f>
        <v>First Choice Housing</v>
      </c>
      <c r="L1487" s="5"/>
      <c r="M1487" s="5" t="str">
        <f ca="1">IFERROR(__xludf.DUMMYFUNCTION("""COMPUTED_VALUE"""),"Couldn't enter N/A for before price for FMR. Zillow shows as newly listed 1/31/25 then increased again 2/1/25")</f>
        <v>Couldn't enter N/A for before price for FMR. Zillow shows as newly listed 1/31/25 then increased again 2/1/25</v>
      </c>
      <c r="N1487" s="5" t="str">
        <f ca="1">IFERROR(__xludf.DUMMYFUNCTION("""COMPUTED_VALUE"""),"https://drive.google.com/open?id=1oZFten5vYtKvp0VG0krnh-fuIhTDjW0n, https://drive.google.com/open?id=1jFtUqI8UgLidezT5RlBzEFRRccCat4Bd")</f>
        <v>https://drive.google.com/open?id=1oZFten5vYtKvp0VG0krnh-fuIhTDjW0n, https://drive.google.com/open?id=1jFtUqI8UgLidezT5RlBzEFRRccCat4Bd</v>
      </c>
      <c r="O1487" s="5" t="str">
        <f ca="1">IFERROR(__xludf.DUMMYFUNCTION("""COMPUTED_VALUE"""),"NA")</f>
        <v>NA</v>
      </c>
      <c r="P1487" s="5" t="str">
        <f ca="1">IFERROR(__xludf.DUMMYFUNCTION("""COMPUTED_VALUE"""),"(213) 765-3330")</f>
        <v>(213) 765-3330</v>
      </c>
      <c r="Q1487" s="5"/>
      <c r="R1487" s="5"/>
      <c r="S1487" s="5"/>
      <c r="T1487" s="5"/>
    </row>
    <row r="1488" spans="1:20" ht="12.75">
      <c r="A1488" s="24">
        <f ca="1">IFERROR(__xludf.DUMMYFUNCTION("""COMPUTED_VALUE"""),45689.5560206481)</f>
        <v>45689.556020648102</v>
      </c>
      <c r="B1488" s="5" t="str">
        <f ca="1">IFERROR(__xludf.DUMMYFUNCTION("""COMPUTED_VALUE"""),"800 Canon Dr")</f>
        <v>800 Canon Dr</v>
      </c>
      <c r="C1488" s="5" t="str">
        <f ca="1">IFERROR(__xludf.DUMMYFUNCTION("""COMPUTED_VALUE"""),"Pasadena")</f>
        <v>Pasadena</v>
      </c>
      <c r="D1488" s="5" t="str">
        <f ca="1">IFERROR(__xludf.DUMMYFUNCTION("""COMPUTED_VALUE"""),"CA")</f>
        <v>CA</v>
      </c>
      <c r="E1488" s="5">
        <f ca="1">IFERROR(__xludf.DUMMYFUNCTION("""COMPUTED_VALUE"""),91106)</f>
        <v>91106</v>
      </c>
      <c r="F1488" s="19">
        <f ca="1">IFERROR(__xludf.DUMMYFUNCTION("""COMPUTED_VALUE"""),16000)</f>
        <v>16000</v>
      </c>
      <c r="G1488" s="19">
        <f ca="1">IFERROR(__xludf.DUMMYFUNCTION("""COMPUTED_VALUE"""),17600)</f>
        <v>17600</v>
      </c>
      <c r="H1488" s="18">
        <f ca="1">IFERROR(__xludf.DUMMYFUNCTION("""COMPUTED_VALUE"""),45681)</f>
        <v>45681</v>
      </c>
      <c r="I1488" s="5" t="str">
        <f ca="1">IFERROR(__xludf.DUMMYFUNCTION("""COMPUTED_VALUE"""),"Padmapper")</f>
        <v>Padmapper</v>
      </c>
      <c r="J1488" s="25" t="str">
        <f ca="1">IFERROR(__xludf.DUMMYFUNCTION("""COMPUTED_VALUE"""),"https://www.padmapper.com/apartments/24610679p/3-bedroom-3-bath-apartment-at-800-canon-dr-pasadena-ca-91106#back=%2Fapartments%2Fsan-marino-ca%2Fsan-marino%2Fl-60110320%3Fbox%3D-118.14555%2C34.10104%2C-118.10561%2C34.15574")</f>
        <v>https://www.padmapper.com/apartments/24610679p/3-bedroom-3-bath-apartment-at-800-canon-dr-pasadena-ca-91106#back=%2Fapartments%2Fsan-marino-ca%2Fsan-marino%2Fl-60110320%3Fbox%3D-118.14555%2C34.10104%2C-118.10561%2C34.15574</v>
      </c>
      <c r="K1488" s="5"/>
      <c r="L1488" s="5"/>
      <c r="M1488" s="5" t="str">
        <f ca="1">IFERROR(__xludf.DUMMYFUNCTION("""COMPUTED_VALUE"""),"Crawled data in December and January")</f>
        <v>Crawled data in December and January</v>
      </c>
      <c r="N1488" s="5" t="str">
        <f ca="1">IFERROR(__xludf.DUMMYFUNCTION("""COMPUTED_VALUE"""),"https://drive.google.com/open?id=1veLxMYuc9B8FAmv8FW5zL5tBSkTdrwju, https://drive.google.com/open?id=1MoASLzMsKpSft1dpWtQBMezZhDqfqiND")</f>
        <v>https://drive.google.com/open?id=1veLxMYuc9B8FAmv8FW5zL5tBSkTdrwju, https://drive.google.com/open?id=1MoASLzMsKpSft1dpWtQBMezZhDqfqiND</v>
      </c>
      <c r="O1488" s="5">
        <f ca="1">IFERROR(__xludf.DUMMYFUNCTION("""COMPUTED_VALUE"""),5325024014)</f>
        <v>5325024014</v>
      </c>
      <c r="P1488" s="5"/>
      <c r="Q1488" s="5"/>
      <c r="R1488" s="5"/>
      <c r="S1488" s="5"/>
      <c r="T1488" s="18">
        <f ca="1">IFERROR(__xludf.DUMMYFUNCTION("""COMPUTED_VALUE"""),45648)</f>
        <v>45648</v>
      </c>
    </row>
    <row r="1489" spans="1:20" ht="12.75">
      <c r="A1489" s="24">
        <f ca="1">IFERROR(__xludf.DUMMYFUNCTION("""COMPUTED_VALUE"""),45690.4330084722)</f>
        <v>45690.433008472202</v>
      </c>
      <c r="B1489" s="5" t="str">
        <f ca="1">IFERROR(__xludf.DUMMYFUNCTION("""COMPUTED_VALUE"""),"1587 La Loma Rd")</f>
        <v>1587 La Loma Rd</v>
      </c>
      <c r="C1489" s="5" t="str">
        <f ca="1">IFERROR(__xludf.DUMMYFUNCTION("""COMPUTED_VALUE"""),"Pasadena")</f>
        <v>Pasadena</v>
      </c>
      <c r="D1489" s="5" t="str">
        <f ca="1">IFERROR(__xludf.DUMMYFUNCTION("""COMPUTED_VALUE"""),"CA")</f>
        <v>CA</v>
      </c>
      <c r="E1489" s="5">
        <f ca="1">IFERROR(__xludf.DUMMYFUNCTION("""COMPUTED_VALUE"""),91105)</f>
        <v>91105</v>
      </c>
      <c r="F1489" s="19">
        <f ca="1">IFERROR(__xludf.DUMMYFUNCTION("""COMPUTED_VALUE"""),7400)</f>
        <v>7400</v>
      </c>
      <c r="G1489" s="19">
        <f ca="1">IFERROR(__xludf.DUMMYFUNCTION("""COMPUTED_VALUE"""),10000)</f>
        <v>10000</v>
      </c>
      <c r="H1489" s="18">
        <f ca="1">IFERROR(__xludf.DUMMYFUNCTION("""COMPUTED_VALUE"""),45690)</f>
        <v>45690</v>
      </c>
      <c r="I1489" s="5" t="str">
        <f ca="1">IFERROR(__xludf.DUMMYFUNCTION("""COMPUTED_VALUE"""),"Zillow")</f>
        <v>Zillow</v>
      </c>
      <c r="J1489" s="25" t="str">
        <f ca="1">IFERROR(__xludf.DUMMYFUNCTION("""COMPUTED_VALUE"""),"https://www.zillow.com/homedetails/1587-La-Loma-Rd-Pasadena-CA-91105/20857360_zpid/")</f>
        <v>https://www.zillow.com/homedetails/1587-La-Loma-Rd-Pasadena-CA-91105/20857360_zpid/</v>
      </c>
      <c r="K1489" s="5" t="str">
        <f ca="1">IFERROR(__xludf.DUMMYFUNCTION("""COMPUTED_VALUE"""),"Lilian Isadzhanyan")</f>
        <v>Lilian Isadzhanyan</v>
      </c>
      <c r="L1489" s="5"/>
      <c r="M1489" s="5"/>
      <c r="N1489" s="26" t="str">
        <f ca="1">IFERROR(__xludf.DUMMYFUNCTION("""COMPUTED_VALUE"""),"https://drive.google.com/open?id=17A_cZsv5l7m76BH4ujD0Lqk_gLqszBc6")</f>
        <v>https://drive.google.com/open?id=17A_cZsv5l7m76BH4ujD0Lqk_gLqszBc6</v>
      </c>
      <c r="O1489" s="5">
        <f ca="1">IFERROR(__xludf.DUMMYFUNCTION("""COMPUTED_VALUE"""),5709034015)</f>
        <v>5709034015</v>
      </c>
      <c r="P1489" s="5" t="str">
        <f ca="1">IFERROR(__xludf.DUMMYFUNCTION("""COMPUTED_VALUE"""),"(818) 937-3870")</f>
        <v>(818) 937-3870</v>
      </c>
      <c r="Q1489" s="5"/>
      <c r="R1489" s="5"/>
      <c r="S1489" s="5"/>
      <c r="T1489" s="18">
        <f ca="1">IFERROR(__xludf.DUMMYFUNCTION("""COMPUTED_VALUE"""),45157)</f>
        <v>45157</v>
      </c>
    </row>
    <row r="1490" spans="1:20" ht="12.75">
      <c r="A1490" s="24">
        <f ca="1">IFERROR(__xludf.DUMMYFUNCTION("""COMPUTED_VALUE"""),45691.0272131249)</f>
        <v>45691.0272131249</v>
      </c>
      <c r="B1490" s="5" t="str">
        <f ca="1">IFERROR(__xludf.DUMMYFUNCTION("""COMPUTED_VALUE"""),"2739 Midvale Avenue")</f>
        <v>2739 Midvale Avenue</v>
      </c>
      <c r="C1490" s="5" t="str">
        <f ca="1">IFERROR(__xludf.DUMMYFUNCTION("""COMPUTED_VALUE"""),"Los Angeles")</f>
        <v>Los Angeles</v>
      </c>
      <c r="D1490" s="5" t="str">
        <f ca="1">IFERROR(__xludf.DUMMYFUNCTION("""COMPUTED_VALUE"""),"CA")</f>
        <v>CA</v>
      </c>
      <c r="E1490" s="5">
        <f ca="1">IFERROR(__xludf.DUMMYFUNCTION("""COMPUTED_VALUE"""),90064)</f>
        <v>90064</v>
      </c>
      <c r="F1490" s="19">
        <f ca="1">IFERROR(__xludf.DUMMYFUNCTION("""COMPUTED_VALUE"""),3850)</f>
        <v>3850</v>
      </c>
      <c r="G1490" s="19">
        <f ca="1">IFERROR(__xludf.DUMMYFUNCTION("""COMPUTED_VALUE"""),4250)</f>
        <v>4250</v>
      </c>
      <c r="H1490" s="18">
        <f ca="1">IFERROR(__xludf.DUMMYFUNCTION("""COMPUTED_VALUE"""),45686)</f>
        <v>45686</v>
      </c>
      <c r="I1490" s="5" t="str">
        <f ca="1">IFERROR(__xludf.DUMMYFUNCTION("""COMPUTED_VALUE"""),"Zillow")</f>
        <v>Zillow</v>
      </c>
      <c r="J1490" s="25" t="str">
        <f ca="1">IFERROR(__xludf.DUMMYFUNCTION("""COMPUTED_VALUE"""),"https://www.zillow.com/homedetails/2739-Midvale-Ave-Los-Angeles-CA-90064/20462578_zpid/")</f>
        <v>https://www.zillow.com/homedetails/2739-Midvale-Ave-Los-Angeles-CA-90064/20462578_zpid/</v>
      </c>
      <c r="K1490" s="5" t="str">
        <f ca="1">IFERROR(__xludf.DUMMYFUNCTION("""COMPUTED_VALUE"""),"Hofit Kahn")</f>
        <v>Hofit Kahn</v>
      </c>
      <c r="L1490" s="5"/>
      <c r="M1490" s="5"/>
      <c r="N1490" s="26" t="str">
        <f ca="1">IFERROR(__xludf.DUMMYFUNCTION("""COMPUTED_VALUE"""),"https://drive.google.com/open?id=1peUhpwv3g7JbzcxxCxVAUju9tJqLizPB")</f>
        <v>https://drive.google.com/open?id=1peUhpwv3g7JbzcxxCxVAUju9tJqLizPB</v>
      </c>
      <c r="O1490" s="5">
        <f ca="1">IFERROR(__xludf.DUMMYFUNCTION("""COMPUTED_VALUE"""),4256029008)</f>
        <v>4256029008</v>
      </c>
      <c r="P1490" s="5" t="str">
        <f ca="1">IFERROR(__xludf.DUMMYFUNCTION("""COMPUTED_VALUE"""),"(424) 788-1686")</f>
        <v>(424) 788-1686</v>
      </c>
      <c r="Q1490" s="5"/>
      <c r="R1490" s="5"/>
      <c r="S1490" s="5"/>
      <c r="T1490" s="18">
        <f ca="1">IFERROR(__xludf.DUMMYFUNCTION("""COMPUTED_VALUE"""),45614)</f>
        <v>45614</v>
      </c>
    </row>
    <row r="1491" spans="1:20" ht="12.75">
      <c r="A1491" s="24">
        <f ca="1">IFERROR(__xludf.DUMMYFUNCTION("""COMPUTED_VALUE"""),45691.0353225925)</f>
        <v>45691.035322592499</v>
      </c>
      <c r="B1491" s="5" t="str">
        <f ca="1">IFERROR(__xludf.DUMMYFUNCTION("""COMPUTED_VALUE"""),"8417 Harold Way")</f>
        <v>8417 Harold Way</v>
      </c>
      <c r="C1491" s="5" t="str">
        <f ca="1">IFERROR(__xludf.DUMMYFUNCTION("""COMPUTED_VALUE"""),"Los Angeles")</f>
        <v>Los Angeles</v>
      </c>
      <c r="D1491" s="5" t="str">
        <f ca="1">IFERROR(__xludf.DUMMYFUNCTION("""COMPUTED_VALUE"""),"CA")</f>
        <v>CA</v>
      </c>
      <c r="E1491" s="5">
        <f ca="1">IFERROR(__xludf.DUMMYFUNCTION("""COMPUTED_VALUE"""),90069)</f>
        <v>90069</v>
      </c>
      <c r="F1491" s="19">
        <f ca="1">IFERROR(__xludf.DUMMYFUNCTION("""COMPUTED_VALUE"""),14995)</f>
        <v>14995</v>
      </c>
      <c r="G1491" s="19">
        <f ca="1">IFERROR(__xludf.DUMMYFUNCTION("""COMPUTED_VALUE"""),18500)</f>
        <v>18500</v>
      </c>
      <c r="H1491" s="18">
        <f ca="1">IFERROR(__xludf.DUMMYFUNCTION("""COMPUTED_VALUE"""),45689)</f>
        <v>45689</v>
      </c>
      <c r="I1491" s="5" t="str">
        <f ca="1">IFERROR(__xludf.DUMMYFUNCTION("""COMPUTED_VALUE"""),"Zillow")</f>
        <v>Zillow</v>
      </c>
      <c r="J1491" s="25" t="str">
        <f ca="1">IFERROR(__xludf.DUMMYFUNCTION("""COMPUTED_VALUE"""),"https://www.zillow.com/homedetails/8417-Harold-Way-Los-Angeles-CA-90069/243013044_zpid/")</f>
        <v>https://www.zillow.com/homedetails/8417-Harold-Way-Los-Angeles-CA-90069/243013044_zpid/</v>
      </c>
      <c r="K1491" s="5"/>
      <c r="L1491" s="5" t="str">
        <f ca="1">IFERROR(__xludf.DUMMYFUNCTION("""COMPUTED_VALUE"""),"Eddie")</f>
        <v>Eddie</v>
      </c>
      <c r="M1491" s="5" t="str">
        <f ca="1">IFERROR(__xludf.DUMMYFUNCTION("""COMPUTED_VALUE"""),"Dude bumped the price TWICE, 10% on 1/10 and another 12.5% on 2/1.")</f>
        <v>Dude bumped the price TWICE, 10% on 1/10 and another 12.5% on 2/1.</v>
      </c>
      <c r="N1491" s="26" t="str">
        <f ca="1">IFERROR(__xludf.DUMMYFUNCTION("""COMPUTED_VALUE"""),"https://drive.google.com/open?id=1yZCtv9TvBxPD4d3-PILxHWWTD7HU9gFE")</f>
        <v>https://drive.google.com/open?id=1yZCtv9TvBxPD4d3-PILxHWWTD7HU9gFE</v>
      </c>
      <c r="O1491" s="5">
        <f ca="1">IFERROR(__xludf.DUMMYFUNCTION("""COMPUTED_VALUE"""),5555014012)</f>
        <v>5555014012</v>
      </c>
      <c r="P1491" s="5"/>
      <c r="Q1491" s="5"/>
      <c r="R1491" s="5" t="str">
        <f ca="1">IFERROR(__xludf.DUMMYFUNCTION("""COMPUTED_VALUE"""),"(475) 252-9955")</f>
        <v>(475) 252-9955</v>
      </c>
      <c r="S1491" s="5"/>
      <c r="T1491" s="18">
        <f ca="1">IFERROR(__xludf.DUMMYFUNCTION("""COMPUTED_VALUE"""),45491)</f>
        <v>45491</v>
      </c>
    </row>
    <row r="1492" spans="1:20" ht="12.75">
      <c r="A1492" s="24">
        <f ca="1">IFERROR(__xludf.DUMMYFUNCTION("""COMPUTED_VALUE"""),45691.4549674652)</f>
        <v>45691.454967465201</v>
      </c>
      <c r="B1492" s="5" t="str">
        <f ca="1">IFERROR(__xludf.DUMMYFUNCTION("""COMPUTED_VALUE"""),"201 S Bristol Ave")</f>
        <v>201 S Bristol Ave</v>
      </c>
      <c r="C1492" s="5" t="str">
        <f ca="1">IFERROR(__xludf.DUMMYFUNCTION("""COMPUTED_VALUE"""),"Los Angeles")</f>
        <v>Los Angeles</v>
      </c>
      <c r="D1492" s="5" t="str">
        <f ca="1">IFERROR(__xludf.DUMMYFUNCTION("""COMPUTED_VALUE"""),"CA")</f>
        <v>CA</v>
      </c>
      <c r="E1492" s="5">
        <f ca="1">IFERROR(__xludf.DUMMYFUNCTION("""COMPUTED_VALUE"""),90049)</f>
        <v>90049</v>
      </c>
      <c r="F1492" s="19">
        <f ca="1">IFERROR(__xludf.DUMMYFUNCTION("""COMPUTED_VALUE"""),55000)</f>
        <v>55000</v>
      </c>
      <c r="G1492" s="19">
        <f ca="1">IFERROR(__xludf.DUMMYFUNCTION("""COMPUTED_VALUE"""),66000)</f>
        <v>66000</v>
      </c>
      <c r="H1492" s="18">
        <f ca="1">IFERROR(__xludf.DUMMYFUNCTION("""COMPUTED_VALUE"""),45684)</f>
        <v>45684</v>
      </c>
      <c r="I1492" s="5" t="str">
        <f ca="1">IFERROR(__xludf.DUMMYFUNCTION("""COMPUTED_VALUE"""),"Zillow")</f>
        <v>Zillow</v>
      </c>
      <c r="J1492" s="25" t="str">
        <f ca="1">IFERROR(__xludf.DUMMYFUNCTION("""COMPUTED_VALUE"""),"https://www.zillow.com/homedetails/201-S-Bristol-Ave-Los-Angeles-CA-90049/20538485_zpid/")</f>
        <v>https://www.zillow.com/homedetails/201-S-Bristol-Ave-Los-Angeles-CA-90049/20538485_zpid/</v>
      </c>
      <c r="K1492" s="5" t="str">
        <f ca="1">IFERROR(__xludf.DUMMYFUNCTION("""COMPUTED_VALUE"""),"Amir Mostame")</f>
        <v>Amir Mostame</v>
      </c>
      <c r="L1492" s="5"/>
      <c r="M1492" s="5" t="str">
        <f ca="1">IFERROR(__xludf.DUMMYFUNCTION("""COMPUTED_VALUE"""),"Also illegally asking 2-month security deposit of $123000.  LA County only allows 1-month security deposit. ")</f>
        <v xml:space="preserve">Also illegally asking 2-month security deposit of $123000.  LA County only allows 1-month security deposit. </v>
      </c>
      <c r="N1492" s="26" t="str">
        <f ca="1">IFERROR(__xludf.DUMMYFUNCTION("""COMPUTED_VALUE"""),"https://drive.google.com/open?id=1rg-HaIMrocF7lOHUateHSFwxbG7mCwjc")</f>
        <v>https://drive.google.com/open?id=1rg-HaIMrocF7lOHUateHSFwxbG7mCwjc</v>
      </c>
      <c r="O1492" s="5" t="str">
        <f ca="1">IFERROR(__xludf.DUMMYFUNCTION("""COMPUTED_VALUE"""),"4406-021-001")</f>
        <v>4406-021-001</v>
      </c>
      <c r="P1492" s="5" t="str">
        <f ca="1">IFERROR(__xludf.DUMMYFUNCTION("""COMPUTED_VALUE"""),"(424) 527-8889")</f>
        <v>(424) 527-8889</v>
      </c>
      <c r="Q1492" s="5"/>
      <c r="R1492" s="5"/>
      <c r="S1492" s="5"/>
      <c r="T1492" s="18">
        <f ca="1">IFERROR(__xludf.DUMMYFUNCTION("""COMPUTED_VALUE"""),45360)</f>
        <v>45360</v>
      </c>
    </row>
    <row r="1493" spans="1:20" ht="12.75">
      <c r="A1493" s="24">
        <f ca="1">IFERROR(__xludf.DUMMYFUNCTION("""COMPUTED_VALUE"""),45691.6865218518)</f>
        <v>45691.6865218518</v>
      </c>
      <c r="B1493" s="5" t="str">
        <f ca="1">IFERROR(__xludf.DUMMYFUNCTION("""COMPUTED_VALUE"""),"6316 Frondosa Dr.")</f>
        <v>6316 Frondosa Dr.</v>
      </c>
      <c r="C1493" s="5" t="str">
        <f ca="1">IFERROR(__xludf.DUMMYFUNCTION("""COMPUTED_VALUE"""),"Malibu")</f>
        <v>Malibu</v>
      </c>
      <c r="D1493" s="5" t="str">
        <f ca="1">IFERROR(__xludf.DUMMYFUNCTION("""COMPUTED_VALUE"""),"CA")</f>
        <v>CA</v>
      </c>
      <c r="E1493" s="5">
        <f ca="1">IFERROR(__xludf.DUMMYFUNCTION("""COMPUTED_VALUE"""),90265)</f>
        <v>90265</v>
      </c>
      <c r="F1493" s="19">
        <f ca="1">IFERROR(__xludf.DUMMYFUNCTION("""COMPUTED_VALUE"""),3500)</f>
        <v>3500</v>
      </c>
      <c r="G1493" s="19">
        <f ca="1">IFERROR(__xludf.DUMMYFUNCTION("""COMPUTED_VALUE"""),5500)</f>
        <v>5500</v>
      </c>
      <c r="H1493" s="18">
        <f ca="1">IFERROR(__xludf.DUMMYFUNCTION("""COMPUTED_VALUE"""),45675)</f>
        <v>45675</v>
      </c>
      <c r="I1493" s="5" t="str">
        <f ca="1">IFERROR(__xludf.DUMMYFUNCTION("""COMPUTED_VALUE"""),"Zillow")</f>
        <v>Zillow</v>
      </c>
      <c r="J1493" s="25" t="str">
        <f ca="1">IFERROR(__xludf.DUMMYFUNCTION("""COMPUTED_VALUE"""),"https://www.zillow.com/homedetails/6316-Frondosa-Dr-Malibu-CA-90265/20557322_zpid/")</f>
        <v>https://www.zillow.com/homedetails/6316-Frondosa-Dr-Malibu-CA-90265/20557322_zpid/</v>
      </c>
      <c r="K1493" s="5"/>
      <c r="L1493" s="5" t="str">
        <f ca="1">IFERROR(__xludf.DUMMYFUNCTION("""COMPUTED_VALUE"""),"Garcia")</f>
        <v>Garcia</v>
      </c>
      <c r="M1493" s="5" t="str">
        <f ca="1">IFERROR(__xludf.DUMMYFUNCTION("""COMPUTED_VALUE"""),"The previous renter rented it for $3500 and did extensive work. Then moved out due to mold and owners listed it for $5500 after fires")</f>
        <v>The previous renter rented it for $3500 and did extensive work. Then moved out due to mold and owners listed it for $5500 after fires</v>
      </c>
      <c r="N1493" s="26" t="str">
        <f ca="1">IFERROR(__xludf.DUMMYFUNCTION("""COMPUTED_VALUE"""),"https://drive.google.com/open?id=17f-QYKh45D7eK6C3kQ4pOLTzi3NYOZQ8")</f>
        <v>https://drive.google.com/open?id=17f-QYKh45D7eK6C3kQ4pOLTzi3NYOZQ8</v>
      </c>
      <c r="O1493" s="5" t="str">
        <f ca="1">IFERROR(__xludf.DUMMYFUNCTION("""COMPUTED_VALUE"""),"Parcel number: 4469033024")</f>
        <v>Parcel number: 4469033024</v>
      </c>
      <c r="P1493" s="5"/>
      <c r="Q1493" s="5"/>
      <c r="R1493" s="5"/>
      <c r="S1493" s="5"/>
      <c r="T1493" s="18">
        <f ca="1">IFERROR(__xludf.DUMMYFUNCTION("""COMPUTED_VALUE"""),45667)</f>
        <v>45667</v>
      </c>
    </row>
    <row r="1494" spans="1:20" ht="12.75">
      <c r="A1494" s="24">
        <f ca="1">IFERROR(__xludf.DUMMYFUNCTION("""COMPUTED_VALUE"""),45691.7523312962)</f>
        <v>45691.7523312962</v>
      </c>
      <c r="B1494" s="5" t="str">
        <f ca="1">IFERROR(__xludf.DUMMYFUNCTION("""COMPUTED_VALUE"""),"5120 S Garth Ave")</f>
        <v>5120 S Garth Ave</v>
      </c>
      <c r="C1494" s="5" t="str">
        <f ca="1">IFERROR(__xludf.DUMMYFUNCTION("""COMPUTED_VALUE"""),"Los Angeles")</f>
        <v>Los Angeles</v>
      </c>
      <c r="D1494" s="5" t="str">
        <f ca="1">IFERROR(__xludf.DUMMYFUNCTION("""COMPUTED_VALUE"""),"CA")</f>
        <v>CA</v>
      </c>
      <c r="E1494" s="5">
        <f ca="1">IFERROR(__xludf.DUMMYFUNCTION("""COMPUTED_VALUE"""),90056)</f>
        <v>90056</v>
      </c>
      <c r="F1494" s="19">
        <f ca="1">IFERROR(__xludf.DUMMYFUNCTION("""COMPUTED_VALUE"""),8500)</f>
        <v>8500</v>
      </c>
      <c r="G1494" s="19">
        <f ca="1">IFERROR(__xludf.DUMMYFUNCTION("""COMPUTED_VALUE"""),10450)</f>
        <v>10450</v>
      </c>
      <c r="H1494" s="18">
        <f ca="1">IFERROR(__xludf.DUMMYFUNCTION("""COMPUTED_VALUE"""),45685)</f>
        <v>45685</v>
      </c>
      <c r="I1494" s="5" t="str">
        <f ca="1">IFERROR(__xludf.DUMMYFUNCTION("""COMPUTED_VALUE"""),"Zillow")</f>
        <v>Zillow</v>
      </c>
      <c r="J1494" s="25" t="str">
        <f ca="1">IFERROR(__xludf.DUMMYFUNCTION("""COMPUTED_VALUE"""),"https://www.zillow.com/homedetails/5120-S-Garth-Ave-Los-Angeles-CA-90056/20429241_zpid/")</f>
        <v>https://www.zillow.com/homedetails/5120-S-Garth-Ave-Los-Angeles-CA-90056/20429241_zpid/</v>
      </c>
      <c r="K1494" s="5" t="str">
        <f ca="1">IFERROR(__xludf.DUMMYFUNCTION("""COMPUTED_VALUE"""),"Eric Matthew Yetter")</f>
        <v>Eric Matthew Yetter</v>
      </c>
      <c r="L1494" s="5" t="str">
        <f ca="1">IFERROR(__xludf.DUMMYFUNCTION("""COMPUTED_VALUE"""),"Not Known")</f>
        <v>Not Known</v>
      </c>
      <c r="M1494" s="5"/>
      <c r="N1494" s="26" t="str">
        <f ca="1">IFERROR(__xludf.DUMMYFUNCTION("""COMPUTED_VALUE"""),"https://drive.google.com/open?id=1hidgUQZ5zlV1aWTpM1btFVJI9T7Tz7p4")</f>
        <v>https://drive.google.com/open?id=1hidgUQZ5zlV1aWTpM1btFVJI9T7Tz7p4</v>
      </c>
      <c r="O1494" s="5">
        <f ca="1">IFERROR(__xludf.DUMMYFUNCTION("""COMPUTED_VALUE"""),4201020004)</f>
        <v>4201020004</v>
      </c>
      <c r="P1494" s="5" t="str">
        <f ca="1">IFERROR(__xludf.DUMMYFUNCTION("""COMPUTED_VALUE"""),"(310) 266-5819")</f>
        <v>(310) 266-5819</v>
      </c>
      <c r="Q1494" s="5"/>
      <c r="R1494" s="5" t="str">
        <f ca="1">IFERROR(__xludf.DUMMYFUNCTION("""COMPUTED_VALUE"""),"Not Known")</f>
        <v>Not Known</v>
      </c>
      <c r="S1494" s="5"/>
      <c r="T1494" s="18">
        <f ca="1">IFERROR(__xludf.DUMMYFUNCTION("""COMPUTED_VALUE"""),45099)</f>
        <v>45099</v>
      </c>
    </row>
    <row r="1495" spans="1:20" ht="12.75">
      <c r="A1495" s="24">
        <f ca="1">IFERROR(__xludf.DUMMYFUNCTION("""COMPUTED_VALUE"""),45692.3285917361)</f>
        <v>45692.328591736099</v>
      </c>
      <c r="B1495" s="5" t="str">
        <f ca="1">IFERROR(__xludf.DUMMYFUNCTION("""COMPUTED_VALUE"""),"14 beacon bay ")</f>
        <v xml:space="preserve">14 beacon bay </v>
      </c>
      <c r="C1495" s="5" t="str">
        <f ca="1">IFERROR(__xludf.DUMMYFUNCTION("""COMPUTED_VALUE"""),"newport beach")</f>
        <v>newport beach</v>
      </c>
      <c r="D1495" s="5" t="str">
        <f ca="1">IFERROR(__xludf.DUMMYFUNCTION("""COMPUTED_VALUE"""),"CA")</f>
        <v>CA</v>
      </c>
      <c r="E1495" s="5">
        <f ca="1">IFERROR(__xludf.DUMMYFUNCTION("""COMPUTED_VALUE"""),92657)</f>
        <v>92657</v>
      </c>
      <c r="F1495" s="19">
        <f ca="1">IFERROR(__xludf.DUMMYFUNCTION("""COMPUTED_VALUE"""),55000)</f>
        <v>55000</v>
      </c>
      <c r="G1495" s="19">
        <f ca="1">IFERROR(__xludf.DUMMYFUNCTION("""COMPUTED_VALUE"""),80000)</f>
        <v>80000</v>
      </c>
      <c r="H1495" s="18">
        <f ca="1">IFERROR(__xludf.DUMMYFUNCTION("""COMPUTED_VALUE"""),45675)</f>
        <v>45675</v>
      </c>
      <c r="I1495" s="5" t="str">
        <f ca="1">IFERROR(__xludf.DUMMYFUNCTION("""COMPUTED_VALUE"""),"Redfin")</f>
        <v>Redfin</v>
      </c>
      <c r="J1495" s="25" t="str">
        <f ca="1">IFERROR(__xludf.DUMMYFUNCTION("""COMPUTED_VALUE"""),"https://www.redfin.com/CA/Newport-Beach/14-Beacon-Bay-92660/home/28455522")</f>
        <v>https://www.redfin.com/CA/Newport-Beach/14-Beacon-Bay-92660/home/28455522</v>
      </c>
      <c r="K1495" s="5" t="str">
        <f ca="1">IFERROR(__xludf.DUMMYFUNCTION("""COMPUTED_VALUE"""),"Tim Smith Digraceful!")</f>
        <v>Tim Smith Digraceful!</v>
      </c>
      <c r="L1495" s="5"/>
      <c r="M1495" s="5"/>
      <c r="N1495" s="26" t="str">
        <f ca="1">IFERROR(__xludf.DUMMYFUNCTION("""COMPUTED_VALUE"""),"https://drive.google.com/open?id=1ZD3LcPGuI9lTefuoZTyE0PS2-H8SkPmZ")</f>
        <v>https://drive.google.com/open?id=1ZD3LcPGuI9lTefuoZTyE0PS2-H8SkPmZ</v>
      </c>
      <c r="O1495" s="5" t="str">
        <f ca="1">IFERROR(__xludf.DUMMYFUNCTION("""COMPUTED_VALUE"""),"n/a")</f>
        <v>n/a</v>
      </c>
      <c r="P1495" s="5">
        <f ca="1">IFERROR(__xludf.DUMMYFUNCTION("""COMPUTED_VALUE"""),9494782295)</f>
        <v>9494782295</v>
      </c>
      <c r="Q1495" s="5"/>
      <c r="R1495" s="5"/>
      <c r="S1495" s="5"/>
      <c r="T1495" s="18">
        <f ca="1">IFERROR(__xludf.DUMMYFUNCTION("""COMPUTED_VALUE"""),45449)</f>
        <v>45449</v>
      </c>
    </row>
    <row r="1496" spans="1:20" ht="12.75">
      <c r="A1496" s="24">
        <f ca="1">IFERROR(__xludf.DUMMYFUNCTION("""COMPUTED_VALUE"""),45692.6290122569)</f>
        <v>45692.629012256897</v>
      </c>
      <c r="B1496" s="5" t="str">
        <f ca="1">IFERROR(__xludf.DUMMYFUNCTION("""COMPUTED_VALUE"""),"1722 N Vista St")</f>
        <v>1722 N Vista St</v>
      </c>
      <c r="C1496" s="5" t="str">
        <f ca="1">IFERROR(__xludf.DUMMYFUNCTION("""COMPUTED_VALUE"""),"Los Angeles")</f>
        <v>Los Angeles</v>
      </c>
      <c r="D1496" s="5" t="str">
        <f ca="1">IFERROR(__xludf.DUMMYFUNCTION("""COMPUTED_VALUE"""),"CA")</f>
        <v>CA</v>
      </c>
      <c r="E1496" s="5">
        <f ca="1">IFERROR(__xludf.DUMMYFUNCTION("""COMPUTED_VALUE"""),90046)</f>
        <v>90046</v>
      </c>
      <c r="F1496" s="19">
        <f ca="1">IFERROR(__xludf.DUMMYFUNCTION("""COMPUTED_VALUE"""),8750)</f>
        <v>8750</v>
      </c>
      <c r="G1496" s="19">
        <f ca="1">IFERROR(__xludf.DUMMYFUNCTION("""COMPUTED_VALUE"""),16900)</f>
        <v>16900</v>
      </c>
      <c r="H1496" s="18">
        <f ca="1">IFERROR(__xludf.DUMMYFUNCTION("""COMPUTED_VALUE"""),45692)</f>
        <v>45692</v>
      </c>
      <c r="I1496" s="5" t="str">
        <f ca="1">IFERROR(__xludf.DUMMYFUNCTION("""COMPUTED_VALUE"""),"Zillow")</f>
        <v>Zillow</v>
      </c>
      <c r="J1496" s="25" t="str">
        <f ca="1">IFERROR(__xludf.DUMMYFUNCTION("""COMPUTED_VALUE"""),"https://www.zillow.com/homedetails/1722-N-Vista-St-Los-Angeles-CA-90046/2054575992_zpid/")</f>
        <v>https://www.zillow.com/homedetails/1722-N-Vista-St-Los-Angeles-CA-90046/2054575992_zpid/</v>
      </c>
      <c r="K1496" s="5" t="str">
        <f ca="1">IFERROR(__xludf.DUMMYFUNCTION("""COMPUTED_VALUE"""),"Barouir Atmajian")</f>
        <v>Barouir Atmajian</v>
      </c>
      <c r="L1496" s="5"/>
      <c r="M1496" s="5"/>
      <c r="N1496" s="26" t="str">
        <f ca="1">IFERROR(__xludf.DUMMYFUNCTION("""COMPUTED_VALUE"""),"https://drive.google.com/open?id=1cFEP2YtbxwlUmb0y1XY77lRRhpuPNad1")</f>
        <v>https://drive.google.com/open?id=1cFEP2YtbxwlUmb0y1XY77lRRhpuPNad1</v>
      </c>
      <c r="O1496" s="5" t="str">
        <f ca="1">IFERROR(__xludf.DUMMYFUNCTION("""COMPUTED_VALUE"""),"NA")</f>
        <v>NA</v>
      </c>
      <c r="P1496" s="5" t="str">
        <f ca="1">IFERROR(__xludf.DUMMYFUNCTION("""COMPUTED_VALUE"""),"(818) 239-2554")</f>
        <v>(818) 239-2554</v>
      </c>
      <c r="Q1496" s="5"/>
      <c r="R1496" s="5"/>
      <c r="S1496" s="5"/>
      <c r="T1496" s="18">
        <f ca="1">IFERROR(__xludf.DUMMYFUNCTION("""COMPUTED_VALUE"""),45321)</f>
        <v>45321</v>
      </c>
    </row>
    <row r="1497" spans="1:20" ht="12.75">
      <c r="A1497" s="24">
        <f ca="1">IFERROR(__xludf.DUMMYFUNCTION("""COMPUTED_VALUE"""),45692.6895334375)</f>
        <v>45692.6895334375</v>
      </c>
      <c r="B1497" s="5" t="str">
        <f ca="1">IFERROR(__xludf.DUMMYFUNCTION("""COMPUTED_VALUE"""),"2228 Holly Dr")</f>
        <v>2228 Holly Dr</v>
      </c>
      <c r="C1497" s="5" t="str">
        <f ca="1">IFERROR(__xludf.DUMMYFUNCTION("""COMPUTED_VALUE"""),"Los Angeles")</f>
        <v>Los Angeles</v>
      </c>
      <c r="D1497" s="5" t="str">
        <f ca="1">IFERROR(__xludf.DUMMYFUNCTION("""COMPUTED_VALUE"""),"CA")</f>
        <v>CA</v>
      </c>
      <c r="E1497" s="5">
        <f ca="1">IFERROR(__xludf.DUMMYFUNCTION("""COMPUTED_VALUE"""),90068)</f>
        <v>90068</v>
      </c>
      <c r="F1497" s="19">
        <f ca="1">IFERROR(__xludf.DUMMYFUNCTION("""COMPUTED_VALUE"""),5800)</f>
        <v>5800</v>
      </c>
      <c r="G1497" s="19">
        <f ca="1">IFERROR(__xludf.DUMMYFUNCTION("""COMPUTED_VALUE"""),9000)</f>
        <v>9000</v>
      </c>
      <c r="H1497" s="18">
        <f ca="1">IFERROR(__xludf.DUMMYFUNCTION("""COMPUTED_VALUE"""),45693)</f>
        <v>45693</v>
      </c>
      <c r="I1497" s="5" t="str">
        <f ca="1">IFERROR(__xludf.DUMMYFUNCTION("""COMPUTED_VALUE"""),"Zillow")</f>
        <v>Zillow</v>
      </c>
      <c r="J1497" s="25" t="str">
        <f ca="1">IFERROR(__xludf.DUMMYFUNCTION("""COMPUTED_VALUE"""),"https://www.zillow.com/homedetails/2228-Holly-Dr-Los-Angeles-CA-90068/20804384_zpid/")</f>
        <v>https://www.zillow.com/homedetails/2228-Holly-Dr-Los-Angeles-CA-90068/20804384_zpid/</v>
      </c>
      <c r="K1497" s="5" t="str">
        <f ca="1">IFERROR(__xludf.DUMMYFUNCTION("""COMPUTED_VALUE"""),"Colleen Dolan Vinetz")</f>
        <v>Colleen Dolan Vinetz</v>
      </c>
      <c r="L1497" s="5"/>
      <c r="M1497" s="5"/>
      <c r="N1497" s="26" t="str">
        <f ca="1">IFERROR(__xludf.DUMMYFUNCTION("""COMPUTED_VALUE"""),"https://drive.google.com/open?id=1e45oeWjzU4SosRtvYeAOOp1YtTkiUGMZ")</f>
        <v>https://drive.google.com/open?id=1e45oeWjzU4SosRtvYeAOOp1YtTkiUGMZ</v>
      </c>
      <c r="O1497" s="5">
        <f ca="1">IFERROR(__xludf.DUMMYFUNCTION("""COMPUTED_VALUE"""),5576014046)</f>
        <v>5576014046</v>
      </c>
      <c r="P1497" s="5" t="str">
        <f ca="1">IFERROR(__xludf.DUMMYFUNCTION("""COMPUTED_VALUE"""),"(310) 367-5457")</f>
        <v>(310) 367-5457</v>
      </c>
      <c r="Q1497" s="5"/>
      <c r="R1497" s="5"/>
      <c r="S1497" s="5"/>
      <c r="T1497" s="18">
        <f ca="1">IFERROR(__xludf.DUMMYFUNCTION("""COMPUTED_VALUE"""),43129)</f>
        <v>43129</v>
      </c>
    </row>
    <row r="1498" spans="1:20" ht="12.75">
      <c r="A1498" s="24">
        <f ca="1">IFERROR(__xludf.DUMMYFUNCTION("""COMPUTED_VALUE"""),45692.6984335763)</f>
        <v>45692.698433576297</v>
      </c>
      <c r="B1498" s="5" t="str">
        <f ca="1">IFERROR(__xludf.DUMMYFUNCTION("""COMPUTED_VALUE"""),"1701 Virginia Road")</f>
        <v>1701 Virginia Road</v>
      </c>
      <c r="C1498" s="5" t="str">
        <f ca="1">IFERROR(__xludf.DUMMYFUNCTION("""COMPUTED_VALUE"""),"San Marino")</f>
        <v>San Marino</v>
      </c>
      <c r="D1498" s="5" t="str">
        <f ca="1">IFERROR(__xludf.DUMMYFUNCTION("""COMPUTED_VALUE"""),"CA")</f>
        <v>CA</v>
      </c>
      <c r="E1498" s="5">
        <f ca="1">IFERROR(__xludf.DUMMYFUNCTION("""COMPUTED_VALUE"""),91108)</f>
        <v>91108</v>
      </c>
      <c r="F1498" s="19">
        <f ca="1">IFERROR(__xludf.DUMMYFUNCTION("""COMPUTED_VALUE"""),18000)</f>
        <v>18000</v>
      </c>
      <c r="G1498" s="19">
        <f ca="1">IFERROR(__xludf.DUMMYFUNCTION("""COMPUTED_VALUE"""),23000)</f>
        <v>23000</v>
      </c>
      <c r="H1498" s="18">
        <f ca="1">IFERROR(__xludf.DUMMYFUNCTION("""COMPUTED_VALUE"""),45689)</f>
        <v>45689</v>
      </c>
      <c r="I1498" s="5" t="str">
        <f ca="1">IFERROR(__xludf.DUMMYFUNCTION("""COMPUTED_VALUE"""),"Zillow")</f>
        <v>Zillow</v>
      </c>
      <c r="J1498" s="25" t="str">
        <f ca="1">IFERROR(__xludf.DUMMYFUNCTION("""COMPUTED_VALUE"""),"https://www.zillow.com/homedetails/1701-Virginia-Rd-San-Marino-CA-91108/20704993_zpid/")</f>
        <v>https://www.zillow.com/homedetails/1701-Virginia-Rd-San-Marino-CA-91108/20704993_zpid/</v>
      </c>
      <c r="K1498" s="5"/>
      <c r="L1498" s="5" t="str">
        <f ca="1">IFERROR(__xludf.DUMMYFUNCTION("""COMPUTED_VALUE"""),"Bruce")</f>
        <v>Bruce</v>
      </c>
      <c r="M1498" s="5" t="str">
        <f ca="1">IFERROR(__xludf.DUMMYFUNCTION("""COMPUTED_VALUE"""),"Rent was $6,000 in 2019, now $23,000")</f>
        <v>Rent was $6,000 in 2019, now $23,000</v>
      </c>
      <c r="N1498" s="26" t="str">
        <f ca="1">IFERROR(__xludf.DUMMYFUNCTION("""COMPUTED_VALUE"""),"https://drive.google.com/open?id=1GKwbCkGpBsCI68-EnZcamyrszUsLDQ5D")</f>
        <v>https://drive.google.com/open?id=1GKwbCkGpBsCI68-EnZcamyrszUsLDQ5D</v>
      </c>
      <c r="O1498" s="5">
        <f ca="1">IFERROR(__xludf.DUMMYFUNCTION("""COMPUTED_VALUE"""),5335001008)</f>
        <v>5335001008</v>
      </c>
      <c r="P1498" s="5"/>
      <c r="Q1498" s="5"/>
      <c r="R1498" s="5" t="str">
        <f ca="1">IFERROR(__xludf.DUMMYFUNCTION("""COMPUTED_VALUE"""),"(818) 600-2221")</f>
        <v>(818) 600-2221</v>
      </c>
      <c r="S1498" s="5"/>
      <c r="T1498" s="18">
        <f ca="1">IFERROR(__xludf.DUMMYFUNCTION("""COMPUTED_VALUE"""),45577)</f>
        <v>45577</v>
      </c>
    </row>
    <row r="1499" spans="1:20" ht="12.75">
      <c r="A1499" s="24">
        <f ca="1">IFERROR(__xludf.DUMMYFUNCTION("""COMPUTED_VALUE"""),45694.2133145486)</f>
        <v>45694.2133145486</v>
      </c>
      <c r="B1499" s="5" t="str">
        <f ca="1">IFERROR(__xludf.DUMMYFUNCTION("""COMPUTED_VALUE"""),"2450 Glencoe Ave")</f>
        <v>2450 Glencoe Ave</v>
      </c>
      <c r="C1499" s="5" t="str">
        <f ca="1">IFERROR(__xludf.DUMMYFUNCTION("""COMPUTED_VALUE"""),"Venice")</f>
        <v>Venice</v>
      </c>
      <c r="D1499" s="5" t="str">
        <f ca="1">IFERROR(__xludf.DUMMYFUNCTION("""COMPUTED_VALUE"""),"CA")</f>
        <v>CA</v>
      </c>
      <c r="E1499" s="5">
        <f ca="1">IFERROR(__xludf.DUMMYFUNCTION("""COMPUTED_VALUE"""),90291)</f>
        <v>90291</v>
      </c>
      <c r="F1499" s="19">
        <f ca="1">IFERROR(__xludf.DUMMYFUNCTION("""COMPUTED_VALUE"""),25555)</f>
        <v>25555</v>
      </c>
      <c r="G1499" s="19">
        <f ca="1">IFERROR(__xludf.DUMMYFUNCTION("""COMPUTED_VALUE"""),33000)</f>
        <v>33000</v>
      </c>
      <c r="H1499" s="18">
        <f ca="1">IFERROR(__xludf.DUMMYFUNCTION("""COMPUTED_VALUE"""),45694)</f>
        <v>45694</v>
      </c>
      <c r="I1499" s="5" t="str">
        <f ca="1">IFERROR(__xludf.DUMMYFUNCTION("""COMPUTED_VALUE"""),"Zillow")</f>
        <v>Zillow</v>
      </c>
      <c r="J1499" s="25" t="str">
        <f ca="1">IFERROR(__xludf.DUMMYFUNCTION("""COMPUTED_VALUE"""),"https://www.zillow.com/homedetails/2450-Glencoe-Ave-Venice-CA-90291/111919381_zpid/?rtoken=9f90b7ad-9955-4483-a880-9ce99996658d~X1-ZUw262ebtplte1_4kciy&amp;utm_campaign=emo-instantsavedsearch-rental&amp;utm_source=email&amp;utm_term=urn:msg:20250206123602395ff60a8a18"&amp;"db3d&amp;utm_medium=email&amp;utm_content=forrentimage&amp;sse=X1-SStmcgo8ejuwwb1000000000_6sexf&amp;srp=H4sIAAAAAAAAAI2Ty27CMBBFvyZLILYTPxZVVaCLLks2VTfISRxC5Qf1g9C/b4QDBalI9mrGc+b6akZe9EYJt+iM3Vqh/eLZCW6b/j0I+1N57sVTRpYZhIoflibo1o1xhl7i5SCcj/kMADovMKEY0ZxhBhHL4GqsCX6P5B"&amp;"QXOUYFLlCJI+JM8H1kEJozUlJKEAIAoIuINvZKFPMcFBgzRjAFo06ZkXWkur30wp5N35rs7G125DJMZW/H6Nrsav6A67h0d6BJAnWThDXK6SSQhzTBcZUiCazF/TbVfjICY13xU8x1kPLapbokccl1mwQqrkMS6L47/69dAMv8geO/Rw6fxqiJL6bJB+eN2ojd3ui3i1kIMatbjAmj4APMVpuGWy8bLDAKWwD6AZ3dRkf8KNrq/F9etTVSqvEH3"&amp;"SiN/VXlVbMzVHyFYahBfjlb7MTpPEmy/gWSR5DygwMAAA==")</f>
        <v>https://www.zillow.com/homedetails/2450-Glencoe-Ave-Venice-CA-90291/111919381_zpid/?rtoken=9f90b7ad-9955-4483-a880-9ce99996658d~X1-ZUw262ebtplte1_4kciy&amp;utm_campaign=emo-instantsavedsearch-rental&amp;utm_source=email&amp;utm_term=urn:msg:20250206123602395ff60a8a18db3d&amp;utm_medium=email&amp;utm_content=forrentimage&amp;sse=X1-SStmcgo8ejuwwb1000000000_6sexf&amp;srp=H4sIAAAAAAAAAI2Ty27CMBBFvyZLILYTPxZVVaCLLks2VTfISRxC5Qf1g9C/b4QDBalI9mrGc+b6akZe9EYJt+iM3Vqh/eLZCW6b/j0I+1N57sVTRpYZhIoflibo1o1xhl7i5SCcj/kMADovMKEY0ZxhBhHL4GqsCX6P5BQXOUYFLlCJI+JM8H1kEJozUlJKEAIAoIuINvZKFPMcFBgzRjAFo06ZkXWkur30wp5N35rs7G125DJMZW/H6Nrsav6A67h0d6BJAnWThDXK6SSQhzTBcZUiCazF/TbVfjICY13xU8x1kPLapbokccl1mwQqrkMS6L47/69dAMv8geO/Rw6fxqiJL6bJB+eN2ojd3ui3i1kIMatbjAmj4APMVpuGWy8bLDAKWwD6AZ3dRkf8KNrq/F9etTVSqvEH3SiN/VXlVbMzVHyFYahBfjlb7MTpPEmy/gWSR5DygwMAAA==</v>
      </c>
      <c r="K1499" s="5" t="str">
        <f ca="1">IFERROR(__xludf.DUMMYFUNCTION("""COMPUTED_VALUE"""),"Markus Canter")</f>
        <v>Markus Canter</v>
      </c>
      <c r="L1499" s="5"/>
      <c r="M1499" s="5"/>
      <c r="N1499" s="5" t="str">
        <f ca="1">IFERROR(__xludf.DUMMYFUNCTION("""COMPUTED_VALUE"""),"https://drive.google.com/open?id=1ng01pB16c8tU2U0e-Oo3shp-nfhiHNr-, https://drive.google.com/open?id=1pS3KUX-3smPgaP0_6VcxGbUIVSVPGUWg, https://drive.google.com/open?id=1YCgGHIMoZkB20TtoxKbl15z1iNHIvTrq")</f>
        <v>https://drive.google.com/open?id=1ng01pB16c8tU2U0e-Oo3shp-nfhiHNr-, https://drive.google.com/open?id=1pS3KUX-3smPgaP0_6VcxGbUIVSVPGUWg, https://drive.google.com/open?id=1YCgGHIMoZkB20TtoxKbl15z1iNHIvTrq</v>
      </c>
      <c r="O1499" s="5">
        <f ca="1">IFERROR(__xludf.DUMMYFUNCTION("""COMPUTED_VALUE"""),4236009016)</f>
        <v>4236009016</v>
      </c>
      <c r="P1499" s="5" t="str">
        <f ca="1">IFERROR(__xludf.DUMMYFUNCTION("""COMPUTED_VALUE"""),"(310) 704-4248")</f>
        <v>(310) 704-4248</v>
      </c>
      <c r="Q1499" s="5"/>
      <c r="R1499" s="5"/>
      <c r="S1499" s="5"/>
      <c r="T1499" s="18">
        <f ca="1">IFERROR(__xludf.DUMMYFUNCTION("""COMPUTED_VALUE"""),45432)</f>
        <v>45432</v>
      </c>
    </row>
    <row r="1500" spans="1:20" ht="12.75">
      <c r="A1500" s="24">
        <f ca="1">IFERROR(__xludf.DUMMYFUNCTION("""COMPUTED_VALUE"""),45695.7942449189)</f>
        <v>45695.794244918899</v>
      </c>
      <c r="B1500" s="5" t="str">
        <f ca="1">IFERROR(__xludf.DUMMYFUNCTION("""COMPUTED_VALUE"""),"1912 Laurel canyon blvd")</f>
        <v>1912 Laurel canyon blvd</v>
      </c>
      <c r="C1500" s="5" t="str">
        <f ca="1">IFERROR(__xludf.DUMMYFUNCTION("""COMPUTED_VALUE"""),"Los ángeles")</f>
        <v>Los ángeles</v>
      </c>
      <c r="D1500" s="5" t="str">
        <f ca="1">IFERROR(__xludf.DUMMYFUNCTION("""COMPUTED_VALUE"""),"CA")</f>
        <v>CA</v>
      </c>
      <c r="E1500" s="5">
        <f ca="1">IFERROR(__xludf.DUMMYFUNCTION("""COMPUTED_VALUE"""),90046)</f>
        <v>90046</v>
      </c>
      <c r="F1500" s="19">
        <f ca="1">IFERROR(__xludf.DUMMYFUNCTION("""COMPUTED_VALUE"""),15000)</f>
        <v>15000</v>
      </c>
      <c r="G1500" s="19">
        <f ca="1">IFERROR(__xludf.DUMMYFUNCTION("""COMPUTED_VALUE"""),36000)</f>
        <v>36000</v>
      </c>
      <c r="H1500" s="18">
        <f ca="1">IFERROR(__xludf.DUMMYFUNCTION("""COMPUTED_VALUE"""),45329)</f>
        <v>45329</v>
      </c>
      <c r="I1500" s="5" t="str">
        <f ca="1">IFERROR(__xludf.DUMMYFUNCTION("""COMPUTED_VALUE"""),"Zillow")</f>
        <v>Zillow</v>
      </c>
      <c r="J1500" s="25" t="str">
        <f ca="1">IFERROR(__xludf.DUMMYFUNCTION("""COMPUTED_VALUE"""),"https://www.zillow.com/homedetails/1912-Laurel-Canyon-Blvd-Los-Angeles-CA-90046/446950428_zpid/?utm_campaign=iosappmessage&amp;utm_medium=referral&amp;utm_source=txtshare")</f>
        <v>https://www.zillow.com/homedetails/1912-Laurel-Canyon-Blvd-Los-Angeles-CA-90046/446950428_zpid/?utm_campaign=iosappmessage&amp;utm_medium=referral&amp;utm_source=txtshare</v>
      </c>
      <c r="K1500" s="5"/>
      <c r="L1500" s="5"/>
      <c r="M1500" s="5"/>
      <c r="N1500" s="5" t="str">
        <f ca="1">IFERROR(__xludf.DUMMYFUNCTION("""COMPUTED_VALUE"""),"https://drive.google.com/open?id=1vyjD6PG4Lejk_OvGjYwjs_zadHIzAvB2, https://drive.google.com/open?id=1hXksvoefZPDsBiwXbq6V_4IyYdO1f6fX")</f>
        <v>https://drive.google.com/open?id=1vyjD6PG4Lejk_OvGjYwjs_zadHIzAvB2, https://drive.google.com/open?id=1hXksvoefZPDsBiwXbq6V_4IyYdO1f6fX</v>
      </c>
      <c r="O1500" s="5" t="str">
        <f ca="1">IFERROR(__xludf.DUMMYFUNCTION("""COMPUTED_VALUE"""),"NA")</f>
        <v>NA</v>
      </c>
      <c r="P1500" s="5"/>
      <c r="Q1500" s="5"/>
      <c r="R1500" s="5"/>
      <c r="S1500" s="5"/>
      <c r="T1500" s="18">
        <f ca="1">IFERROR(__xludf.DUMMYFUNCTION("""COMPUTED_VALUE"""),45694)</f>
        <v>45694</v>
      </c>
    </row>
    <row r="1501" spans="1:20" ht="12.75">
      <c r="A1501" s="24">
        <f ca="1">IFERROR(__xludf.DUMMYFUNCTION("""COMPUTED_VALUE"""),45695.7963508564)</f>
        <v>45695.796350856399</v>
      </c>
      <c r="B1501" s="5" t="str">
        <f ca="1">IFERROR(__xludf.DUMMYFUNCTION("""COMPUTED_VALUE"""),"8545 Franklin Ave ")</f>
        <v xml:space="preserve">8545 Franklin Ave </v>
      </c>
      <c r="C1501" s="5" t="str">
        <f ca="1">IFERROR(__xludf.DUMMYFUNCTION("""COMPUTED_VALUE"""),"Los angeles")</f>
        <v>Los angeles</v>
      </c>
      <c r="D1501" s="5" t="str">
        <f ca="1">IFERROR(__xludf.DUMMYFUNCTION("""COMPUTED_VALUE"""),"CA")</f>
        <v>CA</v>
      </c>
      <c r="E1501" s="5">
        <f ca="1">IFERROR(__xludf.DUMMYFUNCTION("""COMPUTED_VALUE"""),90069)</f>
        <v>90069</v>
      </c>
      <c r="F1501" s="19">
        <f ca="1">IFERROR(__xludf.DUMMYFUNCTION("""COMPUTED_VALUE"""),18950)</f>
        <v>18950</v>
      </c>
      <c r="G1501" s="19">
        <f ca="1">IFERROR(__xludf.DUMMYFUNCTION("""COMPUTED_VALUE"""),20500)</f>
        <v>20500</v>
      </c>
      <c r="H1501" s="18">
        <f ca="1">IFERROR(__xludf.DUMMYFUNCTION("""COMPUTED_VALUE"""),45695)</f>
        <v>45695</v>
      </c>
      <c r="I1501" s="5" t="str">
        <f ca="1">IFERROR(__xludf.DUMMYFUNCTION("""COMPUTED_VALUE"""),"Zillow")</f>
        <v>Zillow</v>
      </c>
      <c r="J1501" s="25" t="str">
        <f ca="1">IFERROR(__xludf.DUMMYFUNCTION("""COMPUTED_VALUE"""),"https://www.zillow.com/homedetails/8545-Franklin-Ave-Los-Angeles-CA-90069/20798381_zpid/?utm_campaign=iosappmessage&amp;utm_medium=referral&amp;utm_source=txtshare")</f>
        <v>https://www.zillow.com/homedetails/8545-Franklin-Ave-Los-Angeles-CA-90069/20798381_zpid/?utm_campaign=iosappmessage&amp;utm_medium=referral&amp;utm_source=txtshare</v>
      </c>
      <c r="K1501" s="5"/>
      <c r="L1501" s="5"/>
      <c r="M1501" s="5"/>
      <c r="N1501" s="5" t="str">
        <f ca="1">IFERROR(__xludf.DUMMYFUNCTION("""COMPUTED_VALUE"""),"https://drive.google.com/open?id=18IgFV7htcU7SEDB_RMbMCnDu9jqFeRdJ, https://drive.google.com/open?id=1WjgrQ9syDwZ7KAbANGBuozHseC3kjcH6")</f>
        <v>https://drive.google.com/open?id=18IgFV7htcU7SEDB_RMbMCnDu9jqFeRdJ, https://drive.google.com/open?id=1WjgrQ9syDwZ7KAbANGBuozHseC3kjcH6</v>
      </c>
      <c r="O1501" s="5" t="str">
        <f ca="1">IFERROR(__xludf.DUMMYFUNCTION("""COMPUTED_VALUE"""),"Parcel number: 5558023011")</f>
        <v>Parcel number: 5558023011</v>
      </c>
      <c r="P1501" s="5"/>
      <c r="Q1501" s="5"/>
      <c r="R1501" s="5"/>
      <c r="S1501" s="5"/>
      <c r="T1501" s="18">
        <f ca="1">IFERROR(__xludf.DUMMYFUNCTION("""COMPUTED_VALUE"""),45644)</f>
        <v>45644</v>
      </c>
    </row>
    <row r="1502" spans="1:20" ht="12.75">
      <c r="A1502" s="24">
        <f ca="1">IFERROR(__xludf.DUMMYFUNCTION("""COMPUTED_VALUE"""),45695.8112292245)</f>
        <v>45695.811229224499</v>
      </c>
      <c r="B1502" s="5" t="str">
        <f ca="1">IFERROR(__xludf.DUMMYFUNCTION("""COMPUTED_VALUE"""),"16221 Elisa place")</f>
        <v>16221 Elisa place</v>
      </c>
      <c r="C1502" s="5" t="str">
        <f ca="1">IFERROR(__xludf.DUMMYFUNCTION("""COMPUTED_VALUE"""),"Encino")</f>
        <v>Encino</v>
      </c>
      <c r="D1502" s="5" t="str">
        <f ca="1">IFERROR(__xludf.DUMMYFUNCTION("""COMPUTED_VALUE"""),"CA")</f>
        <v>CA</v>
      </c>
      <c r="E1502" s="5">
        <f ca="1">IFERROR(__xludf.DUMMYFUNCTION("""COMPUTED_VALUE"""),91436)</f>
        <v>91436</v>
      </c>
      <c r="F1502" s="19">
        <f ca="1">IFERROR(__xludf.DUMMYFUNCTION("""COMPUTED_VALUE"""),23000)</f>
        <v>23000</v>
      </c>
      <c r="G1502" s="19">
        <f ca="1">IFERROR(__xludf.DUMMYFUNCTION("""COMPUTED_VALUE"""),30000)</f>
        <v>30000</v>
      </c>
      <c r="H1502" s="18">
        <f ca="1">IFERROR(__xludf.DUMMYFUNCTION("""COMPUTED_VALUE"""),45688)</f>
        <v>45688</v>
      </c>
      <c r="I1502" s="5" t="str">
        <f ca="1">IFERROR(__xludf.DUMMYFUNCTION("""COMPUTED_VALUE"""),"Zillow")</f>
        <v>Zillow</v>
      </c>
      <c r="J1502" s="25" t="str">
        <f ca="1">IFERROR(__xludf.DUMMYFUNCTION("""COMPUTED_VALUE"""),"https://www.zillow.com/homedetails/16221-Elisa-Pl-Encino-CA-91436/19991926_zpid/?utm_campaign=iosappmessage&amp;utm_medium=referral&amp;utm_source=txtshare")</f>
        <v>https://www.zillow.com/homedetails/16221-Elisa-Pl-Encino-CA-91436/19991926_zpid/?utm_campaign=iosappmessage&amp;utm_medium=referral&amp;utm_source=txtshare</v>
      </c>
      <c r="K1502" s="5"/>
      <c r="L1502" s="5"/>
      <c r="M1502" s="5"/>
      <c r="N1502" s="5" t="str">
        <f ca="1">IFERROR(__xludf.DUMMYFUNCTION("""COMPUTED_VALUE"""),"https://drive.google.com/open?id=19icNTgzeiwqnPifxWgYSgD1aewVVQgJC, https://drive.google.com/open?id=1aOVOvyLxFMuzReJvp2gfcx9S8X5wJPoS")</f>
        <v>https://drive.google.com/open?id=19icNTgzeiwqnPifxWgYSgD1aewVVQgJC, https://drive.google.com/open?id=1aOVOvyLxFMuzReJvp2gfcx9S8X5wJPoS</v>
      </c>
      <c r="O1502" s="5" t="str">
        <f ca="1">IFERROR(__xludf.DUMMYFUNCTION("""COMPUTED_VALUE"""),"Parcel number: 2284018010")</f>
        <v>Parcel number: 2284018010</v>
      </c>
      <c r="P1502" s="5"/>
      <c r="Q1502" s="5"/>
      <c r="R1502" s="5"/>
      <c r="S1502" s="5"/>
      <c r="T1502" s="18">
        <f ca="1">IFERROR(__xludf.DUMMYFUNCTION("""COMPUTED_VALUE"""),45629)</f>
        <v>45629</v>
      </c>
    </row>
    <row r="1503" spans="1:20" ht="12.75">
      <c r="A1503" s="24">
        <f ca="1">IFERROR(__xludf.DUMMYFUNCTION("""COMPUTED_VALUE"""),45695.8229276851)</f>
        <v>45695.822927685098</v>
      </c>
      <c r="B1503" s="5" t="str">
        <f ca="1">IFERROR(__xludf.DUMMYFUNCTION("""COMPUTED_VALUE"""),"1530 Camden Ave. #304")</f>
        <v>1530 Camden Ave. #304</v>
      </c>
      <c r="C1503" s="5" t="str">
        <f ca="1">IFERROR(__xludf.DUMMYFUNCTION("""COMPUTED_VALUE"""),"Los Angeles")</f>
        <v>Los Angeles</v>
      </c>
      <c r="D1503" s="5" t="str">
        <f ca="1">IFERROR(__xludf.DUMMYFUNCTION("""COMPUTED_VALUE"""),"CA")</f>
        <v>CA</v>
      </c>
      <c r="E1503" s="5">
        <f ca="1">IFERROR(__xludf.DUMMYFUNCTION("""COMPUTED_VALUE"""),90025)</f>
        <v>90025</v>
      </c>
      <c r="F1503" s="19">
        <f ca="1">IFERROR(__xludf.DUMMYFUNCTION("""COMPUTED_VALUE"""),5695)</f>
        <v>5695</v>
      </c>
      <c r="G1503" s="19">
        <f ca="1">IFERROR(__xludf.DUMMYFUNCTION("""COMPUTED_VALUE"""),9500)</f>
        <v>9500</v>
      </c>
      <c r="H1503" s="18">
        <f ca="1">IFERROR(__xludf.DUMMYFUNCTION("""COMPUTED_VALUE"""),45669)</f>
        <v>45669</v>
      </c>
      <c r="I1503" s="5" t="str">
        <f ca="1">IFERROR(__xludf.DUMMYFUNCTION("""COMPUTED_VALUE"""),"Zillow and MLS")</f>
        <v>Zillow and MLS</v>
      </c>
      <c r="J1503" s="25" t="str">
        <f ca="1">IFERROR(__xludf.DUMMYFUNCTION("""COMPUTED_VALUE"""),"https://www.zillow.com/homedetails/1530-Camden-Ave-APT-304-Los-Angeles-CA-90025/79796845_zpid/")</f>
        <v>https://www.zillow.com/homedetails/1530-Camden-Ave-APT-304-Los-Angeles-CA-90025/79796845_zpid/</v>
      </c>
      <c r="K1503" s="5" t="str">
        <f ca="1">IFERROR(__xludf.DUMMYFUNCTION("""COMPUTED_VALUE"""),"Sophia Firoozi")</f>
        <v>Sophia Firoozi</v>
      </c>
      <c r="L1503" s="5" t="str">
        <f ca="1">IFERROR(__xludf.DUMMYFUNCTION("""COMPUTED_VALUE"""),"Camden Corp Housing LLC")</f>
        <v>Camden Corp Housing LLC</v>
      </c>
      <c r="M1503" s="5" t="str">
        <f ca="1">IFERROR(__xludf.DUMMYFUNCTION("""COMPUTED_VALUE"""),"On MLS shows unit was leased for $9,500.00 ")</f>
        <v xml:space="preserve">On MLS shows unit was leased for $9,500.00 </v>
      </c>
      <c r="N1503" s="26" t="str">
        <f ca="1">IFERROR(__xludf.DUMMYFUNCTION("""COMPUTED_VALUE"""),"https://drive.google.com/open?id=1-tHemzLD5-EOWmT_ei2biwERhhYG0SNC")</f>
        <v>https://drive.google.com/open?id=1-tHemzLD5-EOWmT_ei2biwERhhYG0SNC</v>
      </c>
      <c r="O1503" s="5" t="str">
        <f ca="1">IFERROR(__xludf.DUMMYFUNCTION("""COMPUTED_VALUE"""),"4324-023-203")</f>
        <v>4324-023-203</v>
      </c>
      <c r="P1503" s="5" t="str">
        <f ca="1">IFERROR(__xludf.DUMMYFUNCTION("""COMPUTED_VALUE"""),"(310) 927-5765")</f>
        <v>(310) 927-5765</v>
      </c>
      <c r="Q1503" s="5"/>
      <c r="R1503" s="5"/>
      <c r="S1503" s="5"/>
      <c r="T1503" s="18">
        <f ca="1">IFERROR(__xludf.DUMMYFUNCTION("""COMPUTED_VALUE"""),45666)</f>
        <v>45666</v>
      </c>
    </row>
    <row r="1504" spans="1:20" ht="12.75">
      <c r="A1504" s="24">
        <f ca="1">IFERROR(__xludf.DUMMYFUNCTION("""COMPUTED_VALUE"""),45695.9358798379)</f>
        <v>45695.935879837903</v>
      </c>
      <c r="B1504" s="5" t="str">
        <f ca="1">IFERROR(__xludf.DUMMYFUNCTION("""COMPUTED_VALUE"""),"1973 Carmen Ave. ")</f>
        <v xml:space="preserve">1973 Carmen Ave. </v>
      </c>
      <c r="C1504" s="5" t="str">
        <f ca="1">IFERROR(__xludf.DUMMYFUNCTION("""COMPUTED_VALUE"""),"Los Angeles ")</f>
        <v xml:space="preserve">Los Angeles </v>
      </c>
      <c r="D1504" s="5" t="str">
        <f ca="1">IFERROR(__xludf.DUMMYFUNCTION("""COMPUTED_VALUE"""),"CA")</f>
        <v>CA</v>
      </c>
      <c r="E1504" s="5">
        <f ca="1">IFERROR(__xludf.DUMMYFUNCTION("""COMPUTED_VALUE"""),90026)</f>
        <v>90026</v>
      </c>
      <c r="F1504" s="19">
        <f ca="1">IFERROR(__xludf.DUMMYFUNCTION("""COMPUTED_VALUE"""),6000)</f>
        <v>6000</v>
      </c>
      <c r="G1504" s="19">
        <f ca="1">IFERROR(__xludf.DUMMYFUNCTION("""COMPUTED_VALUE"""),18995)</f>
        <v>18995</v>
      </c>
      <c r="H1504" s="18">
        <f ca="1">IFERROR(__xludf.DUMMYFUNCTION("""COMPUTED_VALUE"""),45689)</f>
        <v>45689</v>
      </c>
      <c r="I1504" s="5" t="str">
        <f ca="1">IFERROR(__xludf.DUMMYFUNCTION("""COMPUTED_VALUE"""),"Zillow")</f>
        <v>Zillow</v>
      </c>
      <c r="J1504" s="25" t="str">
        <f ca="1">IFERROR(__xludf.DUMMYFUNCTION("""COMPUTED_VALUE"""),"https://www.zillow.com/homedetails/1973-Carmen-Ave-Los-Angeles-CA-90068/336331480_zpid/")</f>
        <v>https://www.zillow.com/homedetails/1973-Carmen-Ave-Los-Angeles-CA-90068/336331480_zpid/</v>
      </c>
      <c r="K1504" s="5" t="str">
        <f ca="1">IFERROR(__xludf.DUMMYFUNCTION("""COMPUTED_VALUE"""),"Jake Taylor ")</f>
        <v xml:space="preserve">Jake Taylor </v>
      </c>
      <c r="L1504" s="5" t="str">
        <f ca="1">IFERROR(__xludf.DUMMYFUNCTION("""COMPUTED_VALUE"""),"Don’t know ")</f>
        <v xml:space="preserve">Don’t know </v>
      </c>
      <c r="M1504" s="5" t="str">
        <f ca="1">IFERROR(__xludf.DUMMYFUNCTION("""COMPUTED_VALUE"""),"I lived here a couple of years ago ")</f>
        <v xml:space="preserve">I lived here a couple of years ago </v>
      </c>
      <c r="N1504" s="26" t="str">
        <f ca="1">IFERROR(__xludf.DUMMYFUNCTION("""COMPUTED_VALUE"""),"https://drive.google.com/open?id=1kVTPjggWg7Tnb2RjK1hg1Nr8NkO9iiDq")</f>
        <v>https://drive.google.com/open?id=1kVTPjggWg7Tnb2RjK1hg1Nr8NkO9iiDq</v>
      </c>
      <c r="O1504" s="5">
        <f ca="1">IFERROR(__xludf.DUMMYFUNCTION("""COMPUTED_VALUE"""),5586007001)</f>
        <v>5586007001</v>
      </c>
      <c r="P1504" s="5" t="str">
        <f ca="1">IFERROR(__xludf.DUMMYFUNCTION("""COMPUTED_VALUE"""),"(310) 963-6660")</f>
        <v>(310) 963-6660</v>
      </c>
      <c r="Q1504" s="5" t="str">
        <f ca="1">IFERROR(__xludf.DUMMYFUNCTION("""COMPUTED_VALUE"""),"savannahdesignz@gmail.com")</f>
        <v>savannahdesignz@gmail.com</v>
      </c>
      <c r="R1504" s="5" t="str">
        <f ca="1">IFERROR(__xludf.DUMMYFUNCTION("""COMPUTED_VALUE"""),"Don’t know ")</f>
        <v xml:space="preserve">Don’t know </v>
      </c>
      <c r="S1504" s="5" t="str">
        <f ca="1">IFERROR(__xludf.DUMMYFUNCTION("""COMPUTED_VALUE"""),"savannahdesignz@gmail.com")</f>
        <v>savannahdesignz@gmail.com</v>
      </c>
      <c r="T1504" s="18">
        <f ca="1">IFERROR(__xludf.DUMMYFUNCTION("""COMPUTED_VALUE"""),44428)</f>
        <v>44428</v>
      </c>
    </row>
    <row r="1505" spans="1:20" ht="12.75">
      <c r="A1505" s="24">
        <f ca="1">IFERROR(__xludf.DUMMYFUNCTION("""COMPUTED_VALUE"""),45696.5484005787)</f>
        <v>45696.5484005787</v>
      </c>
      <c r="B1505" s="5" t="str">
        <f ca="1">IFERROR(__xludf.DUMMYFUNCTION("""COMPUTED_VALUE"""),"3987 Denker Ave #6")</f>
        <v>3987 Denker Ave #6</v>
      </c>
      <c r="C1505" s="5" t="str">
        <f ca="1">IFERROR(__xludf.DUMMYFUNCTION("""COMPUTED_VALUE"""),"Los Angeles")</f>
        <v>Los Angeles</v>
      </c>
      <c r="D1505" s="5" t="str">
        <f ca="1">IFERROR(__xludf.DUMMYFUNCTION("""COMPUTED_VALUE"""),"CA")</f>
        <v>CA</v>
      </c>
      <c r="E1505" s="5">
        <f ca="1">IFERROR(__xludf.DUMMYFUNCTION("""COMPUTED_VALUE"""),90062)</f>
        <v>90062</v>
      </c>
      <c r="F1505" s="19">
        <f ca="1">IFERROR(__xludf.DUMMYFUNCTION("""COMPUTED_VALUE"""),1900)</f>
        <v>1900</v>
      </c>
      <c r="G1505" s="19">
        <f ca="1">IFERROR(__xludf.DUMMYFUNCTION("""COMPUTED_VALUE"""),2200)</f>
        <v>2200</v>
      </c>
      <c r="H1505" s="18">
        <f ca="1">IFERROR(__xludf.DUMMYFUNCTION("""COMPUTED_VALUE"""),45696)</f>
        <v>45696</v>
      </c>
      <c r="I1505" s="5" t="str">
        <f ca="1">IFERROR(__xludf.DUMMYFUNCTION("""COMPUTED_VALUE"""),"Zillow")</f>
        <v>Zillow</v>
      </c>
      <c r="J1505" s="25" t="str">
        <f ca="1">IFERROR(__xludf.DUMMYFUNCTION("""COMPUTED_VALUE"""),"https://www.zillow.com/homedetails/3987-Denker-Ave-6-Los-Angeles-CA-90062/2070819084_zpid/")</f>
        <v>https://www.zillow.com/homedetails/3987-Denker-Ave-6-Los-Angeles-CA-90062/2070819084_zpid/</v>
      </c>
      <c r="K1505" s="5" t="str">
        <f ca="1">IFERROR(__xludf.DUMMYFUNCTION("""COMPUTED_VALUE"""),"Val Murphy - Ladera Realty")</f>
        <v>Val Murphy - Ladera Realty</v>
      </c>
      <c r="L1505" s="5"/>
      <c r="M1505" s="5"/>
      <c r="N1505" s="5" t="str">
        <f ca="1">IFERROR(__xludf.DUMMYFUNCTION("""COMPUTED_VALUE"""),"https://drive.google.com/open?id=13ft8rVshIxZXWF6sA9N5FrQ_t8H4uqdV, https://drive.google.com/open?id=1Ph1EDPw0jFpcqr39OLyFBc0QbXBBPM-M")</f>
        <v>https://drive.google.com/open?id=13ft8rVshIxZXWF6sA9N5FrQ_t8H4uqdV, https://drive.google.com/open?id=1Ph1EDPw0jFpcqr39OLyFBc0QbXBBPM-M</v>
      </c>
      <c r="O1505" s="5" t="str">
        <f ca="1">IFERROR(__xludf.DUMMYFUNCTION("""COMPUTED_VALUE"""),"NA")</f>
        <v>NA</v>
      </c>
      <c r="P1505" s="5" t="str">
        <f ca="1">IFERROR(__xludf.DUMMYFUNCTION("""COMPUTED_VALUE"""),"(310) 850-0345")</f>
        <v>(310) 850-0345</v>
      </c>
      <c r="Q1505" s="5"/>
      <c r="R1505" s="5"/>
      <c r="S1505" s="5"/>
      <c r="T1505" s="18">
        <f ca="1">IFERROR(__xludf.DUMMYFUNCTION("""COMPUTED_VALUE"""),45594)</f>
        <v>45594</v>
      </c>
    </row>
    <row r="1506" spans="1:20" ht="12.75">
      <c r="A1506" s="24">
        <f ca="1">IFERROR(__xludf.DUMMYFUNCTION("""COMPUTED_VALUE"""),45696.5718339004)</f>
        <v>45696.571833900402</v>
      </c>
      <c r="B1506" s="5" t="str">
        <f ca="1">IFERROR(__xludf.DUMMYFUNCTION("""COMPUTED_VALUE"""),"Undisclosed Address")</f>
        <v>Undisclosed Address</v>
      </c>
      <c r="C1506" s="5" t="str">
        <f ca="1">IFERROR(__xludf.DUMMYFUNCTION("""COMPUTED_VALUE"""),"Santa Monica")</f>
        <v>Santa Monica</v>
      </c>
      <c r="D1506" s="5" t="str">
        <f ca="1">IFERROR(__xludf.DUMMYFUNCTION("""COMPUTED_VALUE"""),"CA")</f>
        <v>CA</v>
      </c>
      <c r="E1506" s="5">
        <f ca="1">IFERROR(__xludf.DUMMYFUNCTION("""COMPUTED_VALUE"""),90402)</f>
        <v>90402</v>
      </c>
      <c r="F1506" s="19">
        <f ca="1">IFERROR(__xludf.DUMMYFUNCTION("""COMPUTED_VALUE"""),17000)</f>
        <v>17000</v>
      </c>
      <c r="G1506" s="19">
        <f ca="1">IFERROR(__xludf.DUMMYFUNCTION("""COMPUTED_VALUE"""),22000)</f>
        <v>22000</v>
      </c>
      <c r="H1506" s="18">
        <f ca="1">IFERROR(__xludf.DUMMYFUNCTION("""COMPUTED_VALUE"""),45696)</f>
        <v>45696</v>
      </c>
      <c r="I1506" s="5" t="str">
        <f ca="1">IFERROR(__xludf.DUMMYFUNCTION("""COMPUTED_VALUE"""),"Zillow")</f>
        <v>Zillow</v>
      </c>
      <c r="J1506" s="25" t="str">
        <f ca="1">IFERROR(__xludf.DUMMYFUNCTION("""COMPUTED_VALUE"""),"https://www.zillow.com/homedetails/Santa-Monica-CA-90402/20539296_zpid/")</f>
        <v>https://www.zillow.com/homedetails/Santa-Monica-CA-90402/20539296_zpid/</v>
      </c>
      <c r="K1506" s="5" t="str">
        <f ca="1">IFERROR(__xludf.DUMMYFUNCTION("""COMPUTED_VALUE"""),"Kerry Gehringer")</f>
        <v>Kerry Gehringer</v>
      </c>
      <c r="L1506" s="5"/>
      <c r="M1506" s="5"/>
      <c r="N1506" s="5" t="str">
        <f ca="1">IFERROR(__xludf.DUMMYFUNCTION("""COMPUTED_VALUE"""),"https://drive.google.com/open?id=1XprZDlDRllbrJIGB311GnrdGSu3BPtaA, https://drive.google.com/open?id=1DruMdOOwgbtHHC3E-h6xDH296ZMCyj5e")</f>
        <v>https://drive.google.com/open?id=1XprZDlDRllbrJIGB311GnrdGSu3BPtaA, https://drive.google.com/open?id=1DruMdOOwgbtHHC3E-h6xDH296ZMCyj5e</v>
      </c>
      <c r="O1506" s="5" t="str">
        <f ca="1">IFERROR(__xludf.DUMMYFUNCTION("""COMPUTED_VALUE"""),"NA")</f>
        <v>NA</v>
      </c>
      <c r="P1506" s="5" t="str">
        <f ca="1">IFERROR(__xludf.DUMMYFUNCTION("""COMPUTED_VALUE"""),"(516) 298-4967")</f>
        <v>(516) 298-4967</v>
      </c>
      <c r="Q1506" s="5"/>
      <c r="R1506" s="5"/>
      <c r="S1506" s="5"/>
      <c r="T1506" s="18">
        <f ca="1">IFERROR(__xludf.DUMMYFUNCTION("""COMPUTED_VALUE"""),45601)</f>
        <v>45601</v>
      </c>
    </row>
    <row r="1507" spans="1:20" ht="12.75">
      <c r="A1507" s="24">
        <f ca="1">IFERROR(__xludf.DUMMYFUNCTION("""COMPUTED_VALUE"""),45696.5788394328)</f>
        <v>45696.578839432797</v>
      </c>
      <c r="B1507" s="5" t="str">
        <f ca="1">IFERROR(__xludf.DUMMYFUNCTION("""COMPUTED_VALUE"""),"4819 W 137th St #B")</f>
        <v>4819 W 137th St #B</v>
      </c>
      <c r="C1507" s="5" t="str">
        <f ca="1">IFERROR(__xludf.DUMMYFUNCTION("""COMPUTED_VALUE"""),"Hawthorne")</f>
        <v>Hawthorne</v>
      </c>
      <c r="D1507" s="5" t="str">
        <f ca="1">IFERROR(__xludf.DUMMYFUNCTION("""COMPUTED_VALUE"""),"CA")</f>
        <v>CA</v>
      </c>
      <c r="E1507" s="5">
        <f ca="1">IFERROR(__xludf.DUMMYFUNCTION("""COMPUTED_VALUE"""),90250)</f>
        <v>90250</v>
      </c>
      <c r="F1507" s="19">
        <f ca="1">IFERROR(__xludf.DUMMYFUNCTION("""COMPUTED_VALUE"""),2494)</f>
        <v>2494</v>
      </c>
      <c r="G1507" s="19">
        <f ca="1">IFERROR(__xludf.DUMMYFUNCTION("""COMPUTED_VALUE"""),3000)</f>
        <v>3000</v>
      </c>
      <c r="H1507" s="18">
        <f ca="1">IFERROR(__xludf.DUMMYFUNCTION("""COMPUTED_VALUE"""),45696)</f>
        <v>45696</v>
      </c>
      <c r="I1507" s="5" t="str">
        <f ca="1">IFERROR(__xludf.DUMMYFUNCTION("""COMPUTED_VALUE"""),"Zillow")</f>
        <v>Zillow</v>
      </c>
      <c r="J1507" s="25" t="str">
        <f ca="1">IFERROR(__xludf.DUMMYFUNCTION("""COMPUTED_VALUE"""),"https://www.zillow.com/homedetails/4819-W-137th-St-B-Hawthorne-CA-90250/344063916_zpid/")</f>
        <v>https://www.zillow.com/homedetails/4819-W-137th-St-B-Hawthorne-CA-90250/344063916_zpid/</v>
      </c>
      <c r="K1507" s="5" t="str">
        <f ca="1">IFERROR(__xludf.DUMMYFUNCTION("""COMPUTED_VALUE"""),"Tatiana DaSilva - eXP Realty")</f>
        <v>Tatiana DaSilva - eXP Realty</v>
      </c>
      <c r="L1507" s="5"/>
      <c r="M1507" s="5"/>
      <c r="N1507" s="5" t="str">
        <f ca="1">IFERROR(__xludf.DUMMYFUNCTION("""COMPUTED_VALUE"""),"https://drive.google.com/open?id=1Z_cUvmfsrswR-PQ7xZf5Sd8ig57dpSZz, https://drive.google.com/open?id=1SuE0_aUer3z2KcLWxl8jDEKxNGbznW7I")</f>
        <v>https://drive.google.com/open?id=1Z_cUvmfsrswR-PQ7xZf5Sd8ig57dpSZz, https://drive.google.com/open?id=1SuE0_aUer3z2KcLWxl8jDEKxNGbznW7I</v>
      </c>
      <c r="O1507" s="5" t="str">
        <f ca="1">IFERROR(__xludf.DUMMYFUNCTION("""COMPUTED_VALUE"""),"NA")</f>
        <v>NA</v>
      </c>
      <c r="P1507" s="5" t="str">
        <f ca="1">IFERROR(__xludf.DUMMYFUNCTION("""COMPUTED_VALUE"""),"(626) 417-4765")</f>
        <v>(626) 417-4765</v>
      </c>
      <c r="Q1507" s="5"/>
      <c r="R1507" s="5"/>
      <c r="S1507" s="5"/>
      <c r="T1507" s="18">
        <f ca="1">IFERROR(__xludf.DUMMYFUNCTION("""COMPUTED_VALUE"""),45471)</f>
        <v>45471</v>
      </c>
    </row>
    <row r="1508" spans="1:20" ht="12.75">
      <c r="A1508" s="24">
        <f ca="1">IFERROR(__xludf.DUMMYFUNCTION("""COMPUTED_VALUE"""),45696.5832737962)</f>
        <v>45696.583273796197</v>
      </c>
      <c r="B1508" s="5" t="str">
        <f ca="1">IFERROR(__xludf.DUMMYFUNCTION("""COMPUTED_VALUE"""),"13106 S Vermont Ave, Apt 6")</f>
        <v>13106 S Vermont Ave, Apt 6</v>
      </c>
      <c r="C1508" s="5" t="str">
        <f ca="1">IFERROR(__xludf.DUMMYFUNCTION("""COMPUTED_VALUE"""),"Gardena")</f>
        <v>Gardena</v>
      </c>
      <c r="D1508" s="5" t="str">
        <f ca="1">IFERROR(__xludf.DUMMYFUNCTION("""COMPUTED_VALUE"""),"CA")</f>
        <v>CA</v>
      </c>
      <c r="E1508" s="5">
        <f ca="1">IFERROR(__xludf.DUMMYFUNCTION("""COMPUTED_VALUE"""),90247)</f>
        <v>90247</v>
      </c>
      <c r="F1508" s="19">
        <f ca="1">IFERROR(__xludf.DUMMYFUNCTION("""COMPUTED_VALUE"""),2653)</f>
        <v>2653</v>
      </c>
      <c r="G1508" s="19">
        <f ca="1">IFERROR(__xludf.DUMMYFUNCTION("""COMPUTED_VALUE"""),3499)</f>
        <v>3499</v>
      </c>
      <c r="H1508" s="18">
        <f ca="1">IFERROR(__xludf.DUMMYFUNCTION("""COMPUTED_VALUE"""),45696)</f>
        <v>45696</v>
      </c>
      <c r="I1508" s="5" t="str">
        <f ca="1">IFERROR(__xludf.DUMMYFUNCTION("""COMPUTED_VALUE"""),"Zillow")</f>
        <v>Zillow</v>
      </c>
      <c r="J1508" s="25" t="str">
        <f ca="1">IFERROR(__xludf.DUMMYFUNCTION("""COMPUTED_VALUE"""),"https://www.zillow.com/homedetails/13106-S-Vermont-Ave-APT-06-Gardena-CA-90247/2087578781_zpid/")</f>
        <v>https://www.zillow.com/homedetails/13106-S-Vermont-Ave-APT-06-Gardena-CA-90247/2087578781_zpid/</v>
      </c>
      <c r="K1508" s="5" t="str">
        <f ca="1">IFERROR(__xludf.DUMMYFUNCTION("""COMPUTED_VALUE"""),"Affordable Housing")</f>
        <v>Affordable Housing</v>
      </c>
      <c r="L1508" s="5"/>
      <c r="M1508" s="5"/>
      <c r="N1508" s="5" t="str">
        <f ca="1">IFERROR(__xludf.DUMMYFUNCTION("""COMPUTED_VALUE"""),"https://drive.google.com/open?id=19zIF8o9aCU83LS6DTHKUJl9U9KjxZdb2, https://drive.google.com/open?id=1rF1IaSCM3qvAKVIBIY-QXPE00Hd1a8-V")</f>
        <v>https://drive.google.com/open?id=19zIF8o9aCU83LS6DTHKUJl9U9KjxZdb2, https://drive.google.com/open?id=1rF1IaSCM3qvAKVIBIY-QXPE00Hd1a8-V</v>
      </c>
      <c r="O1508" s="5" t="str">
        <f ca="1">IFERROR(__xludf.DUMMYFUNCTION("""COMPUTED_VALUE"""),"NA")</f>
        <v>NA</v>
      </c>
      <c r="P1508" s="5" t="str">
        <f ca="1">IFERROR(__xludf.DUMMYFUNCTION("""COMPUTED_VALUE"""),"(323) 784-4245")</f>
        <v>(323) 784-4245</v>
      </c>
      <c r="Q1508" s="5"/>
      <c r="R1508" s="5"/>
      <c r="S1508" s="5"/>
      <c r="T1508" s="18">
        <f ca="1">IFERROR(__xludf.DUMMYFUNCTION("""COMPUTED_VALUE"""),45646)</f>
        <v>45646</v>
      </c>
    </row>
    <row r="1509" spans="1:20" ht="12.75">
      <c r="A1509" s="24">
        <f ca="1">IFERROR(__xludf.DUMMYFUNCTION("""COMPUTED_VALUE"""),45696.5893673379)</f>
        <v>45696.589367337903</v>
      </c>
      <c r="B1509" s="5" t="str">
        <f ca="1">IFERROR(__xludf.DUMMYFUNCTION("""COMPUTED_VALUE"""),"1240 N Doheny Dr")</f>
        <v>1240 N Doheny Dr</v>
      </c>
      <c r="C1509" s="5" t="str">
        <f ca="1">IFERROR(__xludf.DUMMYFUNCTION("""COMPUTED_VALUE"""),"Los Angeles")</f>
        <v>Los Angeles</v>
      </c>
      <c r="D1509" s="5" t="str">
        <f ca="1">IFERROR(__xludf.DUMMYFUNCTION("""COMPUTED_VALUE"""),"CA")</f>
        <v>CA</v>
      </c>
      <c r="E1509" s="5">
        <f ca="1">IFERROR(__xludf.DUMMYFUNCTION("""COMPUTED_VALUE"""),90069)</f>
        <v>90069</v>
      </c>
      <c r="F1509" s="19">
        <f ca="1">IFERROR(__xludf.DUMMYFUNCTION("""COMPUTED_VALUE"""),11999)</f>
        <v>11999</v>
      </c>
      <c r="G1509" s="19">
        <f ca="1">IFERROR(__xludf.DUMMYFUNCTION("""COMPUTED_VALUE"""),14995)</f>
        <v>14995</v>
      </c>
      <c r="H1509" s="18">
        <f ca="1">IFERROR(__xludf.DUMMYFUNCTION("""COMPUTED_VALUE"""),45696)</f>
        <v>45696</v>
      </c>
      <c r="I1509" s="5" t="str">
        <f ca="1">IFERROR(__xludf.DUMMYFUNCTION("""COMPUTED_VALUE"""),"Zillow")</f>
        <v>Zillow</v>
      </c>
      <c r="J1509" s="25" t="str">
        <f ca="1">IFERROR(__xludf.DUMMYFUNCTION("""COMPUTED_VALUE"""),"https://www.zillow.com/homedetails/1240-N-Doheny-Dr-Los-Angeles-CA-90069/20799490_zpid/")</f>
        <v>https://www.zillow.com/homedetails/1240-N-Doheny-Dr-Los-Angeles-CA-90069/20799490_zpid/</v>
      </c>
      <c r="K1509" s="5" t="str">
        <f ca="1">IFERROR(__xludf.DUMMYFUNCTION("""COMPUTED_VALUE"""),"Steven Medina - Hilton &amp; Hyland")</f>
        <v>Steven Medina - Hilton &amp; Hyland</v>
      </c>
      <c r="L1509" s="5"/>
      <c r="M1509" s="5"/>
      <c r="N1509" s="5" t="str">
        <f ca="1">IFERROR(__xludf.DUMMYFUNCTION("""COMPUTED_VALUE"""),"https://drive.google.com/open?id=1sfyFpCVPyOhr1lhakaN0zVy79hyHWEzi, https://drive.google.com/open?id=12d2YlAd9Rlatplb96pM8oPi5PW6RgG37")</f>
        <v>https://drive.google.com/open?id=1sfyFpCVPyOhr1lhakaN0zVy79hyHWEzi, https://drive.google.com/open?id=12d2YlAd9Rlatplb96pM8oPi5PW6RgG37</v>
      </c>
      <c r="O1509" s="5">
        <f ca="1">IFERROR(__xludf.DUMMYFUNCTION("""COMPUTED_VALUE"""),5560032004)</f>
        <v>5560032004</v>
      </c>
      <c r="P1509" s="5" t="str">
        <f ca="1">IFERROR(__xludf.DUMMYFUNCTION("""COMPUTED_VALUE"""),"(310) 278-3311")</f>
        <v>(310) 278-3311</v>
      </c>
      <c r="Q1509" s="5"/>
      <c r="R1509" s="5"/>
      <c r="S1509" s="5"/>
      <c r="T1509" s="18">
        <f ca="1">IFERROR(__xludf.DUMMYFUNCTION("""COMPUTED_VALUE"""),45310)</f>
        <v>45310</v>
      </c>
    </row>
    <row r="1510" spans="1:20" ht="12.75">
      <c r="A1510" s="24">
        <f ca="1">IFERROR(__xludf.DUMMYFUNCTION("""COMPUTED_VALUE"""),45696.591815162)</f>
        <v>45696.591815161999</v>
      </c>
      <c r="B1510" s="5" t="str">
        <f ca="1">IFERROR(__xludf.DUMMYFUNCTION("""COMPUTED_VALUE"""),"3946 S Hill St #1")</f>
        <v>3946 S Hill St #1</v>
      </c>
      <c r="C1510" s="5" t="str">
        <f ca="1">IFERROR(__xludf.DUMMYFUNCTION("""COMPUTED_VALUE"""),"Los Angeles")</f>
        <v>Los Angeles</v>
      </c>
      <c r="D1510" s="5" t="str">
        <f ca="1">IFERROR(__xludf.DUMMYFUNCTION("""COMPUTED_VALUE"""),"CA")</f>
        <v>CA</v>
      </c>
      <c r="E1510" s="5">
        <f ca="1">IFERROR(__xludf.DUMMYFUNCTION("""COMPUTED_VALUE"""),90037)</f>
        <v>90037</v>
      </c>
      <c r="F1510" s="19">
        <f ca="1">IFERROR(__xludf.DUMMYFUNCTION("""COMPUTED_VALUE"""),2400)</f>
        <v>2400</v>
      </c>
      <c r="G1510" s="19">
        <f ca="1">IFERROR(__xludf.DUMMYFUNCTION("""COMPUTED_VALUE"""),2800)</f>
        <v>2800</v>
      </c>
      <c r="H1510" s="18">
        <f ca="1">IFERROR(__xludf.DUMMYFUNCTION("""COMPUTED_VALUE"""),45696)</f>
        <v>45696</v>
      </c>
      <c r="I1510" s="5" t="str">
        <f ca="1">IFERROR(__xludf.DUMMYFUNCTION("""COMPUTED_VALUE"""),"Zillow")</f>
        <v>Zillow</v>
      </c>
      <c r="J1510" s="25" t="str">
        <f ca="1">IFERROR(__xludf.DUMMYFUNCTION("""COMPUTED_VALUE"""),"https://www.zillow.com/homedetails/3946-S-Hill-St-1-Los-Angeles-CA-90037/2053041649_zpid/")</f>
        <v>https://www.zillow.com/homedetails/3946-S-Hill-St-1-Los-Angeles-CA-90037/2053041649_zpid/</v>
      </c>
      <c r="K1510" s="5" t="str">
        <f ca="1">IFERROR(__xludf.DUMMYFUNCTION("""COMPUTED_VALUE"""),"Sam")</f>
        <v>Sam</v>
      </c>
      <c r="L1510" s="5"/>
      <c r="M1510" s="5"/>
      <c r="N1510" s="5" t="str">
        <f ca="1">IFERROR(__xludf.DUMMYFUNCTION("""COMPUTED_VALUE"""),"https://drive.google.com/open?id=1nA_UMFqS-Cb87gR374CA-SIIxqHElz_I, https://drive.google.com/open?id=1GWVsQkBacpoZvFkF2sMxQ55dbQNFRHR1")</f>
        <v>https://drive.google.com/open?id=1nA_UMFqS-Cb87gR374CA-SIIxqHElz_I, https://drive.google.com/open?id=1GWVsQkBacpoZvFkF2sMxQ55dbQNFRHR1</v>
      </c>
      <c r="O1510" s="5" t="str">
        <f ca="1">IFERROR(__xludf.DUMMYFUNCTION("""COMPUTED_VALUE"""),"NA")</f>
        <v>NA</v>
      </c>
      <c r="P1510" s="5" t="str">
        <f ca="1">IFERROR(__xludf.DUMMYFUNCTION("""COMPUTED_VALUE"""),"(310) 849-5066")</f>
        <v>(310) 849-5066</v>
      </c>
      <c r="Q1510" s="5"/>
      <c r="R1510" s="5"/>
      <c r="S1510" s="5"/>
      <c r="T1510" s="18">
        <f ca="1">IFERROR(__xludf.DUMMYFUNCTION("""COMPUTED_VALUE"""),45633)</f>
        <v>45633</v>
      </c>
    </row>
    <row r="1511" spans="1:20" ht="12.75">
      <c r="A1511" s="24">
        <f ca="1">IFERROR(__xludf.DUMMYFUNCTION("""COMPUTED_VALUE"""),45696.5950777083)</f>
        <v>45696.595077708298</v>
      </c>
      <c r="B1511" s="5" t="str">
        <f ca="1">IFERROR(__xludf.DUMMYFUNCTION("""COMPUTED_VALUE"""),"6149 S Harvard Blvd")</f>
        <v>6149 S Harvard Blvd</v>
      </c>
      <c r="C1511" s="5" t="str">
        <f ca="1">IFERROR(__xludf.DUMMYFUNCTION("""COMPUTED_VALUE"""),"Los Angeles")</f>
        <v>Los Angeles</v>
      </c>
      <c r="D1511" s="5" t="str">
        <f ca="1">IFERROR(__xludf.DUMMYFUNCTION("""COMPUTED_VALUE"""),"CA")</f>
        <v>CA</v>
      </c>
      <c r="E1511" s="5">
        <f ca="1">IFERROR(__xludf.DUMMYFUNCTION("""COMPUTED_VALUE"""),90047)</f>
        <v>90047</v>
      </c>
      <c r="F1511" s="19">
        <f ca="1">IFERROR(__xludf.DUMMYFUNCTION("""COMPUTED_VALUE"""),3052)</f>
        <v>3052</v>
      </c>
      <c r="G1511" s="19">
        <f ca="1">IFERROR(__xludf.DUMMYFUNCTION("""COMPUTED_VALUE"""),3589)</f>
        <v>3589</v>
      </c>
      <c r="H1511" s="18">
        <f ca="1">IFERROR(__xludf.DUMMYFUNCTION("""COMPUTED_VALUE"""),45696)</f>
        <v>45696</v>
      </c>
      <c r="I1511" s="5" t="str">
        <f ca="1">IFERROR(__xludf.DUMMYFUNCTION("""COMPUTED_VALUE"""),"Zillow")</f>
        <v>Zillow</v>
      </c>
      <c r="J1511" s="25" t="str">
        <f ca="1">IFERROR(__xludf.DUMMYFUNCTION("""COMPUTED_VALUE"""),"https://www.zillow.com/homedetails/6149-S-Harvard-Blvd-Los-Angeles-CA-90047/20927563_zpid/")</f>
        <v>https://www.zillow.com/homedetails/6149-S-Harvard-Blvd-Los-Angeles-CA-90047/20927563_zpid/</v>
      </c>
      <c r="K1511" s="5" t="str">
        <f ca="1">IFERROR(__xludf.DUMMYFUNCTION("""COMPUTED_VALUE"""),"Affordable Housing")</f>
        <v>Affordable Housing</v>
      </c>
      <c r="L1511" s="5"/>
      <c r="M1511" s="5"/>
      <c r="N1511" s="5" t="str">
        <f ca="1">IFERROR(__xludf.DUMMYFUNCTION("""COMPUTED_VALUE"""),"https://drive.google.com/open?id=1U2O3i9BEmMzaR4xU94m2m_bx9MGUkh77, https://drive.google.com/open?id=12XBe1KvJT4cFftw_8KLmYq4pp5U7lLwJ")</f>
        <v>https://drive.google.com/open?id=1U2O3i9BEmMzaR4xU94m2m_bx9MGUkh77, https://drive.google.com/open?id=12XBe1KvJT4cFftw_8KLmYq4pp5U7lLwJ</v>
      </c>
      <c r="O1511" s="5">
        <f ca="1">IFERROR(__xludf.DUMMYFUNCTION("""COMPUTED_VALUE"""),6002022016)</f>
        <v>6002022016</v>
      </c>
      <c r="P1511" s="5" t="str">
        <f ca="1">IFERROR(__xludf.DUMMYFUNCTION("""COMPUTED_VALUE"""),"(310) 426-8544")</f>
        <v>(310) 426-8544</v>
      </c>
      <c r="Q1511" s="5"/>
      <c r="R1511" s="5"/>
      <c r="S1511" s="5"/>
      <c r="T1511" s="18">
        <f ca="1">IFERROR(__xludf.DUMMYFUNCTION("""COMPUTED_VALUE"""),45629)</f>
        <v>45629</v>
      </c>
    </row>
    <row r="1512" spans="1:20" ht="12.75">
      <c r="A1512" s="24">
        <f ca="1">IFERROR(__xludf.DUMMYFUNCTION("""COMPUTED_VALUE"""),45696.5999466203)</f>
        <v>45696.599946620299</v>
      </c>
      <c r="B1512" s="5" t="str">
        <f ca="1">IFERROR(__xludf.DUMMYFUNCTION("""COMPUTED_VALUE"""),"1618 E Vernon Ave")</f>
        <v>1618 E Vernon Ave</v>
      </c>
      <c r="C1512" s="5" t="str">
        <f ca="1">IFERROR(__xludf.DUMMYFUNCTION("""COMPUTED_VALUE"""),"Los Angeles")</f>
        <v>Los Angeles</v>
      </c>
      <c r="D1512" s="5" t="str">
        <f ca="1">IFERROR(__xludf.DUMMYFUNCTION("""COMPUTED_VALUE"""),"CA")</f>
        <v>CA</v>
      </c>
      <c r="E1512" s="5">
        <f ca="1">IFERROR(__xludf.DUMMYFUNCTION("""COMPUTED_VALUE"""),90011)</f>
        <v>90011</v>
      </c>
      <c r="F1512" s="19">
        <f ca="1">IFERROR(__xludf.DUMMYFUNCTION("""COMPUTED_VALUE"""),1995)</f>
        <v>1995</v>
      </c>
      <c r="G1512" s="19">
        <f ca="1">IFERROR(__xludf.DUMMYFUNCTION("""COMPUTED_VALUE"""),2350)</f>
        <v>2350</v>
      </c>
      <c r="H1512" s="18">
        <f ca="1">IFERROR(__xludf.DUMMYFUNCTION("""COMPUTED_VALUE"""),45696)</f>
        <v>45696</v>
      </c>
      <c r="I1512" s="5" t="str">
        <f ca="1">IFERROR(__xludf.DUMMYFUNCTION("""COMPUTED_VALUE"""),"Zillow")</f>
        <v>Zillow</v>
      </c>
      <c r="J1512" s="25" t="str">
        <f ca="1">IFERROR(__xludf.DUMMYFUNCTION("""COMPUTED_VALUE"""),"https://www.zillow.com/homedetails/1618-E-Vernon-Ave-Los-Angeles-CA-90011/250334355_zpid/")</f>
        <v>https://www.zillow.com/homedetails/1618-E-Vernon-Ave-Los-Angeles-CA-90011/250334355_zpid/</v>
      </c>
      <c r="K1512" s="5" t="str">
        <f ca="1">IFERROR(__xludf.DUMMYFUNCTION("""COMPUTED_VALUE"""),"Affordable Housing")</f>
        <v>Affordable Housing</v>
      </c>
      <c r="L1512" s="5"/>
      <c r="M1512" s="5"/>
      <c r="N1512" s="5" t="str">
        <f ca="1">IFERROR(__xludf.DUMMYFUNCTION("""COMPUTED_VALUE"""),"https://drive.google.com/open?id=1R5IhYhhr4y45QYqqXIK0Vs5vEJS-DVeT, https://drive.google.com/open?id=1BxlnGuS29ESUM3esXcEFyGhOUr5_hkWD")</f>
        <v>https://drive.google.com/open?id=1R5IhYhhr4y45QYqqXIK0Vs5vEJS-DVeT, https://drive.google.com/open?id=1BxlnGuS29ESUM3esXcEFyGhOUr5_hkWD</v>
      </c>
      <c r="O1512" s="5">
        <f ca="1">IFERROR(__xludf.DUMMYFUNCTION("""COMPUTED_VALUE"""),5106003002)</f>
        <v>5106003002</v>
      </c>
      <c r="P1512" s="5" t="str">
        <f ca="1">IFERROR(__xludf.DUMMYFUNCTION("""COMPUTED_VALUE"""),"(310) 741-8691")</f>
        <v>(310) 741-8691</v>
      </c>
      <c r="Q1512" s="5"/>
      <c r="R1512" s="5"/>
      <c r="S1512" s="5"/>
      <c r="T1512" s="18">
        <f ca="1">IFERROR(__xludf.DUMMYFUNCTION("""COMPUTED_VALUE"""),45640)</f>
        <v>45640</v>
      </c>
    </row>
    <row r="1513" spans="1:20" ht="12.75">
      <c r="A1513" s="24">
        <f ca="1">IFERROR(__xludf.DUMMYFUNCTION("""COMPUTED_VALUE"""),45696.6113119444)</f>
        <v>45696.611311944398</v>
      </c>
      <c r="B1513" s="5" t="str">
        <f ca="1">IFERROR(__xludf.DUMMYFUNCTION("""COMPUTED_VALUE"""),"1731 W 57th St #1")</f>
        <v>1731 W 57th St #1</v>
      </c>
      <c r="C1513" s="5" t="str">
        <f ca="1">IFERROR(__xludf.DUMMYFUNCTION("""COMPUTED_VALUE"""),"Los Angeles")</f>
        <v>Los Angeles</v>
      </c>
      <c r="D1513" s="5" t="str">
        <f ca="1">IFERROR(__xludf.DUMMYFUNCTION("""COMPUTED_VALUE"""),"CA")</f>
        <v>CA</v>
      </c>
      <c r="E1513" s="5">
        <f ca="1">IFERROR(__xludf.DUMMYFUNCTION("""COMPUTED_VALUE"""),90062)</f>
        <v>90062</v>
      </c>
      <c r="F1513" s="19">
        <f ca="1">IFERROR(__xludf.DUMMYFUNCTION("""COMPUTED_VALUE"""),2500)</f>
        <v>2500</v>
      </c>
      <c r="G1513" s="19">
        <f ca="1">IFERROR(__xludf.DUMMYFUNCTION("""COMPUTED_VALUE"""),2850)</f>
        <v>2850</v>
      </c>
      <c r="H1513" s="18">
        <f ca="1">IFERROR(__xludf.DUMMYFUNCTION("""COMPUTED_VALUE"""),45696)</f>
        <v>45696</v>
      </c>
      <c r="I1513" s="5" t="str">
        <f ca="1">IFERROR(__xludf.DUMMYFUNCTION("""COMPUTED_VALUE"""),"Zillow")</f>
        <v>Zillow</v>
      </c>
      <c r="J1513" s="25" t="str">
        <f ca="1">IFERROR(__xludf.DUMMYFUNCTION("""COMPUTED_VALUE"""),"https://www.zillow.com/homedetails/1731-W-57th-St-1-Los-Angeles-CA-90062/2057454756_zpid/")</f>
        <v>https://www.zillow.com/homedetails/1731-W-57th-St-1-Los-Angeles-CA-90062/2057454756_zpid/</v>
      </c>
      <c r="K1513" s="5" t="str">
        <f ca="1">IFERROR(__xludf.DUMMYFUNCTION("""COMPUTED_VALUE"""),"Sam")</f>
        <v>Sam</v>
      </c>
      <c r="L1513" s="5"/>
      <c r="M1513" s="5"/>
      <c r="N1513" s="26" t="str">
        <f ca="1">IFERROR(__xludf.DUMMYFUNCTION("""COMPUTED_VALUE"""),"https://drive.google.com/open?id=1J3WqloYEUBSwSfIw5L0f9iHHGc8dccb8")</f>
        <v>https://drive.google.com/open?id=1J3WqloYEUBSwSfIw5L0f9iHHGc8dccb8</v>
      </c>
      <c r="O1513" s="5" t="str">
        <f ca="1">IFERROR(__xludf.DUMMYFUNCTION("""COMPUTED_VALUE"""),"NA")</f>
        <v>NA</v>
      </c>
      <c r="P1513" s="5" t="str">
        <f ca="1">IFERROR(__xludf.DUMMYFUNCTION("""COMPUTED_VALUE"""),"(310) 849-5066")</f>
        <v>(310) 849-5066</v>
      </c>
      <c r="Q1513" s="5"/>
      <c r="R1513" s="5"/>
      <c r="S1513" s="5"/>
      <c r="T1513" s="18">
        <f ca="1">IFERROR(__xludf.DUMMYFUNCTION("""COMPUTED_VALUE"""),45633)</f>
        <v>45633</v>
      </c>
    </row>
    <row r="1514" spans="1:20" ht="12.75">
      <c r="A1514" s="24">
        <f ca="1">IFERROR(__xludf.DUMMYFUNCTION("""COMPUTED_VALUE"""),45696.6190260069)</f>
        <v>45696.619026006898</v>
      </c>
      <c r="B1514" s="5" t="str">
        <f ca="1">IFERROR(__xludf.DUMMYFUNCTION("""COMPUTED_VALUE"""),"2264 Duane St")</f>
        <v>2264 Duane St</v>
      </c>
      <c r="C1514" s="5" t="str">
        <f ca="1">IFERROR(__xludf.DUMMYFUNCTION("""COMPUTED_VALUE"""),"Los Angeles")</f>
        <v>Los Angeles</v>
      </c>
      <c r="D1514" s="5" t="str">
        <f ca="1">IFERROR(__xludf.DUMMYFUNCTION("""COMPUTED_VALUE"""),"CA")</f>
        <v>CA</v>
      </c>
      <c r="E1514" s="5">
        <f ca="1">IFERROR(__xludf.DUMMYFUNCTION("""COMPUTED_VALUE"""),90039)</f>
        <v>90039</v>
      </c>
      <c r="F1514" s="19">
        <f ca="1">IFERROR(__xludf.DUMMYFUNCTION("""COMPUTED_VALUE"""),2500)</f>
        <v>2500</v>
      </c>
      <c r="G1514" s="19">
        <f ca="1">IFERROR(__xludf.DUMMYFUNCTION("""COMPUTED_VALUE"""),3995)</f>
        <v>3995</v>
      </c>
      <c r="H1514" s="18">
        <f ca="1">IFERROR(__xludf.DUMMYFUNCTION("""COMPUTED_VALUE"""),45696)</f>
        <v>45696</v>
      </c>
      <c r="I1514" s="5" t="str">
        <f ca="1">IFERROR(__xludf.DUMMYFUNCTION("""COMPUTED_VALUE"""),"Zillow")</f>
        <v>Zillow</v>
      </c>
      <c r="J1514" s="25" t="str">
        <f ca="1">IFERROR(__xludf.DUMMYFUNCTION("""COMPUTED_VALUE"""),"https://www.zillow.com/homedetails/2264-Duane-St-Los-Angeles-CA-90039/250336729_zpid/")</f>
        <v>https://www.zillow.com/homedetails/2264-Duane-St-Los-Angeles-CA-90039/250336729_zpid/</v>
      </c>
      <c r="K1514" s="5" t="str">
        <f ca="1">IFERROR(__xludf.DUMMYFUNCTION("""COMPUTED_VALUE"""),"Crescent Canyon Management")</f>
        <v>Crescent Canyon Management</v>
      </c>
      <c r="L1514" s="5"/>
      <c r="M1514" s="5"/>
      <c r="N1514" s="26" t="str">
        <f ca="1">IFERROR(__xludf.DUMMYFUNCTION("""COMPUTED_VALUE"""),"https://drive.google.com/open?id=1b-0KwK2SJdzEUEprWLwpk3WLSnnD7mZT")</f>
        <v>https://drive.google.com/open?id=1b-0KwK2SJdzEUEprWLwpk3WLSnnD7mZT</v>
      </c>
      <c r="O1514" s="5">
        <f ca="1">IFERROR(__xludf.DUMMYFUNCTION("""COMPUTED_VALUE"""),5423028004)</f>
        <v>5423028004</v>
      </c>
      <c r="P1514" s="5" t="str">
        <f ca="1">IFERROR(__xludf.DUMMYFUNCTION("""COMPUTED_VALUE"""),"(442) 201-1070")</f>
        <v>(442) 201-1070</v>
      </c>
      <c r="Q1514" s="5"/>
      <c r="R1514" s="5"/>
      <c r="S1514" s="5"/>
      <c r="T1514" s="18">
        <f ca="1">IFERROR(__xludf.DUMMYFUNCTION("""COMPUTED_VALUE"""),45423)</f>
        <v>45423</v>
      </c>
    </row>
    <row r="1515" spans="1:20" ht="12.75">
      <c r="A1515" s="24">
        <f ca="1">IFERROR(__xludf.DUMMYFUNCTION("""COMPUTED_VALUE"""),45697.5300580208)</f>
        <v>45697.530058020799</v>
      </c>
      <c r="B1515" s="5" t="str">
        <f ca="1">IFERROR(__xludf.DUMMYFUNCTION("""COMPUTED_VALUE"""),"261 S. Reeves Drive, #104")</f>
        <v>261 S. Reeves Drive, #104</v>
      </c>
      <c r="C1515" s="5" t="str">
        <f ca="1">IFERROR(__xludf.DUMMYFUNCTION("""COMPUTED_VALUE"""),"Beverly Hills")</f>
        <v>Beverly Hills</v>
      </c>
      <c r="D1515" s="5" t="str">
        <f ca="1">IFERROR(__xludf.DUMMYFUNCTION("""COMPUTED_VALUE"""),"CA")</f>
        <v>CA</v>
      </c>
      <c r="E1515" s="5">
        <f ca="1">IFERROR(__xludf.DUMMYFUNCTION("""COMPUTED_VALUE"""),90212)</f>
        <v>90212</v>
      </c>
      <c r="F1515" s="19">
        <f ca="1">IFERROR(__xludf.DUMMYFUNCTION("""COMPUTED_VALUE"""),7000)</f>
        <v>7000</v>
      </c>
      <c r="G1515" s="19">
        <f ca="1">IFERROR(__xludf.DUMMYFUNCTION("""COMPUTED_VALUE"""),10000)</f>
        <v>10000</v>
      </c>
      <c r="H1515" s="18">
        <f ca="1">IFERROR(__xludf.DUMMYFUNCTION("""COMPUTED_VALUE"""),45695)</f>
        <v>45695</v>
      </c>
      <c r="I1515" s="5" t="str">
        <f ca="1">IFERROR(__xludf.DUMMYFUNCTION("""COMPUTED_VALUE"""),"Zillow")</f>
        <v>Zillow</v>
      </c>
      <c r="J1515" s="25" t="str">
        <f ca="1">IFERROR(__xludf.DUMMYFUNCTION("""COMPUTED_VALUE"""),"https://www.zillow.com/homedetails/261-S-Reeves-Dr-UNIT-104-Beverly-Hills-CA-90212/82880170_zpid/")</f>
        <v>https://www.zillow.com/homedetails/261-S-Reeves-Dr-UNIT-104-Beverly-Hills-CA-90212/82880170_zpid/</v>
      </c>
      <c r="K1515" s="5" t="str">
        <f ca="1">IFERROR(__xludf.DUMMYFUNCTION("""COMPUTED_VALUE"""),"Justin Alexander DRE # 01733939 970-710-1665, Hilton Hilton 310-273-5588")</f>
        <v>Justin Alexander DRE # 01733939 970-710-1665, Hilton Hilton 310-273-5588</v>
      </c>
      <c r="L1515" s="5" t="str">
        <f ca="1">IFERROR(__xludf.DUMMYFUNCTION("""COMPUTED_VALUE"""),"Catherine Bennett")</f>
        <v>Catherine Bennett</v>
      </c>
      <c r="M1515" s="5" t="str">
        <f ca="1">IFERROR(__xludf.DUMMYFUNCTION("""COMPUTED_VALUE"""),"They are constantly listing then removing listing for sale.  They reduced rent in 2020 to $5995.  Relisted for rent at $7000 after 4 years off market and within 3 1/2 months, just weeks after the fires, increased rent listing by 42.9% with no interest in "&amp;"potential buyers nor renters.  ")</f>
        <v xml:space="preserve">They are constantly listing then removing listing for sale.  They reduced rent in 2020 to $5995.  Relisted for rent at $7000 after 4 years off market and within 3 1/2 months, just weeks after the fires, increased rent listing by 42.9% with no interest in potential buyers nor renters.  </v>
      </c>
      <c r="N1515" s="5" t="str">
        <f ca="1">IFERROR(__xludf.DUMMYFUNCTION("""COMPUTED_VALUE"""),"https://drive.google.com/open?id=1Z3fVdOkg_h6EbI7T60TFhM8vX0OLev2x, https://drive.google.com/open?id=1Ry-nhTAYTtnnUTBUTukIsjAaeoTpgAU6, https://drive.google.com/open?id=1xU6IZmvl1f5BxwFVZiGLg77uHewYkDL4, https://drive.google.com/open?id=1vQqEXBtJJybOhUU10"&amp;"kJVk6MqRwRlX6uZ, https://drive.google.com/open?id=1hM7OJgASUelpNIbvR040el0zl3gF6_Mi")</f>
        <v>https://drive.google.com/open?id=1Z3fVdOkg_h6EbI7T60TFhM8vX0OLev2x, https://drive.google.com/open?id=1Ry-nhTAYTtnnUTBUTukIsjAaeoTpgAU6, https://drive.google.com/open?id=1xU6IZmvl1f5BxwFVZiGLg77uHewYkDL4, https://drive.google.com/open?id=1vQqEXBtJJybOhUU10kJVk6MqRwRlX6uZ, https://drive.google.com/open?id=1hM7OJgASUelpNIbvR040el0zl3gF6_Mi</v>
      </c>
      <c r="O1515" s="5">
        <f ca="1">IFERROR(__xludf.DUMMYFUNCTION("""COMPUTED_VALUE"""),4331003066)</f>
        <v>4331003066</v>
      </c>
      <c r="P1515" s="5" t="str">
        <f ca="1">IFERROR(__xludf.DUMMYFUNCTION("""COMPUTED_VALUE"""),"970-710-1665")</f>
        <v>970-710-1665</v>
      </c>
      <c r="Q1515" s="5"/>
      <c r="R1515" s="5">
        <f ca="1">IFERROR(__xludf.DUMMYFUNCTION("""COMPUTED_VALUE"""),7143193965)</f>
        <v>7143193965</v>
      </c>
      <c r="S1515" s="5" t="str">
        <f ca="1">IFERROR(__xludf.DUMMYFUNCTION("""COMPUTED_VALUE"""),"catshu@earthlink.net")</f>
        <v>catshu@earthlink.net</v>
      </c>
      <c r="T1515" s="18">
        <f ca="1">IFERROR(__xludf.DUMMYFUNCTION("""COMPUTED_VALUE"""),45568)</f>
        <v>45568</v>
      </c>
    </row>
    <row r="1516" spans="1:20" ht="12.75">
      <c r="A1516" s="24">
        <f ca="1">IFERROR(__xludf.DUMMYFUNCTION("""COMPUTED_VALUE"""),45698.7466429166)</f>
        <v>45698.746642916602</v>
      </c>
      <c r="B1516" s="5" t="str">
        <f ca="1">IFERROR(__xludf.DUMMYFUNCTION("""COMPUTED_VALUE"""),"241 S Olive Ave C ")</f>
        <v xml:space="preserve">241 S Olive Ave C </v>
      </c>
      <c r="C1516" s="5" t="str">
        <f ca="1">IFERROR(__xludf.DUMMYFUNCTION("""COMPUTED_VALUE"""),"Alhambra")</f>
        <v>Alhambra</v>
      </c>
      <c r="D1516" s="5" t="str">
        <f ca="1">IFERROR(__xludf.DUMMYFUNCTION("""COMPUTED_VALUE"""),"CA")</f>
        <v>CA</v>
      </c>
      <c r="E1516" s="5">
        <f ca="1">IFERROR(__xludf.DUMMYFUNCTION("""COMPUTED_VALUE"""),91801)</f>
        <v>91801</v>
      </c>
      <c r="F1516" s="19">
        <f ca="1">IFERROR(__xludf.DUMMYFUNCTION("""COMPUTED_VALUE"""),1750)</f>
        <v>1750</v>
      </c>
      <c r="G1516" s="19">
        <f ca="1">IFERROR(__xludf.DUMMYFUNCTION("""COMPUTED_VALUE"""),2392)</f>
        <v>2392</v>
      </c>
      <c r="H1516" s="18">
        <f ca="1">IFERROR(__xludf.DUMMYFUNCTION("""COMPUTED_VALUE"""),45667)</f>
        <v>45667</v>
      </c>
      <c r="I1516" s="5" t="str">
        <f ca="1">IFERROR(__xludf.DUMMYFUNCTION("""COMPUTED_VALUE"""),"Zillow")</f>
        <v>Zillow</v>
      </c>
      <c r="J1516" s="25" t="str">
        <f ca="1">IFERROR(__xludf.DUMMYFUNCTION("""COMPUTED_VALUE"""),"https://www.zillow.com/apartments/alhambra-ca/south-olive-apartments/5Xt8ZM/?utm_campaign=iosappmessage&amp;utm_medium=referral&amp;utm_source=txtshare")</f>
        <v>https://www.zillow.com/apartments/alhambra-ca/south-olive-apartments/5Xt8ZM/?utm_campaign=iosappmessage&amp;utm_medium=referral&amp;utm_source=txtshare</v>
      </c>
      <c r="K1516" s="5" t="str">
        <f ca="1">IFERROR(__xludf.DUMMYFUNCTION("""COMPUTED_VALUE"""),"South Olive Apartments The REMM Group")</f>
        <v>South Olive Apartments The REMM Group</v>
      </c>
      <c r="L1516" s="5"/>
      <c r="M1516" s="5"/>
      <c r="N1516" s="26" t="str">
        <f ca="1">IFERROR(__xludf.DUMMYFUNCTION("""COMPUTED_VALUE"""),"https://drive.google.com/open?id=1FxaBDqNXaPvgeWvPGgjgFunxNaeIXs2_")</f>
        <v>https://drive.google.com/open?id=1FxaBDqNXaPvgeWvPGgjgFunxNaeIXs2_</v>
      </c>
      <c r="O1516" s="5" t="str">
        <f ca="1">IFERROR(__xludf.DUMMYFUNCTION("""COMPUTED_VALUE"""),"NA")</f>
        <v>NA</v>
      </c>
      <c r="P1516" s="5" t="str">
        <f ca="1">IFERROR(__xludf.DUMMYFUNCTION("""COMPUTED_VALUE"""),"(626) 684-3978")</f>
        <v>(626) 684-3978</v>
      </c>
      <c r="Q1516" s="5"/>
      <c r="R1516" s="5"/>
      <c r="S1516" s="5"/>
      <c r="T1516" s="18">
        <f ca="1">IFERROR(__xludf.DUMMYFUNCTION("""COMPUTED_VALUE"""),45627)</f>
        <v>45627</v>
      </c>
    </row>
    <row r="1517" spans="1:20" ht="12.75">
      <c r="A1517" s="24">
        <f ca="1">IFERROR(__xludf.DUMMYFUNCTION("""COMPUTED_VALUE"""),45699.385860324)</f>
        <v>45699.385860324001</v>
      </c>
      <c r="B1517" s="5" t="str">
        <f ca="1">IFERROR(__xludf.DUMMYFUNCTION("""COMPUTED_VALUE"""),"7820 Mulholland Dr ")</f>
        <v xml:space="preserve">7820 Mulholland Dr </v>
      </c>
      <c r="C1517" s="5" t="str">
        <f ca="1">IFERROR(__xludf.DUMMYFUNCTION("""COMPUTED_VALUE"""),"Los Angeles")</f>
        <v>Los Angeles</v>
      </c>
      <c r="D1517" s="5" t="str">
        <f ca="1">IFERROR(__xludf.DUMMYFUNCTION("""COMPUTED_VALUE"""),"CA")</f>
        <v>CA</v>
      </c>
      <c r="E1517" s="5">
        <f ca="1">IFERROR(__xludf.DUMMYFUNCTION("""COMPUTED_VALUE"""),90046)</f>
        <v>90046</v>
      </c>
      <c r="F1517" s="19">
        <f ca="1">IFERROR(__xludf.DUMMYFUNCTION("""COMPUTED_VALUE"""),12000)</f>
        <v>12000</v>
      </c>
      <c r="G1517" s="19">
        <f ca="1">IFERROR(__xludf.DUMMYFUNCTION("""COMPUTED_VALUE"""),38000)</f>
        <v>38000</v>
      </c>
      <c r="H1517" s="18">
        <f ca="1">IFERROR(__xludf.DUMMYFUNCTION("""COMPUTED_VALUE"""),45698)</f>
        <v>45698</v>
      </c>
      <c r="I1517" s="5" t="str">
        <f ca="1">IFERROR(__xludf.DUMMYFUNCTION("""COMPUTED_VALUE"""),"Zillow")</f>
        <v>Zillow</v>
      </c>
      <c r="J1517" s="25" t="str">
        <f ca="1">IFERROR(__xludf.DUMMYFUNCTION("""COMPUTED_VALUE"""),"https://www.zillow.com/homedetails/7820-Mulholland-Dr-Los-Angeles-CA-90046/20802716_zpid/?utm_campaign=iosappmessage&amp;utm_medium=referral&amp;utm_source=txtshare")</f>
        <v>https://www.zillow.com/homedetails/7820-Mulholland-Dr-Los-Angeles-CA-90046/20802716_zpid/?utm_campaign=iosappmessage&amp;utm_medium=referral&amp;utm_source=txtshare</v>
      </c>
      <c r="K1517" s="5" t="str">
        <f ca="1">IFERROR(__xludf.DUMMYFUNCTION("""COMPUTED_VALUE"""),"Branden Williams")</f>
        <v>Branden Williams</v>
      </c>
      <c r="L1517" s="5"/>
      <c r="M1517" s="5" t="str">
        <f ca="1">IFERROR(__xludf.DUMMYFUNCTION("""COMPUTED_VALUE"""),"2200 sqft home with 3 beds for 38000 is ridiculous, it was sold for 3.75 in 2019. Even if you charged 5k per million sold it wouldn’t equate to 38000. ")</f>
        <v xml:space="preserve">2200 sqft home with 3 beds for 38000 is ridiculous, it was sold for 3.75 in 2019. Even if you charged 5k per million sold it wouldn’t equate to 38000. </v>
      </c>
      <c r="N1517" s="26" t="str">
        <f ca="1">IFERROR(__xludf.DUMMYFUNCTION("""COMPUTED_VALUE"""),"https://drive.google.com/open?id=1YiFPiHKNLcVjTcsoNGOqDzf80YBVAA4W")</f>
        <v>https://drive.google.com/open?id=1YiFPiHKNLcVjTcsoNGOqDzf80YBVAA4W</v>
      </c>
      <c r="O1517" s="5" t="str">
        <f ca="1">IFERROR(__xludf.DUMMYFUNCTION("""COMPUTED_VALUE"""),"NA")</f>
        <v>NA</v>
      </c>
      <c r="P1517" s="5">
        <f ca="1">IFERROR(__xludf.DUMMYFUNCTION("""COMPUTED_VALUE"""),3107760737)</f>
        <v>3107760737</v>
      </c>
      <c r="Q1517" s="5" t="str">
        <f ca="1">IFERROR(__xludf.DUMMYFUNCTION("""COMPUTED_VALUE"""),"brandenwilliams@mac.com")</f>
        <v>brandenwilliams@mac.com</v>
      </c>
      <c r="R1517" s="5"/>
      <c r="S1517" s="5"/>
      <c r="T1517" s="5"/>
    </row>
    <row r="1518" spans="1:20" ht="12.75">
      <c r="A1518" s="24">
        <f ca="1">IFERROR(__xludf.DUMMYFUNCTION("""COMPUTED_VALUE"""),45699.7693238888)</f>
        <v>45699.769323888802</v>
      </c>
      <c r="B1518" s="5" t="str">
        <f ca="1">IFERROR(__xludf.DUMMYFUNCTION("""COMPUTED_VALUE"""),"2245 S Beverly Glen Blvd #203")</f>
        <v>2245 S Beverly Glen Blvd #203</v>
      </c>
      <c r="C1518" s="5" t="str">
        <f ca="1">IFERROR(__xludf.DUMMYFUNCTION("""COMPUTED_VALUE"""),"Los Angeles")</f>
        <v>Los Angeles</v>
      </c>
      <c r="D1518" s="5" t="str">
        <f ca="1">IFERROR(__xludf.DUMMYFUNCTION("""COMPUTED_VALUE"""),"CA")</f>
        <v>CA</v>
      </c>
      <c r="E1518" s="5">
        <f ca="1">IFERROR(__xludf.DUMMYFUNCTION("""COMPUTED_VALUE"""),90064)</f>
        <v>90064</v>
      </c>
      <c r="F1518" s="19">
        <f ca="1">IFERROR(__xludf.DUMMYFUNCTION("""COMPUTED_VALUE"""),2998)</f>
        <v>2998</v>
      </c>
      <c r="G1518" s="19">
        <f ca="1">IFERROR(__xludf.DUMMYFUNCTION("""COMPUTED_VALUE"""),3598)</f>
        <v>3598</v>
      </c>
      <c r="H1518" s="18">
        <f ca="1">IFERROR(__xludf.DUMMYFUNCTION("""COMPUTED_VALUE"""),45699)</f>
        <v>45699</v>
      </c>
      <c r="I1518" s="5" t="str">
        <f ca="1">IFERROR(__xludf.DUMMYFUNCTION("""COMPUTED_VALUE"""),"Zillow")</f>
        <v>Zillow</v>
      </c>
      <c r="J1518" s="25" t="str">
        <f ca="1">IFERROR(__xludf.DUMMYFUNCTION("""COMPUTED_VALUE"""),"https://www.zillow.com/homedetails/2245-S-Beverly-Glen-Blvd-203-Los-Angeles-CA-90064/2053363955_zpid/")</f>
        <v>https://www.zillow.com/homedetails/2245-S-Beverly-Glen-Blvd-203-Los-Angeles-CA-90064/2053363955_zpid/</v>
      </c>
      <c r="K1518" s="5" t="str">
        <f ca="1">IFERROR(__xludf.DUMMYFUNCTION("""COMPUTED_VALUE"""),"Westside Habitats")</f>
        <v>Westside Habitats</v>
      </c>
      <c r="L1518" s="5"/>
      <c r="M1518" s="5"/>
      <c r="N1518" s="26" t="str">
        <f ca="1">IFERROR(__xludf.DUMMYFUNCTION("""COMPUTED_VALUE"""),"https://drive.google.com/open?id=1Qmcn1uiveYRdGB12BjHdDfQgYFPrHRCO")</f>
        <v>https://drive.google.com/open?id=1Qmcn1uiveYRdGB12BjHdDfQgYFPrHRCO</v>
      </c>
      <c r="O1518" s="5" t="str">
        <f ca="1">IFERROR(__xludf.DUMMYFUNCTION("""COMPUTED_VALUE"""),"NA")</f>
        <v>NA</v>
      </c>
      <c r="P1518" s="5" t="str">
        <f ca="1">IFERROR(__xludf.DUMMYFUNCTION("""COMPUTED_VALUE"""),"(424) 500-0926")</f>
        <v>(424) 500-0926</v>
      </c>
      <c r="Q1518" s="5"/>
      <c r="R1518" s="5"/>
      <c r="S1518" s="5"/>
      <c r="T1518" s="18">
        <f ca="1">IFERROR(__xludf.DUMMYFUNCTION("""COMPUTED_VALUE"""),45300)</f>
        <v>45300</v>
      </c>
    </row>
    <row r="1519" spans="1:20" ht="12.75">
      <c r="A1519" s="24">
        <f ca="1">IFERROR(__xludf.DUMMYFUNCTION("""COMPUTED_VALUE"""),45699.7772322106)</f>
        <v>45699.777232210603</v>
      </c>
      <c r="B1519" s="5" t="str">
        <f ca="1">IFERROR(__xludf.DUMMYFUNCTION("""COMPUTED_VALUE"""),"49 Sunset Ave #B")</f>
        <v>49 Sunset Ave #B</v>
      </c>
      <c r="C1519" s="5" t="str">
        <f ca="1">IFERROR(__xludf.DUMMYFUNCTION("""COMPUTED_VALUE"""),"Venice")</f>
        <v>Venice</v>
      </c>
      <c r="D1519" s="5" t="str">
        <f ca="1">IFERROR(__xludf.DUMMYFUNCTION("""COMPUTED_VALUE"""),"CA")</f>
        <v>CA</v>
      </c>
      <c r="E1519" s="5">
        <f ca="1">IFERROR(__xludf.DUMMYFUNCTION("""COMPUTED_VALUE"""),90291)</f>
        <v>90291</v>
      </c>
      <c r="F1519" s="19">
        <f ca="1">IFERROR(__xludf.DUMMYFUNCTION("""COMPUTED_VALUE"""),1695)</f>
        <v>1695</v>
      </c>
      <c r="G1519" s="19">
        <f ca="1">IFERROR(__xludf.DUMMYFUNCTION("""COMPUTED_VALUE"""),2495)</f>
        <v>2495</v>
      </c>
      <c r="H1519" s="18">
        <f ca="1">IFERROR(__xludf.DUMMYFUNCTION("""COMPUTED_VALUE"""),45699)</f>
        <v>45699</v>
      </c>
      <c r="I1519" s="5" t="str">
        <f ca="1">IFERROR(__xludf.DUMMYFUNCTION("""COMPUTED_VALUE"""),"Zillow")</f>
        <v>Zillow</v>
      </c>
      <c r="J1519" s="25" t="str">
        <f ca="1">IFERROR(__xludf.DUMMYFUNCTION("""COMPUTED_VALUE"""),"https://www.zillow.com/homedetails/49-Sunset-Ave-B-Venice-CA-90291/2053165104_zpid/")</f>
        <v>https://www.zillow.com/homedetails/49-Sunset-Ave-B-Venice-CA-90291/2053165104_zpid/</v>
      </c>
      <c r="K1519" s="5" t="str">
        <f ca="1">IFERROR(__xludf.DUMMYFUNCTION("""COMPUTED_VALUE"""),"Envoy Properties")</f>
        <v>Envoy Properties</v>
      </c>
      <c r="L1519" s="5"/>
      <c r="M1519" s="5"/>
      <c r="N1519" s="26" t="str">
        <f ca="1">IFERROR(__xludf.DUMMYFUNCTION("""COMPUTED_VALUE"""),"https://drive.google.com/open?id=1dHWMfJ12D3RwzZNukVlJMh-2YQQv4GPJ")</f>
        <v>https://drive.google.com/open?id=1dHWMfJ12D3RwzZNukVlJMh-2YQQv4GPJ</v>
      </c>
      <c r="O1519" s="5" t="str">
        <f ca="1">IFERROR(__xludf.DUMMYFUNCTION("""COMPUTED_VALUE"""),"NA")</f>
        <v>NA</v>
      </c>
      <c r="P1519" s="5" t="str">
        <f ca="1">IFERROR(__xludf.DUMMYFUNCTION("""COMPUTED_VALUE"""),"(310) 202-7100")</f>
        <v>(310) 202-7100</v>
      </c>
      <c r="Q1519" s="5"/>
      <c r="R1519" s="5"/>
      <c r="S1519" s="5"/>
      <c r="T1519" s="18">
        <f ca="1">IFERROR(__xludf.DUMMYFUNCTION("""COMPUTED_VALUE"""),45310)</f>
        <v>45310</v>
      </c>
    </row>
    <row r="1520" spans="1:20" ht="12.75">
      <c r="A1520" s="24">
        <f ca="1">IFERROR(__xludf.DUMMYFUNCTION("""COMPUTED_VALUE"""),45700.581043125)</f>
        <v>45700.581043124999</v>
      </c>
      <c r="B1520" s="5" t="str">
        <f ca="1">IFERROR(__xludf.DUMMYFUNCTION("""COMPUTED_VALUE"""),"1917 Clinton St, Apt 2")</f>
        <v>1917 Clinton St, Apt 2</v>
      </c>
      <c r="C1520" s="5" t="str">
        <f ca="1">IFERROR(__xludf.DUMMYFUNCTION("""COMPUTED_VALUE"""),"Los Angeles")</f>
        <v>Los Angeles</v>
      </c>
      <c r="D1520" s="5" t="str">
        <f ca="1">IFERROR(__xludf.DUMMYFUNCTION("""COMPUTED_VALUE"""),"CA")</f>
        <v>CA</v>
      </c>
      <c r="E1520" s="5">
        <f ca="1">IFERROR(__xludf.DUMMYFUNCTION("""COMPUTED_VALUE"""),90026)</f>
        <v>90026</v>
      </c>
      <c r="F1520" s="19">
        <f ca="1">IFERROR(__xludf.DUMMYFUNCTION("""COMPUTED_VALUE"""),3750)</f>
        <v>3750</v>
      </c>
      <c r="G1520" s="19">
        <f ca="1">IFERROR(__xludf.DUMMYFUNCTION("""COMPUTED_VALUE"""),4400)</f>
        <v>4400</v>
      </c>
      <c r="H1520" s="18">
        <f ca="1">IFERROR(__xludf.DUMMYFUNCTION("""COMPUTED_VALUE"""),45700)</f>
        <v>45700</v>
      </c>
      <c r="I1520" s="5" t="str">
        <f ca="1">IFERROR(__xludf.DUMMYFUNCTION("""COMPUTED_VALUE"""),"Zillow")</f>
        <v>Zillow</v>
      </c>
      <c r="J1520" s="25" t="str">
        <f ca="1">IFERROR(__xludf.DUMMYFUNCTION("""COMPUTED_VALUE"""),"https://www.zillow.com/homedetails/1917-Clinton-St-APT-2-Los-Angeles-CA-90026/440020112_zpid/")</f>
        <v>https://www.zillow.com/homedetails/1917-Clinton-St-APT-2-Los-Angeles-CA-90026/440020112_zpid/</v>
      </c>
      <c r="K1520" s="5" t="str">
        <f ca="1">IFERROR(__xludf.DUMMYFUNCTION("""COMPUTED_VALUE"""),"Juan A. Marquez, Jr.")</f>
        <v>Juan A. Marquez, Jr.</v>
      </c>
      <c r="L1520" s="5"/>
      <c r="M1520" s="5"/>
      <c r="N1520" s="26" t="str">
        <f ca="1">IFERROR(__xludf.DUMMYFUNCTION("""COMPUTED_VALUE"""),"https://drive.google.com/open?id=1uBikfWMQ4IBEiPfJmUFnUQUTm_8GgEiB")</f>
        <v>https://drive.google.com/open?id=1uBikfWMQ4IBEiPfJmUFnUQUTm_8GgEiB</v>
      </c>
      <c r="O1520" s="5" t="str">
        <f ca="1">IFERROR(__xludf.DUMMYFUNCTION("""COMPUTED_VALUE"""),"NA")</f>
        <v>NA</v>
      </c>
      <c r="P1520" s="5" t="str">
        <f ca="1">IFERROR(__xludf.DUMMYFUNCTION("""COMPUTED_VALUE"""),"(626) 683-8096")</f>
        <v>(626) 683-8096</v>
      </c>
      <c r="Q1520" s="5"/>
      <c r="R1520" s="5"/>
      <c r="S1520" s="5"/>
      <c r="T1520" s="18">
        <f ca="1">IFERROR(__xludf.DUMMYFUNCTION("""COMPUTED_VALUE"""),45591)</f>
        <v>45591</v>
      </c>
    </row>
    <row r="1521" spans="1:20" ht="12.75">
      <c r="A1521" s="24">
        <f ca="1">IFERROR(__xludf.DUMMYFUNCTION("""COMPUTED_VALUE"""),45700.6200798032)</f>
        <v>45700.6200798032</v>
      </c>
      <c r="B1521" s="5" t="str">
        <f ca="1">IFERROR(__xludf.DUMMYFUNCTION("""COMPUTED_VALUE"""),"975 Schumacher Dr")</f>
        <v>975 Schumacher Dr</v>
      </c>
      <c r="C1521" s="5" t="str">
        <f ca="1">IFERROR(__xludf.DUMMYFUNCTION("""COMPUTED_VALUE"""),"Los Angeles")</f>
        <v>Los Angeles</v>
      </c>
      <c r="D1521" s="5" t="str">
        <f ca="1">IFERROR(__xludf.DUMMYFUNCTION("""COMPUTED_VALUE"""),"CA")</f>
        <v>CA</v>
      </c>
      <c r="E1521" s="5">
        <f ca="1">IFERROR(__xludf.DUMMYFUNCTION("""COMPUTED_VALUE"""),90048)</f>
        <v>90048</v>
      </c>
      <c r="F1521" s="19">
        <f ca="1">IFERROR(__xludf.DUMMYFUNCTION("""COMPUTED_VALUE"""),8500)</f>
        <v>8500</v>
      </c>
      <c r="G1521" s="19">
        <f ca="1">IFERROR(__xludf.DUMMYFUNCTION("""COMPUTED_VALUE"""),12500)</f>
        <v>12500</v>
      </c>
      <c r="H1521" s="18">
        <f ca="1">IFERROR(__xludf.DUMMYFUNCTION("""COMPUTED_VALUE"""),45700)</f>
        <v>45700</v>
      </c>
      <c r="I1521" s="5" t="str">
        <f ca="1">IFERROR(__xludf.DUMMYFUNCTION("""COMPUTED_VALUE"""),"Zillow")</f>
        <v>Zillow</v>
      </c>
      <c r="J1521" s="25" t="str">
        <f ca="1">IFERROR(__xludf.DUMMYFUNCTION("""COMPUTED_VALUE"""),"https://www.zillow.com/homedetails/975-Schumacher-Dr-Los-Angeles-CA-90048/20609649_zpid/")</f>
        <v>https://www.zillow.com/homedetails/975-Schumacher-Dr-Los-Angeles-CA-90048/20609649_zpid/</v>
      </c>
      <c r="K1521" s="5" t="str">
        <f ca="1">IFERROR(__xludf.DUMMYFUNCTION("""COMPUTED_VALUE"""),"Oliver Bogner")</f>
        <v>Oliver Bogner</v>
      </c>
      <c r="L1521" s="5"/>
      <c r="M1521" s="5"/>
      <c r="N1521" s="26" t="str">
        <f ca="1">IFERROR(__xludf.DUMMYFUNCTION("""COMPUTED_VALUE"""),"https://drive.google.com/open?id=1jshdvKtA70EvNpsHViX6Zbk3eS09q9-Y")</f>
        <v>https://drive.google.com/open?id=1jshdvKtA70EvNpsHViX6Zbk3eS09q9-Y</v>
      </c>
      <c r="O1521" s="5">
        <f ca="1">IFERROR(__xludf.DUMMYFUNCTION("""COMPUTED_VALUE"""),5088001005)</f>
        <v>5088001005</v>
      </c>
      <c r="P1521" s="5"/>
      <c r="Q1521" s="5"/>
      <c r="R1521" s="5"/>
      <c r="S1521" s="5"/>
      <c r="T1521" s="18">
        <f ca="1">IFERROR(__xludf.DUMMYFUNCTION("""COMPUTED_VALUE"""),45458)</f>
        <v>45458</v>
      </c>
    </row>
    <row r="1522" spans="1:20" ht="12.75">
      <c r="A1522" s="24">
        <f ca="1">IFERROR(__xludf.DUMMYFUNCTION("""COMPUTED_VALUE"""),45700.645244155)</f>
        <v>45700.645244154999</v>
      </c>
      <c r="B1522" s="5" t="str">
        <f ca="1">IFERROR(__xludf.DUMMYFUNCTION("""COMPUTED_VALUE"""),"915 N Wilton Pl")</f>
        <v>915 N Wilton Pl</v>
      </c>
      <c r="C1522" s="5" t="str">
        <f ca="1">IFERROR(__xludf.DUMMYFUNCTION("""COMPUTED_VALUE"""),"Los Angeles")</f>
        <v>Los Angeles</v>
      </c>
      <c r="D1522" s="5" t="str">
        <f ca="1">IFERROR(__xludf.DUMMYFUNCTION("""COMPUTED_VALUE"""),"CA")</f>
        <v>CA</v>
      </c>
      <c r="E1522" s="5">
        <f ca="1">IFERROR(__xludf.DUMMYFUNCTION("""COMPUTED_VALUE"""),90038)</f>
        <v>90038</v>
      </c>
      <c r="F1522" s="19">
        <f ca="1">IFERROR(__xludf.DUMMYFUNCTION("""COMPUTED_VALUE"""),1256)</f>
        <v>1256</v>
      </c>
      <c r="G1522" s="19">
        <f ca="1">IFERROR(__xludf.DUMMYFUNCTION("""COMPUTED_VALUE"""),1975)</f>
        <v>1975</v>
      </c>
      <c r="H1522" s="18">
        <f ca="1">IFERROR(__xludf.DUMMYFUNCTION("""COMPUTED_VALUE"""),45700)</f>
        <v>45700</v>
      </c>
      <c r="I1522" s="5" t="str">
        <f ca="1">IFERROR(__xludf.DUMMYFUNCTION("""COMPUTED_VALUE"""),"Zillow")</f>
        <v>Zillow</v>
      </c>
      <c r="J1522" s="25" t="str">
        <f ca="1">IFERROR(__xludf.DUMMYFUNCTION("""COMPUTED_VALUE"""),"https://www.zillow.com/homedetails/915-N-Wilton-Pl-Los-Angeles-CA-90038/2070476461_zpid/")</f>
        <v>https://www.zillow.com/homedetails/915-N-Wilton-Pl-Los-Angeles-CA-90038/2070476461_zpid/</v>
      </c>
      <c r="K1522" s="5" t="str">
        <f ca="1">IFERROR(__xludf.DUMMYFUNCTION("""COMPUTED_VALUE"""),"Yami Perez")</f>
        <v>Yami Perez</v>
      </c>
      <c r="L1522" s="5"/>
      <c r="M1522" s="5"/>
      <c r="N1522" s="26" t="str">
        <f ca="1">IFERROR(__xludf.DUMMYFUNCTION("""COMPUTED_VALUE"""),"https://drive.google.com/open?id=1zf2dwYPa2vgmJ2R_eAHpY8IOIpHlAVuF")</f>
        <v>https://drive.google.com/open?id=1zf2dwYPa2vgmJ2R_eAHpY8IOIpHlAVuF</v>
      </c>
      <c r="O1522" s="5" t="str">
        <f ca="1">IFERROR(__xludf.DUMMYFUNCTION("""COMPUTED_VALUE"""),"NA")</f>
        <v>NA</v>
      </c>
      <c r="P1522" s="5" t="str">
        <f ca="1">IFERROR(__xludf.DUMMYFUNCTION("""COMPUTED_VALUE"""),"(323) 843-7816")</f>
        <v>(323) 843-7816</v>
      </c>
      <c r="Q1522" s="5"/>
      <c r="R1522" s="5"/>
      <c r="S1522" s="5"/>
      <c r="T1522" s="18">
        <f ca="1">IFERROR(__xludf.DUMMYFUNCTION("""COMPUTED_VALUE"""),45492)</f>
        <v>45492</v>
      </c>
    </row>
    <row r="1523" spans="1:20" ht="12.75">
      <c r="A1523" s="24">
        <f ca="1">IFERROR(__xludf.DUMMYFUNCTION("""COMPUTED_VALUE"""),45700.6539453819)</f>
        <v>45700.653945381899</v>
      </c>
      <c r="B1523" s="5" t="str">
        <f ca="1">IFERROR(__xludf.DUMMYFUNCTION("""COMPUTED_VALUE"""),"4243 Rhodes Ave")</f>
        <v>4243 Rhodes Ave</v>
      </c>
      <c r="C1523" s="5" t="str">
        <f ca="1">IFERROR(__xludf.DUMMYFUNCTION("""COMPUTED_VALUE"""),"Studio City")</f>
        <v>Studio City</v>
      </c>
      <c r="D1523" s="5" t="str">
        <f ca="1">IFERROR(__xludf.DUMMYFUNCTION("""COMPUTED_VALUE"""),"CA")</f>
        <v>CA</v>
      </c>
      <c r="E1523" s="5">
        <f ca="1">IFERROR(__xludf.DUMMYFUNCTION("""COMPUTED_VALUE"""),91604)</f>
        <v>91604</v>
      </c>
      <c r="F1523" s="19">
        <f ca="1">IFERROR(__xludf.DUMMYFUNCTION("""COMPUTED_VALUE"""),4900)</f>
        <v>4900</v>
      </c>
      <c r="G1523" s="19">
        <f ca="1">IFERROR(__xludf.DUMMYFUNCTION("""COMPUTED_VALUE"""),7100)</f>
        <v>7100</v>
      </c>
      <c r="H1523" s="18">
        <f ca="1">IFERROR(__xludf.DUMMYFUNCTION("""COMPUTED_VALUE"""),45700)</f>
        <v>45700</v>
      </c>
      <c r="I1523" s="5" t="str">
        <f ca="1">IFERROR(__xludf.DUMMYFUNCTION("""COMPUTED_VALUE"""),"Zillow")</f>
        <v>Zillow</v>
      </c>
      <c r="J1523" s="25" t="str">
        <f ca="1">IFERROR(__xludf.DUMMYFUNCTION("""COMPUTED_VALUE"""),"https://www.zillow.com/homedetails/4243-Rhodes-Ave-Studio-City-CA-91604/20026363_zpid/")</f>
        <v>https://www.zillow.com/homedetails/4243-Rhodes-Ave-Studio-City-CA-91604/20026363_zpid/</v>
      </c>
      <c r="K1523" s="5"/>
      <c r="L1523" s="5" t="str">
        <f ca="1">IFERROR(__xludf.DUMMYFUNCTION("""COMPUTED_VALUE"""),"Joanne")</f>
        <v>Joanne</v>
      </c>
      <c r="M1523" s="5"/>
      <c r="N1523" s="26" t="str">
        <f ca="1">IFERROR(__xludf.DUMMYFUNCTION("""COMPUTED_VALUE"""),"https://drive.google.com/open?id=1-qg6xWy5GGRWduc3H2M4JIguryxNz4ys")</f>
        <v>https://drive.google.com/open?id=1-qg6xWy5GGRWduc3H2M4JIguryxNz4ys</v>
      </c>
      <c r="O1523" s="5">
        <f ca="1">IFERROR(__xludf.DUMMYFUNCTION("""COMPUTED_VALUE"""),2367008043)</f>
        <v>2367008043</v>
      </c>
      <c r="P1523" s="5"/>
      <c r="Q1523" s="5"/>
      <c r="R1523" s="5" t="str">
        <f ca="1">IFERROR(__xludf.DUMMYFUNCTION("""COMPUTED_VALUE"""),"(213) 674-2609")</f>
        <v>(213) 674-2609</v>
      </c>
      <c r="S1523" s="5"/>
      <c r="T1523" s="18">
        <f ca="1">IFERROR(__xludf.DUMMYFUNCTION("""COMPUTED_VALUE"""),45570)</f>
        <v>45570</v>
      </c>
    </row>
    <row r="1524" spans="1:20" ht="12.75">
      <c r="A1524" s="24">
        <f ca="1">IFERROR(__xludf.DUMMYFUNCTION("""COMPUTED_VALUE"""),45700.7630314236)</f>
        <v>45700.763031423601</v>
      </c>
      <c r="B1524" s="5" t="str">
        <f ca="1">IFERROR(__xludf.DUMMYFUNCTION("""COMPUTED_VALUE"""),"12125 sunset blvd")</f>
        <v>12125 sunset blvd</v>
      </c>
      <c r="C1524" s="5" t="str">
        <f ca="1">IFERROR(__xludf.DUMMYFUNCTION("""COMPUTED_VALUE"""),"Los Angeles ")</f>
        <v xml:space="preserve">Los Angeles </v>
      </c>
      <c r="D1524" s="5" t="str">
        <f ca="1">IFERROR(__xludf.DUMMYFUNCTION("""COMPUTED_VALUE"""),"CA")</f>
        <v>CA</v>
      </c>
      <c r="E1524" s="5">
        <f ca="1">IFERROR(__xludf.DUMMYFUNCTION("""COMPUTED_VALUE"""),90049)</f>
        <v>90049</v>
      </c>
      <c r="F1524" s="19">
        <f ca="1">IFERROR(__xludf.DUMMYFUNCTION("""COMPUTED_VALUE"""),29999)</f>
        <v>29999</v>
      </c>
      <c r="G1524" s="19">
        <f ca="1">IFERROR(__xludf.DUMMYFUNCTION("""COMPUTED_VALUE"""),35000)</f>
        <v>35000</v>
      </c>
      <c r="H1524" s="18">
        <f ca="1">IFERROR(__xludf.DUMMYFUNCTION("""COMPUTED_VALUE"""),45666)</f>
        <v>45666</v>
      </c>
      <c r="I1524" s="5" t="str">
        <f ca="1">IFERROR(__xludf.DUMMYFUNCTION("""COMPUTED_VALUE"""),"Zillow")</f>
        <v>Zillow</v>
      </c>
      <c r="J1524" s="25" t="str">
        <f ca="1">IFERROR(__xludf.DUMMYFUNCTION("""COMPUTED_VALUE"""),"https://www.zillow.com/homedetails/12125-W-Sunset-Blvd-Los-Angeles-CA-90049/20536618_zpid/?utm_campaign=iosappmessage&amp;utm_medium=referral&amp;utm_source=txtshare")</f>
        <v>https://www.zillow.com/homedetails/12125-W-Sunset-Blvd-Los-Angeles-CA-90049/20536618_zpid/?utm_campaign=iosappmessage&amp;utm_medium=referral&amp;utm_source=txtshare</v>
      </c>
      <c r="K1524" s="5"/>
      <c r="L1524" s="5" t="str">
        <f ca="1">IFERROR(__xludf.DUMMYFUNCTION("""COMPUTED_VALUE"""),"Navid Ezra")</f>
        <v>Navid Ezra</v>
      </c>
      <c r="M1524" s="5"/>
      <c r="N1524" s="26" t="str">
        <f ca="1">IFERROR(__xludf.DUMMYFUNCTION("""COMPUTED_VALUE"""),"https://drive.google.com/open?id=15P1NaZHM8OtW5PjXqyD0CoEpcesNnEnJ")</f>
        <v>https://drive.google.com/open?id=15P1NaZHM8OtW5PjXqyD0CoEpcesNnEnJ</v>
      </c>
      <c r="O1524" s="5">
        <f ca="1">IFERROR(__xludf.DUMMYFUNCTION("""COMPUTED_VALUE"""),4402022012)</f>
        <v>4402022012</v>
      </c>
      <c r="P1524" s="5"/>
      <c r="Q1524" s="5"/>
      <c r="R1524" s="5"/>
      <c r="S1524" s="5"/>
      <c r="T1524" s="18">
        <f ca="1">IFERROR(__xludf.DUMMYFUNCTION("""COMPUTED_VALUE"""),45631)</f>
        <v>45631</v>
      </c>
    </row>
    <row r="1525" spans="1:20" ht="12.75">
      <c r="A1525" s="24">
        <f ca="1">IFERROR(__xludf.DUMMYFUNCTION("""COMPUTED_VALUE"""),45701.5554695023)</f>
        <v>45701.555469502302</v>
      </c>
      <c r="B1525" s="5" t="str">
        <f ca="1">IFERROR(__xludf.DUMMYFUNCTION("""COMPUTED_VALUE"""),"123 Waterview Street")</f>
        <v>123 Waterview Street</v>
      </c>
      <c r="C1525" s="5" t="str">
        <f ca="1">IFERROR(__xludf.DUMMYFUNCTION("""COMPUTED_VALUE"""),"Playa Del Rey")</f>
        <v>Playa Del Rey</v>
      </c>
      <c r="D1525" s="5" t="str">
        <f ca="1">IFERROR(__xludf.DUMMYFUNCTION("""COMPUTED_VALUE"""),"CA")</f>
        <v>CA</v>
      </c>
      <c r="E1525" s="5">
        <f ca="1">IFERROR(__xludf.DUMMYFUNCTION("""COMPUTED_VALUE"""),90293)</f>
        <v>90293</v>
      </c>
      <c r="F1525" s="19">
        <f ca="1">IFERROR(__xludf.DUMMYFUNCTION("""COMPUTED_VALUE"""),5960)</f>
        <v>5960</v>
      </c>
      <c r="G1525" s="19">
        <f ca="1">IFERROR(__xludf.DUMMYFUNCTION("""COMPUTED_VALUE"""),7300)</f>
        <v>7300</v>
      </c>
      <c r="H1525" s="18">
        <f ca="1">IFERROR(__xludf.DUMMYFUNCTION("""COMPUTED_VALUE"""),45701)</f>
        <v>45701</v>
      </c>
      <c r="I1525" s="5" t="str">
        <f ca="1">IFERROR(__xludf.DUMMYFUNCTION("""COMPUTED_VALUE"""),"Redfin")</f>
        <v>Redfin</v>
      </c>
      <c r="J1525" s="25" t="str">
        <f ca="1">IFERROR(__xludf.DUMMYFUNCTION("""COMPUTED_VALUE"""),"https://www.redfin.com/CA/Playa-del-Rey/123-Waterview-St-90293/home/6626383#property-history")</f>
        <v>https://www.redfin.com/CA/Playa-del-Rey/123-Waterview-St-90293/home/6626383#property-history</v>
      </c>
      <c r="K1525" s="5" t="str">
        <f ca="1">IFERROR(__xludf.DUMMYFUNCTION("""COMPUTED_VALUE"""),"Thomas Corte")</f>
        <v>Thomas Corte</v>
      </c>
      <c r="L1525" s="5"/>
      <c r="M1525" s="5"/>
      <c r="N1525" s="26" t="str">
        <f ca="1">IFERROR(__xludf.DUMMYFUNCTION("""COMPUTED_VALUE"""),"https://drive.google.com/open?id=1gqTBWpNlUWdinI0IjDH9ajn6IOIrQ9nF")</f>
        <v>https://drive.google.com/open?id=1gqTBWpNlUWdinI0IjDH9ajn6IOIrQ9nF</v>
      </c>
      <c r="O1525" s="5" t="str">
        <f ca="1">IFERROR(__xludf.DUMMYFUNCTION("""COMPUTED_VALUE"""),"NA")</f>
        <v>NA</v>
      </c>
      <c r="P1525" s="5" t="str">
        <f ca="1">IFERROR(__xludf.DUMMYFUNCTION("""COMPUTED_VALUE"""),"310-713-0552")</f>
        <v>310-713-0552</v>
      </c>
      <c r="Q1525" s="5" t="str">
        <f ca="1">IFERROR(__xludf.DUMMYFUNCTION("""COMPUTED_VALUE"""),"tomcortehomes@gmail.com")</f>
        <v>tomcortehomes@gmail.com</v>
      </c>
      <c r="R1525" s="5"/>
      <c r="S1525" s="5"/>
      <c r="T1525" s="18">
        <f ca="1">IFERROR(__xludf.DUMMYFUNCTION("""COMPUTED_VALUE"""),45228)</f>
        <v>45228</v>
      </c>
    </row>
    <row r="1526" spans="1:20" ht="12.75">
      <c r="A1526" s="24">
        <f ca="1">IFERROR(__xludf.DUMMYFUNCTION("""COMPUTED_VALUE"""),45701.6089963425)</f>
        <v>45701.608996342497</v>
      </c>
      <c r="B1526" s="5" t="str">
        <f ca="1">IFERROR(__xludf.DUMMYFUNCTION("""COMPUTED_VALUE"""),"2309 Hollyridge Dr.")</f>
        <v>2309 Hollyridge Dr.</v>
      </c>
      <c r="C1526" s="5" t="str">
        <f ca="1">IFERROR(__xludf.DUMMYFUNCTION("""COMPUTED_VALUE"""),"Hollywood")</f>
        <v>Hollywood</v>
      </c>
      <c r="D1526" s="5" t="str">
        <f ca="1">IFERROR(__xludf.DUMMYFUNCTION("""COMPUTED_VALUE"""),"CA")</f>
        <v>CA</v>
      </c>
      <c r="E1526" s="5">
        <f ca="1">IFERROR(__xludf.DUMMYFUNCTION("""COMPUTED_VALUE"""),90068)</f>
        <v>90068</v>
      </c>
      <c r="F1526" s="19">
        <f ca="1">IFERROR(__xludf.DUMMYFUNCTION("""COMPUTED_VALUE"""),17995)</f>
        <v>17995</v>
      </c>
      <c r="G1526" s="19">
        <f ca="1">IFERROR(__xludf.DUMMYFUNCTION("""COMPUTED_VALUE"""),19500)</f>
        <v>19500</v>
      </c>
      <c r="H1526" s="18">
        <f ca="1">IFERROR(__xludf.DUMMYFUNCTION("""COMPUTED_VALUE"""),45700)</f>
        <v>45700</v>
      </c>
      <c r="I1526" s="5" t="str">
        <f ca="1">IFERROR(__xludf.DUMMYFUNCTION("""COMPUTED_VALUE"""),"Redfin")</f>
        <v>Redfin</v>
      </c>
      <c r="J1526" s="25" t="str">
        <f ca="1">IFERROR(__xludf.DUMMYFUNCTION("""COMPUTED_VALUE"""),"https://www.redfin.com/CA/Los-Angeles/2309-Hollyridge-Dr-90068/home/7131424#property-history")</f>
        <v>https://www.redfin.com/CA/Los-Angeles/2309-Hollyridge-Dr-90068/home/7131424#property-history</v>
      </c>
      <c r="K1526" s="5" t="str">
        <f ca="1">IFERROR(__xludf.DUMMYFUNCTION("""COMPUTED_VALUE"""),"Dafna Milstein")</f>
        <v>Dafna Milstein</v>
      </c>
      <c r="L1526" s="5"/>
      <c r="M1526" s="5"/>
      <c r="N1526" s="26" t="str">
        <f ca="1">IFERROR(__xludf.DUMMYFUNCTION("""COMPUTED_VALUE"""),"https://drive.google.com/open?id=1K5Nv78EEQxHT97fBcqQvYuGDvmhb24Qv")</f>
        <v>https://drive.google.com/open?id=1K5Nv78EEQxHT97fBcqQvYuGDvmhb24Qv</v>
      </c>
      <c r="O1526" s="5" t="str">
        <f ca="1">IFERROR(__xludf.DUMMYFUNCTION("""COMPUTED_VALUE"""),"NA")</f>
        <v>NA</v>
      </c>
      <c r="P1526" s="5" t="str">
        <f ca="1">IFERROR(__xludf.DUMMYFUNCTION("""COMPUTED_VALUE"""),"310-867-5598")</f>
        <v>310-867-5598</v>
      </c>
      <c r="Q1526" s="5" t="str">
        <f ca="1">IFERROR(__xludf.DUMMYFUNCTION("""COMPUTED_VALUE"""),"dafna555@yahoo.com")</f>
        <v>dafna555@yahoo.com</v>
      </c>
      <c r="R1526" s="5"/>
      <c r="S1526" s="5"/>
      <c r="T1526" s="18">
        <f ca="1">IFERROR(__xludf.DUMMYFUNCTION("""COMPUTED_VALUE"""),45658)</f>
        <v>45658</v>
      </c>
    </row>
    <row r="1527" spans="1:20" ht="12.75">
      <c r="A1527" s="24">
        <f ca="1">IFERROR(__xludf.DUMMYFUNCTION("""COMPUTED_VALUE"""),45701.7293342361)</f>
        <v>45701.729334236101</v>
      </c>
      <c r="B1527" s="5" t="str">
        <f ca="1">IFERROR(__xludf.DUMMYFUNCTION("""COMPUTED_VALUE"""),"1030 4th Street Unit D")</f>
        <v>1030 4th Street Unit D</v>
      </c>
      <c r="C1527" s="5" t="str">
        <f ca="1">IFERROR(__xludf.DUMMYFUNCTION("""COMPUTED_VALUE"""),"Santa Monica ")</f>
        <v xml:space="preserve">Santa Monica </v>
      </c>
      <c r="D1527" s="5" t="str">
        <f ca="1">IFERROR(__xludf.DUMMYFUNCTION("""COMPUTED_VALUE"""),"CA")</f>
        <v>CA</v>
      </c>
      <c r="E1527" s="5">
        <f ca="1">IFERROR(__xludf.DUMMYFUNCTION("""COMPUTED_VALUE"""),90403)</f>
        <v>90403</v>
      </c>
      <c r="F1527" s="19">
        <f ca="1">IFERROR(__xludf.DUMMYFUNCTION("""COMPUTED_VALUE"""),4450)</f>
        <v>4450</v>
      </c>
      <c r="G1527" s="19">
        <f ca="1">IFERROR(__xludf.DUMMYFUNCTION("""COMPUTED_VALUE"""),6750)</f>
        <v>6750</v>
      </c>
      <c r="H1527" s="18">
        <f ca="1">IFERROR(__xludf.DUMMYFUNCTION("""COMPUTED_VALUE"""),45699)</f>
        <v>45699</v>
      </c>
      <c r="I1527" s="5" t="str">
        <f ca="1">IFERROR(__xludf.DUMMYFUNCTION("""COMPUTED_VALUE"""),"Zillow")</f>
        <v>Zillow</v>
      </c>
      <c r="J1527" s="25" t="str">
        <f ca="1">IFERROR(__xludf.DUMMYFUNCTION("""COMPUTED_VALUE"""),"https://www.zillow.com/homedetails/1030-4th-St-D-Santa-Monica-CA-90403/447260839_zpid/")</f>
        <v>https://www.zillow.com/homedetails/1030-4th-St-D-Santa-Monica-CA-90403/447260839_zpid/</v>
      </c>
      <c r="K1527" s="5"/>
      <c r="L1527" s="5" t="str">
        <f ca="1">IFERROR(__xludf.DUMMYFUNCTION("""COMPUTED_VALUE"""),"Nicole Enayat")</f>
        <v>Nicole Enayat</v>
      </c>
      <c r="M1527" s="5" t="str">
        <f ca="1">IFERROR(__xludf.DUMMYFUNCTION("""COMPUTED_VALUE"""),"owners: Nicole and Andy Enayati under Nina Property Management. They wiped the old price off the internet but i know they were previously renting it for around $2,300 less a month. I dont know where those records can be found but they are gouging. They ha"&amp;"ve a ton of properties in santa monica area and i'm sure are doing it for all the new ones as well. ")</f>
        <v xml:space="preserve">owners: Nicole and Andy Enayati under Nina Property Management. They wiped the old price off the internet but i know they were previously renting it for around $2,300 less a month. I dont know where those records can be found but they are gouging. They have a ton of properties in santa monica area and i'm sure are doing it for all the new ones as well. </v>
      </c>
      <c r="N1527" s="26" t="str">
        <f ca="1">IFERROR(__xludf.DUMMYFUNCTION("""COMPUTED_VALUE"""),"https://drive.google.com/open?id=19wRLm6gFJfof-xdumPcqA9dNMF6IEwz1")</f>
        <v>https://drive.google.com/open?id=19wRLm6gFJfof-xdumPcqA9dNMF6IEwz1</v>
      </c>
      <c r="O1527" s="5" t="str">
        <f ca="1">IFERROR(__xludf.DUMMYFUNCTION("""COMPUTED_VALUE"""),"NA")</f>
        <v>NA</v>
      </c>
      <c r="P1527" s="5"/>
      <c r="Q1527" s="5"/>
      <c r="R1527" s="5" t="str">
        <f ca="1">IFERROR(__xludf.DUMMYFUNCTION("""COMPUTED_VALUE"""),"(310) 454-5495 ")</f>
        <v xml:space="preserve">(310) 454-5495 </v>
      </c>
      <c r="S1527" s="5" t="str">
        <f ca="1">IFERROR(__xludf.DUMMYFUNCTION("""COMPUTED_VALUE"""),"enaproperties@gmail.com")</f>
        <v>enaproperties@gmail.com</v>
      </c>
      <c r="T1527" s="5"/>
    </row>
    <row r="1528" spans="1:20" ht="12.75">
      <c r="A1528" s="24">
        <f ca="1">IFERROR(__xludf.DUMMYFUNCTION("""COMPUTED_VALUE"""),45701.8533539004)</f>
        <v>45701.853353900398</v>
      </c>
      <c r="B1528" s="5" t="str">
        <f ca="1">IFERROR(__xludf.DUMMYFUNCTION("""COMPUTED_VALUE"""),"834 Lincoln Blvd APT 6, Santa Monica, CA 90403")</f>
        <v>834 Lincoln Blvd APT 6, Santa Monica, CA 90403</v>
      </c>
      <c r="C1528" s="5" t="str">
        <f ca="1">IFERROR(__xludf.DUMMYFUNCTION("""COMPUTED_VALUE"""),"Santa monica ")</f>
        <v xml:space="preserve">Santa monica </v>
      </c>
      <c r="D1528" s="5" t="str">
        <f ca="1">IFERROR(__xludf.DUMMYFUNCTION("""COMPUTED_VALUE"""),"CA")</f>
        <v>CA</v>
      </c>
      <c r="E1528" s="5">
        <f ca="1">IFERROR(__xludf.DUMMYFUNCTION("""COMPUTED_VALUE"""),90403)</f>
        <v>90403</v>
      </c>
      <c r="F1528" s="19">
        <f ca="1">IFERROR(__xludf.DUMMYFUNCTION("""COMPUTED_VALUE"""),3830)</f>
        <v>3830</v>
      </c>
      <c r="G1528" s="19">
        <f ca="1">IFERROR(__xludf.DUMMYFUNCTION("""COMPUTED_VALUE"""),6300)</f>
        <v>6300</v>
      </c>
      <c r="H1528" s="18">
        <f ca="1">IFERROR(__xludf.DUMMYFUNCTION("""COMPUTED_VALUE"""),45701)</f>
        <v>45701</v>
      </c>
      <c r="I1528" s="5" t="str">
        <f ca="1">IFERROR(__xludf.DUMMYFUNCTION("""COMPUTED_VALUE"""),"Zillow")</f>
        <v>Zillow</v>
      </c>
      <c r="J1528" s="25" t="str">
        <f ca="1">IFERROR(__xludf.DUMMYFUNCTION("""COMPUTED_VALUE"""),"https://www.zillow.com/homedetails/834-Lincoln-Blvd-APT-5-Santa-Monica-CA-90403/2093836699_zpid/?utm_campaign=iosappmessage&amp;utm_medium=referral&amp;utm_source=txtshare")</f>
        <v>https://www.zillow.com/homedetails/834-Lincoln-Blvd-APT-5-Santa-Monica-CA-90403/2093836699_zpid/?utm_campaign=iosappmessage&amp;utm_medium=referral&amp;utm_source=txtshare</v>
      </c>
      <c r="K1528" s="5" t="str">
        <f ca="1">IFERROR(__xludf.DUMMYFUNCTION("""COMPUTED_VALUE"""),"Nina properties")</f>
        <v>Nina properties</v>
      </c>
      <c r="L1528" s="5" t="str">
        <f ca="1">IFERROR(__xludf.DUMMYFUNCTION("""COMPUTED_VALUE"""),"Nicole and Andrew  Nicole Enayati. Nina Properties")</f>
        <v>Nicole and Andrew  Nicole Enayati. Nina Properties</v>
      </c>
      <c r="M1528" s="5" t="str">
        <f ca="1">IFERROR(__xludf.DUMMYFUNCTION("""COMPUTED_VALUE"""),"I don't know how they deleted the previous listing but they did maybe they are switching the apartments to letters instead of numbers but they are doing this on all their properties and they have lots of them. Increasing by thousands of dollars on each on"&amp;"e like 50% of the original rents 
https://www.zillow.com/homedetails/834-Lincoln-Blvd-APT-6-Santa-Monica-CA-90403/2105551723_zpid/?utm_campaign=iosappmessage&amp;utm_medium=referral&amp;utm_source=txtshare
")</f>
        <v xml:space="preserve">I don't know how they deleted the previous listing but they did maybe they are switching the apartments to letters instead of numbers but they are doing this on all their properties and they have lots of them. Increasing by thousands of dollars on each one like 50% of the original rents 
https://www.zillow.com/homedetails/834-Lincoln-Blvd-APT-6-Santa-Monica-CA-90403/2105551723_zpid/?utm_campaign=iosappmessage&amp;utm_medium=referral&amp;utm_source=txtshare
</v>
      </c>
      <c r="N1528" s="5" t="str">
        <f ca="1">IFERROR(__xludf.DUMMYFUNCTION("""COMPUTED_VALUE"""),"https://drive.google.com/open?id=1Kkok8J0Vc65C6AYSDSYH7xZqLq0fucxI, https://drive.google.com/open?id=10Ni2Ldxd1WcH-GlpGFXPn1xlXJ6eCe9s, https://drive.google.com/open?id=1HzcuXIvN3XDQoSYITDKBZhyvekwHB9Pu, https://drive.google.com/open?id=1_MYvvd31xEb7hWIzZ"&amp;"greJYcGrW2d9NNq")</f>
        <v>https://drive.google.com/open?id=1Kkok8J0Vc65C6AYSDSYH7xZqLq0fucxI, https://drive.google.com/open?id=10Ni2Ldxd1WcH-GlpGFXPn1xlXJ6eCe9s, https://drive.google.com/open?id=1HzcuXIvN3XDQoSYITDKBZhyvekwHB9Pu, https://drive.google.com/open?id=1_MYvvd31xEb7hWIzZgreJYcGrW2d9NNq</v>
      </c>
      <c r="O1528" s="5" t="str">
        <f ca="1">IFERROR(__xludf.DUMMYFUNCTION("""COMPUTED_VALUE"""),"Na")</f>
        <v>Na</v>
      </c>
      <c r="P1528" s="5">
        <f ca="1">IFERROR(__xludf.DUMMYFUNCTION("""COMPUTED_VALUE"""),3104501444)</f>
        <v>3104501444</v>
      </c>
      <c r="Q1528" s="5"/>
      <c r="R1528" s="5" t="str">
        <f ca="1">IFERROR(__xludf.DUMMYFUNCTION("""COMPUTED_VALUE""")," (310)454-5495")</f>
        <v xml:space="preserve"> (310)454-5495</v>
      </c>
      <c r="S1528" s="5" t="str">
        <f ca="1">IFERROR(__xludf.DUMMYFUNCTION("""COMPUTED_VALUE"""),"enaproperties@gmail.com")</f>
        <v>enaproperties@gmail.com</v>
      </c>
      <c r="T1528" s="5"/>
    </row>
    <row r="1529" spans="1:20" ht="12.75">
      <c r="A1529" s="24">
        <f ca="1">IFERROR(__xludf.DUMMYFUNCTION("""COMPUTED_VALUE"""),45701.9856800231)</f>
        <v>45701.985680023099</v>
      </c>
      <c r="B1529" s="5" t="str">
        <f ca="1">IFERROR(__xludf.DUMMYFUNCTION("""COMPUTED_VALUE"""),"22100 Burbank Blvd UNIT 232D, Woodland Hills, CA 91367")</f>
        <v>22100 Burbank Blvd UNIT 232D, Woodland Hills, CA 91367</v>
      </c>
      <c r="C1529" s="5" t="str">
        <f ca="1">IFERROR(__xludf.DUMMYFUNCTION("""COMPUTED_VALUE"""),"Los Angeles")</f>
        <v>Los Angeles</v>
      </c>
      <c r="D1529" s="5" t="str">
        <f ca="1">IFERROR(__xludf.DUMMYFUNCTION("""COMPUTED_VALUE"""),"CA")</f>
        <v>CA</v>
      </c>
      <c r="E1529" s="5">
        <f ca="1">IFERROR(__xludf.DUMMYFUNCTION("""COMPUTED_VALUE"""),91367)</f>
        <v>91367</v>
      </c>
      <c r="F1529" s="19">
        <f ca="1">IFERROR(__xludf.DUMMYFUNCTION("""COMPUTED_VALUE"""),2100)</f>
        <v>2100</v>
      </c>
      <c r="G1529" s="19">
        <f ca="1">IFERROR(__xludf.DUMMYFUNCTION("""COMPUTED_VALUE"""),2650)</f>
        <v>2650</v>
      </c>
      <c r="H1529" s="18">
        <f ca="1">IFERROR(__xludf.DUMMYFUNCTION("""COMPUTED_VALUE"""),45670)</f>
        <v>45670</v>
      </c>
      <c r="I1529" s="5" t="str">
        <f ca="1">IFERROR(__xludf.DUMMYFUNCTION("""COMPUTED_VALUE"""),"Zillow")</f>
        <v>Zillow</v>
      </c>
      <c r="J1529" s="25" t="str">
        <f ca="1">IFERROR(__xludf.DUMMYFUNCTION("""COMPUTED_VALUE"""),"https://www.zillow.com/homedetails/22100-Burbank-Blvd-UNIT-232D-Woodland-Hills-CA-91367/19930047_zpid/?utm_campaign=androidappmessage&amp;utm_medium=referral&amp;utm_source=txtshare")</f>
        <v>https://www.zillow.com/homedetails/22100-Burbank-Blvd-UNIT-232D-Woodland-Hills-CA-91367/19930047_zpid/?utm_campaign=androidappmessage&amp;utm_medium=referral&amp;utm_source=txtshare</v>
      </c>
      <c r="K1529" s="5" t="str">
        <f ca="1">IFERROR(__xludf.DUMMYFUNCTION("""COMPUTED_VALUE"""),"Lily Bayat Rodeo Realty")</f>
        <v>Lily Bayat Rodeo Realty</v>
      </c>
      <c r="L1529" s="5"/>
      <c r="M1529" s="5"/>
      <c r="N1529" s="26" t="str">
        <f ca="1">IFERROR(__xludf.DUMMYFUNCTION("""COMPUTED_VALUE"""),"https://drive.google.com/open?id=12IhI1WA0aMWIZd-E31yMmaHvEPWtqnWY")</f>
        <v>https://drive.google.com/open?id=12IhI1WA0aMWIZd-E31yMmaHvEPWtqnWY</v>
      </c>
      <c r="O1529" s="5">
        <f ca="1">IFERROR(__xludf.DUMMYFUNCTION("""COMPUTED_VALUE"""),2146032100)</f>
        <v>2146032100</v>
      </c>
      <c r="P1529" s="5" t="str">
        <f ca="1">IFERROR(__xludf.DUMMYFUNCTION("""COMPUTED_VALUE"""),"818-730-1916")</f>
        <v>818-730-1916</v>
      </c>
      <c r="Q1529" s="5"/>
      <c r="R1529" s="5"/>
      <c r="S1529" s="5"/>
      <c r="T1529" s="18">
        <f ca="1">IFERROR(__xludf.DUMMYFUNCTION("""COMPUTED_VALUE"""),44029)</f>
        <v>44029</v>
      </c>
    </row>
    <row r="1530" spans="1:20" ht="12.75">
      <c r="A1530" s="24">
        <f ca="1">IFERROR(__xludf.DUMMYFUNCTION("""COMPUTED_VALUE"""),45702.42554353)</f>
        <v>45702.42554353</v>
      </c>
      <c r="B1530" s="5" t="str">
        <f ca="1">IFERROR(__xludf.DUMMYFUNCTION("""COMPUTED_VALUE"""),"81 Plateau")</f>
        <v>81 Plateau</v>
      </c>
      <c r="C1530" s="5" t="str">
        <f ca="1">IFERROR(__xludf.DUMMYFUNCTION("""COMPUTED_VALUE"""),"Aliso Viejo")</f>
        <v>Aliso Viejo</v>
      </c>
      <c r="D1530" s="5" t="str">
        <f ca="1">IFERROR(__xludf.DUMMYFUNCTION("""COMPUTED_VALUE"""),"CA")</f>
        <v>CA</v>
      </c>
      <c r="E1530" s="5">
        <f ca="1">IFERROR(__xludf.DUMMYFUNCTION("""COMPUTED_VALUE"""),92656)</f>
        <v>92656</v>
      </c>
      <c r="F1530" s="19">
        <f ca="1">IFERROR(__xludf.DUMMYFUNCTION("""COMPUTED_VALUE"""),5900)</f>
        <v>5900</v>
      </c>
      <c r="G1530" s="19">
        <f ca="1">IFERROR(__xludf.DUMMYFUNCTION("""COMPUTED_VALUE"""),8900)</f>
        <v>8900</v>
      </c>
      <c r="H1530" s="18">
        <f ca="1">IFERROR(__xludf.DUMMYFUNCTION("""COMPUTED_VALUE"""),45693)</f>
        <v>45693</v>
      </c>
      <c r="I1530" s="5" t="str">
        <f ca="1">IFERROR(__xludf.DUMMYFUNCTION("""COMPUTED_VALUE"""),"Zillow")</f>
        <v>Zillow</v>
      </c>
      <c r="J1530" s="25" t="str">
        <f ca="1">IFERROR(__xludf.DUMMYFUNCTION("""COMPUTED_VALUE"""),"https://www.zillow.com/homedetails/81-Plateau-Aliso-Viejo-CA-92656/25549782_zpid/?utm_campaign=iosappmessage&amp;utm_medium=referral&amp;utm_source=txtshare")</f>
        <v>https://www.zillow.com/homedetails/81-Plateau-Aliso-Viejo-CA-92656/25549782_zpid/?utm_campaign=iosappmessage&amp;utm_medium=referral&amp;utm_source=txtshare</v>
      </c>
      <c r="K1530" s="5"/>
      <c r="L1530" s="5"/>
      <c r="M1530" s="5" t="str">
        <f ca="1">IFERROR(__xludf.DUMMYFUNCTION("""COMPUTED_VALUE"""),"Property couldn’t be rented for 5900 as priced too high, 4500 would be reasonable, after fires now listed for 8900")</f>
        <v>Property couldn’t be rented for 5900 as priced too high, 4500 would be reasonable, after fires now listed for 8900</v>
      </c>
      <c r="N1530" s="26" t="str">
        <f ca="1">IFERROR(__xludf.DUMMYFUNCTION("""COMPUTED_VALUE"""),"https://drive.google.com/open?id=1vuYlezPLEWFzfgkqnzdmnCg6hZWNVbvZ")</f>
        <v>https://drive.google.com/open?id=1vuYlezPLEWFzfgkqnzdmnCg6hZWNVbvZ</v>
      </c>
      <c r="O1530" s="5" t="str">
        <f ca="1">IFERROR(__xludf.DUMMYFUNCTION("""COMPUTED_VALUE"""),"NA")</f>
        <v>NA</v>
      </c>
      <c r="P1530" s="5"/>
      <c r="Q1530" s="5"/>
      <c r="R1530" s="5"/>
      <c r="S1530" s="5"/>
      <c r="T1530" s="18">
        <f ca="1">IFERROR(__xludf.DUMMYFUNCTION("""COMPUTED_VALUE"""),45637)</f>
        <v>45637</v>
      </c>
    </row>
    <row r="1531" spans="1:20" ht="12.75">
      <c r="A1531" s="24">
        <f ca="1">IFERROR(__xludf.DUMMYFUNCTION("""COMPUTED_VALUE"""),45705.5262853125)</f>
        <v>45705.526285312502</v>
      </c>
      <c r="B1531" s="5" t="str">
        <f ca="1">IFERROR(__xludf.DUMMYFUNCTION("""COMPUTED_VALUE"""),"12537 Admiral Ave.")</f>
        <v>12537 Admiral Ave.</v>
      </c>
      <c r="C1531" s="5" t="str">
        <f ca="1">IFERROR(__xludf.DUMMYFUNCTION("""COMPUTED_VALUE"""),"Los Angeles")</f>
        <v>Los Angeles</v>
      </c>
      <c r="D1531" s="5" t="str">
        <f ca="1">IFERROR(__xludf.DUMMYFUNCTION("""COMPUTED_VALUE"""),"CA")</f>
        <v>CA</v>
      </c>
      <c r="E1531" s="5">
        <f ca="1">IFERROR(__xludf.DUMMYFUNCTION("""COMPUTED_VALUE"""),90066)</f>
        <v>90066</v>
      </c>
      <c r="F1531" s="19">
        <f ca="1">IFERROR(__xludf.DUMMYFUNCTION("""COMPUTED_VALUE"""),1)</f>
        <v>1</v>
      </c>
      <c r="G1531" s="19">
        <f ca="1">IFERROR(__xludf.DUMMYFUNCTION("""COMPUTED_VALUE"""),1)</f>
        <v>1</v>
      </c>
      <c r="H1531" s="18">
        <f ca="1">IFERROR(__xludf.DUMMYFUNCTION("""COMPUTED_VALUE"""),45687)</f>
        <v>45687</v>
      </c>
      <c r="I1531" s="5" t="str">
        <f ca="1">IFERROR(__xludf.DUMMYFUNCTION("""COMPUTED_VALUE"""),"i don't think it was listed - i just know this realtor is shady and the likelihood he's rent gouging is so high - he's not even supposed to be renting the house out - he evicted the previous tenant under the owner move-in clause.")</f>
        <v>i don't think it was listed - i just know this realtor is shady and the likelihood he's rent gouging is so high - he's not even supposed to be renting the house out - he evicted the previous tenant under the owner move-in clause.</v>
      </c>
      <c r="J1531" s="25" t="str">
        <f ca="1">IFERROR(__xludf.DUMMYFUNCTION("""COMPUTED_VALUE"""),"https://www.zillow.com/homedetails/12537-Admiral-Ave-Los-Angeles-CA-90066/20442011_zpid/")</f>
        <v>https://www.zillow.com/homedetails/12537-Admiral-Ave-Los-Angeles-CA-90066/20442011_zpid/</v>
      </c>
      <c r="K1531" s="5" t="str">
        <f ca="1">IFERROR(__xludf.DUMMYFUNCTION("""COMPUTED_VALUE"""),"ali fallahassady")</f>
        <v>ali fallahassady</v>
      </c>
      <c r="L1531" s="5" t="str">
        <f ca="1">IFERROR(__xludf.DUMMYFUNCTION("""COMPUTED_VALUE"""),"ali fallahassady")</f>
        <v>ali fallahassady</v>
      </c>
      <c r="M1531" s="5" t="str">
        <f ca="1">IFERROR(__xludf.DUMMYFUNCTION("""COMPUTED_VALUE"""),"i don't know how to check to see how much this guy is charging to rent out the house that he's not supposed to be renting out right now but i do know he's renting the house out to someone that was displaced by the fires and i do know that he bought the ho"&amp;"use unlisted and underpaid for it. and i do know that he is not a good guy. so maybe there's some way to look up and find out how much he's charging the family that's living in the house, but i am not in the real estate business in any way so i don't know"&amp;" how. I just think it should be checked out.")</f>
        <v>i don't know how to check to see how much this guy is charging to rent out the house that he's not supposed to be renting out right now but i do know he's renting the house out to someone that was displaced by the fires and i do know that he bought the house unlisted and underpaid for it. and i do know that he is not a good guy. so maybe there's some way to look up and find out how much he's charging the family that's living in the house, but i am not in the real estate business in any way so i don't know how. I just think it should be checked out.</v>
      </c>
      <c r="N1531" s="26" t="str">
        <f ca="1">IFERROR(__xludf.DUMMYFUNCTION("""COMPUTED_VALUE"""),"https://drive.google.com/open?id=1qwWqmoUrhSr6BXdZtD7qEGkMglmR9mF0")</f>
        <v>https://drive.google.com/open?id=1qwWqmoUrhSr6BXdZtD7qEGkMglmR9mF0</v>
      </c>
      <c r="O1531" s="5">
        <f ca="1">IFERROR(__xludf.DUMMYFUNCTION("""COMPUTED_VALUE"""),4223024023)</f>
        <v>4223024023</v>
      </c>
      <c r="P1531" s="5" t="str">
        <f ca="1">IFERROR(__xludf.DUMMYFUNCTION("""COMPUTED_VALUE"""),"310.591.9172")</f>
        <v>310.591.9172</v>
      </c>
      <c r="Q1531" s="5" t="str">
        <f ca="1">IFERROR(__xludf.DUMMYFUNCTION("""COMPUTED_VALUE"""),"alifallre@gmail.com")</f>
        <v>alifallre@gmail.com</v>
      </c>
      <c r="R1531" s="5" t="str">
        <f ca="1">IFERROR(__xludf.DUMMYFUNCTION("""COMPUTED_VALUE"""),"310.591.9172")</f>
        <v>310.591.9172</v>
      </c>
      <c r="S1531" s="5" t="str">
        <f ca="1">IFERROR(__xludf.DUMMYFUNCTION("""COMPUTED_VALUE"""),"alifallre@gmail.com")</f>
        <v>alifallre@gmail.com</v>
      </c>
      <c r="T1531" s="5"/>
    </row>
    <row r="1532" spans="1:20" ht="12.75">
      <c r="A1532" s="24">
        <f ca="1">IFERROR(__xludf.DUMMYFUNCTION("""COMPUTED_VALUE"""),45705.7185944097)</f>
        <v>45705.7185944097</v>
      </c>
      <c r="B1532" s="5" t="str">
        <f ca="1">IFERROR(__xludf.DUMMYFUNCTION("""COMPUTED_VALUE"""),"4434 Lowell Avenue, #5")</f>
        <v>4434 Lowell Avenue, #5</v>
      </c>
      <c r="C1532" s="5" t="str">
        <f ca="1">IFERROR(__xludf.DUMMYFUNCTION("""COMPUTED_VALUE"""),"Los Angeles ")</f>
        <v xml:space="preserve">Los Angeles </v>
      </c>
      <c r="D1532" s="5" t="str">
        <f ca="1">IFERROR(__xludf.DUMMYFUNCTION("""COMPUTED_VALUE"""),"CA")</f>
        <v>CA</v>
      </c>
      <c r="E1532" s="5">
        <f ca="1">IFERROR(__xludf.DUMMYFUNCTION("""COMPUTED_VALUE"""),90032)</f>
        <v>90032</v>
      </c>
      <c r="F1532" s="19">
        <f ca="1">IFERROR(__xludf.DUMMYFUNCTION("""COMPUTED_VALUE"""),1775)</f>
        <v>1775</v>
      </c>
      <c r="G1532" s="19">
        <f ca="1">IFERROR(__xludf.DUMMYFUNCTION("""COMPUTED_VALUE"""),2845)</f>
        <v>2845</v>
      </c>
      <c r="H1532" s="18">
        <f ca="1">IFERROR(__xludf.DUMMYFUNCTION("""COMPUTED_VALUE"""),45669)</f>
        <v>45669</v>
      </c>
      <c r="I1532" s="5" t="str">
        <f ca="1">IFERROR(__xludf.DUMMYFUNCTION("""COMPUTED_VALUE"""),"Zillow")</f>
        <v>Zillow</v>
      </c>
      <c r="J1532" s="25" t="str">
        <f ca="1">IFERROR(__xludf.DUMMYFUNCTION("""COMPUTED_VALUE"""),"https://www.zillow.com/homedetails/4434-Lowell-Ave-Los-Angeles-CA-90032/2068058298_zpid/")</f>
        <v>https://www.zillow.com/homedetails/4434-Lowell-Ave-Los-Angeles-CA-90032/2068058298_zpid/</v>
      </c>
      <c r="K1532" s="5"/>
      <c r="L1532" s="5"/>
      <c r="M1532" s="5"/>
      <c r="N1532" s="5" t="str">
        <f ca="1">IFERROR(__xludf.DUMMYFUNCTION("""COMPUTED_VALUE"""),"https://drive.google.com/open?id=1i93IPrFy0S3u2DvOhm0KldA_ivWZR9UK, https://drive.google.com/open?id=1XBzlyTwXatZ92-O_jTifjFxL7UzuZrPM")</f>
        <v>https://drive.google.com/open?id=1i93IPrFy0S3u2DvOhm0KldA_ivWZR9UK, https://drive.google.com/open?id=1XBzlyTwXatZ92-O_jTifjFxL7UzuZrPM</v>
      </c>
      <c r="O1532" s="5" t="str">
        <f ca="1">IFERROR(__xludf.DUMMYFUNCTION("""COMPUTED_VALUE"""),"5309-020-008")</f>
        <v>5309-020-008</v>
      </c>
      <c r="P1532" s="5"/>
      <c r="Q1532" s="5"/>
      <c r="R1532" s="5"/>
      <c r="S1532" s="5"/>
      <c r="T1532" s="18">
        <f ca="1">IFERROR(__xludf.DUMMYFUNCTION("""COMPUTED_VALUE"""),45626)</f>
        <v>45626</v>
      </c>
    </row>
    <row r="1533" spans="1:20" ht="12.75">
      <c r="A1533" s="24">
        <f ca="1">IFERROR(__xludf.DUMMYFUNCTION("""COMPUTED_VALUE"""),45705.7605898379)</f>
        <v>45705.760589837897</v>
      </c>
      <c r="B1533" s="5" t="str">
        <f ca="1">IFERROR(__xludf.DUMMYFUNCTION("""COMPUTED_VALUE"""),"24098 Stone Creek Dr")</f>
        <v>24098 Stone Creek Dr</v>
      </c>
      <c r="C1533" s="5" t="str">
        <f ca="1">IFERROR(__xludf.DUMMYFUNCTION("""COMPUTED_VALUE"""),"Santa Clarita")</f>
        <v>Santa Clarita</v>
      </c>
      <c r="D1533" s="5" t="str">
        <f ca="1">IFERROR(__xludf.DUMMYFUNCTION("""COMPUTED_VALUE"""),"CA")</f>
        <v>CA</v>
      </c>
      <c r="E1533" s="5">
        <f ca="1">IFERROR(__xludf.DUMMYFUNCTION("""COMPUTED_VALUE"""),91354)</f>
        <v>91354</v>
      </c>
      <c r="F1533" s="19">
        <f ca="1">IFERROR(__xludf.DUMMYFUNCTION("""COMPUTED_VALUE"""),3400)</f>
        <v>3400</v>
      </c>
      <c r="G1533" s="19">
        <f ca="1">IFERROR(__xludf.DUMMYFUNCTION("""COMPUTED_VALUE"""),5999)</f>
        <v>5999</v>
      </c>
      <c r="H1533" s="18">
        <f ca="1">IFERROR(__xludf.DUMMYFUNCTION("""COMPUTED_VALUE"""),45693)</f>
        <v>45693</v>
      </c>
      <c r="I1533" s="5" t="str">
        <f ca="1">IFERROR(__xludf.DUMMYFUNCTION("""COMPUTED_VALUE"""),"Zillow")</f>
        <v>Zillow</v>
      </c>
      <c r="J1533" s="25" t="str">
        <f ca="1">IFERROR(__xludf.DUMMYFUNCTION("""COMPUTED_VALUE"""),"https://www.zillow.com/homedetails/24098-Stone-Creek-Dr-Valencia-CA-91354/63088203_zpid/")</f>
        <v>https://www.zillow.com/homedetails/24098-Stone-Creek-Dr-Valencia-CA-91354/63088203_zpid/</v>
      </c>
      <c r="K1533" s="5" t="str">
        <f ca="1">IFERROR(__xludf.DUMMYFUNCTION("""COMPUTED_VALUE"""),"Rouzanna Egian Paladin")</f>
        <v>Rouzanna Egian Paladin</v>
      </c>
      <c r="L1533" s="5" t="str">
        <f ca="1">IFERROR(__xludf.DUMMYFUNCTION("""COMPUTED_VALUE"""),"Rouzanna Egian Paladin")</f>
        <v>Rouzanna Egian Paladin</v>
      </c>
      <c r="M1533" s="5" t="str">
        <f ca="1">IFERROR(__xludf.DUMMYFUNCTION("""COMPUTED_VALUE"""),"Intentionally priced higher than market and well above 10% of prior listing, alongside her other properties currently listed. She is known for abusive behavior and has been flagged by BASTA, Inc. and others. Her brokerage license is under investigation.
"&amp;"She is listing under either 5,999 or 4,555 on every other website via the MLS system.")</f>
        <v>Intentionally priced higher than market and well above 10% of prior listing, alongside her other properties currently listed. She is known for abusive behavior and has been flagged by BASTA, Inc. and others. Her brokerage license is under investigation.
She is listing under either 5,999 or 4,555 on every other website via the MLS system.</v>
      </c>
      <c r="N1533" s="26" t="str">
        <f ca="1">IFERROR(__xludf.DUMMYFUNCTION("""COMPUTED_VALUE"""),"https://drive.google.com/open?id=1SNgygrE-8VCnrRhMmJTyulvk8ttf7Ay5")</f>
        <v>https://drive.google.com/open?id=1SNgygrE-8VCnrRhMmJTyulvk8ttf7Ay5</v>
      </c>
      <c r="O1533" s="5">
        <f ca="1">IFERROR(__xludf.DUMMYFUNCTION("""COMPUTED_VALUE"""),2810091039)</f>
        <v>2810091039</v>
      </c>
      <c r="P1533" s="5">
        <f ca="1">IFERROR(__xludf.DUMMYFUNCTION("""COMPUTED_VALUE"""),8187173000)</f>
        <v>8187173000</v>
      </c>
      <c r="Q1533" s="5" t="str">
        <f ca="1">IFERROR(__xludf.DUMMYFUNCTION("""COMPUTED_VALUE"""),"souzanpaladin@me.com")</f>
        <v>souzanpaladin@me.com</v>
      </c>
      <c r="R1533" s="5">
        <f ca="1">IFERROR(__xludf.DUMMYFUNCTION("""COMPUTED_VALUE"""),8187173000)</f>
        <v>8187173000</v>
      </c>
      <c r="S1533" s="5" t="str">
        <f ca="1">IFERROR(__xludf.DUMMYFUNCTION("""COMPUTED_VALUE"""),"souzanpaladin@me.com")</f>
        <v>souzanpaladin@me.com</v>
      </c>
      <c r="T1533" s="18">
        <f ca="1">IFERROR(__xludf.DUMMYFUNCTION("""COMPUTED_VALUE"""),43274)</f>
        <v>43274</v>
      </c>
    </row>
    <row r="1534" spans="1:20" ht="12.75">
      <c r="A1534" s="24">
        <f ca="1">IFERROR(__xludf.DUMMYFUNCTION("""COMPUTED_VALUE"""),45706.9622538657)</f>
        <v>45706.962253865699</v>
      </c>
      <c r="B1534" s="5" t="str">
        <f ca="1">IFERROR(__xludf.DUMMYFUNCTION("""COMPUTED_VALUE"""),"11914 Ocean Park Blvd #1/2")</f>
        <v>11914 Ocean Park Blvd #1/2</v>
      </c>
      <c r="C1534" s="5" t="str">
        <f ca="1">IFERROR(__xludf.DUMMYFUNCTION("""COMPUTED_VALUE"""),"Los Angeles")</f>
        <v>Los Angeles</v>
      </c>
      <c r="D1534" s="5" t="str">
        <f ca="1">IFERROR(__xludf.DUMMYFUNCTION("""COMPUTED_VALUE"""),"CA")</f>
        <v>CA</v>
      </c>
      <c r="E1534" s="5">
        <f ca="1">IFERROR(__xludf.DUMMYFUNCTION("""COMPUTED_VALUE"""),90064)</f>
        <v>90064</v>
      </c>
      <c r="F1534" s="19">
        <f ca="1">IFERROR(__xludf.DUMMYFUNCTION("""COMPUTED_VALUE"""),3900)</f>
        <v>3900</v>
      </c>
      <c r="G1534" s="19">
        <f ca="1">IFERROR(__xludf.DUMMYFUNCTION("""COMPUTED_VALUE"""),4900)</f>
        <v>4900</v>
      </c>
      <c r="H1534" s="18">
        <f ca="1">IFERROR(__xludf.DUMMYFUNCTION("""COMPUTED_VALUE"""),45707)</f>
        <v>45707</v>
      </c>
      <c r="I1534" s="5" t="str">
        <f ca="1">IFERROR(__xludf.DUMMYFUNCTION("""COMPUTED_VALUE"""),"Zillow")</f>
        <v>Zillow</v>
      </c>
      <c r="J1534" s="25" t="str">
        <f ca="1">IFERROR(__xludf.DUMMYFUNCTION("""COMPUTED_VALUE"""),"https://www.zillow.com/homedetails/11914-Ocean-Park-Blvd-1-2-Los-Angeles-CA-90064/349792620_zpid/")</f>
        <v>https://www.zillow.com/homedetails/11914-Ocean-Park-Blvd-1-2-Los-Angeles-CA-90064/349792620_zpid/</v>
      </c>
      <c r="K1534" s="5" t="str">
        <f ca="1">IFERROR(__xludf.DUMMYFUNCTION("""COMPUTED_VALUE"""),"JNM")</f>
        <v>JNM</v>
      </c>
      <c r="L1534" s="5"/>
      <c r="M1534" s="5" t="str">
        <f ca="1">IFERROR(__xludf.DUMMYFUNCTION("""COMPUTED_VALUE"""),"Charges $5100/month for a furnished apartment")</f>
        <v>Charges $5100/month for a furnished apartment</v>
      </c>
      <c r="N1534" s="26" t="str">
        <f ca="1">IFERROR(__xludf.DUMMYFUNCTION("""COMPUTED_VALUE"""),"https://drive.google.com/open?id=1i5TFYm5no28TqyU9WwP889G9YZit7o2K")</f>
        <v>https://drive.google.com/open?id=1i5TFYm5no28TqyU9WwP889G9YZit7o2K</v>
      </c>
      <c r="O1534" s="5" t="str">
        <f ca="1">IFERROR(__xludf.DUMMYFUNCTION("""COMPUTED_VALUE"""),"NA")</f>
        <v>NA</v>
      </c>
      <c r="P1534" s="5" t="str">
        <f ca="1">IFERROR(__xludf.DUMMYFUNCTION("""COMPUTED_VALUE"""),"(424) 405-4073")</f>
        <v>(424) 405-4073</v>
      </c>
      <c r="Q1534" s="5"/>
      <c r="R1534" s="5"/>
      <c r="S1534" s="5"/>
      <c r="T1534" s="18">
        <f ca="1">IFERROR(__xludf.DUMMYFUNCTION("""COMPUTED_VALUE"""),45423)</f>
        <v>45423</v>
      </c>
    </row>
    <row r="1535" spans="1:20" ht="12.75">
      <c r="A1535" s="24">
        <f ca="1">IFERROR(__xludf.DUMMYFUNCTION("""COMPUTED_VALUE"""),45706.964676574)</f>
        <v>45706.964676574004</v>
      </c>
      <c r="B1535" s="5" t="str">
        <f ca="1">IFERROR(__xludf.DUMMYFUNCTION("""COMPUTED_VALUE"""),"10445 Eastborne Ave APT 105")</f>
        <v>10445 Eastborne Ave APT 105</v>
      </c>
      <c r="C1535" s="5" t="str">
        <f ca="1">IFERROR(__xludf.DUMMYFUNCTION("""COMPUTED_VALUE"""),"Los Angeles")</f>
        <v>Los Angeles</v>
      </c>
      <c r="D1535" s="5" t="str">
        <f ca="1">IFERROR(__xludf.DUMMYFUNCTION("""COMPUTED_VALUE"""),"CA")</f>
        <v>CA</v>
      </c>
      <c r="E1535" s="5">
        <f ca="1">IFERROR(__xludf.DUMMYFUNCTION("""COMPUTED_VALUE"""),90024)</f>
        <v>90024</v>
      </c>
      <c r="F1535" s="19">
        <f ca="1">IFERROR(__xludf.DUMMYFUNCTION("""COMPUTED_VALUE"""),2500)</f>
        <v>2500</v>
      </c>
      <c r="G1535" s="19">
        <f ca="1">IFERROR(__xludf.DUMMYFUNCTION("""COMPUTED_VALUE"""),2799)</f>
        <v>2799</v>
      </c>
      <c r="H1535" s="18">
        <f ca="1">IFERROR(__xludf.DUMMYFUNCTION("""COMPUTED_VALUE"""),45707)</f>
        <v>45707</v>
      </c>
      <c r="I1535" s="5" t="str">
        <f ca="1">IFERROR(__xludf.DUMMYFUNCTION("""COMPUTED_VALUE"""),"Zillow")</f>
        <v>Zillow</v>
      </c>
      <c r="J1535" s="25" t="str">
        <f ca="1">IFERROR(__xludf.DUMMYFUNCTION("""COMPUTED_VALUE"""),"https://www.zillow.com/homedetails/10445-Eastborne-Ave-APT-105-Los-Angeles-CA-90024/20507030_zpid/")</f>
        <v>https://www.zillow.com/homedetails/10445-Eastborne-Ave-APT-105-Los-Angeles-CA-90024/20507030_zpid/</v>
      </c>
      <c r="K1535" s="5" t="str">
        <f ca="1">IFERROR(__xludf.DUMMYFUNCTION("""COMPUTED_VALUE"""),"Daniel Glaser")</f>
        <v>Daniel Glaser</v>
      </c>
      <c r="L1535" s="5"/>
      <c r="M1535" s="5"/>
      <c r="N1535" s="26" t="str">
        <f ca="1">IFERROR(__xludf.DUMMYFUNCTION("""COMPUTED_VALUE"""),"https://drive.google.com/open?id=1KxwYOclVvRNWKZNiYnuZkjQI4craV5UY")</f>
        <v>https://drive.google.com/open?id=1KxwYOclVvRNWKZNiYnuZkjQI4craV5UY</v>
      </c>
      <c r="O1535" s="5">
        <f ca="1">IFERROR(__xludf.DUMMYFUNCTION("""COMPUTED_VALUE"""),4326031032)</f>
        <v>4326031032</v>
      </c>
      <c r="P1535" s="5" t="str">
        <f ca="1">IFERROR(__xludf.DUMMYFUNCTION("""COMPUTED_VALUE"""),"(310) 905-9479")</f>
        <v>(310) 905-9479</v>
      </c>
      <c r="Q1535" s="5"/>
      <c r="R1535" s="5"/>
      <c r="S1535" s="5"/>
      <c r="T1535" s="18">
        <f ca="1">IFERROR(__xludf.DUMMYFUNCTION("""COMPUTED_VALUE"""),45640)</f>
        <v>45640</v>
      </c>
    </row>
    <row r="1536" spans="1:20" ht="12.75">
      <c r="A1536" s="24">
        <f ca="1">IFERROR(__xludf.DUMMYFUNCTION("""COMPUTED_VALUE"""),45706.9678491319)</f>
        <v>45706.967849131899</v>
      </c>
      <c r="B1536" s="5" t="str">
        <f ca="1">IFERROR(__xludf.DUMMYFUNCTION("""COMPUTED_VALUE"""),"854 Brooks Ave #854")</f>
        <v>854 Brooks Ave #854</v>
      </c>
      <c r="C1536" s="5" t="str">
        <f ca="1">IFERROR(__xludf.DUMMYFUNCTION("""COMPUTED_VALUE"""),"Venice")</f>
        <v>Venice</v>
      </c>
      <c r="D1536" s="5" t="str">
        <f ca="1">IFERROR(__xludf.DUMMYFUNCTION("""COMPUTED_VALUE"""),"CA")</f>
        <v>CA</v>
      </c>
      <c r="E1536" s="5">
        <f ca="1">IFERROR(__xludf.DUMMYFUNCTION("""COMPUTED_VALUE"""),90291)</f>
        <v>90291</v>
      </c>
      <c r="F1536" s="19">
        <f ca="1">IFERROR(__xludf.DUMMYFUNCTION("""COMPUTED_VALUE"""),5950)</f>
        <v>5950</v>
      </c>
      <c r="G1536" s="19">
        <f ca="1">IFERROR(__xludf.DUMMYFUNCTION("""COMPUTED_VALUE"""),6950)</f>
        <v>6950</v>
      </c>
      <c r="H1536" s="18">
        <f ca="1">IFERROR(__xludf.DUMMYFUNCTION("""COMPUTED_VALUE"""),45707)</f>
        <v>45707</v>
      </c>
      <c r="I1536" s="5" t="str">
        <f ca="1">IFERROR(__xludf.DUMMYFUNCTION("""COMPUTED_VALUE"""),"Zillow")</f>
        <v>Zillow</v>
      </c>
      <c r="J1536" s="25" t="str">
        <f ca="1">IFERROR(__xludf.DUMMYFUNCTION("""COMPUTED_VALUE"""),"https://www.zillow.com/homedetails/854-Brooks-Ave-854-Venice-CA-90291/439982066_zpid/")</f>
        <v>https://www.zillow.com/homedetails/854-Brooks-Ave-854-Venice-CA-90291/439982066_zpid/</v>
      </c>
      <c r="K1536" s="5" t="str">
        <f ca="1">IFERROR(__xludf.DUMMYFUNCTION("""COMPUTED_VALUE"""),"Sara Rahmanian")</f>
        <v>Sara Rahmanian</v>
      </c>
      <c r="L1536" s="5"/>
      <c r="M1536" s="5"/>
      <c r="N1536" s="26" t="str">
        <f ca="1">IFERROR(__xludf.DUMMYFUNCTION("""COMPUTED_VALUE"""),"https://drive.google.com/open?id=1ITE9TrF_QfdqccybK46jAsKOsWYgbLHv")</f>
        <v>https://drive.google.com/open?id=1ITE9TrF_QfdqccybK46jAsKOsWYgbLHv</v>
      </c>
      <c r="O1536" s="5" t="str">
        <f ca="1">IFERROR(__xludf.DUMMYFUNCTION("""COMPUTED_VALUE"""),"NA")</f>
        <v>NA</v>
      </c>
      <c r="P1536" s="5" t="str">
        <f ca="1">IFERROR(__xludf.DUMMYFUNCTION("""COMPUTED_VALUE"""),"(310) 779-9655")</f>
        <v>(310) 779-9655</v>
      </c>
      <c r="Q1536" s="5"/>
      <c r="R1536" s="5"/>
      <c r="S1536" s="5"/>
      <c r="T1536" s="18">
        <f ca="1">IFERROR(__xludf.DUMMYFUNCTION("""COMPUTED_VALUE"""),45548)</f>
        <v>45548</v>
      </c>
    </row>
    <row r="1537" spans="1:20" ht="12.75">
      <c r="A1537" s="24">
        <f ca="1">IFERROR(__xludf.DUMMYFUNCTION("""COMPUTED_VALUE"""),45706.9767504976)</f>
        <v>45706.976750497597</v>
      </c>
      <c r="B1537" s="5" t="str">
        <f ca="1">IFERROR(__xludf.DUMMYFUNCTION("""COMPUTED_VALUE"""),"201 N Normandie Ave #1A")</f>
        <v>201 N Normandie Ave #1A</v>
      </c>
      <c r="C1537" s="5" t="str">
        <f ca="1">IFERROR(__xludf.DUMMYFUNCTION("""COMPUTED_VALUE"""),"Los Angeles")</f>
        <v>Los Angeles</v>
      </c>
      <c r="D1537" s="5" t="str">
        <f ca="1">IFERROR(__xludf.DUMMYFUNCTION("""COMPUTED_VALUE"""),"CA")</f>
        <v>CA</v>
      </c>
      <c r="E1537" s="5">
        <f ca="1">IFERROR(__xludf.DUMMYFUNCTION("""COMPUTED_VALUE"""),90004)</f>
        <v>90004</v>
      </c>
      <c r="F1537" s="19">
        <f ca="1">IFERROR(__xludf.DUMMYFUNCTION("""COMPUTED_VALUE"""),2095)</f>
        <v>2095</v>
      </c>
      <c r="G1537" s="19">
        <f ca="1">IFERROR(__xludf.DUMMYFUNCTION("""COMPUTED_VALUE"""),2407)</f>
        <v>2407</v>
      </c>
      <c r="H1537" s="18">
        <f ca="1">IFERROR(__xludf.DUMMYFUNCTION("""COMPUTED_VALUE"""),45707)</f>
        <v>45707</v>
      </c>
      <c r="I1537" s="5" t="str">
        <f ca="1">IFERROR(__xludf.DUMMYFUNCTION("""COMPUTED_VALUE"""),"Zillow")</f>
        <v>Zillow</v>
      </c>
      <c r="J1537" s="25" t="str">
        <f ca="1">IFERROR(__xludf.DUMMYFUNCTION("""COMPUTED_VALUE"""),"https://www.zillow.com/homedetails/201-N-Normandie-Ave-1A-Los-Angeles-CA-90004/447526960_zpid/")</f>
        <v>https://www.zillow.com/homedetails/201-N-Normandie-Ave-1A-Los-Angeles-CA-90004/447526960_zpid/</v>
      </c>
      <c r="K1537" s="5" t="str">
        <f ca="1">IFERROR(__xludf.DUMMYFUNCTION("""COMPUTED_VALUE"""),"Ari Hoffman")</f>
        <v>Ari Hoffman</v>
      </c>
      <c r="L1537" s="5"/>
      <c r="M1537" s="5"/>
      <c r="N1537" s="26" t="str">
        <f ca="1">IFERROR(__xludf.DUMMYFUNCTION("""COMPUTED_VALUE"""),"https://drive.google.com/open?id=1DjgrNag1A0fSiAlj9gyEPC5Z1LqhBeLT")</f>
        <v>https://drive.google.com/open?id=1DjgrNag1A0fSiAlj9gyEPC5Z1LqhBeLT</v>
      </c>
      <c r="O1537" s="5" t="str">
        <f ca="1">IFERROR(__xludf.DUMMYFUNCTION("""COMPUTED_VALUE"""),"NA")</f>
        <v>NA</v>
      </c>
      <c r="P1537" s="5" t="str">
        <f ca="1">IFERROR(__xludf.DUMMYFUNCTION("""COMPUTED_VALUE"""),"(323) 676-0849")</f>
        <v>(323) 676-0849</v>
      </c>
      <c r="Q1537" s="5"/>
      <c r="R1537" s="5"/>
      <c r="S1537" s="5"/>
      <c r="T1537" s="18">
        <f ca="1">IFERROR(__xludf.DUMMYFUNCTION("""COMPUTED_VALUE"""),45349)</f>
        <v>45349</v>
      </c>
    </row>
    <row r="1538" spans="1:20" ht="12.75">
      <c r="A1538" s="24">
        <f ca="1">IFERROR(__xludf.DUMMYFUNCTION("""COMPUTED_VALUE"""),45706.9815099652)</f>
        <v>45706.981509965197</v>
      </c>
      <c r="B1538" s="5" t="str">
        <f ca="1">IFERROR(__xludf.DUMMYFUNCTION("""COMPUTED_VALUE"""),"11810 Ohio Ave #C")</f>
        <v>11810 Ohio Ave #C</v>
      </c>
      <c r="C1538" s="5" t="str">
        <f ca="1">IFERROR(__xludf.DUMMYFUNCTION("""COMPUTED_VALUE"""),"Los Angeles")</f>
        <v>Los Angeles</v>
      </c>
      <c r="D1538" s="5" t="str">
        <f ca="1">IFERROR(__xludf.DUMMYFUNCTION("""COMPUTED_VALUE"""),"CA")</f>
        <v>CA</v>
      </c>
      <c r="E1538" s="5">
        <f ca="1">IFERROR(__xludf.DUMMYFUNCTION("""COMPUTED_VALUE"""),90025)</f>
        <v>90025</v>
      </c>
      <c r="F1538" s="19">
        <f ca="1">IFERROR(__xludf.DUMMYFUNCTION("""COMPUTED_VALUE"""),2350)</f>
        <v>2350</v>
      </c>
      <c r="G1538" s="19">
        <f ca="1">IFERROR(__xludf.DUMMYFUNCTION("""COMPUTED_VALUE"""),2800)</f>
        <v>2800</v>
      </c>
      <c r="H1538" s="18">
        <f ca="1">IFERROR(__xludf.DUMMYFUNCTION("""COMPUTED_VALUE"""),45707)</f>
        <v>45707</v>
      </c>
      <c r="I1538" s="5" t="str">
        <f ca="1">IFERROR(__xludf.DUMMYFUNCTION("""COMPUTED_VALUE"""),"Zillow")</f>
        <v>Zillow</v>
      </c>
      <c r="J1538" s="25" t="str">
        <f ca="1">IFERROR(__xludf.DUMMYFUNCTION("""COMPUTED_VALUE"""),"https://www.zillow.com/homedetails/11810-Ohio-Ave-C-Los-Angeles-CA-90025/2053384132_zpid/")</f>
        <v>https://www.zillow.com/homedetails/11810-Ohio-Ave-C-Los-Angeles-CA-90025/2053384132_zpid/</v>
      </c>
      <c r="K1538" s="5"/>
      <c r="L1538" s="5" t="str">
        <f ca="1">IFERROR(__xludf.DUMMYFUNCTION("""COMPUTED_VALUE"""),"Kevin")</f>
        <v>Kevin</v>
      </c>
      <c r="M1538" s="5"/>
      <c r="N1538" s="26" t="str">
        <f ca="1">IFERROR(__xludf.DUMMYFUNCTION("""COMPUTED_VALUE"""),"https://drive.google.com/open?id=1svWwdXQEvoW0bDTUU8l8Fq8Fp07d1Sy4")</f>
        <v>https://drive.google.com/open?id=1svWwdXQEvoW0bDTUU8l8Fq8Fp07d1Sy4</v>
      </c>
      <c r="O1538" s="5" t="str">
        <f ca="1">IFERROR(__xludf.DUMMYFUNCTION("""COMPUTED_VALUE"""),"NA")</f>
        <v>NA</v>
      </c>
      <c r="P1538" s="5"/>
      <c r="Q1538" s="5"/>
      <c r="R1538" s="5" t="str">
        <f ca="1">IFERROR(__xludf.DUMMYFUNCTION("""COMPUTED_VALUE"""),"(213) 466-0391")</f>
        <v>(213) 466-0391</v>
      </c>
      <c r="S1538" s="5"/>
      <c r="T1538" s="18">
        <f ca="1">IFERROR(__xludf.DUMMYFUNCTION("""COMPUTED_VALUE"""),45321)</f>
        <v>45321</v>
      </c>
    </row>
    <row r="1539" spans="1:20" ht="12.75">
      <c r="A1539" s="24">
        <f ca="1">IFERROR(__xludf.DUMMYFUNCTION("""COMPUTED_VALUE"""),45707.0686537152)</f>
        <v>45707.0686537152</v>
      </c>
      <c r="B1539" s="5" t="str">
        <f ca="1">IFERROR(__xludf.DUMMYFUNCTION("""COMPUTED_VALUE"""),"15523 Lakewood Blvd #17 ")</f>
        <v xml:space="preserve">15523 Lakewood Blvd #17 </v>
      </c>
      <c r="C1539" s="5" t="str">
        <f ca="1">IFERROR(__xludf.DUMMYFUNCTION("""COMPUTED_VALUE"""),"Paramount ")</f>
        <v xml:space="preserve">Paramount </v>
      </c>
      <c r="D1539" s="5" t="str">
        <f ca="1">IFERROR(__xludf.DUMMYFUNCTION("""COMPUTED_VALUE"""),"CA")</f>
        <v>CA</v>
      </c>
      <c r="E1539" s="5">
        <f ca="1">IFERROR(__xludf.DUMMYFUNCTION("""COMPUTED_VALUE"""),90723)</f>
        <v>90723</v>
      </c>
      <c r="F1539" s="19">
        <f ca="1">IFERROR(__xludf.DUMMYFUNCTION("""COMPUTED_VALUE"""),761.97)</f>
        <v>761.97</v>
      </c>
      <c r="G1539" s="19">
        <f ca="1">IFERROR(__xludf.DUMMYFUNCTION("""COMPUTED_VALUE"""),1061.97)</f>
        <v>1061.97</v>
      </c>
      <c r="H1539" s="18">
        <f ca="1">IFERROR(__xludf.DUMMYFUNCTION("""COMPUTED_VALUE"""),45689)</f>
        <v>45689</v>
      </c>
      <c r="I1539" s="26" t="str">
        <f ca="1">IFERROR(__xludf.DUMMYFUNCTION("""COMPUTED_VALUE"""),"https://www.bizprofile.net/ca/paramount/elijah-park-llc")</f>
        <v>https://www.bizprofile.net/ca/paramount/elijah-park-llc</v>
      </c>
      <c r="J1539" s="25" t="str">
        <f ca="1">IFERROR(__xludf.DUMMYFUNCTION("""COMPUTED_VALUE"""),"https://www.bizprofile.net/ca/paramount/elijah-park-llc")</f>
        <v>https://www.bizprofile.net/ca/paramount/elijah-park-llc</v>
      </c>
      <c r="K1539" s="5" t="str">
        <f ca="1">IFERROR(__xludf.DUMMYFUNCTION("""COMPUTED_VALUE"""),"Sabrina Gomez 15523 Lakewood Blvd Paramount, CA 90723")</f>
        <v>Sabrina Gomez 15523 Lakewood Blvd Paramount, CA 90723</v>
      </c>
      <c r="L1539" s="5" t="str">
        <f ca="1">IFERROR(__xludf.DUMMYFUNCTION("""COMPUTED_VALUE"""),"Elijah Park LLC")</f>
        <v>Elijah Park LLC</v>
      </c>
      <c r="M1539" s="5" t="str">
        <f ca="1">IFERROR(__xludf.DUMMYFUNCTION("""COMPUTED_VALUE"""),"We got the rent statements")</f>
        <v>We got the rent statements</v>
      </c>
      <c r="N1539" s="5" t="str">
        <f ca="1">IFERROR(__xludf.DUMMYFUNCTION("""COMPUTED_VALUE"""),"https://drive.google.com/open?id=1eFQLJTtkaDweq8ZF7PXqBDxZIx5LOiRQ, https://drive.google.com/open?id=1bFNWNJaf4GvMm8juGiAU-FYoRVhbTcol")</f>
        <v>https://drive.google.com/open?id=1eFQLJTtkaDweq8ZF7PXqBDxZIx5LOiRQ, https://drive.google.com/open?id=1bFNWNJaf4GvMm8juGiAU-FYoRVhbTcol</v>
      </c>
      <c r="O1539" s="5" t="str">
        <f ca="1">IFERROR(__xludf.DUMMYFUNCTION("""COMPUTED_VALUE"""),"NA")</f>
        <v>NA</v>
      </c>
      <c r="P1539" s="5" t="str">
        <f ca="1">IFERROR(__xludf.DUMMYFUNCTION("""COMPUTED_VALUE"""),"562-525-8175")</f>
        <v>562-525-8175</v>
      </c>
      <c r="Q1539" s="5" t="str">
        <f ca="1">IFERROR(__xludf.DUMMYFUNCTION("""COMPUTED_VALUE"""),"notavailable@gmail.com")</f>
        <v>notavailable@gmail.com</v>
      </c>
      <c r="R1539" s="5" t="str">
        <f ca="1">IFERROR(__xludf.DUMMYFUNCTION("""COMPUTED_VALUE"""),"562-525-8175")</f>
        <v>562-525-8175</v>
      </c>
      <c r="S1539" s="5" t="str">
        <f ca="1">IFERROR(__xludf.DUMMYFUNCTION("""COMPUTED_VALUE"""),"notavailable@gmail.com")</f>
        <v>notavailable@gmail.com</v>
      </c>
      <c r="T1539" s="18">
        <f ca="1">IFERROR(__xludf.DUMMYFUNCTION("""COMPUTED_VALUE"""),45658)</f>
        <v>45658</v>
      </c>
    </row>
    <row r="1540" spans="1:20" ht="12.75">
      <c r="A1540" s="24">
        <f ca="1">IFERROR(__xludf.DUMMYFUNCTION("""COMPUTED_VALUE"""),45711.3913242824)</f>
        <v>45711.391324282398</v>
      </c>
      <c r="B1540" s="5" t="str">
        <f ca="1">IFERROR(__xludf.DUMMYFUNCTION("""COMPUTED_VALUE"""),"3359 Bennett Dr")</f>
        <v>3359 Bennett Dr</v>
      </c>
      <c r="C1540" s="5" t="str">
        <f ca="1">IFERROR(__xludf.DUMMYFUNCTION("""COMPUTED_VALUE"""),"Los angeles")</f>
        <v>Los angeles</v>
      </c>
      <c r="D1540" s="5" t="str">
        <f ca="1">IFERROR(__xludf.DUMMYFUNCTION("""COMPUTED_VALUE"""),"CA")</f>
        <v>CA</v>
      </c>
      <c r="E1540" s="5">
        <f ca="1">IFERROR(__xludf.DUMMYFUNCTION("""COMPUTED_VALUE"""),90068)</f>
        <v>90068</v>
      </c>
      <c r="F1540" s="19">
        <f ca="1">IFERROR(__xludf.DUMMYFUNCTION("""COMPUTED_VALUE"""),10000)</f>
        <v>10000</v>
      </c>
      <c r="G1540" s="19">
        <f ca="1">IFERROR(__xludf.DUMMYFUNCTION("""COMPUTED_VALUE"""),10000)</f>
        <v>10000</v>
      </c>
      <c r="H1540" s="18">
        <f ca="1">IFERROR(__xludf.DUMMYFUNCTION("""COMPUTED_VALUE"""),45673)</f>
        <v>45673</v>
      </c>
      <c r="I1540" s="5" t="str">
        <f ca="1">IFERROR(__xludf.DUMMYFUNCTION("""COMPUTED_VALUE"""),"Zillow")</f>
        <v>Zillow</v>
      </c>
      <c r="J1540" s="25" t="str">
        <f ca="1">IFERROR(__xludf.DUMMYFUNCTION("""COMPUTED_VALUE"""),"https://www.zillow.com/homedetails/3359-Bennett-Dr-Los-Angeles-CA-90068/20045727_zpid/")</f>
        <v>https://www.zillow.com/homedetails/3359-Bennett-Dr-Los-Angeles-CA-90068/20045727_zpid/</v>
      </c>
      <c r="K1540" s="5"/>
      <c r="L1540" s="5"/>
      <c r="M1540" s="5" t="str">
        <f ca="1">IFERROR(__xludf.DUMMYFUNCTION("""COMPUTED_VALUE"""),"This neighborhood is price gouging.  I will submit additional")</f>
        <v>This neighborhood is price gouging.  I will submit additional</v>
      </c>
      <c r="N1540" s="26" t="str">
        <f ca="1">IFERROR(__xludf.DUMMYFUNCTION("""COMPUTED_VALUE"""),"https://drive.google.com/open?id=1whO85T8TLP5TqVm6B5gPdT5wazC8gYil")</f>
        <v>https://drive.google.com/open?id=1whO85T8TLP5TqVm6B5gPdT5wazC8gYil</v>
      </c>
      <c r="O1540" s="5">
        <f ca="1">IFERROR(__xludf.DUMMYFUNCTION("""COMPUTED_VALUE"""),2429007018)</f>
        <v>2429007018</v>
      </c>
      <c r="P1540" s="5" t="str">
        <f ca="1">IFERROR(__xludf.DUMMYFUNCTION("""COMPUTED_VALUE"""),"(213) 905-6412")</f>
        <v>(213) 905-6412</v>
      </c>
      <c r="Q1540" s="5"/>
      <c r="R1540" s="5"/>
      <c r="S1540" s="5"/>
      <c r="T1540" s="5"/>
    </row>
    <row r="1541" spans="1:20" ht="12.75">
      <c r="A1541" s="24">
        <f ca="1">IFERROR(__xludf.DUMMYFUNCTION("""COMPUTED_VALUE"""),45711.3927116203)</f>
        <v>45711.392711620298</v>
      </c>
      <c r="B1541" s="5" t="str">
        <f ca="1">IFERROR(__xludf.DUMMYFUNCTION("""COMPUTED_VALUE"""),"3252 Oakshire Drive ")</f>
        <v xml:space="preserve">3252 Oakshire Drive </v>
      </c>
      <c r="C1541" s="5" t="str">
        <f ca="1">IFERROR(__xludf.DUMMYFUNCTION("""COMPUTED_VALUE"""),"Los Angeles")</f>
        <v>Los Angeles</v>
      </c>
      <c r="D1541" s="5" t="str">
        <f ca="1">IFERROR(__xludf.DUMMYFUNCTION("""COMPUTED_VALUE"""),"CA")</f>
        <v>CA</v>
      </c>
      <c r="E1541" s="5">
        <f ca="1">IFERROR(__xludf.DUMMYFUNCTION("""COMPUTED_VALUE"""),90068)</f>
        <v>90068</v>
      </c>
      <c r="F1541" s="19">
        <f ca="1">IFERROR(__xludf.DUMMYFUNCTION("""COMPUTED_VALUE"""),8600)</f>
        <v>8600</v>
      </c>
      <c r="G1541" s="19">
        <f ca="1">IFERROR(__xludf.DUMMYFUNCTION("""COMPUTED_VALUE"""),19000)</f>
        <v>19000</v>
      </c>
      <c r="H1541" s="18">
        <f ca="1">IFERROR(__xludf.DUMMYFUNCTION("""COMPUTED_VALUE"""),45674)</f>
        <v>45674</v>
      </c>
      <c r="I1541" s="5" t="str">
        <f ca="1">IFERROR(__xludf.DUMMYFUNCTION("""COMPUTED_VALUE"""),"Zillow")</f>
        <v>Zillow</v>
      </c>
      <c r="J1541" s="25" t="str">
        <f ca="1">IFERROR(__xludf.DUMMYFUNCTION("""COMPUTED_VALUE"""),"https://www.zillow.com/homedetails/3252-Oakshire-Dr-Los-Angeles-CA-90068/20045742_zpid/")</f>
        <v>https://www.zillow.com/homedetails/3252-Oakshire-Dr-Los-Angeles-CA-90068/20045742_zpid/</v>
      </c>
      <c r="K1541" s="5"/>
      <c r="L1541" s="5" t="str">
        <f ca="1">IFERROR(__xludf.DUMMYFUNCTION("""COMPUTED_VALUE"""),"Tommy Alastra")</f>
        <v>Tommy Alastra</v>
      </c>
      <c r="M1541" s="5"/>
      <c r="N1541" s="26" t="str">
        <f ca="1">IFERROR(__xludf.DUMMYFUNCTION("""COMPUTED_VALUE"""),"https://drive.google.com/open?id=12FM0zGn_9mWKUTaJmvWOzmV8_7XzOmn8")</f>
        <v>https://drive.google.com/open?id=12FM0zGn_9mWKUTaJmvWOzmV8_7XzOmn8</v>
      </c>
      <c r="O1541" s="5">
        <f ca="1">IFERROR(__xludf.DUMMYFUNCTION("""COMPUTED_VALUE"""),2429008027)</f>
        <v>2429008027</v>
      </c>
      <c r="P1541" s="5"/>
      <c r="Q1541" s="5"/>
      <c r="R1541" s="5" t="str">
        <f ca="1">IFERROR(__xludf.DUMMYFUNCTION("""COMPUTED_VALUE"""),"(424) 339-2442")</f>
        <v>(424) 339-2442</v>
      </c>
      <c r="S1541" s="5"/>
      <c r="T1541" s="18">
        <f ca="1">IFERROR(__xludf.DUMMYFUNCTION("""COMPUTED_VALUE"""),43374)</f>
        <v>43374</v>
      </c>
    </row>
    <row r="1542" spans="1:20" ht="12.75">
      <c r="A1542" s="24">
        <f ca="1">IFERROR(__xludf.DUMMYFUNCTION("""COMPUTED_VALUE"""),45711.3940230324)</f>
        <v>45711.394023032401</v>
      </c>
      <c r="B1542" s="5" t="str">
        <f ca="1">IFERROR(__xludf.DUMMYFUNCTION("""COMPUTED_VALUE"""),"3268 Dos Palos Drive")</f>
        <v>3268 Dos Palos Drive</v>
      </c>
      <c r="C1542" s="5" t="str">
        <f ca="1">IFERROR(__xludf.DUMMYFUNCTION("""COMPUTED_VALUE"""),"Los Angeles")</f>
        <v>Los Angeles</v>
      </c>
      <c r="D1542" s="5" t="str">
        <f ca="1">IFERROR(__xludf.DUMMYFUNCTION("""COMPUTED_VALUE"""),"CA")</f>
        <v>CA</v>
      </c>
      <c r="E1542" s="5">
        <f ca="1">IFERROR(__xludf.DUMMYFUNCTION("""COMPUTED_VALUE"""),90068)</f>
        <v>90068</v>
      </c>
      <c r="F1542" s="19">
        <f ca="1">IFERROR(__xludf.DUMMYFUNCTION("""COMPUTED_VALUE"""),1)</f>
        <v>1</v>
      </c>
      <c r="G1542" s="19">
        <f ca="1">IFERROR(__xludf.DUMMYFUNCTION("""COMPUTED_VALUE"""),17250)</f>
        <v>17250</v>
      </c>
      <c r="H1542" s="18">
        <f ca="1">IFERROR(__xludf.DUMMYFUNCTION("""COMPUTED_VALUE"""),45692)</f>
        <v>45692</v>
      </c>
      <c r="I1542" s="5" t="str">
        <f ca="1">IFERROR(__xludf.DUMMYFUNCTION("""COMPUTED_VALUE"""),"Zillow")</f>
        <v>Zillow</v>
      </c>
      <c r="J1542" s="25" t="str">
        <f ca="1">IFERROR(__xludf.DUMMYFUNCTION("""COMPUTED_VALUE"""),"https://www.zillow.com/homedetails/3268-Dos-Palos-Dr-Los-Angeles-CA-90068/20045750_zpid/")</f>
        <v>https://www.zillow.com/homedetails/3268-Dos-Palos-Dr-Los-Angeles-CA-90068/20045750_zpid/</v>
      </c>
      <c r="K1542" s="5"/>
      <c r="L1542" s="5"/>
      <c r="M1542" s="5"/>
      <c r="N1542" s="26" t="str">
        <f ca="1">IFERROR(__xludf.DUMMYFUNCTION("""COMPUTED_VALUE"""),"https://drive.google.com/open?id=1ySB9dIGpzFxopsVpXCRidQc4sqYI62z8")</f>
        <v>https://drive.google.com/open?id=1ySB9dIGpzFxopsVpXCRidQc4sqYI62z8</v>
      </c>
      <c r="O1542" s="5">
        <f ca="1">IFERROR(__xludf.DUMMYFUNCTION("""COMPUTED_VALUE"""),2429010025)</f>
        <v>2429010025</v>
      </c>
      <c r="P1542" s="5"/>
      <c r="Q1542" s="5"/>
      <c r="R1542" s="5"/>
      <c r="S1542" s="5"/>
      <c r="T1542" s="5"/>
    </row>
    <row r="1543" spans="1:20" ht="12.75">
      <c r="A1543" s="24">
        <f ca="1">IFERROR(__xludf.DUMMYFUNCTION("""COMPUTED_VALUE"""),45711.3958712268)</f>
        <v>45711.395871226799</v>
      </c>
      <c r="B1543" s="5" t="str">
        <f ca="1">IFERROR(__xludf.DUMMYFUNCTION("""COMPUTED_VALUE"""),"3352 Oak Glen Drive")</f>
        <v>3352 Oak Glen Drive</v>
      </c>
      <c r="C1543" s="5" t="str">
        <f ca="1">IFERROR(__xludf.DUMMYFUNCTION("""COMPUTED_VALUE"""),"Los Angeles")</f>
        <v>Los Angeles</v>
      </c>
      <c r="D1543" s="5" t="str">
        <f ca="1">IFERROR(__xludf.DUMMYFUNCTION("""COMPUTED_VALUE"""),"CA")</f>
        <v>CA</v>
      </c>
      <c r="E1543" s="5">
        <f ca="1">IFERROR(__xludf.DUMMYFUNCTION("""COMPUTED_VALUE"""),90068)</f>
        <v>90068</v>
      </c>
      <c r="F1543" s="19">
        <f ca="1">IFERROR(__xludf.DUMMYFUNCTION("""COMPUTED_VALUE"""),4850)</f>
        <v>4850</v>
      </c>
      <c r="G1543" s="19">
        <f ca="1">IFERROR(__xludf.DUMMYFUNCTION("""COMPUTED_VALUE"""),5250)</f>
        <v>5250</v>
      </c>
      <c r="H1543" s="18">
        <f ca="1">IFERROR(__xludf.DUMMYFUNCTION("""COMPUTED_VALUE"""),45660)</f>
        <v>45660</v>
      </c>
      <c r="I1543" s="5" t="str">
        <f ca="1">IFERROR(__xludf.DUMMYFUNCTION("""COMPUTED_VALUE"""),"Zillow")</f>
        <v>Zillow</v>
      </c>
      <c r="J1543" s="25" t="str">
        <f ca="1">IFERROR(__xludf.DUMMYFUNCTION("""COMPUTED_VALUE"""),"https://www.zillow.com/homedetails/3352-Oak-Glen-Dr-Los-Angeles-CA-90068/20045062_zpid/?")</f>
        <v>https://www.zillow.com/homedetails/3352-Oak-Glen-Dr-Los-Angeles-CA-90068/20045062_zpid/?</v>
      </c>
      <c r="K1543" s="5"/>
      <c r="L1543" s="5"/>
      <c r="M1543" s="5"/>
      <c r="N1543" s="26" t="str">
        <f ca="1">IFERROR(__xludf.DUMMYFUNCTION("""COMPUTED_VALUE"""),"https://drive.google.com/open?id=1P1kG9gQpzcVwWycv2rrMYT-mY0UMRzc-")</f>
        <v>https://drive.google.com/open?id=1P1kG9gQpzcVwWycv2rrMYT-mY0UMRzc-</v>
      </c>
      <c r="O1543" s="5">
        <f ca="1">IFERROR(__xludf.DUMMYFUNCTION("""COMPUTED_VALUE"""),2425026026)</f>
        <v>2425026026</v>
      </c>
      <c r="P1543" s="5"/>
      <c r="Q1543" s="5"/>
      <c r="R1543" s="5"/>
      <c r="S1543" s="5"/>
      <c r="T1543" s="18">
        <f ca="1">IFERROR(__xludf.DUMMYFUNCTION("""COMPUTED_VALUE"""),45540)</f>
        <v>45540</v>
      </c>
    </row>
    <row r="1544" spans="1:20" ht="12.75">
      <c r="A1544" s="24">
        <f ca="1">IFERROR(__xludf.DUMMYFUNCTION("""COMPUTED_VALUE"""),45711.3975015625)</f>
        <v>45711.397501562496</v>
      </c>
      <c r="B1544" s="5" t="str">
        <f ca="1">IFERROR(__xludf.DUMMYFUNCTION("""COMPUTED_VALUE"""),"2822 Oak Point Dr")</f>
        <v>2822 Oak Point Dr</v>
      </c>
      <c r="C1544" s="5" t="str">
        <f ca="1">IFERROR(__xludf.DUMMYFUNCTION("""COMPUTED_VALUE"""),"Los Angeles")</f>
        <v>Los Angeles</v>
      </c>
      <c r="D1544" s="5" t="str">
        <f ca="1">IFERROR(__xludf.DUMMYFUNCTION("""COMPUTED_VALUE"""),"CA")</f>
        <v>CA</v>
      </c>
      <c r="E1544" s="5">
        <f ca="1">IFERROR(__xludf.DUMMYFUNCTION("""COMPUTED_VALUE"""),90068)</f>
        <v>90068</v>
      </c>
      <c r="F1544" s="19">
        <f ca="1">IFERROR(__xludf.DUMMYFUNCTION("""COMPUTED_VALUE"""),7850)</f>
        <v>7850</v>
      </c>
      <c r="G1544" s="19">
        <f ca="1">IFERROR(__xludf.DUMMYFUNCTION("""COMPUTED_VALUE"""),8950)</f>
        <v>8950</v>
      </c>
      <c r="H1544" s="18">
        <f ca="1">IFERROR(__xludf.DUMMYFUNCTION("""COMPUTED_VALUE"""),45707)</f>
        <v>45707</v>
      </c>
      <c r="I1544" s="5" t="str">
        <f ca="1">IFERROR(__xludf.DUMMYFUNCTION("""COMPUTED_VALUE"""),"Zillow")</f>
        <v>Zillow</v>
      </c>
      <c r="J1544" s="25" t="str">
        <f ca="1">IFERROR(__xludf.DUMMYFUNCTION("""COMPUTED_VALUE"""),"https://www.zillow.com/homedetails/2822-Oak-Point-Dr-Los-Angeles-CA-90068/20045383_zpid/")</f>
        <v>https://www.zillow.com/homedetails/2822-Oak-Point-Dr-Los-Angeles-CA-90068/20045383_zpid/</v>
      </c>
      <c r="K1544" s="5" t="str">
        <f ca="1">IFERROR(__xludf.DUMMYFUNCTION("""COMPUTED_VALUE"""),"Katy")</f>
        <v>Katy</v>
      </c>
      <c r="L1544" s="5"/>
      <c r="M1544" s="5"/>
      <c r="N1544" s="26" t="str">
        <f ca="1">IFERROR(__xludf.DUMMYFUNCTION("""COMPUTED_VALUE"""),"https://drive.google.com/open?id=1EP-QrkeUER7xQAwi7xD8gfgWZn_kacDO")</f>
        <v>https://drive.google.com/open?id=1EP-QrkeUER7xQAwi7xD8gfgWZn_kacDO</v>
      </c>
      <c r="O1544" s="5">
        <f ca="1">IFERROR(__xludf.DUMMYFUNCTION("""COMPUTED_VALUE"""),2428008010)</f>
        <v>2428008010</v>
      </c>
      <c r="P1544" s="5" t="str">
        <f ca="1">IFERROR(__xludf.DUMMYFUNCTION("""COMPUTED_VALUE"""),"(310) 938-8723")</f>
        <v>(310) 938-8723</v>
      </c>
      <c r="Q1544" s="5"/>
      <c r="R1544" s="5"/>
      <c r="S1544" s="5"/>
      <c r="T1544" s="18">
        <f ca="1">IFERROR(__xludf.DUMMYFUNCTION("""COMPUTED_VALUE"""),45645)</f>
        <v>45645</v>
      </c>
    </row>
    <row r="1545" spans="1:20" ht="12.75">
      <c r="A1545" s="24">
        <f ca="1">IFERROR(__xludf.DUMMYFUNCTION("""COMPUTED_VALUE"""),45711.399663449)</f>
        <v>45711.399663449003</v>
      </c>
      <c r="B1545" s="5" t="str">
        <f ca="1">IFERROR(__xludf.DUMMYFUNCTION("""COMPUTED_VALUE"""),"3351 N KNOLL DR")</f>
        <v>3351 N KNOLL DR</v>
      </c>
      <c r="C1545" s="5" t="str">
        <f ca="1">IFERROR(__xludf.DUMMYFUNCTION("""COMPUTED_VALUE"""),"Los Angeles")</f>
        <v>Los Angeles</v>
      </c>
      <c r="D1545" s="5" t="str">
        <f ca="1">IFERROR(__xludf.DUMMYFUNCTION("""COMPUTED_VALUE"""),"CA")</f>
        <v>CA</v>
      </c>
      <c r="E1545" s="5">
        <f ca="1">IFERROR(__xludf.DUMMYFUNCTION("""COMPUTED_VALUE"""),90068)</f>
        <v>90068</v>
      </c>
      <c r="F1545" s="19">
        <f ca="1">IFERROR(__xludf.DUMMYFUNCTION("""COMPUTED_VALUE"""),16000)</f>
        <v>16000</v>
      </c>
      <c r="G1545" s="19">
        <f ca="1">IFERROR(__xludf.DUMMYFUNCTION("""COMPUTED_VALUE"""),17500)</f>
        <v>17500</v>
      </c>
      <c r="H1545" s="18">
        <f ca="1">IFERROR(__xludf.DUMMYFUNCTION("""COMPUTED_VALUE"""),45671)</f>
        <v>45671</v>
      </c>
      <c r="I1545" s="5" t="str">
        <f ca="1">IFERROR(__xludf.DUMMYFUNCTION("""COMPUTED_VALUE"""),"Zillow")</f>
        <v>Zillow</v>
      </c>
      <c r="J1545" s="25" t="str">
        <f ca="1">IFERROR(__xludf.DUMMYFUNCTION("""COMPUTED_VALUE"""),"https://www.zillow.com/homedetails/3351-N-Knoll-Dr-Los-Angeles-CA-90068/68994023_zpid/")</f>
        <v>https://www.zillow.com/homedetails/3351-N-Knoll-Dr-Los-Angeles-CA-90068/68994023_zpid/</v>
      </c>
      <c r="K1545" s="5" t="str">
        <f ca="1">IFERROR(__xludf.DUMMYFUNCTION("""COMPUTED_VALUE"""),"Dag Eliason - Hilton and Hyland")</f>
        <v>Dag Eliason - Hilton and Hyland</v>
      </c>
      <c r="L1545" s="5"/>
      <c r="M1545" s="5"/>
      <c r="N1545" s="26" t="str">
        <f ca="1">IFERROR(__xludf.DUMMYFUNCTION("""COMPUTED_VALUE"""),"https://drive.google.com/open?id=1E1XBQdMEqQY6ASPqZ_lC0oKLP7z6gaM6")</f>
        <v>https://drive.google.com/open?id=1E1XBQdMEqQY6ASPqZ_lC0oKLP7z6gaM6</v>
      </c>
      <c r="O1545" s="5">
        <f ca="1">IFERROR(__xludf.DUMMYFUNCTION("""COMPUTED_VALUE"""),5579031026)</f>
        <v>5579031026</v>
      </c>
      <c r="P1545" s="5" t="str">
        <f ca="1">IFERROR(__xludf.DUMMYFUNCTION("""COMPUTED_VALUE"""),"(424) 469-6631")</f>
        <v>(424) 469-6631</v>
      </c>
      <c r="Q1545" s="5" t="str">
        <f ca="1">IFERROR(__xludf.DUMMYFUNCTION("""COMPUTED_VALUE"""),"dag@hiltonhyland.com")</f>
        <v>dag@hiltonhyland.com</v>
      </c>
      <c r="R1545" s="5"/>
      <c r="S1545" s="5"/>
      <c r="T1545" s="18">
        <f ca="1">IFERROR(__xludf.DUMMYFUNCTION("""COMPUTED_VALUE"""),45645)</f>
        <v>45645</v>
      </c>
    </row>
    <row r="1546" spans="1:20" ht="12.75">
      <c r="A1546" s="24">
        <f ca="1">IFERROR(__xludf.DUMMYFUNCTION("""COMPUTED_VALUE"""),45712.9086171527)</f>
        <v>45712.908617152701</v>
      </c>
      <c r="B1546" s="5" t="str">
        <f ca="1">IFERROR(__xludf.DUMMYFUNCTION("""COMPUTED_VALUE"""),"1020 Ozone St")</f>
        <v>1020 Ozone St</v>
      </c>
      <c r="C1546" s="5" t="str">
        <f ca="1">IFERROR(__xludf.DUMMYFUNCTION("""COMPUTED_VALUE"""),"Santa Monica")</f>
        <v>Santa Monica</v>
      </c>
      <c r="D1546" s="5" t="str">
        <f ca="1">IFERROR(__xludf.DUMMYFUNCTION("""COMPUTED_VALUE"""),"Other")</f>
        <v>Other</v>
      </c>
      <c r="E1546" s="5">
        <f ca="1">IFERROR(__xludf.DUMMYFUNCTION("""COMPUTED_VALUE"""),90405)</f>
        <v>90405</v>
      </c>
      <c r="F1546" s="19">
        <f ca="1">IFERROR(__xludf.DUMMYFUNCTION("""COMPUTED_VALUE"""),26395)</f>
        <v>26395</v>
      </c>
      <c r="G1546" s="19">
        <f ca="1">IFERROR(__xludf.DUMMYFUNCTION("""COMPUTED_VALUE"""),32809)</f>
        <v>32809</v>
      </c>
      <c r="H1546" s="18">
        <f ca="1">IFERROR(__xludf.DUMMYFUNCTION("""COMPUTED_VALUE"""),45712)</f>
        <v>45712</v>
      </c>
      <c r="I1546" s="5" t="str">
        <f ca="1">IFERROR(__xludf.DUMMYFUNCTION("""COMPUTED_VALUE"""),"AirBnB")</f>
        <v>AirBnB</v>
      </c>
      <c r="J1546" s="5" t="str">
        <f ca="1">IFERROR(__xludf.DUMMYFUNCTION("""COMPUTED_VALUE"""),"https://www.airbnb.com/rooms/52190991?photo_id=1965531448&amp;source_impression_id=p3_1740460658_P3sN1B1urBluMS2-&amp;check_in=2025-03-01&amp;guests=3&amp;adults=2&amp;check_out=2025-03-31&amp;children=1. 2) https://www.airbnb.com/rooms/1187440898026447703?check_in=2025-03-01&amp;ch"&amp;"eck_out=2025-03-31&amp;location=Santa%20Monica%2C%20CA&amp;search_mode=regular_search&amp;amenities%5B0%5D=34&amp;amenities%5B1%5D=33&amp;amenities%5B2%5D=5&amp;source_impression_id=p3_1740460565_P3G9DWRj5JbX3oeE&amp;previous_page_section_name=1001&amp;federated_search_id=ec814ba3-3d2d-"&amp;"47a1-9a68-6a7cef060c3c&amp;guests=3&amp;adults=2&amp;children=1å")</f>
        <v>https://www.airbnb.com/rooms/52190991?photo_id=1965531448&amp;source_impression_id=p3_1740460658_P3sN1B1urBluMS2-&amp;check_in=2025-03-01&amp;guests=3&amp;adults=2&amp;check_out=2025-03-31&amp;children=1. 2) https://www.airbnb.com/rooms/1187440898026447703?check_in=2025-03-01&amp;check_out=2025-03-31&amp;location=Santa%20Monica%2C%20CA&amp;search_mode=regular_search&amp;amenities%5B0%5D=34&amp;amenities%5B1%5D=33&amp;amenities%5B2%5D=5&amp;source_impression_id=p3_1740460565_P3G9DWRj5JbX3oeE&amp;previous_page_section_name=1001&amp;federated_search_id=ec814ba3-3d2d-47a1-9a68-6a7cef060c3c&amp;guests=3&amp;adults=2&amp;children=1å</v>
      </c>
      <c r="K1546" s="5" t="str">
        <f ca="1">IFERROR(__xludf.DUMMYFUNCTION("""COMPUTED_VALUE"""),"Eco Boutique Homes . ")</f>
        <v xml:space="preserve">Eco Boutique Homes . </v>
      </c>
      <c r="L1546" s="5"/>
      <c r="M1546" s="5"/>
      <c r="N1546" s="5" t="str">
        <f ca="1">IFERROR(__xludf.DUMMYFUNCTION("""COMPUTED_VALUE"""),"https://drive.google.com/open?id=1SnJXplDfqr4AohQLOaIPis8H1D_WzQVA, https://drive.google.com/open?id=1uQlXHj6rExrjHXJhl8HYanDk2CkjLd60, https://drive.google.com/open?id=1Xxx_atXOtXXHujS3mOx4-hC9aYpU_NmE")</f>
        <v>https://drive.google.com/open?id=1SnJXplDfqr4AohQLOaIPis8H1D_WzQVA, https://drive.google.com/open?id=1uQlXHj6rExrjHXJhl8HYanDk2CkjLd60, https://drive.google.com/open?id=1Xxx_atXOtXXHujS3mOx4-hC9aYpU_NmE</v>
      </c>
      <c r="O1546" s="5" t="str">
        <f ca="1">IFERROR(__xludf.DUMMYFUNCTION("""COMPUTED_VALUE"""),"NA")</f>
        <v>NA</v>
      </c>
      <c r="P1546" s="5"/>
      <c r="Q1546" s="5" t="str">
        <f ca="1">IFERROR(__xludf.DUMMYFUNCTION("""COMPUTED_VALUE"""),"rentals@modlife.la")</f>
        <v>rentals@modlife.la</v>
      </c>
      <c r="R1546" s="5"/>
      <c r="S1546" s="5"/>
      <c r="T1546" s="18">
        <f ca="1">IFERROR(__xludf.DUMMYFUNCTION("""COMPUTED_VALUE"""),45712)</f>
        <v>45712</v>
      </c>
    </row>
    <row r="1547" spans="1:20" ht="12.75">
      <c r="A1547" s="24">
        <f ca="1">IFERROR(__xludf.DUMMYFUNCTION("""COMPUTED_VALUE"""),45713.6104382754)</f>
        <v>45713.610438275398</v>
      </c>
      <c r="B1547" s="5" t="str">
        <f ca="1">IFERROR(__xludf.DUMMYFUNCTION("""COMPUTED_VALUE"""),"15523 Lakewood Boulevard, SPC#18")</f>
        <v>15523 Lakewood Boulevard, SPC#18</v>
      </c>
      <c r="C1547" s="5" t="str">
        <f ca="1">IFERROR(__xludf.DUMMYFUNCTION("""COMPUTED_VALUE"""),"PARAMOUNT")</f>
        <v>PARAMOUNT</v>
      </c>
      <c r="D1547" s="5" t="str">
        <f ca="1">IFERROR(__xludf.DUMMYFUNCTION("""COMPUTED_VALUE"""),"CA")</f>
        <v>CA</v>
      </c>
      <c r="E1547" s="5">
        <f ca="1">IFERROR(__xludf.DUMMYFUNCTION("""COMPUTED_VALUE"""),90723)</f>
        <v>90723</v>
      </c>
      <c r="F1547" s="19">
        <f ca="1">IFERROR(__xludf.DUMMYFUNCTION("""COMPUTED_VALUE"""),667)</f>
        <v>667</v>
      </c>
      <c r="G1547" s="19">
        <f ca="1">IFERROR(__xludf.DUMMYFUNCTION("""COMPUTED_VALUE"""),1000)</f>
        <v>1000</v>
      </c>
      <c r="H1547" s="18">
        <f ca="1">IFERROR(__xludf.DUMMYFUNCTION("""COMPUTED_VALUE"""),45685)</f>
        <v>45685</v>
      </c>
      <c r="I1547" s="5" t="str">
        <f ca="1">IFERROR(__xludf.DUMMYFUNCTION("""COMPUTED_VALUE"""),"its happening to all residents in the trailer  park")</f>
        <v>its happening to all residents in the trailer  park</v>
      </c>
      <c r="J1547" s="25" t="str">
        <f ca="1">IFERROR(__xludf.DUMMYFUNCTION("""COMPUTED_VALUE"""),"https://www.nbclosangeles.com/news/local/paramount-mobile-home-park/3170642/")</f>
        <v>https://www.nbclosangeles.com/news/local/paramount-mobile-home-park/3170642/</v>
      </c>
      <c r="K1547" s="5"/>
      <c r="L1547" s="5" t="str">
        <f ca="1">IFERROR(__xludf.DUMMYFUNCTION("""COMPUTED_VALUE"""),"mike otero")</f>
        <v>mike otero</v>
      </c>
      <c r="M1547" s="5" t="str">
        <f ca="1">IFERROR(__xludf.DUMMYFUNCTION("""COMPUTED_VALUE"""),"hello my name is nelson sanchez and i found you through fox 11 news and i have a few questions and would like to report possible rent gouging in the city of paramount. my number is 562 781 5884 or send me an email to darkra666@gmail.com")</f>
        <v>hello my name is nelson sanchez and i found you through fox 11 news and i have a few questions and would like to report possible rent gouging in the city of paramount. my number is 562 781 5884 or send me an email to darkra666@gmail.com</v>
      </c>
      <c r="N1547" s="26" t="str">
        <f ca="1">IFERROR(__xludf.DUMMYFUNCTION("""COMPUTED_VALUE"""),"https://drive.google.com/open?id=1hTj3VhUJXstMJXq0uXzt9jtjKGkoWLP8")</f>
        <v>https://drive.google.com/open?id=1hTj3VhUJXstMJXq0uXzt9jtjKGkoWLP8</v>
      </c>
      <c r="O1547" s="5" t="str">
        <f ca="1">IFERROR(__xludf.DUMMYFUNCTION("""COMPUTED_VALUE"""),"fox 11")</f>
        <v>fox 11</v>
      </c>
      <c r="P1547" s="5"/>
      <c r="Q1547" s="5"/>
      <c r="R1547" s="5"/>
      <c r="S1547" s="5"/>
      <c r="T1547" s="18">
        <f ca="1">IFERROR(__xludf.DUMMYFUNCTION("""COMPUTED_VALUE"""),40179)</f>
        <v>40179</v>
      </c>
    </row>
    <row r="1548" spans="1:20" ht="12.75">
      <c r="A1548" s="24">
        <f ca="1">IFERROR(__xludf.DUMMYFUNCTION("""COMPUTED_VALUE"""),45714.4301630324)</f>
        <v>45714.430163032397</v>
      </c>
      <c r="B1548" s="5" t="str">
        <f ca="1">IFERROR(__xludf.DUMMYFUNCTION("""COMPUTED_VALUE"""),"7841 W 83rd St")</f>
        <v>7841 W 83rd St</v>
      </c>
      <c r="C1548" s="5" t="str">
        <f ca="1">IFERROR(__xludf.DUMMYFUNCTION("""COMPUTED_VALUE"""),"Playa del Rey")</f>
        <v>Playa del Rey</v>
      </c>
      <c r="D1548" s="5" t="str">
        <f ca="1">IFERROR(__xludf.DUMMYFUNCTION("""COMPUTED_VALUE"""),"CA")</f>
        <v>CA</v>
      </c>
      <c r="E1548" s="5">
        <f ca="1">IFERROR(__xludf.DUMMYFUNCTION("""COMPUTED_VALUE"""),90293)</f>
        <v>90293</v>
      </c>
      <c r="F1548" s="19">
        <f ca="1">IFERROR(__xludf.DUMMYFUNCTION("""COMPUTED_VALUE"""),7750)</f>
        <v>7750</v>
      </c>
      <c r="G1548" s="19">
        <f ca="1">IFERROR(__xludf.DUMMYFUNCTION("""COMPUTED_VALUE"""),9500)</f>
        <v>9500</v>
      </c>
      <c r="H1548" s="18">
        <f ca="1">IFERROR(__xludf.DUMMYFUNCTION("""COMPUTED_VALUE"""),45714)</f>
        <v>45714</v>
      </c>
      <c r="I1548" s="5" t="str">
        <f ca="1">IFERROR(__xludf.DUMMYFUNCTION("""COMPUTED_VALUE"""),"Zillow")</f>
        <v>Zillow</v>
      </c>
      <c r="J1548" s="25" t="str">
        <f ca="1">IFERROR(__xludf.DUMMYFUNCTION("""COMPUTED_VALUE"""),"https://www.zillow.com/homedetails/7841-W-83rd-St-Playa-Del-Rey-CA-90293/20385772_zpid/")</f>
        <v>https://www.zillow.com/homedetails/7841-W-83rd-St-Playa-Del-Rey-CA-90293/20385772_zpid/</v>
      </c>
      <c r="K1548" s="5" t="str">
        <f ca="1">IFERROR(__xludf.DUMMYFUNCTION("""COMPUTED_VALUE"""),"Goli Sabet")</f>
        <v>Goli Sabet</v>
      </c>
      <c r="L1548" s="5"/>
      <c r="M1548" s="5" t="str">
        <f ca="1">IFERROR(__xludf.DUMMYFUNCTION("""COMPUTED_VALUE"""),"Current renter has only been there 1 year (I live on this block, so I know). Initially listed at the same rent, then today updated with a 23% increase. ")</f>
        <v xml:space="preserve">Current renter has only been there 1 year (I live on this block, so I know). Initially listed at the same rent, then today updated with a 23% increase. </v>
      </c>
      <c r="N1548" s="5" t="str">
        <f ca="1">IFERROR(__xludf.DUMMYFUNCTION("""COMPUTED_VALUE"""),"https://drive.google.com/open?id=1zIhLKaaM6WBtpD7CwdOzXtXZeLSZ9FTX, https://drive.google.com/open?id=1lmgs3QCiuaQX9LDAb8uGtRpnGPAhgIVD")</f>
        <v>https://drive.google.com/open?id=1zIhLKaaM6WBtpD7CwdOzXtXZeLSZ9FTX, https://drive.google.com/open?id=1lmgs3QCiuaQX9LDAb8uGtRpnGPAhgIVD</v>
      </c>
      <c r="O1548" s="5">
        <f ca="1">IFERROR(__xludf.DUMMYFUNCTION("""COMPUTED_VALUE"""),4115026006)</f>
        <v>4115026006</v>
      </c>
      <c r="P1548" s="5" t="str">
        <f ca="1">IFERROR(__xludf.DUMMYFUNCTION("""COMPUTED_VALUE"""),"424-999-9220")</f>
        <v>424-999-9220</v>
      </c>
      <c r="Q1548" s="5"/>
      <c r="R1548" s="5"/>
      <c r="S1548" s="5"/>
      <c r="T1548" s="18">
        <f ca="1">IFERROR(__xludf.DUMMYFUNCTION("""COMPUTED_VALUE"""),45699)</f>
        <v>45699</v>
      </c>
    </row>
    <row r="1549" spans="1:20" ht="12.75">
      <c r="A1549" s="24">
        <f ca="1">IFERROR(__xludf.DUMMYFUNCTION("""COMPUTED_VALUE"""),45718.7356581481)</f>
        <v>45718.7356581481</v>
      </c>
      <c r="B1549" s="5" t="str">
        <f ca="1">IFERROR(__xludf.DUMMYFUNCTION("""COMPUTED_VALUE"""),"955 W Avenue 47")</f>
        <v>955 W Avenue 47</v>
      </c>
      <c r="C1549" s="5" t="str">
        <f ca="1">IFERROR(__xludf.DUMMYFUNCTION("""COMPUTED_VALUE"""),"Los Angeles")</f>
        <v>Los Angeles</v>
      </c>
      <c r="D1549" s="5" t="str">
        <f ca="1">IFERROR(__xludf.DUMMYFUNCTION("""COMPUTED_VALUE"""),"CA")</f>
        <v>CA</v>
      </c>
      <c r="E1549" s="5">
        <f ca="1">IFERROR(__xludf.DUMMYFUNCTION("""COMPUTED_VALUE"""),90065)</f>
        <v>90065</v>
      </c>
      <c r="F1549" s="19">
        <f ca="1">IFERROR(__xludf.DUMMYFUNCTION("""COMPUTED_VALUE"""),1)</f>
        <v>1</v>
      </c>
      <c r="G1549" s="19">
        <f ca="1">IFERROR(__xludf.DUMMYFUNCTION("""COMPUTED_VALUE"""),8000)</f>
        <v>8000</v>
      </c>
      <c r="H1549" s="18">
        <f ca="1">IFERROR(__xludf.DUMMYFUNCTION("""COMPUTED_VALUE"""),45718)</f>
        <v>45718</v>
      </c>
      <c r="I1549" s="5" t="str">
        <f ca="1">IFERROR(__xludf.DUMMYFUNCTION("""COMPUTED_VALUE"""),"Zillow")</f>
        <v>Zillow</v>
      </c>
      <c r="J1549" s="25" t="str">
        <f ca="1">IFERROR(__xludf.DUMMYFUNCTION("""COMPUTED_VALUE"""),"https://www.zillow.com/homedetails/955-W-Avenue-37-Los-Angeles-CA-90065/20760139_zpid/")</f>
        <v>https://www.zillow.com/homedetails/955-W-Avenue-37-Los-Angeles-CA-90065/20760139_zpid/</v>
      </c>
      <c r="K1549" s="5"/>
      <c r="L1549" s="5" t="str">
        <f ca="1">IFERROR(__xludf.DUMMYFUNCTION("""COMPUTED_VALUE"""),"Kyle Curran")</f>
        <v>Kyle Curran</v>
      </c>
      <c r="M1549" s="5" t="str">
        <f ca="1">IFERROR(__xludf.DUMMYFUNCTION("""COMPUTED_VALUE"""),"Rent price over market value ")</f>
        <v xml:space="preserve">Rent price over market value </v>
      </c>
      <c r="N1549" s="26" t="str">
        <f ca="1">IFERROR(__xludf.DUMMYFUNCTION("""COMPUTED_VALUE"""),"https://drive.google.com/open?id=1gxhyQJxUCavRtLuZaAtPAP7qx6kEO8WB")</f>
        <v>https://drive.google.com/open?id=1gxhyQJxUCavRtLuZaAtPAP7qx6kEO8WB</v>
      </c>
      <c r="O1549" s="5">
        <f ca="1">IFERROR(__xludf.DUMMYFUNCTION("""COMPUTED_VALUE"""),5464016003)</f>
        <v>5464016003</v>
      </c>
      <c r="P1549" s="5"/>
      <c r="Q1549" s="5"/>
      <c r="R1549" s="5" t="str">
        <f ca="1">IFERROR(__xludf.DUMMYFUNCTION("""COMPUTED_VALUE"""),"(213) 693-4470")</f>
        <v>(213) 693-4470</v>
      </c>
      <c r="S1549" s="5"/>
      <c r="T1549" s="5"/>
    </row>
    <row r="1550" spans="1:20" ht="12.75">
      <c r="A1550" s="24">
        <f ca="1">IFERROR(__xludf.DUMMYFUNCTION("""COMPUTED_VALUE"""),45719.9513094907)</f>
        <v>45719.951309490702</v>
      </c>
      <c r="B1550" s="5" t="str">
        <f ca="1">IFERROR(__xludf.DUMMYFUNCTION("""COMPUTED_VALUE"""),"9350 The Resort Parkway")</f>
        <v>9350 The Resort Parkway</v>
      </c>
      <c r="C1550" s="5" t="str">
        <f ca="1">IFERROR(__xludf.DUMMYFUNCTION("""COMPUTED_VALUE"""),"Rancho Cucamonga")</f>
        <v>Rancho Cucamonga</v>
      </c>
      <c r="D1550" s="5" t="str">
        <f ca="1">IFERROR(__xludf.DUMMYFUNCTION("""COMPUTED_VALUE"""),"CA")</f>
        <v>CA</v>
      </c>
      <c r="E1550" s="5">
        <f ca="1">IFERROR(__xludf.DUMMYFUNCTION("""COMPUTED_VALUE"""),91730)</f>
        <v>91730</v>
      </c>
      <c r="F1550" s="19">
        <f ca="1">IFERROR(__xludf.DUMMYFUNCTION("""COMPUTED_VALUE"""),2500)</f>
        <v>2500</v>
      </c>
      <c r="G1550" s="19">
        <f ca="1">IFERROR(__xludf.DUMMYFUNCTION("""COMPUTED_VALUE"""),3000)</f>
        <v>3000</v>
      </c>
      <c r="H1550" s="18">
        <f ca="1">IFERROR(__xludf.DUMMYFUNCTION("""COMPUTED_VALUE"""),45717)</f>
        <v>45717</v>
      </c>
      <c r="I1550" s="5" t="str">
        <f ca="1">IFERROR(__xludf.DUMMYFUNCTION("""COMPUTED_VALUE"""),"Zillow")</f>
        <v>Zillow</v>
      </c>
      <c r="J1550" s="25" t="str">
        <f ca="1">IFERROR(__xludf.DUMMYFUNCTION("""COMPUTED_VALUE"""),"https://www.zillow.com/homes/40492_rid/?category=RECENT_SEARCH")</f>
        <v>https://www.zillow.com/homes/40492_rid/?category=RECENT_SEARCH</v>
      </c>
      <c r="K1550" s="5"/>
      <c r="L1550" s="5"/>
      <c r="M1550" s="5" t="str">
        <f ca="1">IFERROR(__xludf.DUMMYFUNCTION("""COMPUTED_VALUE"""),"Rentals in Rancho are increasing overnight because they know people who lived in Pasadena are moving this way ")</f>
        <v xml:space="preserve">Rentals in Rancho are increasing overnight because they know people who lived in Pasadena are moving this way </v>
      </c>
      <c r="N1550" s="26" t="str">
        <f ca="1">IFERROR(__xludf.DUMMYFUNCTION("""COMPUTED_VALUE"""),"https://drive.google.com/open?id=1-BPWK1NumwCOHx9EAme4lAswc5nxedSL")</f>
        <v>https://drive.google.com/open?id=1-BPWK1NumwCOHx9EAme4lAswc5nxedSL</v>
      </c>
      <c r="O1550" s="5" t="str">
        <f ca="1">IFERROR(__xludf.DUMMYFUNCTION("""COMPUTED_VALUE"""),"NA")</f>
        <v>NA</v>
      </c>
      <c r="P1550" s="5"/>
      <c r="Q1550" s="5"/>
      <c r="R1550" s="5"/>
      <c r="S1550" s="5"/>
      <c r="T1550" s="18">
        <f ca="1">IFERROR(__xludf.DUMMYFUNCTION("""COMPUTED_VALUE"""),45659)</f>
        <v>45659</v>
      </c>
    </row>
    <row r="1551" spans="1:20" ht="12.75">
      <c r="A1551" s="24">
        <f ca="1">IFERROR(__xludf.DUMMYFUNCTION("""COMPUTED_VALUE"""),45721.9766240393)</f>
        <v>45721.9766240393</v>
      </c>
      <c r="B1551" s="5" t="str">
        <f ca="1">IFERROR(__xludf.DUMMYFUNCTION("""COMPUTED_VALUE"""),"1072 Laguna Ave, Apt 9")</f>
        <v>1072 Laguna Ave, Apt 9</v>
      </c>
      <c r="C1551" s="5" t="str">
        <f ca="1">IFERROR(__xludf.DUMMYFUNCTION("""COMPUTED_VALUE"""),"Los Ángeles ")</f>
        <v xml:space="preserve">Los Ángeles </v>
      </c>
      <c r="D1551" s="5" t="str">
        <f ca="1">IFERROR(__xludf.DUMMYFUNCTION("""COMPUTED_VALUE"""),"CA")</f>
        <v>CA</v>
      </c>
      <c r="E1551" s="5">
        <f ca="1">IFERROR(__xludf.DUMMYFUNCTION("""COMPUTED_VALUE"""),90026)</f>
        <v>90026</v>
      </c>
      <c r="F1551" s="19">
        <f ca="1">IFERROR(__xludf.DUMMYFUNCTION("""COMPUTED_VALUE"""),3700)</f>
        <v>3700</v>
      </c>
      <c r="G1551" s="19">
        <f ca="1">IFERROR(__xludf.DUMMYFUNCTION("""COMPUTED_VALUE"""),4161)</f>
        <v>4161</v>
      </c>
      <c r="H1551" s="18">
        <f ca="1">IFERROR(__xludf.DUMMYFUNCTION("""COMPUTED_VALUE"""),45717)</f>
        <v>45717</v>
      </c>
      <c r="I1551" s="5" t="str">
        <f ca="1">IFERROR(__xludf.DUMMYFUNCTION("""COMPUTED_VALUE"""),"Zillow")</f>
        <v>Zillow</v>
      </c>
      <c r="J1551" s="25" t="str">
        <f ca="1">IFERROR(__xludf.DUMMYFUNCTION("""COMPUTED_VALUE"""),"https://www.zillow.com/homedetails/1072-Laguna-Ave-APT-9-Los-Angeles-CA-90026/2073592799_zpid/")</f>
        <v>https://www.zillow.com/homedetails/1072-Laguna-Ave-APT-9-Los-Angeles-CA-90026/2073592799_zpid/</v>
      </c>
      <c r="K1551" s="5" t="str">
        <f ca="1">IFERROR(__xludf.DUMMYFUNCTION("""COMPUTED_VALUE"""),"Linda Right")</f>
        <v>Linda Right</v>
      </c>
      <c r="L1551" s="5" t="str">
        <f ca="1">IFERROR(__xludf.DUMMYFUNCTION("""COMPUTED_VALUE"""),"Linda Wright")</f>
        <v>Linda Wright</v>
      </c>
      <c r="M1551" s="5" t="str">
        <f ca="1">IFERROR(__xludf.DUMMYFUNCTION("""COMPUTED_VALUE"""),"With previous tenants the rent was 3700$")</f>
        <v>With previous tenants the rent was 3700$</v>
      </c>
      <c r="N1551" s="5" t="str">
        <f ca="1">IFERROR(__xludf.DUMMYFUNCTION("""COMPUTED_VALUE"""),"https://drive.google.com/open?id=1e7pAV9oEoI-VDB6RbjYJO04LSpZAsi3i, https://drive.google.com/open?id=1phiuOKuCyntRrVT_Eo2u_UdOXNWhVGGc, https://drive.google.com/open?id=1Y_FJk6rV752V2Cf-pdggLAbk9a8PyJAu, https://drive.google.com/open?id=1ff853I3vyDkSpgpu6"&amp;"6AReVR4SPnsbFL8, https://drive.google.com/open?id=1PHMb-BsCXWytvEh6zoLYVMXefIWrJZCt")</f>
        <v>https://drive.google.com/open?id=1e7pAV9oEoI-VDB6RbjYJO04LSpZAsi3i, https://drive.google.com/open?id=1phiuOKuCyntRrVT_Eo2u_UdOXNWhVGGc, https://drive.google.com/open?id=1Y_FJk6rV752V2Cf-pdggLAbk9a8PyJAu, https://drive.google.com/open?id=1ff853I3vyDkSpgpu66AReVR4SPnsbFL8, https://drive.google.com/open?id=1PHMb-BsCXWytvEh6zoLYVMXefIWrJZCt</v>
      </c>
      <c r="O1551" s="5" t="str">
        <f ca="1">IFERROR(__xludf.DUMMYFUNCTION("""COMPUTED_VALUE"""),"N/A")</f>
        <v>N/A</v>
      </c>
      <c r="P1551" s="5" t="str">
        <f ca="1">IFERROR(__xludf.DUMMYFUNCTION("""COMPUTED_VALUE"""),"Linda Wright")</f>
        <v>Linda Wright</v>
      </c>
      <c r="Q1551" s="5" t="str">
        <f ca="1">IFERROR(__xludf.DUMMYFUNCTION("""COMPUTED_VALUE"""),"lwrightpropmgmt@gmail.com")</f>
        <v>lwrightpropmgmt@gmail.com</v>
      </c>
      <c r="R1551" s="5" t="str">
        <f ca="1">IFERROR(__xludf.DUMMYFUNCTION("""COMPUTED_VALUE""")," (310) 345-7749")</f>
        <v xml:space="preserve"> (310) 345-7749</v>
      </c>
      <c r="S1551" s="5"/>
      <c r="T1551" s="18">
        <f ca="1">IFERROR(__xludf.DUMMYFUNCTION("""COMPUTED_VALUE"""),41640)</f>
        <v>41640</v>
      </c>
    </row>
    <row r="1552" spans="1:20" ht="12.75">
      <c r="A1552" s="24">
        <f ca="1">IFERROR(__xludf.DUMMYFUNCTION("""COMPUTED_VALUE"""),45727.6118083449)</f>
        <v>45727.611808344896</v>
      </c>
      <c r="B1552" s="5" t="str">
        <f ca="1">IFERROR(__xludf.DUMMYFUNCTION("""COMPUTED_VALUE"""),"1740 Casa Grande Street")</f>
        <v>1740 Casa Grande Street</v>
      </c>
      <c r="C1552" s="5" t="str">
        <f ca="1">IFERROR(__xludf.DUMMYFUNCTION("""COMPUTED_VALUE"""),"Pasadena")</f>
        <v>Pasadena</v>
      </c>
      <c r="D1552" s="5" t="str">
        <f ca="1">IFERROR(__xludf.DUMMYFUNCTION("""COMPUTED_VALUE"""),"CA")</f>
        <v>CA</v>
      </c>
      <c r="E1552" s="5">
        <f ca="1">IFERROR(__xludf.DUMMYFUNCTION("""COMPUTED_VALUE"""),91104)</f>
        <v>91104</v>
      </c>
      <c r="F1552" s="19">
        <f ca="1">IFERROR(__xludf.DUMMYFUNCTION("""COMPUTED_VALUE"""),4100)</f>
        <v>4100</v>
      </c>
      <c r="G1552" s="19">
        <f ca="1">IFERROR(__xludf.DUMMYFUNCTION("""COMPUTED_VALUE"""),5900)</f>
        <v>5900</v>
      </c>
      <c r="H1552" s="18">
        <f ca="1">IFERROR(__xludf.DUMMYFUNCTION("""COMPUTED_VALUE"""),45721)</f>
        <v>45721</v>
      </c>
      <c r="I1552" s="5" t="str">
        <f ca="1">IFERROR(__xludf.DUMMYFUNCTION("""COMPUTED_VALUE"""),"Zillow")</f>
        <v>Zillow</v>
      </c>
      <c r="J1552" s="25" t="str">
        <f ca="1">IFERROR(__xludf.DUMMYFUNCTION("""COMPUTED_VALUE"""),"https://www.zillow.com/homedetails/1740-Casa-Grande-St-Pasadena-CA-91104/20872281_zpid/?view=public")</f>
        <v>https://www.zillow.com/homedetails/1740-Casa-Grande-St-Pasadena-CA-91104/20872281_zpid/?view=public</v>
      </c>
      <c r="K1552" s="5"/>
      <c r="L1552" s="5" t="str">
        <f ca="1">IFERROR(__xludf.DUMMYFUNCTION("""COMPUTED_VALUE"""),"Yousef /Sameh Elawamry ")</f>
        <v xml:space="preserve">Yousef /Sameh Elawamry </v>
      </c>
      <c r="M1552" s="5"/>
      <c r="N1552" s="5" t="str">
        <f ca="1">IFERROR(__xludf.DUMMYFUNCTION("""COMPUTED_VALUE"""),"https://drive.google.com/open?id=1EOYPtIfdFGfdZOLsFH69IPFC0vcT6IaC, https://drive.google.com/open?id=1GWzJkAKvogmttpUHwAB6WFms9XQIO_th, https://drive.google.com/open?id=1Y3PkH6ZEPq5x3KoE_-sm0bxraPzgFEkC")</f>
        <v>https://drive.google.com/open?id=1EOYPtIfdFGfdZOLsFH69IPFC0vcT6IaC, https://drive.google.com/open?id=1GWzJkAKvogmttpUHwAB6WFms9XQIO_th, https://drive.google.com/open?id=1Y3PkH6ZEPq5x3KoE_-sm0bxraPzgFEkC</v>
      </c>
      <c r="O1552" s="5" t="str">
        <f ca="1">IFERROR(__xludf.DUMMYFUNCTION("""COMPUTED_VALUE"""),"5742-018-019")</f>
        <v>5742-018-019</v>
      </c>
      <c r="P1552" s="5"/>
      <c r="Q1552" s="5"/>
      <c r="R1552" s="5" t="str">
        <f ca="1">IFERROR(__xludf.DUMMYFUNCTION("""COMPUTED_VALUE"""),"626-243-8625")</f>
        <v>626-243-8625</v>
      </c>
      <c r="S1552" s="5" t="str">
        <f ca="1">IFERROR(__xludf.DUMMYFUNCTION("""COMPUTED_VALUE"""),"youssefakram975@gmail.com")</f>
        <v>youssefakram975@gmail.com</v>
      </c>
      <c r="T1552" s="18">
        <f ca="1">IFERROR(__xludf.DUMMYFUNCTION("""COMPUTED_VALUE"""),45069)</f>
        <v>45069</v>
      </c>
    </row>
    <row r="1553" spans="10:10" ht="12.75">
      <c r="J1553" s="5"/>
    </row>
    <row r="1554" spans="10:10" ht="12.75">
      <c r="J1554" s="5"/>
    </row>
    <row r="1555" spans="10:10" ht="12.75">
      <c r="J1555" s="5"/>
    </row>
    <row r="1556" spans="10:10" ht="12.75">
      <c r="J1556" s="5"/>
    </row>
    <row r="1557" spans="10:10" ht="12.75">
      <c r="J1557" s="5"/>
    </row>
    <row r="1558" spans="10:10" ht="12.75">
      <c r="J1558" s="5"/>
    </row>
    <row r="1559" spans="10:10" ht="12.75">
      <c r="J1559" s="5"/>
    </row>
    <row r="1560" spans="10:10" ht="12.75">
      <c r="J1560" s="5"/>
    </row>
    <row r="1561" spans="10:10" ht="12.75">
      <c r="J1561" s="5"/>
    </row>
    <row r="1562" spans="10:10" ht="12.75">
      <c r="J1562" s="5"/>
    </row>
    <row r="1563" spans="10:10" ht="12.75">
      <c r="J1563" s="5"/>
    </row>
    <row r="1564" spans="10:10" ht="12.75">
      <c r="J1564" s="5"/>
    </row>
    <row r="1565" spans="10:10" ht="12.75">
      <c r="J1565" s="5"/>
    </row>
    <row r="1566" spans="10:10" ht="12.75">
      <c r="J1566" s="5"/>
    </row>
    <row r="1567" spans="10:10" ht="12.75">
      <c r="J1567" s="5"/>
    </row>
    <row r="1568" spans="10:10" ht="12.75">
      <c r="J1568" s="5"/>
    </row>
    <row r="1569" spans="10:10" ht="12.75">
      <c r="J1569" s="5"/>
    </row>
    <row r="1570" spans="10:10" ht="12.75">
      <c r="J1570" s="5"/>
    </row>
    <row r="1571" spans="10:10" ht="12.75">
      <c r="J1571" s="5"/>
    </row>
    <row r="1572" spans="10:10" ht="12.75">
      <c r="J1572" s="5"/>
    </row>
    <row r="1573" spans="10:10" ht="12.75">
      <c r="J1573" s="5"/>
    </row>
    <row r="1574" spans="10:10" ht="12.75">
      <c r="J1574" s="5"/>
    </row>
    <row r="1575" spans="10:10" ht="12.75">
      <c r="J1575" s="5"/>
    </row>
    <row r="1576" spans="10:10" ht="12.75">
      <c r="J1576" s="5"/>
    </row>
    <row r="1577" spans="10:10" ht="12.75">
      <c r="J1577" s="5"/>
    </row>
    <row r="1578" spans="10:10" ht="12.75">
      <c r="J1578" s="5"/>
    </row>
    <row r="1579" spans="10:10" ht="12.75">
      <c r="J1579" s="5"/>
    </row>
    <row r="1580" spans="10:10" ht="12.75">
      <c r="J1580" s="5"/>
    </row>
    <row r="1581" spans="10:10" ht="12.75">
      <c r="J1581" s="5"/>
    </row>
    <row r="1582" spans="10:10" ht="12.75">
      <c r="J1582" s="5"/>
    </row>
    <row r="1583" spans="10:10" ht="12.75">
      <c r="J1583" s="5"/>
    </row>
    <row r="1584" spans="10:10" ht="12.75">
      <c r="J1584" s="5"/>
    </row>
    <row r="1585" spans="10:10" ht="12.75">
      <c r="J1585" s="5"/>
    </row>
    <row r="1586" spans="10:10" ht="12.75">
      <c r="J1586" s="5"/>
    </row>
    <row r="1587" spans="10:10" ht="12.75">
      <c r="J1587" s="5"/>
    </row>
    <row r="1588" spans="10:10" ht="12.75">
      <c r="J1588" s="5"/>
    </row>
    <row r="1589" spans="10:10" ht="12.75">
      <c r="J1589" s="5"/>
    </row>
    <row r="1590" spans="10:10" ht="12.75">
      <c r="J1590" s="5"/>
    </row>
    <row r="1591" spans="10:10" ht="12.75">
      <c r="J1591" s="5"/>
    </row>
    <row r="1592" spans="10:10" ht="12.75">
      <c r="J1592" s="5"/>
    </row>
    <row r="1593" spans="10:10" ht="12.75">
      <c r="J1593" s="5"/>
    </row>
    <row r="1594" spans="10:10" ht="12.75">
      <c r="J1594" s="5"/>
    </row>
    <row r="1595" spans="10:10" ht="12.75">
      <c r="J1595" s="5"/>
    </row>
    <row r="1596" spans="10:10" ht="12.75">
      <c r="J1596" s="5"/>
    </row>
    <row r="1597" spans="10:10" ht="12.75">
      <c r="J1597" s="5"/>
    </row>
    <row r="1598" spans="10:10" ht="12.75">
      <c r="J1598" s="5"/>
    </row>
    <row r="1599" spans="10:10" ht="12.75">
      <c r="J1599" s="5"/>
    </row>
    <row r="1600" spans="10:10" ht="12.75">
      <c r="J1600" s="5"/>
    </row>
    <row r="1601" spans="10:10" ht="12.75">
      <c r="J1601" s="5"/>
    </row>
    <row r="1602" spans="10:10" ht="12.75">
      <c r="J1602" s="5"/>
    </row>
    <row r="1603" spans="10:10" ht="12.75">
      <c r="J1603" s="5"/>
    </row>
    <row r="1604" spans="10:10" ht="12.75">
      <c r="J1604" s="5"/>
    </row>
    <row r="1605" spans="10:10" ht="12.75">
      <c r="J1605" s="5"/>
    </row>
    <row r="1606" spans="10:10" ht="12.75">
      <c r="J1606" s="5"/>
    </row>
    <row r="1607" spans="10:10" ht="12.75">
      <c r="J1607" s="5"/>
    </row>
    <row r="1608" spans="10:10" ht="12.75">
      <c r="J1608" s="5"/>
    </row>
    <row r="1609" spans="10:10" ht="12.75">
      <c r="J1609" s="5"/>
    </row>
    <row r="1610" spans="10:10" ht="12.75">
      <c r="J1610" s="5"/>
    </row>
    <row r="1611" spans="10:10" ht="12.75">
      <c r="J1611" s="5"/>
    </row>
    <row r="1612" spans="10:10" ht="12.75">
      <c r="J1612" s="5"/>
    </row>
    <row r="1613" spans="10:10" ht="12.75">
      <c r="J1613" s="5"/>
    </row>
    <row r="1614" spans="10:10" ht="12.75">
      <c r="J1614" s="5"/>
    </row>
    <row r="1615" spans="10:10" ht="12.75">
      <c r="J1615" s="5"/>
    </row>
    <row r="1616" spans="10:10" ht="12.75">
      <c r="J1616" s="5"/>
    </row>
    <row r="1617" spans="10:10" ht="12.75">
      <c r="J1617" s="5"/>
    </row>
    <row r="1618" spans="10:10" ht="12.75">
      <c r="J1618" s="5"/>
    </row>
    <row r="1619" spans="10:10" ht="12.75">
      <c r="J1619" s="5"/>
    </row>
    <row r="1620" spans="10:10" ht="12.75">
      <c r="J1620" s="5"/>
    </row>
    <row r="1621" spans="10:10" ht="12.75">
      <c r="J1621" s="5"/>
    </row>
    <row r="1622" spans="10:10" ht="12.75">
      <c r="J1622" s="5"/>
    </row>
    <row r="1623" spans="10:10" ht="12.75">
      <c r="J1623" s="5"/>
    </row>
    <row r="1624" spans="10:10" ht="12.75">
      <c r="J1624" s="5"/>
    </row>
    <row r="1625" spans="10:10" ht="12.75">
      <c r="J1625" s="5"/>
    </row>
    <row r="1626" spans="10:10" ht="12.75">
      <c r="J1626" s="5"/>
    </row>
    <row r="1627" spans="10:10" ht="12.75">
      <c r="J1627" s="5"/>
    </row>
    <row r="1628" spans="10:10" ht="12.75">
      <c r="J1628" s="5"/>
    </row>
    <row r="1629" spans="10:10" ht="12.75">
      <c r="J1629" s="5"/>
    </row>
    <row r="1630" spans="10:10" ht="12.75">
      <c r="J1630" s="5"/>
    </row>
    <row r="1631" spans="10:10" ht="12.75">
      <c r="J1631" s="5"/>
    </row>
    <row r="1632" spans="10:10" ht="12.75">
      <c r="J1632" s="5"/>
    </row>
    <row r="1633" spans="10:10" ht="12.75">
      <c r="J1633" s="5"/>
    </row>
    <row r="1634" spans="10:10" ht="12.75">
      <c r="J1634" s="5"/>
    </row>
    <row r="1635" spans="10:10" ht="12.75">
      <c r="J1635" s="5"/>
    </row>
    <row r="1636" spans="10:10" ht="12.75">
      <c r="J1636" s="5"/>
    </row>
    <row r="1637" spans="10:10" ht="12.75">
      <c r="J1637" s="5"/>
    </row>
    <row r="1638" spans="10:10" ht="12.75">
      <c r="J1638" s="5"/>
    </row>
    <row r="1639" spans="10:10" ht="12.75">
      <c r="J1639" s="5"/>
    </row>
    <row r="1640" spans="10:10" ht="12.75">
      <c r="J1640" s="5"/>
    </row>
    <row r="1641" spans="10:10" ht="12.75">
      <c r="J1641" s="5"/>
    </row>
    <row r="1642" spans="10:10" ht="12.75">
      <c r="J1642" s="5"/>
    </row>
    <row r="1643" spans="10:10" ht="12.75">
      <c r="J1643" s="5"/>
    </row>
    <row r="1644" spans="10:10" ht="12.75">
      <c r="J1644" s="5"/>
    </row>
    <row r="1645" spans="10:10" ht="12.75">
      <c r="J1645" s="5"/>
    </row>
    <row r="1646" spans="10:10" ht="12.75">
      <c r="J1646" s="5"/>
    </row>
    <row r="1647" spans="10:10" ht="12.75">
      <c r="J1647" s="5"/>
    </row>
    <row r="1648" spans="10:10" ht="12.75">
      <c r="J1648" s="5"/>
    </row>
    <row r="1649" spans="10:10" ht="12.75">
      <c r="J1649" s="5"/>
    </row>
    <row r="1650" spans="10:10" ht="12.75">
      <c r="J1650" s="5"/>
    </row>
    <row r="1651" spans="10:10" ht="12.75">
      <c r="J1651" s="5"/>
    </row>
    <row r="1652" spans="10:10" ht="12.75">
      <c r="J1652" s="5"/>
    </row>
    <row r="1653" spans="10:10" ht="12.75">
      <c r="J1653" s="5"/>
    </row>
    <row r="1654" spans="10:10" ht="12.75">
      <c r="J1654" s="5"/>
    </row>
    <row r="1655" spans="10:10" ht="12.75">
      <c r="J1655" s="5"/>
    </row>
    <row r="1656" spans="10:10" ht="12.75">
      <c r="J1656" s="5"/>
    </row>
    <row r="1657" spans="10:10" ht="12.75">
      <c r="J1657" s="5"/>
    </row>
    <row r="1658" spans="10:10" ht="12.75">
      <c r="J1658" s="5"/>
    </row>
    <row r="1659" spans="10:10" ht="12.75">
      <c r="J1659" s="5"/>
    </row>
    <row r="1660" spans="10:10" ht="12.75">
      <c r="J1660" s="5"/>
    </row>
    <row r="1661" spans="10:10" ht="12.75">
      <c r="J1661" s="5"/>
    </row>
    <row r="1662" spans="10:10" ht="12.75">
      <c r="J1662" s="5"/>
    </row>
    <row r="1663" spans="10:10" ht="12.75">
      <c r="J1663" s="5"/>
    </row>
    <row r="1664" spans="10:10" ht="12.75">
      <c r="J1664" s="5"/>
    </row>
    <row r="1665" spans="10:10" ht="12.75">
      <c r="J1665" s="5"/>
    </row>
    <row r="1666" spans="10:10" ht="12.75">
      <c r="J1666" s="5"/>
    </row>
    <row r="1667" spans="10:10" ht="12.75">
      <c r="J1667" s="5"/>
    </row>
    <row r="1668" spans="10:10" ht="12.75">
      <c r="J1668" s="5"/>
    </row>
    <row r="1669" spans="10:10" ht="12.75">
      <c r="J1669" s="5"/>
    </row>
    <row r="1670" spans="10:10" ht="12.75">
      <c r="J1670" s="5"/>
    </row>
    <row r="1671" spans="10:10" ht="12.75">
      <c r="J1671" s="5"/>
    </row>
    <row r="1672" spans="10:10" ht="12.75">
      <c r="J1672" s="5"/>
    </row>
    <row r="1673" spans="10:10" ht="12.75">
      <c r="J1673" s="5"/>
    </row>
    <row r="1674" spans="10:10" ht="12.75">
      <c r="J1674" s="5"/>
    </row>
    <row r="1675" spans="10:10" ht="12.75">
      <c r="J1675" s="5"/>
    </row>
    <row r="1676" spans="10:10" ht="12.75">
      <c r="J1676" s="5"/>
    </row>
    <row r="1677" spans="10:10" ht="12.75">
      <c r="J1677" s="5"/>
    </row>
    <row r="1678" spans="10:10" ht="12.75">
      <c r="J1678" s="5"/>
    </row>
    <row r="1679" spans="10:10" ht="12.75">
      <c r="J1679" s="5"/>
    </row>
    <row r="1680" spans="10:10" ht="12.75">
      <c r="J1680" s="5"/>
    </row>
    <row r="1681" spans="10:10" ht="12.75">
      <c r="J1681" s="5"/>
    </row>
    <row r="1682" spans="10:10" ht="12.75">
      <c r="J1682" s="5"/>
    </row>
    <row r="1683" spans="10:10" ht="12.75">
      <c r="J1683" s="5"/>
    </row>
    <row r="1684" spans="10:10" ht="12.75">
      <c r="J1684" s="5"/>
    </row>
    <row r="1685" spans="10:10" ht="12.75">
      <c r="J1685" s="5"/>
    </row>
    <row r="1686" spans="10:10" ht="12.75">
      <c r="J1686" s="5"/>
    </row>
    <row r="1687" spans="10:10" ht="12.75">
      <c r="J1687" s="5"/>
    </row>
    <row r="1688" spans="10:10" ht="12.75">
      <c r="J1688" s="5"/>
    </row>
    <row r="1689" spans="10:10" ht="12.75">
      <c r="J1689" s="5"/>
    </row>
    <row r="1690" spans="10:10" ht="12.75">
      <c r="J1690" s="5"/>
    </row>
    <row r="1691" spans="10:10" ht="12.75">
      <c r="J1691" s="5"/>
    </row>
    <row r="1692" spans="10:10" ht="12.75">
      <c r="J1692" s="5"/>
    </row>
    <row r="1693" spans="10:10" ht="12.75">
      <c r="J1693" s="5"/>
    </row>
    <row r="1694" spans="10:10" ht="12.75">
      <c r="J1694" s="5"/>
    </row>
    <row r="1695" spans="10:10" ht="12.75">
      <c r="J1695" s="5"/>
    </row>
    <row r="1696" spans="10:10" ht="12.75">
      <c r="J1696" s="5"/>
    </row>
    <row r="1697" spans="10:10" ht="12.75">
      <c r="J1697" s="5"/>
    </row>
    <row r="1698" spans="10:10" ht="12.75">
      <c r="J1698" s="5"/>
    </row>
    <row r="1699" spans="10:10" ht="12.75">
      <c r="J1699" s="5"/>
    </row>
    <row r="1700" spans="10:10" ht="12.75">
      <c r="J1700" s="5"/>
    </row>
    <row r="1701" spans="10:10" ht="12.75">
      <c r="J1701" s="5"/>
    </row>
    <row r="1702" spans="10:10" ht="12.75">
      <c r="J1702" s="5"/>
    </row>
    <row r="1703" spans="10:10" ht="12.75">
      <c r="J1703" s="5"/>
    </row>
    <row r="1704" spans="10:10" ht="12.75">
      <c r="J1704" s="5"/>
    </row>
    <row r="1705" spans="10:10" ht="12.75">
      <c r="J1705" s="5"/>
    </row>
    <row r="1706" spans="10:10" ht="12.75">
      <c r="J1706" s="5"/>
    </row>
    <row r="1707" spans="10:10" ht="12.75">
      <c r="J1707" s="5"/>
    </row>
    <row r="1708" spans="10:10" ht="12.75">
      <c r="J1708" s="5"/>
    </row>
    <row r="1709" spans="10:10" ht="12.75">
      <c r="J1709" s="5"/>
    </row>
    <row r="1710" spans="10:10" ht="12.75">
      <c r="J1710" s="5"/>
    </row>
    <row r="1711" spans="10:10" ht="12.75">
      <c r="J1711" s="5"/>
    </row>
    <row r="1712" spans="10:10" ht="12.75">
      <c r="J1712" s="5"/>
    </row>
    <row r="1713" spans="10:10" ht="12.75">
      <c r="J1713" s="5"/>
    </row>
    <row r="1714" spans="10:10" ht="12.75">
      <c r="J1714" s="5"/>
    </row>
    <row r="1715" spans="10:10" ht="12.75">
      <c r="J1715" s="5"/>
    </row>
    <row r="1716" spans="10:10" ht="12.75">
      <c r="J1716" s="5"/>
    </row>
    <row r="1717" spans="10:10" ht="12.75">
      <c r="J1717" s="5"/>
    </row>
    <row r="1718" spans="10:10" ht="12.75">
      <c r="J1718" s="5"/>
    </row>
    <row r="1719" spans="10:10" ht="12.75">
      <c r="J1719" s="5"/>
    </row>
    <row r="1720" spans="10:10" ht="12.75">
      <c r="J1720" s="5"/>
    </row>
    <row r="1721" spans="10:10" ht="12.75">
      <c r="J1721" s="5"/>
    </row>
    <row r="1722" spans="10:10" ht="12.75">
      <c r="J1722" s="5"/>
    </row>
    <row r="1723" spans="10:10" ht="12.75">
      <c r="J1723" s="5"/>
    </row>
    <row r="1724" spans="10:10" ht="12.75">
      <c r="J1724" s="5"/>
    </row>
    <row r="1725" spans="10:10" ht="12.75">
      <c r="J1725" s="5"/>
    </row>
    <row r="1726" spans="10:10" ht="12.75">
      <c r="J1726" s="5"/>
    </row>
    <row r="1727" spans="10:10" ht="12.75">
      <c r="J1727" s="5"/>
    </row>
    <row r="1728" spans="10:10" ht="12.75">
      <c r="J1728" s="5"/>
    </row>
    <row r="1729" spans="10:10" ht="12.75">
      <c r="J1729" s="5"/>
    </row>
    <row r="1730" spans="10:10" ht="12.75">
      <c r="J1730" s="5"/>
    </row>
    <row r="1731" spans="10:10" ht="12.75">
      <c r="J1731" s="5"/>
    </row>
    <row r="1732" spans="10:10" ht="12.75">
      <c r="J1732" s="5"/>
    </row>
    <row r="1733" spans="10:10" ht="12.75">
      <c r="J1733" s="5"/>
    </row>
    <row r="1734" spans="10:10" ht="12.75">
      <c r="J1734" s="5"/>
    </row>
    <row r="1735" spans="10:10" ht="12.75">
      <c r="J1735" s="5"/>
    </row>
    <row r="1736" spans="10:10" ht="12.75">
      <c r="J1736" s="5"/>
    </row>
    <row r="1737" spans="10:10" ht="12.75">
      <c r="J1737" s="5"/>
    </row>
    <row r="1738" spans="10:10" ht="12.75">
      <c r="J1738" s="5"/>
    </row>
    <row r="1739" spans="10:10" ht="12.75">
      <c r="J1739" s="5"/>
    </row>
    <row r="1740" spans="10:10" ht="12.75">
      <c r="J1740" s="5"/>
    </row>
    <row r="1741" spans="10:10" ht="12.75">
      <c r="J1741" s="5"/>
    </row>
    <row r="1742" spans="10:10" ht="12.75">
      <c r="J1742" s="5"/>
    </row>
    <row r="1743" spans="10:10" ht="12.75">
      <c r="J1743" s="5"/>
    </row>
    <row r="1744" spans="10:10" ht="12.75">
      <c r="J1744" s="5"/>
    </row>
    <row r="1745" spans="10:10" ht="12.75">
      <c r="J1745" s="5"/>
    </row>
    <row r="1746" spans="10:10" ht="12.75">
      <c r="J1746" s="5"/>
    </row>
    <row r="1747" spans="10:10" ht="12.75">
      <c r="J1747" s="5"/>
    </row>
    <row r="1748" spans="10:10" ht="12.75">
      <c r="J1748" s="5"/>
    </row>
    <row r="1749" spans="10:10" ht="12.75">
      <c r="J1749" s="5"/>
    </row>
    <row r="1750" spans="10:10" ht="12.75">
      <c r="J1750" s="5"/>
    </row>
    <row r="1751" spans="10:10" ht="12.75">
      <c r="J1751" s="5"/>
    </row>
    <row r="1752" spans="10:10" ht="12.75">
      <c r="J1752" s="5"/>
    </row>
    <row r="1753" spans="10:10" ht="12.75">
      <c r="J1753" s="5"/>
    </row>
    <row r="1754" spans="10:10" ht="12.75">
      <c r="J1754" s="5"/>
    </row>
    <row r="1755" spans="10:10" ht="12.75">
      <c r="J1755" s="5"/>
    </row>
    <row r="1756" spans="10:10" ht="12.75">
      <c r="J1756" s="5"/>
    </row>
    <row r="1757" spans="10:10" ht="12.75">
      <c r="J1757" s="5"/>
    </row>
    <row r="1758" spans="10:10" ht="12.75">
      <c r="J1758" s="5"/>
    </row>
    <row r="1759" spans="10:10" ht="12.75">
      <c r="J1759" s="5"/>
    </row>
    <row r="1760" spans="10:10" ht="12.75">
      <c r="J1760" s="5"/>
    </row>
    <row r="1761" spans="10:10" ht="12.75">
      <c r="J1761" s="5"/>
    </row>
    <row r="1762" spans="10:10" ht="12.75">
      <c r="J1762" s="5"/>
    </row>
    <row r="1763" spans="10:10" ht="12.75">
      <c r="J1763" s="5"/>
    </row>
    <row r="1764" spans="10:10" ht="12.75">
      <c r="J1764" s="5"/>
    </row>
    <row r="1765" spans="10:10" ht="12.75">
      <c r="J1765" s="5"/>
    </row>
    <row r="1766" spans="10:10" ht="12.75">
      <c r="J1766" s="5"/>
    </row>
    <row r="1767" spans="10:10" ht="12.75">
      <c r="J1767" s="5"/>
    </row>
    <row r="1768" spans="10:10" ht="12.75">
      <c r="J1768" s="5"/>
    </row>
    <row r="1769" spans="10:10" ht="12.75">
      <c r="J1769" s="5"/>
    </row>
    <row r="1770" spans="10:10" ht="12.75">
      <c r="J1770" s="5"/>
    </row>
    <row r="1771" spans="10:10" ht="12.75">
      <c r="J1771" s="5"/>
    </row>
    <row r="1772" spans="10:10" ht="12.75">
      <c r="J1772" s="5"/>
    </row>
    <row r="1773" spans="10:10" ht="12.75">
      <c r="J1773" s="5"/>
    </row>
    <row r="1774" spans="10:10" ht="12.75">
      <c r="J1774" s="5"/>
    </row>
    <row r="1775" spans="10:10" ht="12.75">
      <c r="J1775" s="5"/>
    </row>
    <row r="1776" spans="10:10" ht="12.75">
      <c r="J1776" s="5"/>
    </row>
    <row r="1777" spans="10:10" ht="12.75">
      <c r="J1777" s="5"/>
    </row>
    <row r="1778" spans="10:10" ht="12.75">
      <c r="J1778" s="5"/>
    </row>
    <row r="1779" spans="10:10" ht="12.75">
      <c r="J1779" s="5"/>
    </row>
    <row r="1780" spans="10:10" ht="12.75">
      <c r="J1780" s="5"/>
    </row>
    <row r="1781" spans="10:10" ht="12.75">
      <c r="J1781" s="5"/>
    </row>
    <row r="1782" spans="10:10" ht="12.75">
      <c r="J1782" s="5"/>
    </row>
    <row r="1783" spans="10:10" ht="12.75">
      <c r="J1783" s="5"/>
    </row>
    <row r="1784" spans="10:10" ht="12.75">
      <c r="J1784" s="5"/>
    </row>
    <row r="1785" spans="10:10" ht="12.75">
      <c r="J1785" s="5"/>
    </row>
    <row r="1786" spans="10:10" ht="12.75">
      <c r="J1786" s="5"/>
    </row>
    <row r="1787" spans="10:10" ht="12.75">
      <c r="J1787" s="5"/>
    </row>
    <row r="1788" spans="10:10" ht="12.75">
      <c r="J1788" s="5"/>
    </row>
    <row r="1789" spans="10:10" ht="12.75">
      <c r="J1789" s="5"/>
    </row>
    <row r="1790" spans="10:10" ht="12.75">
      <c r="J1790" s="5"/>
    </row>
    <row r="1791" spans="10:10" ht="12.75">
      <c r="J1791" s="5"/>
    </row>
    <row r="1792" spans="10:10" ht="12.75">
      <c r="J1792" s="5"/>
    </row>
    <row r="1793" spans="10:10" ht="12.75">
      <c r="J1793" s="5"/>
    </row>
    <row r="1794" spans="10:10" ht="12.75">
      <c r="J1794" s="5"/>
    </row>
    <row r="1795" spans="10:10" ht="12.75">
      <c r="J1795" s="5"/>
    </row>
    <row r="1796" spans="10:10" ht="12.75">
      <c r="J1796" s="5"/>
    </row>
    <row r="1797" spans="10:10" ht="12.75">
      <c r="J1797" s="5"/>
    </row>
    <row r="1798" spans="10:10" ht="12.75">
      <c r="J1798" s="5"/>
    </row>
    <row r="1799" spans="10:10" ht="12.75">
      <c r="J1799" s="5"/>
    </row>
    <row r="1800" spans="10:10" ht="12.75">
      <c r="J1800" s="5"/>
    </row>
    <row r="1801" spans="10:10" ht="12.75">
      <c r="J1801" s="5"/>
    </row>
    <row r="1802" spans="10:10" ht="12.75">
      <c r="J1802" s="5"/>
    </row>
    <row r="1803" spans="10:10" ht="12.75">
      <c r="J1803" s="5"/>
    </row>
    <row r="1804" spans="10:10" ht="12.75">
      <c r="J1804" s="5"/>
    </row>
    <row r="1805" spans="10:10" ht="12.75">
      <c r="J1805" s="5"/>
    </row>
    <row r="1806" spans="10:10" ht="12.75">
      <c r="J1806" s="5"/>
    </row>
    <row r="1807" spans="10:10" ht="12.75">
      <c r="J1807" s="5"/>
    </row>
    <row r="1808" spans="10:10" ht="12.75">
      <c r="J1808" s="5"/>
    </row>
    <row r="1809" spans="10:10" ht="12.75">
      <c r="J1809" s="5"/>
    </row>
    <row r="1810" spans="10:10" ht="12.75">
      <c r="J1810" s="5"/>
    </row>
    <row r="1811" spans="10:10" ht="12.75">
      <c r="J1811" s="5"/>
    </row>
    <row r="1812" spans="10:10" ht="12.75">
      <c r="J1812" s="5"/>
    </row>
    <row r="1813" spans="10:10" ht="12.75">
      <c r="J1813" s="5"/>
    </row>
    <row r="1814" spans="10:10" ht="12.75">
      <c r="J1814" s="5"/>
    </row>
    <row r="1815" spans="10:10" ht="12.75">
      <c r="J1815" s="5"/>
    </row>
    <row r="1816" spans="10:10" ht="12.75">
      <c r="J1816" s="5"/>
    </row>
    <row r="1817" spans="10:10" ht="12.75">
      <c r="J1817" s="5"/>
    </row>
    <row r="1818" spans="10:10" ht="12.75">
      <c r="J1818" s="5"/>
    </row>
    <row r="1819" spans="10:10" ht="12.75">
      <c r="J1819" s="5"/>
    </row>
    <row r="1820" spans="10:10" ht="12.75">
      <c r="J1820" s="5"/>
    </row>
    <row r="1821" spans="10:10" ht="12.75">
      <c r="J1821" s="5"/>
    </row>
    <row r="1822" spans="10:10" ht="12.75">
      <c r="J1822" s="5"/>
    </row>
    <row r="1823" spans="10:10" ht="12.75">
      <c r="J1823" s="5"/>
    </row>
    <row r="1824" spans="10:10" ht="12.75">
      <c r="J1824" s="5"/>
    </row>
    <row r="1825" spans="10:10" ht="12.75">
      <c r="J1825" s="5"/>
    </row>
    <row r="1826" spans="10:10" ht="12.75">
      <c r="J1826" s="5"/>
    </row>
    <row r="1827" spans="10:10" ht="12.75">
      <c r="J1827" s="5"/>
    </row>
    <row r="1828" spans="10:10" ht="12.75">
      <c r="J1828" s="5"/>
    </row>
    <row r="1829" spans="10:10" ht="12.75">
      <c r="J1829" s="5"/>
    </row>
    <row r="1830" spans="10:10" ht="12.75">
      <c r="J1830" s="5"/>
    </row>
    <row r="1831" spans="10:10" ht="12.75">
      <c r="J1831" s="5"/>
    </row>
    <row r="1832" spans="10:10" ht="12.75">
      <c r="J1832" s="5"/>
    </row>
    <row r="1833" spans="10:10" ht="12.75">
      <c r="J1833" s="5"/>
    </row>
    <row r="1834" spans="10:10" ht="12.75">
      <c r="J1834" s="5"/>
    </row>
    <row r="1835" spans="10:10" ht="12.75">
      <c r="J1835" s="5"/>
    </row>
    <row r="1836" spans="10:10" ht="12.75">
      <c r="J1836" s="5"/>
    </row>
    <row r="1837" spans="10:10" ht="12.75">
      <c r="J1837" s="5"/>
    </row>
    <row r="1838" spans="10:10" ht="12.75">
      <c r="J1838" s="5"/>
    </row>
    <row r="1839" spans="10:10" ht="12.75">
      <c r="J1839" s="5"/>
    </row>
    <row r="1840" spans="10:10" ht="12.75">
      <c r="J1840" s="5"/>
    </row>
    <row r="1841" spans="10:10" ht="12.75">
      <c r="J1841" s="5"/>
    </row>
    <row r="1842" spans="10:10" ht="12.75">
      <c r="J1842" s="5"/>
    </row>
    <row r="1843" spans="10:10" ht="12.75">
      <c r="J1843" s="5"/>
    </row>
    <row r="1844" spans="10:10" ht="12.75">
      <c r="J1844" s="5"/>
    </row>
    <row r="1845" spans="10:10" ht="12.75">
      <c r="J1845" s="5"/>
    </row>
    <row r="1846" spans="10:10" ht="12.75">
      <c r="J1846" s="5"/>
    </row>
    <row r="1847" spans="10:10" ht="12.75">
      <c r="J1847" s="5"/>
    </row>
    <row r="1848" spans="10:10" ht="12.75">
      <c r="J1848" s="5"/>
    </row>
    <row r="1849" spans="10:10" ht="12.75">
      <c r="J1849" s="5"/>
    </row>
    <row r="1850" spans="10:10" ht="12.75">
      <c r="J1850" s="5"/>
    </row>
    <row r="1851" spans="10:10" ht="12.75">
      <c r="J1851" s="5"/>
    </row>
    <row r="1852" spans="10:10" ht="12.75">
      <c r="J1852" s="5"/>
    </row>
    <row r="1853" spans="10:10" ht="12.75">
      <c r="J1853" s="5"/>
    </row>
    <row r="1854" spans="10:10" ht="12.75">
      <c r="J1854" s="5"/>
    </row>
    <row r="1855" spans="10:10" ht="12.75">
      <c r="J1855" s="5"/>
    </row>
    <row r="1856" spans="10:10" ht="12.75">
      <c r="J1856" s="5"/>
    </row>
    <row r="1857" spans="10:10" ht="12.75">
      <c r="J1857" s="5"/>
    </row>
    <row r="1858" spans="10:10" ht="12.75">
      <c r="J1858" s="5"/>
    </row>
    <row r="1859" spans="10:10" ht="12.75">
      <c r="J1859" s="5"/>
    </row>
    <row r="1860" spans="10:10" ht="12.75">
      <c r="J1860" s="5"/>
    </row>
    <row r="1861" spans="10:10" ht="12.75">
      <c r="J1861" s="5"/>
    </row>
    <row r="1862" spans="10:10" ht="12.75">
      <c r="J1862" s="5"/>
    </row>
    <row r="1863" spans="10:10" ht="12.75">
      <c r="J1863" s="5"/>
    </row>
    <row r="1864" spans="10:10" ht="12.75">
      <c r="J1864" s="5"/>
    </row>
    <row r="1865" spans="10:10" ht="12.75">
      <c r="J1865" s="5"/>
    </row>
    <row r="1866" spans="10:10" ht="12.75">
      <c r="J1866" s="5"/>
    </row>
    <row r="1867" spans="10:10" ht="12.75">
      <c r="J1867" s="5"/>
    </row>
    <row r="1868" spans="10:10" ht="12.75">
      <c r="J1868" s="5"/>
    </row>
    <row r="1869" spans="10:10" ht="12.75">
      <c r="J1869" s="5"/>
    </row>
    <row r="1870" spans="10:10" ht="12.75">
      <c r="J1870" s="5"/>
    </row>
    <row r="1871" spans="10:10" ht="12.75">
      <c r="J1871" s="5"/>
    </row>
    <row r="1872" spans="10:10" ht="12.75">
      <c r="J1872" s="5"/>
    </row>
    <row r="1873" spans="10:10" ht="12.75">
      <c r="J1873" s="5"/>
    </row>
    <row r="1874" spans="10:10" ht="12.75">
      <c r="J1874" s="5"/>
    </row>
    <row r="1875" spans="10:10" ht="12.75">
      <c r="J1875" s="5"/>
    </row>
    <row r="1876" spans="10:10" ht="12.75">
      <c r="J1876" s="5"/>
    </row>
    <row r="1877" spans="10:10" ht="12.75">
      <c r="J1877" s="5"/>
    </row>
    <row r="1878" spans="10:10" ht="12.75">
      <c r="J1878" s="5"/>
    </row>
    <row r="1879" spans="10:10" ht="12.75">
      <c r="J1879" s="5"/>
    </row>
    <row r="1880" spans="10:10" ht="12.75">
      <c r="J1880" s="5"/>
    </row>
    <row r="1881" spans="10:10" ht="12.75">
      <c r="J1881" s="5"/>
    </row>
    <row r="1882" spans="10:10" ht="12.75">
      <c r="J1882" s="5"/>
    </row>
    <row r="1883" spans="10:10" ht="12.75">
      <c r="J1883" s="5"/>
    </row>
    <row r="1884" spans="10:10" ht="12.75">
      <c r="J1884" s="5"/>
    </row>
    <row r="1885" spans="10:10" ht="12.75">
      <c r="J1885" s="5"/>
    </row>
    <row r="1886" spans="10:10" ht="12.75">
      <c r="J1886" s="5"/>
    </row>
    <row r="1887" spans="10:10" ht="12.75">
      <c r="J1887" s="5"/>
    </row>
    <row r="1888" spans="10:10" ht="12.75">
      <c r="J1888" s="5"/>
    </row>
    <row r="1889" spans="10:10" ht="12.75">
      <c r="J1889" s="5"/>
    </row>
    <row r="1890" spans="10:10" ht="12.75">
      <c r="J1890" s="5"/>
    </row>
    <row r="1891" spans="10:10" ht="12.75">
      <c r="J1891" s="5"/>
    </row>
    <row r="1892" spans="10:10" ht="12.75">
      <c r="J1892" s="5"/>
    </row>
    <row r="1893" spans="10:10" ht="12.75">
      <c r="J1893" s="5"/>
    </row>
    <row r="1894" spans="10:10" ht="12.75">
      <c r="J1894" s="5"/>
    </row>
    <row r="1895" spans="10:10" ht="12.75">
      <c r="J1895" s="5"/>
    </row>
    <row r="1896" spans="10:10" ht="12.75">
      <c r="J1896" s="5"/>
    </row>
    <row r="1897" spans="10:10" ht="12.75">
      <c r="J1897" s="5"/>
    </row>
    <row r="1898" spans="10:10" ht="12.75">
      <c r="J1898" s="5"/>
    </row>
    <row r="1899" spans="10:10" ht="12.75">
      <c r="J1899" s="5"/>
    </row>
    <row r="1900" spans="10:10" ht="12.75">
      <c r="J1900" s="5"/>
    </row>
    <row r="1901" spans="10:10" ht="12.75">
      <c r="J1901" s="5"/>
    </row>
    <row r="1902" spans="10:10" ht="12.75">
      <c r="J1902" s="5"/>
    </row>
    <row r="1903" spans="10:10" ht="12.75">
      <c r="J1903" s="5"/>
    </row>
    <row r="1904" spans="10:10" ht="12.75">
      <c r="J1904" s="5"/>
    </row>
    <row r="1905" spans="10:10" ht="12.75">
      <c r="J1905" s="5"/>
    </row>
    <row r="1906" spans="10:10" ht="12.75">
      <c r="J1906" s="5"/>
    </row>
    <row r="1907" spans="10:10" ht="12.75">
      <c r="J1907" s="5"/>
    </row>
    <row r="1908" spans="10:10" ht="12.75">
      <c r="J1908" s="5"/>
    </row>
    <row r="1909" spans="10:10" ht="12.75">
      <c r="J1909" s="5"/>
    </row>
    <row r="1910" spans="10:10" ht="12.75">
      <c r="J1910" s="5"/>
    </row>
    <row r="1911" spans="10:10" ht="12.75">
      <c r="J1911" s="5"/>
    </row>
    <row r="1912" spans="10:10" ht="12.75">
      <c r="J1912" s="5"/>
    </row>
    <row r="1913" spans="10:10" ht="12.75">
      <c r="J1913" s="5"/>
    </row>
    <row r="1914" spans="10:10" ht="12.75">
      <c r="J1914" s="5"/>
    </row>
    <row r="1915" spans="10:10" ht="12.75">
      <c r="J1915" s="5"/>
    </row>
    <row r="1916" spans="10:10" ht="12.75">
      <c r="J1916" s="5"/>
    </row>
    <row r="1917" spans="10:10" ht="12.75">
      <c r="J1917" s="5"/>
    </row>
    <row r="1918" spans="10:10" ht="12.75">
      <c r="J1918" s="5"/>
    </row>
    <row r="1919" spans="10:10" ht="12.75">
      <c r="J1919" s="5"/>
    </row>
    <row r="1920" spans="10:10" ht="12.75">
      <c r="J1920" s="5"/>
    </row>
    <row r="1921" spans="10:10" ht="12.75">
      <c r="J1921" s="5"/>
    </row>
    <row r="1922" spans="10:10" ht="12.75">
      <c r="J1922" s="5"/>
    </row>
    <row r="1923" spans="10:10" ht="12.75">
      <c r="J1923" s="5"/>
    </row>
    <row r="1924" spans="10:10" ht="12.75">
      <c r="J1924" s="5"/>
    </row>
    <row r="1925" spans="10:10" ht="12.75">
      <c r="J1925" s="5"/>
    </row>
    <row r="1926" spans="10:10" ht="12.75">
      <c r="J1926" s="5"/>
    </row>
    <row r="1927" spans="10:10" ht="12.75">
      <c r="J1927" s="5"/>
    </row>
    <row r="1928" spans="10:10" ht="12.75">
      <c r="J1928" s="5"/>
    </row>
    <row r="1929" spans="10:10" ht="12.75">
      <c r="J1929" s="5"/>
    </row>
    <row r="1930" spans="10:10" ht="12.75">
      <c r="J1930" s="5"/>
    </row>
    <row r="1931" spans="10:10" ht="12.75">
      <c r="J1931" s="5"/>
    </row>
    <row r="1932" spans="10:10" ht="12.75">
      <c r="J1932" s="5"/>
    </row>
    <row r="1933" spans="10:10" ht="12.75">
      <c r="J1933" s="5"/>
    </row>
    <row r="1934" spans="10:10" ht="12.75">
      <c r="J1934" s="5"/>
    </row>
    <row r="1935" spans="10:10" ht="12.75">
      <c r="J1935" s="5"/>
    </row>
    <row r="1936" spans="10:10" ht="12.75">
      <c r="J1936" s="5"/>
    </row>
    <row r="1937" spans="10:10" ht="12.75">
      <c r="J1937" s="5"/>
    </row>
    <row r="1938" spans="10:10" ht="12.75">
      <c r="J1938" s="5"/>
    </row>
    <row r="1939" spans="10:10" ht="12.75">
      <c r="J1939" s="5"/>
    </row>
    <row r="1940" spans="10:10" ht="12.75">
      <c r="J1940" s="5"/>
    </row>
    <row r="1941" spans="10:10" ht="12.75">
      <c r="J1941" s="5"/>
    </row>
    <row r="1942" spans="10:10" ht="12.75">
      <c r="J1942" s="5"/>
    </row>
    <row r="1943" spans="10:10" ht="12.75">
      <c r="J1943" s="5"/>
    </row>
    <row r="1944" spans="10:10" ht="12.75">
      <c r="J1944" s="5"/>
    </row>
    <row r="1945" spans="10:10" ht="12.75">
      <c r="J1945" s="5"/>
    </row>
    <row r="1946" spans="10:10" ht="12.75">
      <c r="J1946" s="5"/>
    </row>
    <row r="1947" spans="10:10" ht="12.75">
      <c r="J1947" s="5"/>
    </row>
    <row r="1948" spans="10:10" ht="12.75">
      <c r="J1948" s="5"/>
    </row>
    <row r="1949" spans="10:10" ht="12.75">
      <c r="J1949" s="5"/>
    </row>
    <row r="1950" spans="10:10" ht="12.75">
      <c r="J1950" s="5"/>
    </row>
    <row r="1951" spans="10:10" ht="12.75">
      <c r="J1951" s="5"/>
    </row>
    <row r="1952" spans="10:10" ht="12.75">
      <c r="J1952" s="5"/>
    </row>
    <row r="1953" spans="10:10" ht="12.75">
      <c r="J1953" s="5"/>
    </row>
    <row r="1954" spans="10:10" ht="12.75">
      <c r="J1954" s="5"/>
    </row>
    <row r="1955" spans="10:10" ht="12.75">
      <c r="J1955" s="5"/>
    </row>
    <row r="1956" spans="10:10" ht="12.75">
      <c r="J1956" s="5"/>
    </row>
    <row r="1957" spans="10:10" ht="12.75">
      <c r="J1957" s="5"/>
    </row>
    <row r="1958" spans="10:10" ht="12.75">
      <c r="J1958" s="5"/>
    </row>
    <row r="1959" spans="10:10" ht="12.75">
      <c r="J1959" s="5"/>
    </row>
    <row r="1960" spans="10:10" ht="12.75">
      <c r="J1960" s="5"/>
    </row>
    <row r="1961" spans="10:10" ht="12.75">
      <c r="J1961" s="5"/>
    </row>
    <row r="1962" spans="10:10" ht="12.75">
      <c r="J1962" s="5"/>
    </row>
    <row r="1963" spans="10:10" ht="12.75">
      <c r="J1963" s="5"/>
    </row>
    <row r="1964" spans="10:10" ht="12.75">
      <c r="J1964" s="5"/>
    </row>
    <row r="1965" spans="10:10" ht="12.75">
      <c r="J1965" s="5"/>
    </row>
    <row r="1966" spans="10:10" ht="12.75">
      <c r="J1966" s="5"/>
    </row>
    <row r="1967" spans="10:10" ht="12.75">
      <c r="J1967" s="5"/>
    </row>
    <row r="1968" spans="10:10" ht="12.75">
      <c r="J1968" s="5"/>
    </row>
    <row r="1969" spans="10:10" ht="12.75">
      <c r="J1969" s="5"/>
    </row>
    <row r="1970" spans="10:10" ht="12.75">
      <c r="J1970" s="5"/>
    </row>
    <row r="1971" spans="10:10" ht="12.75">
      <c r="J1971" s="5"/>
    </row>
    <row r="1972" spans="10:10" ht="12.75">
      <c r="J1972" s="5"/>
    </row>
    <row r="1973" spans="10:10" ht="12.75">
      <c r="J1973" s="5"/>
    </row>
    <row r="1974" spans="10:10" ht="12.75">
      <c r="J1974" s="5"/>
    </row>
    <row r="1975" spans="10:10" ht="12.75">
      <c r="J1975" s="5"/>
    </row>
    <row r="1976" spans="10:10" ht="12.75">
      <c r="J1976" s="5"/>
    </row>
    <row r="1977" spans="10:10" ht="12.75">
      <c r="J1977" s="5"/>
    </row>
    <row r="1978" spans="10:10" ht="12.75">
      <c r="J1978" s="5"/>
    </row>
    <row r="1979" spans="10:10" ht="12.75">
      <c r="J1979" s="5"/>
    </row>
    <row r="1980" spans="10:10" ht="12.75">
      <c r="J1980" s="5"/>
    </row>
    <row r="1981" spans="10:10" ht="12.75">
      <c r="J1981" s="5"/>
    </row>
    <row r="1982" spans="10:10" ht="12.75">
      <c r="J1982" s="5"/>
    </row>
    <row r="1983" spans="10:10" ht="12.75">
      <c r="J1983" s="5"/>
    </row>
    <row r="1984" spans="10:10" ht="12.75">
      <c r="J1984" s="5"/>
    </row>
    <row r="1985" spans="10:10" ht="12.75">
      <c r="J1985" s="5"/>
    </row>
    <row r="1986" spans="10:10" ht="12.75">
      <c r="J1986" s="5"/>
    </row>
    <row r="1987" spans="10:10" ht="12.75">
      <c r="J1987" s="5"/>
    </row>
    <row r="1988" spans="10:10" ht="12.75">
      <c r="J1988" s="5"/>
    </row>
    <row r="1989" spans="10:10" ht="12.75">
      <c r="J1989" s="5"/>
    </row>
    <row r="1990" spans="10:10" ht="12.75">
      <c r="J1990" s="5"/>
    </row>
    <row r="1991" spans="10:10" ht="12.75">
      <c r="J1991" s="5"/>
    </row>
    <row r="1992" spans="10:10" ht="12.75">
      <c r="J1992" s="5"/>
    </row>
    <row r="1993" spans="10:10" ht="12.75">
      <c r="J1993" s="5"/>
    </row>
    <row r="1994" spans="10:10" ht="12.75">
      <c r="J1994" s="5"/>
    </row>
    <row r="1995" spans="10:10" ht="12.75">
      <c r="J1995" s="5"/>
    </row>
    <row r="1996" spans="10:10" ht="12.75">
      <c r="J1996" s="5"/>
    </row>
    <row r="1997" spans="10:10" ht="12.75">
      <c r="J1997" s="5"/>
    </row>
    <row r="1998" spans="10:10" ht="12.75">
      <c r="J1998" s="5"/>
    </row>
    <row r="1999" spans="10:10" ht="12.75">
      <c r="J1999" s="5"/>
    </row>
    <row r="2000" spans="10:10" ht="12.75">
      <c r="J2000" s="5"/>
    </row>
    <row r="2001" spans="10:10" ht="12.75">
      <c r="J2001" s="5"/>
    </row>
    <row r="2002" spans="10:10" ht="12.75">
      <c r="J2002" s="5"/>
    </row>
    <row r="2003" spans="10:10" ht="12.75">
      <c r="J2003" s="5"/>
    </row>
    <row r="2004" spans="10:10" ht="12.75">
      <c r="J2004" s="5"/>
    </row>
    <row r="2005" spans="10:10" ht="12.75">
      <c r="J2005" s="5"/>
    </row>
    <row r="2006" spans="10:10" ht="12.75">
      <c r="J2006" s="5"/>
    </row>
    <row r="2007" spans="10:10" ht="12.75">
      <c r="J2007" s="5"/>
    </row>
    <row r="2008" spans="10:10" ht="12.75">
      <c r="J2008" s="5"/>
    </row>
    <row r="2009" spans="10:10" ht="12.75">
      <c r="J2009" s="5"/>
    </row>
    <row r="2010" spans="10:10" ht="12.75">
      <c r="J2010" s="5"/>
    </row>
    <row r="2011" spans="10:10" ht="12.75">
      <c r="J2011" s="5"/>
    </row>
    <row r="2012" spans="10:10" ht="12.75">
      <c r="J2012" s="5"/>
    </row>
    <row r="2013" spans="10:10" ht="12.75">
      <c r="J2013" s="5"/>
    </row>
    <row r="2014" spans="10:10" ht="12.75">
      <c r="J2014" s="5"/>
    </row>
    <row r="2015" spans="10:10" ht="12.75">
      <c r="J2015" s="5"/>
    </row>
    <row r="2016" spans="10:10" ht="12.75">
      <c r="J2016" s="5"/>
    </row>
    <row r="2017" spans="10:10" ht="12.75">
      <c r="J2017" s="5"/>
    </row>
  </sheetData>
  <autoFilter ref="A1:X989" xr:uid="{00000000-0009-0000-0000-000001000000}">
    <sortState xmlns:xlrd2="http://schemas.microsoft.com/office/spreadsheetml/2017/richdata2" ref="A2:X989">
      <sortCondition ref="C1:C989"/>
    </sortState>
  </autoFilter>
  <hyperlinks>
    <hyperlink ref="J2" r:id="rId1" display="https://www.zillow.com/homedetails/1812-Navy-St-Santa-Monica-CA-90405/20472397_zpid/" xr:uid="{00000000-0004-0000-0100-000001000000}"/>
    <hyperlink ref="N2" r:id="rId2" display="https://drive.google.com/open?id=1aosZrpwKYKbiGa8tAUa069dR5YSk_L1Z" xr:uid="{00000000-0004-0000-0100-000002000000}"/>
    <hyperlink ref="J3" r:id="rId3" display="https://www.zillow.com/homedetails/11708-Exposition-Blvd-Los-Angeles-CA-90064/20464795_zpid/?utm_campaign=iosappmessage&amp;utm_medium=referral&amp;utm_source=txtshare" xr:uid="{00000000-0004-0000-0100-000003000000}"/>
    <hyperlink ref="J4" r:id="rId4" display="https://www.zillow.com/homedetails/716-Rochedale-Way-Los-Angeles-CA-90049/20560159_zpid/" xr:uid="{00000000-0004-0000-0100-000004000000}"/>
    <hyperlink ref="N4" r:id="rId5" display="https://drive.google.com/open?id=1TNZjEhc8FT1ZB4hscYcjp8j9RfhQ6pua" xr:uid="{00000000-0004-0000-0100-000005000000}"/>
    <hyperlink ref="J5" r:id="rId6" display="https://www.zillow.com/homedetails/3512-Crestmont-Ave-Los-Angeles-CA-90026/20746365_zpid/" xr:uid="{00000000-0004-0000-0100-000006000000}"/>
    <hyperlink ref="N5" r:id="rId7" display="https://drive.google.com/open?id=1sm1ldDEdkeEeS5nfhyOXxZo1hYp050CE" xr:uid="{00000000-0004-0000-0100-000007000000}"/>
    <hyperlink ref="J6" r:id="rId8" display="https://www.zillow.com/homedetails/8966-Shoreham-Dr-Los-Angeles-CA-90069/20799415_zpid/" xr:uid="{00000000-0004-0000-0100-000008000000}"/>
    <hyperlink ref="N6" r:id="rId9" display="https://drive.google.com/open?id=1csTqJmRE_F3wALrmm-rYWP3W2ef8M5Ts" xr:uid="{00000000-0004-0000-0100-000009000000}"/>
    <hyperlink ref="J7" r:id="rId10" display="https://www.zillow.com/homedetails/1923-Sunset-Plaza-Dr-Los-Angeles-CA-90069/20798097_zpid/" xr:uid="{00000000-0004-0000-0100-00000A000000}"/>
    <hyperlink ref="N7" r:id="rId11" display="https://drive.google.com/open?id=1VZKz8NhCgbqmURwk6w9lnrv9BO0R5Eaw" xr:uid="{00000000-0004-0000-0100-00000B000000}"/>
    <hyperlink ref="J8" r:id="rId12" display="https://www.zillow.com/homedetails/Los-Angeles-CA-90046/20803208_zpid/" xr:uid="{00000000-0004-0000-0100-00000C000000}"/>
    <hyperlink ref="N8" r:id="rId13" display="https://drive.google.com/open?id=1zziP6iwuq3qVslEmht_f7YUJnREGjhjx" xr:uid="{00000000-0004-0000-0100-00000D000000}"/>
    <hyperlink ref="J9" r:id="rId14" display="https://www.zillow.com/homedetails/1915-S-Crescent-Heights-Blvd-Los-Angeles-CA-90034/20598384_zpid/" xr:uid="{00000000-0004-0000-0100-00000E000000}"/>
    <hyperlink ref="N9" r:id="rId15" display="https://drive.google.com/open?id=1Zew-llRUzDNfN8RUPCh1xX5c3y-3Waca" xr:uid="{00000000-0004-0000-0100-00000F000000}"/>
    <hyperlink ref="J10" r:id="rId16" display="https://www.zillow.com/homedetails/23716-Archwood-St-West-Hills-CA-91307/340040879_zpid/" xr:uid="{00000000-0004-0000-0100-000010000000}"/>
    <hyperlink ref="N10" r:id="rId17" display="https://drive.google.com/open?id=1islSFMMCwgXyhAlstDg6hU7Xl7m3yO9p" xr:uid="{00000000-0004-0000-0100-000011000000}"/>
    <hyperlink ref="J11" r:id="rId18" display="https://www.zillow.com/homedetails/6255-W-Olympic-Blvd-2-Los-Angeles-CA-90048/443225953_zpid/" xr:uid="{00000000-0004-0000-0100-000012000000}"/>
    <hyperlink ref="N11" r:id="rId19" display="https://drive.google.com/open?id=1LFNYyfOfLWzQJCUTfqJyy5sO9xFI8daV" xr:uid="{00000000-0004-0000-0100-000013000000}"/>
    <hyperlink ref="J12" r:id="rId20" display="https://www.zillow.com/homedetails/2700-Cahuenga-Blvd-E-APT-4111-Los-Angeles-CA-90068/20804778_zpid/" xr:uid="{00000000-0004-0000-0100-000014000000}"/>
    <hyperlink ref="J13" r:id="rId21" display="https://www.zillow.com/homedetails/3715-Kelton-Ave-APT-3-Los-Angeles-CA-90034/2080996983_zpid/" xr:uid="{00000000-0004-0000-0100-000015000000}"/>
    <hyperlink ref="J14" r:id="rId22" display="https://www.zillow.com/homedetails/5059-Hermosa-Ave-Los-Angeles-CA-90041/2090546544_zpid/" xr:uid="{00000000-0004-0000-0100-000016000000}"/>
    <hyperlink ref="J15" r:id="rId23" display="https://www.zillow.com/homedetails/1427-Columbia-Dr-Glendale-CA-91205/20847539_zpid/" xr:uid="{00000000-0004-0000-0100-000017000000}"/>
    <hyperlink ref="J16" r:id="rId24" display="https://www.zillow.com/homedetails/3931-Berry-Dr-Studio-City-CA-91604/20028364_zpid/" xr:uid="{00000000-0004-0000-0100-000018000000}"/>
    <hyperlink ref="N16" r:id="rId25" display="https://drive.google.com/open?id=1N-jwy0O5CQlECavSOx0ioz1XnjQZUOe8" xr:uid="{00000000-0004-0000-0100-000019000000}"/>
    <hyperlink ref="J17" r:id="rId26" display="https://www.zillow.com/homedetails/1941-Glencoe-Way-Los-Angeles-CA-90068/20793801_zpid/?utm_campaign=iosappmessage&amp;utm_medium=referral&amp;utm_source=txtshare" xr:uid="{00000000-0004-0000-0100-00001A000000}"/>
    <hyperlink ref="J18" r:id="rId27" display="https://www.zillow.com/homedetails/256-S-Van-Ness-Ave-Los-Angeles-CA-90004/20779975_zpid/?utm_campaign=iosappmessage&amp;utm_medium=referral&amp;utm_source=txtshare" xr:uid="{00000000-0004-0000-0100-00001B000000}"/>
    <hyperlink ref="J19" r:id="rId28" display="https://www.zillow.com/homedetails/649-N-Edinburgh-Ave-Los-Angeles-CA-90048/20786041_zpid/?utm_campaign=iosappmessage&amp;utm_medium=referral&amp;utm_source=txtshare" xr:uid="{00000000-0004-0000-0100-00001C000000}"/>
    <hyperlink ref="J20" r:id="rId29" display="https://www.zillow.com/homedetails/6105-Del-Valle-Dr-Los-Angeles-CA-90048/20609699_zpid/" xr:uid="{00000000-0004-0000-0100-00001D000000}"/>
    <hyperlink ref="J21" r:id="rId30" display="https://www.zillow.com/homedetails/1916-W-Court-St-Los-Angeles-CA-90026/20627817_zpid/" xr:uid="{00000000-0004-0000-0100-00001E000000}"/>
    <hyperlink ref="J22" r:id="rId31" display="https://www.zillow.com/homedetails/1702-Sunset-Plaza-Dr-Los-Angeles-CA-90069/20798287_zpid/" xr:uid="{00000000-0004-0000-0100-00001F000000}"/>
    <hyperlink ref="J23" r:id="rId32" display="https://www.zillow.com/homedetails/8405-Edwin-Dr-Los-Angeles-CA-90046/20801360_zpid/" xr:uid="{00000000-0004-0000-0100-000020000000}"/>
    <hyperlink ref="J24" r:id="rId33" display="https://www.zillow.com/homedetails/2229-Willetta-St-Los-Angeles-CA-90068/20804418_zpid/" xr:uid="{00000000-0004-0000-0100-000021000000}"/>
    <hyperlink ref="J25" r:id="rId34" display="https://www.zillow.com/homedetails/7177-Pacific-View-Dr-Los-Angeles-CA-90068/20045420_zpid/" xr:uid="{00000000-0004-0000-0100-000022000000}"/>
    <hyperlink ref="J26" r:id="rId35" display="https://www.zillow.com/homedetails/2309-Hollyridge-Dr-Los-Angeles-CA-90068/20807768_zpid/" xr:uid="{00000000-0004-0000-0100-000023000000}"/>
    <hyperlink ref="J27" r:id="rId36" display="https://www.zillow.com/homedetails/1914-Laurel-Canyon-Blvd-Los-Angeles-CA-90046/20802462_zpid/" xr:uid="{00000000-0004-0000-0100-000024000000}"/>
    <hyperlink ref="J28" r:id="rId37" display="https://www.zillow.com/homedetails/1456-Sunset-Plaza-Dr-Los-Angeles-CA-90069/20799013_zpid/" xr:uid="{00000000-0004-0000-0100-000025000000}"/>
    <hyperlink ref="J29" r:id="rId38" display="https://www.zillow.com/homedetails/1470-Blue-Jay-Way-Los-Angeles-CA-90069/20799733_zpid/" xr:uid="{00000000-0004-0000-0100-000026000000}"/>
    <hyperlink ref="J30" r:id="rId39" display="https://www.zillow.com/homedetails/9289-Swallow-Dr-Los-Angeles-CA-90069/20799708_zpid/" xr:uid="{00000000-0004-0000-0100-000027000000}"/>
    <hyperlink ref="J31" r:id="rId40" display="https://www.zillow.com/homedetails/3663-Edenhurst-Ave-Los-Angeles-CA-90039/20749912_zpid/" xr:uid="{00000000-0004-0000-0100-000028000000}"/>
    <hyperlink ref="J32" r:id="rId41" display="https://www.zillow.com/homedetails/2260-Maravilla-Dr-Los-Angeles-CA-90068/20793606_zpid/" xr:uid="{00000000-0004-0000-0100-000029000000}"/>
    <hyperlink ref="J33" r:id="rId42" display="https://www.zillow.com/homedetails/1610-S-Hayworth-Ave-Los-Angeles-CA-90035/20599960_zpid/" xr:uid="{00000000-0004-0000-0100-00002A000000}"/>
    <hyperlink ref="J34" r:id="rId43" display="https://www.zillow.com/homedetails/8401-Wyndham-Rd-Los-Angeles-CA-90046/20801560_zpid/" xr:uid="{00000000-0004-0000-0100-00002B000000}"/>
    <hyperlink ref="J35" r:id="rId44" display="https://www.zillow.com/homedetails/8400-Grand-View-Dr-Los-Angeles-CA-90046/20797928_zpid/" xr:uid="{00000000-0004-0000-0100-00002C000000}"/>
    <hyperlink ref="J36" r:id="rId45" display="https://www.zillow.com/homedetails/1780-S-Garth-Ave-Los-Angeles-CA-90035/20492198_zpid/" xr:uid="{00000000-0004-0000-0100-00002D000000}"/>
    <hyperlink ref="J37" r:id="rId46" display="https://www.zillow.com/homedetails/7612-Willow-Glen-Rd-Los-Angeles-CA-90046/20801864_zpid/" xr:uid="{00000000-0004-0000-0100-00002E000000}"/>
    <hyperlink ref="J38" r:id="rId47" display="https://www.zillow.com/homedetails/2379-Venus-Dr-Los-Angeles-CA-90046/20802341_zpid/" xr:uid="{00000000-0004-0000-0100-00002F000000}"/>
    <hyperlink ref="J39" r:id="rId48" display="https://www.zillow.com/homedetails/1235-Highland-Oaks-Dr-Arcadia-CA-91006/20887520_zpid/?utm_campaign=iosappmessage&amp;utm_medium=referral&amp;utm_source=txtshare" xr:uid="{00000000-0004-0000-0100-000030000000}"/>
    <hyperlink ref="J40" r:id="rId49" display="https://www.zillow.com/homedetails/361-Norumbega-Dr-Monrovia-CA-91016/21583767_zpid/?utm_campaign=iosappmessage&amp;utm_medium=referral&amp;utm_source=txtshare" xr:uid="{00000000-0004-0000-0100-000031000000}"/>
    <hyperlink ref="J41" r:id="rId50" display="https://www.zillow.com/homedetails/2030-S-Chapel-Ave-Alhambra-CA-91801/442707493_zpid/?utm_campaign=iosappmessage&amp;utm_medium=referral&amp;utm_source=txtshare" xr:uid="{00000000-0004-0000-0100-000032000000}"/>
    <hyperlink ref="J42" r:id="rId51" display="https://www.zillow.com/homedetails/907-Pine-Grove-Ave-Los-Angeles-CA-90042/20769156_zpid/?utm_campaign=iosappmessage&amp;utm_medium=referral&amp;utm_source=txtshare" xr:uid="{00000000-0004-0000-0100-000033000000}"/>
    <hyperlink ref="J43" r:id="rId52" display="https://www.zillow.com/homedetails/3711-Flora-Ave-Los-Angeles-CA-90031/20637876_zpid/?utm_campaign=iosappmessage&amp;utm_medium=referral&amp;utm_source=txtshare" xr:uid="{00000000-0004-0000-0100-000034000000}"/>
    <hyperlink ref="J44" r:id="rId53" display="https://www.zillow.com/homedetails/915-Edie-Dr-Duarte-CA-91010/58477819_zpid/?utm_campaign=iosappmessage&amp;utm_medium=referral&amp;utm_source=txtshare" xr:uid="{00000000-0004-0000-0100-000035000000}"/>
    <hyperlink ref="J45" r:id="rId54" display="https://www.zillow.com/homedetails/2527-E-Cameron-Ave-West-Covina-CA-91791/21571053_zpid/?utm_campaign=iosappmessage&amp;utm_medium=referral&amp;utm_source=txtshare" xr:uid="{00000000-0004-0000-0100-000036000000}"/>
    <hyperlink ref="J46" r:id="rId55" display="https://www.zillow.com/homedetails/3512-Crestmont-Ave-Los-Angeles-CA-90026/20746365_zpid/" xr:uid="{00000000-0004-0000-0100-000037000000}"/>
    <hyperlink ref="J47" r:id="rId56" display="https://www.zillow.com/homedetails/1851-Tamerlane-Dr-Glendale-CA-91208/20839703_zpid/?utm_campaign=iosappmessage&amp;utm_medium=referral&amp;utm_source=txtshare" xr:uid="{00000000-0004-0000-0100-000038000000}"/>
    <hyperlink ref="J48" r:id="rId57" display="https://www.zillow.com/homedetails/4115-Camero-Ave-Los-Angeles-CA-90027/20746609_zpid/" xr:uid="{00000000-0004-0000-0100-000039000000}"/>
    <hyperlink ref="N48" r:id="rId58" display="https://drive.google.com/open?id=1KA7SEr3u08PLtg69OQnxNBQ5kLiPLxeu" xr:uid="{00000000-0004-0000-0100-00003A000000}"/>
    <hyperlink ref="J49" r:id="rId59" display="https://www.zillow.com/homedetails/3113-Prospect-Ave-La-Crescenta-CA-91214/20898422_zpid/?utm_campaign=iosappmessage&amp;utm_medium=referral&amp;utm_source=txtshare" xr:uid="{00000000-0004-0000-0100-00003B000000}"/>
    <hyperlink ref="J50" r:id="rId60" display="https://www.zillow.com/homedetails/3055-Landa-St-Los-Angeles-CA-90039/20747666_zpid/" xr:uid="{00000000-0004-0000-0100-00003C000000}"/>
    <hyperlink ref="J51" r:id="rId61" display="https://www.zillow.com/homedetails/8-Rancho-Laguna-Dr-Pomona-CA-91766/21662573_zpid/?utm_campaign=iosappmessage&amp;utm_medium=referral&amp;utm_source=txtshare" xr:uid="{00000000-0004-0000-0100-00003D000000}"/>
    <hyperlink ref="J52" r:id="rId62" display="https://www.zillow.com/homedetails/1218-E-Tujunga-Ave-Burbank-CA-91501/20816771_zpid/?utm_campaign=iosappmessage&amp;utm_medium=referral&amp;utm_source=txtshare" xr:uid="{00000000-0004-0000-0100-00003E000000}"/>
    <hyperlink ref="J53" r:id="rId63" display="https://www.zillow.com/homedetails/6505-Pacific-Ave-1-Playa-Del-Rey-CA-90293/2089340224_zpid/" xr:uid="{00000000-0004-0000-0100-00003F000000}"/>
    <hyperlink ref="J54" r:id="rId64" display="https://www.zillow.com/homedetails/1670-Arboles-Dr-Glendale-CA-91207/20838671_zpid/?utm_campaign=iosappmessage&amp;utm_medium=referral&amp;utm_source=txtshare" xr:uid="{00000000-0004-0000-0100-000040000000}"/>
    <hyperlink ref="J55" r:id="rId65" display="https://www.zillow.com/homedetails/17845-Calle-Barcelona-Rowland-Heights-CA-91748/21479818_zpid/?utm_campaign=iosappmessage&amp;utm_medium=referral&amp;utm_source=txtshare" xr:uid="{00000000-0004-0000-0100-000041000000}"/>
    <hyperlink ref="J56" r:id="rId66" display="https://www.zillow.com/homedetails/2950-Warwick-Ave-Los-Angeles-CA-90032/20643542_zpid/?utm_campaign=iosappmessage&amp;utm_medium=referral&amp;utm_source=txtshare" xr:uid="{00000000-0004-0000-0100-000042000000}"/>
    <hyperlink ref="J57" r:id="rId67" display="https://www.zillow.com/homedetails/2943-Virginia-Ave-Santa-Monica-CA-90404/20471162_zpid/" xr:uid="{00000000-0004-0000-0100-000043000000}"/>
    <hyperlink ref="N57" r:id="rId68" display="https://drive.google.com/open?id=1ykTw-MninZQREUhz3VJJVdhr_XoM3_rA" xr:uid="{00000000-0004-0000-0100-000044000000}"/>
    <hyperlink ref="J59" r:id="rId69" display="https://www.zillow.com/homedetails/710-Westbourne-Dr-West-Hollywood-CA-90069/2098186436_zpid/" xr:uid="{00000000-0004-0000-0100-000045000000}"/>
    <hyperlink ref="J60" r:id="rId70" display="https://www.zillow.com/homedetails/9297-Burton-Way-B-Beverly-Hills-CA-90210/2070939537_zpid/" xr:uid="{00000000-0004-0000-0100-000046000000}"/>
    <hyperlink ref="J61" r:id="rId71" display="https://www.zillow.com/homedetails/1026-E-Verdugo-Ave-Burbank-CA-91501/20054588_zpid/" xr:uid="{00000000-0004-0000-0100-000047000000}"/>
    <hyperlink ref="N61" r:id="rId72" display="https://drive.google.com/open?id=19LOxbfLT395OOpkSgqGooyVIaWmio7sh" xr:uid="{00000000-0004-0000-0100-000048000000}"/>
    <hyperlink ref="J62" r:id="rId73" display="https://www.zillow.com/homedetails/223-Lake-Shore-Ter-UNIT-12-Los-Angeles-CA-90026/2058442885_zpid/?utm_campaign=iosappmessage&amp;utm_medium=referral&amp;utm_source=txtshare" xr:uid="{00000000-0004-0000-0100-000049000000}"/>
    <hyperlink ref="J63" r:id="rId74" display="https://www.zillow.com/homedetails/Venice-CA-90291/2059889727_zpid/" xr:uid="{00000000-0004-0000-0100-00004A000000}"/>
    <hyperlink ref="N63" r:id="rId75" display="https://drive.google.com/open?id=1lurDtvavOtJQHEH-jszWykgd0ctuSATo" xr:uid="{00000000-0004-0000-0100-00004B000000}"/>
    <hyperlink ref="J64" r:id="rId76" display="https://www.zillow.com/homedetails/2390-Nalin-Dr-Los-Angeles-CA-90077/20531088_zpid/" xr:uid="{00000000-0004-0000-0100-00004C000000}"/>
    <hyperlink ref="J65" r:id="rId77" display="https://www.zillow.com/homedetails/1439-Cabrillo-Ave-Venice-CA-90291/20450140_zpid/" xr:uid="{00000000-0004-0000-0100-00004D000000}"/>
    <hyperlink ref="N65" r:id="rId78" display="https://drive.google.com/open?id=1wxNjKYoel_QAQMNm9a86uwQOoKNzPqvq" xr:uid="{00000000-0004-0000-0100-00004E000000}"/>
    <hyperlink ref="J66" r:id="rId79" display="https://www.zillow.com/homedetails/636-Acanto-St-APT-104-Los-Angeles-CA-90049/2123187503_zpid/" xr:uid="{00000000-0004-0000-0100-00004F000000}"/>
    <hyperlink ref="N66" r:id="rId80" display="https://drive.google.com/open?id=1qpacoSkvsBYeqUK6C-z3dB2yY0lScYrd" xr:uid="{00000000-0004-0000-0100-000050000000}"/>
    <hyperlink ref="J67" r:id="rId81" display="https://www.zillow.com/homedetails/1916-W-Court-St-Los-Angeles-CA-90026/20627817_zpid/" xr:uid="{00000000-0004-0000-0100-000051000000}"/>
    <hyperlink ref="J68" r:id="rId82" display="https://www.zillow.com/homedetails/3715-Kelton-Ave-APT-3-Los-Angeles-CA-90034/2080996983_zpid/" xr:uid="{00000000-0004-0000-0100-000052000000}"/>
    <hyperlink ref="N68" r:id="rId83" display="https://drive.google.com/open?id=1yXe6Ac2kk8syGVdp2eVnmztgqk2TvenN" xr:uid="{00000000-0004-0000-0100-000053000000}"/>
    <hyperlink ref="J69" r:id="rId84" display="https://www.zillow.com/homedetails/16754-Armstead-St-Granada-Hills-CA-91344/20110441_zpid/" xr:uid="{00000000-0004-0000-0100-000054000000}"/>
    <hyperlink ref="J70" r:id="rId85" display="https://www.zillow.com/homedetails/14949-La-Cumbre-Dr-Pacific-Palisades-CA-90272/20540543_zpid/" xr:uid="{00000000-0004-0000-0100-000055000000}"/>
    <hyperlink ref="N70" r:id="rId86" display="https://drive.google.com/open?id=1pvzkBpdeIXh2kqSpYTEzhjJ8g1t0qowR" xr:uid="{00000000-0004-0000-0100-000056000000}"/>
    <hyperlink ref="J71" r:id="rId87" display="https://www.zillow.com/homedetails/2559-Hutton-Dr-Beverly-Hills-CA-90210/20532078_zpid/" xr:uid="{00000000-0004-0000-0100-000057000000}"/>
    <hyperlink ref="J72" r:id="rId88" display="https://www.zillow.com/homedetails/1240-Morningside-Way-Venice-CA-90291/20454370_zpid/" xr:uid="{00000000-0004-0000-0100-000058000000}"/>
    <hyperlink ref="N72" r:id="rId89" display="https://drive.google.com/open?id=1V18ERb5uGG3twa-Qp410Y2d9PmUGuzm2" xr:uid="{00000000-0004-0000-0100-000059000000}"/>
    <hyperlink ref="J73" r:id="rId90" display="https://www.zillow.com/homedetails/4800-Zelzah-Ave-Encino-CA-91316/19950258_zpid/" xr:uid="{00000000-0004-0000-0100-00005A000000}"/>
    <hyperlink ref="N73" r:id="rId91" display="https://drive.google.com/open?id=1fhSobXuxZhGPcfrN-Jlxfuhn11GnH5jQ" xr:uid="{00000000-0004-0000-0100-00005B000000}"/>
    <hyperlink ref="J74" r:id="rId92" display="https://www.zillow.com/homedetails/1129-La-Puerta-St-Los-Angeles-CA-90023/20635360_zpid/" xr:uid="{00000000-0004-0000-0100-00005C000000}"/>
    <hyperlink ref="N74" r:id="rId93" display="https://drive.google.com/open?id=1dJQe56fwRBMNI5SOGMC31gPXmo_2Do6N" xr:uid="{00000000-0004-0000-0100-00005D000000}"/>
    <hyperlink ref="J75" r:id="rId94" display="https://www.zillow.com/homedetails/114-Pacific-Ave-Venice-CA-90291/20482017_zpid/" xr:uid="{00000000-0004-0000-0100-00005E000000}"/>
    <hyperlink ref="N75" r:id="rId95" display="https://drive.google.com/open?id=15mqxuwsMa7JJ_yiSeiBzSZBXdars85Gd" xr:uid="{00000000-0004-0000-0100-00005F000000}"/>
    <hyperlink ref="J76" r:id="rId96" display="https://www.zillow.com/homedetails/2950-Warwick-Ave-Los-Angeles-CA-90032/20643542_zpid/" xr:uid="{00000000-0004-0000-0100-000060000000}"/>
    <hyperlink ref="N76" r:id="rId97" display="https://drive.google.com/open?id=1-cvodFRKoFesDkWtRQeY95iFgkwQpx-W" xr:uid="{00000000-0004-0000-0100-000061000000}"/>
    <hyperlink ref="J77" r:id="rId98" display="https://www.zillow.com/homedetails/636-Acanto-St-APT-104-Los-Angeles-CA-90049/2123187503_zpid/" xr:uid="{00000000-0004-0000-0100-000062000000}"/>
    <hyperlink ref="N77" r:id="rId99" display="https://drive.google.com/open?id=1Ei5-VXrLkQjHCznDByVsJ5fRZdgP66hS" xr:uid="{00000000-0004-0000-0100-000063000000}"/>
    <hyperlink ref="J78" r:id="rId100" display="https://www.zillow.com/homedetails/8700-Chalmers-Dr-301-Los-Angeles-CA-90035/2078397244_zpid/" xr:uid="{00000000-0004-0000-0100-000064000000}"/>
    <hyperlink ref="N78" r:id="rId101" display="https://drive.google.com/open?id=1CIKkpaEIAOHnw38kVHxej3ixDpajsgzN" xr:uid="{00000000-0004-0000-0100-000065000000}"/>
    <hyperlink ref="J79" r:id="rId102" display="https://www.zillow.com/homedetails/28-26th-Ave-A-Venice-CA-90291/2098877025_zpid/" xr:uid="{00000000-0004-0000-0100-000066000000}"/>
    <hyperlink ref="N79" r:id="rId103" display="https://drive.google.com/open?id=1rwUqrqmKFo81tbR3TrKZLuxhmu6Ra8lf" xr:uid="{00000000-0004-0000-0100-000067000000}"/>
    <hyperlink ref="J80" r:id="rId104" display="https://www.zillow.com/homedetails/2950-Warwick-Ave-Los-Angeles-CA-90032/20643542_zpid/" xr:uid="{00000000-0004-0000-0100-000068000000}"/>
    <hyperlink ref="N80" r:id="rId105" display="https://drive.google.com/open?id=1thNNYDPWGjbNzlPLsdv3hy90Qbh3861v" xr:uid="{00000000-0004-0000-0100-000069000000}"/>
    <hyperlink ref="O80" r:id="rId106" display="https://docs.google.com/forms/d/e/1FAIpQLSfhIqqLvIBUYrAO6bATa04cSs58X5v2DXYZRmzjpvo8Ar106Q/viewform?pli=1&amp;fbclid=PAZXh0bgNhZW0CMTEAAaZdg1ttoA0qUYpOpTBXNJw_wqebnFAudqkwqaNomvyt-y7HHWptnTuvkr0_aem_hI2pm9MvAL242vDUapJa0Q" xr:uid="{00000000-0004-0000-0100-00006A000000}"/>
    <hyperlink ref="J81" r:id="rId107" display="https://www.zillow.com/homedetails/4865-Eldred-St-Los-Angeles-CA-90042/20763415_zpid/" xr:uid="{00000000-0004-0000-0100-00006B000000}"/>
    <hyperlink ref="N81" r:id="rId108" display="https://drive.google.com/open?id=1YKY0jAgqx2PN8xqnatLY6-sNOytbD4OL" xr:uid="{00000000-0004-0000-0100-00006C000000}"/>
    <hyperlink ref="J82" r:id="rId109" display="https://www.zillow.com/homedetails/240-Howland-Canal-Ct-Venice-CA-90291/443837979_zpid/" xr:uid="{00000000-0004-0000-0100-00006D000000}"/>
    <hyperlink ref="N82" r:id="rId110" display="https://drive.google.com/open?id=1G5WVgii-7AsFgWqz56VyorvkwWBWQMhI" xr:uid="{00000000-0004-0000-0100-00006E000000}"/>
    <hyperlink ref="J83" r:id="rId111" display="https://www.zillow.com/homedetails/2451-Century-Hl-Los-Angeles-CA-90067/20510302_zpid/" xr:uid="{00000000-0004-0000-0100-00006F000000}"/>
    <hyperlink ref="N83" r:id="rId112" display="https://drive.google.com/open?id=1eK4g73pSgopIZGRSRDoSubYa0_t8NyfD" xr:uid="{00000000-0004-0000-0100-000070000000}"/>
    <hyperlink ref="J84" r:id="rId113" display="https://www.zillow.com/homedetails/225-Sherman-Canal-Ct-Venice-CA-90291/443839188_zpid/" xr:uid="{00000000-0004-0000-0100-000071000000}"/>
    <hyperlink ref="J85" r:id="rId114" display="https://www.zillow.com/homedetails/503-N-Santa-Anita-Ave-A-Arcadia-CA-91006/2077677076_zpid/" xr:uid="{00000000-0004-0000-0100-000072000000}"/>
    <hyperlink ref="N85" r:id="rId115" display="https://drive.google.com/open?id=14JXnSxRudGw06uRPpcV8TH_FxkUCgQ7n" xr:uid="{00000000-0004-0000-0100-000073000000}"/>
    <hyperlink ref="J86" r:id="rId116" display="https://www.zillow.com/homedetails/5316-Teesdale-Ave-Valley-Village-CA-91607/2053789692_zpid/" xr:uid="{00000000-0004-0000-0100-000074000000}"/>
    <hyperlink ref="N86" r:id="rId117" display="https://drive.google.com/open?id=1cdakQbu1clG1T5hojPoqQd22z_EhSDB2" xr:uid="{00000000-0004-0000-0100-000075000000}"/>
    <hyperlink ref="J87" r:id="rId118" display="https://www.zillow.com/homedetails/5351-Packard-St-Los-Angeles-CA-90019/20608115_zpid/" xr:uid="{00000000-0004-0000-0100-000076000000}"/>
    <hyperlink ref="N87" r:id="rId119" display="https://drive.google.com/open?id=14h7zHNkHwVPNkcG8WLH4OawYYrAXlRNB" xr:uid="{00000000-0004-0000-0100-000077000000}"/>
    <hyperlink ref="J88" r:id="rId120" display="https://www.zillow.com/homedetails/2205-Ocean-Front-Walk-Venice-CA-90291/59276620_zpid/" xr:uid="{00000000-0004-0000-0100-000078000000}"/>
    <hyperlink ref="N88" r:id="rId121" display="https://drive.google.com/open?id=1h2IElqvSaXKs80UlnsYqt1dd7ikWs18s" xr:uid="{00000000-0004-0000-0100-000079000000}"/>
    <hyperlink ref="J89" r:id="rId122" display="https://www.zillow.com/homedetails/705-Chaucer-Rd-San-Marino-CA-91108/20701815_zpid/" xr:uid="{00000000-0004-0000-0100-00007A000000}"/>
    <hyperlink ref="N89" r:id="rId123" display="https://drive.google.com/open?id=1IrXriRSXcp7ZJtW5_erTzE7xDkKv5TO5" xr:uid="{00000000-0004-0000-0100-00007B000000}"/>
    <hyperlink ref="J90" r:id="rId124" display="https://www.zillow.com/homedetails/121-N-Croft-Ave-APT-205-Los-Angeles-CA-90048/20776940_zpid/" xr:uid="{00000000-0004-0000-0100-00007C000000}"/>
    <hyperlink ref="N90" r:id="rId125" display="https://drive.google.com/open?id=1CJRwRPkO_XfArK0QZEXey35Yc40CFe70" xr:uid="{00000000-0004-0000-0100-00007D000000}"/>
    <hyperlink ref="J91" r:id="rId126" display="https://www.zillow.com/homedetails/9297-Burton-Way-B-Beverly-Hills-CA-90210/2070939537_zpid/" xr:uid="{00000000-0004-0000-0100-00007E000000}"/>
    <hyperlink ref="N91" r:id="rId127" display="https://drive.google.com/open?id=1k2Y_W1L2mMy_ehol2mP-szsgFOg-lSei" xr:uid="{00000000-0004-0000-0100-00007F000000}"/>
    <hyperlink ref="J92" r:id="rId128" display="https://www.zillow.com/homedetails/6076-Hargis-St-Los-Angeles-CA-90034/20598124_zpid/" xr:uid="{00000000-0004-0000-0100-000080000000}"/>
    <hyperlink ref="N92" r:id="rId129" display="https://drive.google.com/open?id=1CaDTWltwVv4hlQ8iFI8RzC8WUzm9-Rpq" xr:uid="{00000000-0004-0000-0100-000081000000}"/>
    <hyperlink ref="J93" r:id="rId130" display="https://www.zillow.com/homedetails/1026-E-Verdugo-Ave-Burbank-CA-91501/20054588_zpid/" xr:uid="{00000000-0004-0000-0100-000082000000}"/>
    <hyperlink ref="N93" r:id="rId131" display="https://drive.google.com/open?id=14OIusrqDiHoOdDslvKMhhJTOLI4w1F0n" xr:uid="{00000000-0004-0000-0100-000083000000}"/>
    <hyperlink ref="J94" r:id="rId132" display="https://www.zillow.com/homedetails/1817-W-Silver-Lake-Dr-Los-Angeles-CA-90026/2096500924_zpid/" xr:uid="{00000000-0004-0000-0100-000084000000}"/>
    <hyperlink ref="J95" r:id="rId133" display="https://www.zillow.com/homedetails/150-Fern-Dr-Pasadena-CA-91105/20856621_zpid/" xr:uid="{00000000-0004-0000-0100-000085000000}"/>
    <hyperlink ref="J96" r:id="rId134" display="https://www.zillow.com/homedetails/1390-Rose-Ave-Venice-CA-90291/20453901_zpid/" xr:uid="{00000000-0004-0000-0100-000086000000}"/>
    <hyperlink ref="J97" r:id="rId135" display="https://www.zillow.com/homedetails/77-E-Altadena-Dr-Altadena-CA-91001/20911914_zpid/" xr:uid="{00000000-0004-0000-0100-000087000000}"/>
    <hyperlink ref="N97" r:id="rId136" display="https://drive.google.com/open?id=12pR2hLzYw3_oSW8qObS5bgVrR5wOpo_Z" xr:uid="{00000000-0004-0000-0100-000088000000}"/>
    <hyperlink ref="J98" r:id="rId137" display="https://www.zillow.com/homedetails/9982-Beverly-Grv-Beverly-Hills-CA-90210/443685654_zpid/" xr:uid="{00000000-0004-0000-0100-000089000000}"/>
    <hyperlink ref="N98" r:id="rId138" display="https://drive.google.com/open?id=1ou9y_SxG7r66aEb26MltadhISkU0pfpz" xr:uid="{00000000-0004-0000-0100-00008A000000}"/>
    <hyperlink ref="J99" r:id="rId139" display="https://www.zillow.com/homedetails/Burbank-CA-91505/20065843_zpid/" xr:uid="{00000000-0004-0000-0100-00008B000000}"/>
    <hyperlink ref="N99" r:id="rId140" display="https://drive.google.com/open?id=1vtbMaumh9nMw5CcBflUIrZCw0rhjiKB7" xr:uid="{00000000-0004-0000-0100-00008C000000}"/>
    <hyperlink ref="J100" r:id="rId141" display="https://www.zillow.com/homedetails/3572-E-Green-St-Pasadena-CA-91107/20878608_zpid/" xr:uid="{00000000-0004-0000-0100-00008D000000}"/>
    <hyperlink ref="J101" r:id="rId142" display="https://www.zillow.com/homedetails/2950-Tyburn-St-Los-Angeles-CA-90039/20751814_zpid/" xr:uid="{00000000-0004-0000-0100-00008E000000}"/>
    <hyperlink ref="N101" r:id="rId143" display="https://drive.google.com/open?id=1vbZw11CQHxLXuQxQMposEkZ9BeGKzX_q" xr:uid="{00000000-0004-0000-0100-00008F000000}"/>
    <hyperlink ref="J102" r:id="rId144" display="https://www.zillow.com/homedetails/220-Avenue-A-Redondo-Beach-CA-90277/21322400_zpid/" xr:uid="{00000000-0004-0000-0100-000090000000}"/>
    <hyperlink ref="J103" r:id="rId145" display="https://www.zillow.com/homedetails/2943-Virginia-Ave-Santa-Monica-CA-90404/20471162_zpid/?utm_campaign=iosappmessage&amp;utm_medium=referral&amp;utm_source=txtshare" xr:uid="{00000000-0004-0000-0100-000091000000}"/>
    <hyperlink ref="J104" r:id="rId146" display="https://www.zillow.com/homedetails/1719-Wellesley-Ave-Los-Angeles-CA-90025/20464247_zpid/" xr:uid="{00000000-0004-0000-0100-000092000000}"/>
    <hyperlink ref="N104" r:id="rId147" display="https://drive.google.com/open?id=1ik9yzxfD6mAEk0w99kLSh1ekHxfR0Bbc" xr:uid="{00000000-0004-0000-0100-000093000000}"/>
    <hyperlink ref="J105" r:id="rId148" display="https://www.zillow.com/homedetails/1001-Hanover-Dr-Beverly-Hills-CA-90210/20523966_zpid/" xr:uid="{00000000-0004-0000-0100-000094000000}"/>
    <hyperlink ref="N105" r:id="rId149" display="https://drive.google.com/open?id=1Fh3sj9aWBnq7GSLxHwrY3Uz047N6JO6f" xr:uid="{00000000-0004-0000-0100-000095000000}"/>
    <hyperlink ref="J106" r:id="rId150" display="https://www.zillow.com/homedetails/22522-Gilmore-St-West-Hills-CA-91307/439680894_zpid/?utm_campaign=iosappmessage&amp;utm_medium=referral&amp;utm_source=txtshare" xr:uid="{00000000-0004-0000-0100-000096000000}"/>
    <hyperlink ref="J107" r:id="rId151" display="https://www.zillow.com/homedetails/11571-Nebraska-Ave-2-Los-Angeles-CA-90025/442366314_zpid/" xr:uid="{00000000-0004-0000-0100-000097000000}"/>
    <hyperlink ref="N107" r:id="rId152" display="https://drive.google.com/open?id=11cAHRfoxpgfHkcPpYA0d5if66ceWIRnH" xr:uid="{00000000-0004-0000-0100-000098000000}"/>
    <hyperlink ref="J108" r:id="rId153" display="https://www.zillow.com/homedetails/13018-Chandler-Blvd-Van-Nuys-CA-91401/440548973_zpid/" xr:uid="{00000000-0004-0000-0100-000099000000}"/>
    <hyperlink ref="N108" r:id="rId154" display="https://drive.google.com/open?id=18l8WtGIsbuabku1OoOzJ6n6kTylNtWKn" xr:uid="{00000000-0004-0000-0100-00009A000000}"/>
    <hyperlink ref="J109" r:id="rId155" display="https://www.zillow.com/homedetails/3400-Greenfield-Ave-APT-1-Los-Angeles-CA-90034/2061747538_zpid/" xr:uid="{00000000-0004-0000-0100-00009B000000}"/>
    <hyperlink ref="N109" r:id="rId156" display="https://drive.google.com/open?id=1RISaoYGwBSnljgYnj6eGQ8rUx_PgaUpV" xr:uid="{00000000-0004-0000-0100-00009C000000}"/>
    <hyperlink ref="J110" r:id="rId157" display="https://www.zillow.com/homedetails/3715-Kelton-Ave-APT-3-Los-Angeles-CA-90034/2080996983_zpid/" xr:uid="{00000000-0004-0000-0100-00009D000000}"/>
    <hyperlink ref="N110" r:id="rId158" display="https://drive.google.com/open?id=1NHzdUcPgDGr7orm55mn2MmBNLqvSIJ_Z" xr:uid="{00000000-0004-0000-0100-00009E000000}"/>
    <hyperlink ref="J111" r:id="rId159" display="https://www.zillow.com/homedetails/912-N-Vendome-St-Los-Angeles-CA-90026/2083961992_zpid/" xr:uid="{00000000-0004-0000-0100-00009F000000}"/>
    <hyperlink ref="J112" r:id="rId160" display="https://www.zillow.com/homedetails/15059-Oro-Grande-St-Sylmar-CA-91342/20106652_zpid/" xr:uid="{00000000-0004-0000-0100-0000A0000000}"/>
    <hyperlink ref="J113" r:id="rId161" display="https://www.zillow.com/homedetails/1901-N-Catalina-St-Los-Angeles-CA-90027/20809909_zpid/" xr:uid="{00000000-0004-0000-0100-0000A1000000}"/>
    <hyperlink ref="J114" r:id="rId162" display="https://www.zillow.com/homedetails/9105-Cordell-Dr-Los-Angeles-CA-90069/20799267_zpid/" xr:uid="{00000000-0004-0000-0100-0000A2000000}"/>
    <hyperlink ref="N114" r:id="rId163" display="https://drive.google.com/open?id=1bZ-470yBHTZ72KOic54bEz_XSQvlGOLK" xr:uid="{00000000-0004-0000-0100-0000A3000000}"/>
    <hyperlink ref="J115" r:id="rId164" display="https://www.zillow.com/homedetails/2847-Deep-Canyon-Dr-Beverly-Hills-CA-90210/20531974_zpid/" xr:uid="{00000000-0004-0000-0100-0000A4000000}"/>
    <hyperlink ref="N115" r:id="rId165" display="https://drive.google.com/open?id=14yN-0unH9X9XjCAltPjtLGDz9sWKFgbP" xr:uid="{00000000-0004-0000-0100-0000A5000000}"/>
    <hyperlink ref="J116" r:id="rId166" display="https://www.zillow.com/homedetails/3663-Edenhurst-Ave-Los-Angeles-CA-90039/20749912_zpid/" xr:uid="{00000000-0004-0000-0100-0000A6000000}"/>
    <hyperlink ref="J117" r:id="rId167" display="https://www.zillow.com/homedetails/22738-Mobile-St-West-Hills-CA-91307/19877075_zpid/?utm_campaign=iosappmessage&amp;utm_medium=referral&amp;utm_source=txtshare" xr:uid="{00000000-0004-0000-0100-0000A7000000}"/>
    <hyperlink ref="J118" r:id="rId168" display="https://www.redfin.com/CA/Venice/543-Rialto-Ave-90291/home/23075948" xr:uid="{00000000-0004-0000-0100-0000A8000000}"/>
    <hyperlink ref="N118" r:id="rId169" display="https://drive.google.com/open?id=1Szy-ApdPKNC1NOZSjAfb6-wj3YiRuWue" xr:uid="{00000000-0004-0000-0100-0000A9000000}"/>
    <hyperlink ref="J119" r:id="rId170" display="https://www.zillow.com/homedetails/3365-Tyburn-St-Los-Angeles-CA-90039/20750852_zpid/" xr:uid="{00000000-0004-0000-0100-0000AA000000}"/>
    <hyperlink ref="J120" r:id="rId171" display="https://www.zillow.com/homedetails/716-N-Kenter-Ave-Los-Angeles-CA-90049/20560387_zpid/" xr:uid="{00000000-0004-0000-0100-0000AB000000}"/>
    <hyperlink ref="N120" r:id="rId172" display="https://drive.google.com/open?id=1Q9ycrMCVyVemQcJOvJ0VqcMW9YT0vFf6" xr:uid="{00000000-0004-0000-0100-0000AC000000}"/>
    <hyperlink ref="J121" r:id="rId173" display="https://www.zillow.com/homedetails/11826-Dorothy-St-APT-202-Los-Angeles-CA-90049/63090973_zpid/" xr:uid="{00000000-0004-0000-0100-0000AD000000}"/>
    <hyperlink ref="N121" r:id="rId174" display="https://drive.google.com/open?id=1kgpnFYZgOrMkdb1olE1zxVjCvuTjlBOO" xr:uid="{00000000-0004-0000-0100-0000AE000000}"/>
    <hyperlink ref="J122" r:id="rId175" display="https://www.zillow.com/homedetails/3672-Jasmine-Ave-UNIT-102-Los-Angeles-CA-90034/2061496314_zpid/" xr:uid="{00000000-0004-0000-0100-0000AF000000}"/>
    <hyperlink ref="J123" r:id="rId176" display="https://www.zillow.com/homedetails/1849-N-Coldwater-Canyon-Dr-Beverly-Hills-CA-90210/125270046_zpid/" xr:uid="{00000000-0004-0000-0100-0000B0000000}"/>
    <hyperlink ref="N123" r:id="rId177" display="https://drive.google.com/open?id=1MkAvT_zQaASLkizdwS2vgranx-tbHu-l" xr:uid="{00000000-0004-0000-0100-0000B1000000}"/>
    <hyperlink ref="J124" r:id="rId178" display="https://www.zillow.com/homedetails/6230-Lindenhurst-Ave-6230-Los-Angeles-CA-90048/2053399272_zpid/" xr:uid="{00000000-0004-0000-0100-0000B2000000}"/>
    <hyperlink ref="J125" r:id="rId179" display="https://www.zillow.com/homedetails/110-N-Barrington-Ave-Los-Angeles-CA-90049/20547175_zpid/" xr:uid="{00000000-0004-0000-0100-0000B3000000}"/>
    <hyperlink ref="N125" r:id="rId180" display="https://drive.google.com/open?id=1PjPQuQ4SxY6Gy9B5K_xiqa11pCy1-2va" xr:uid="{00000000-0004-0000-0100-0000B4000000}"/>
    <hyperlink ref="J126" r:id="rId181" display="https://www.zillow.com/homedetails/543-Perugia-Way-Los-Angeles-CA-90077/20526792_zpid/" xr:uid="{00000000-0004-0000-0100-0000B5000000}"/>
    <hyperlink ref="N126" r:id="rId182" display="https://drive.google.com/open?id=1nPArvHoEpy9CRXY8uairvDo-GHl_Yvtf" xr:uid="{00000000-0004-0000-0100-0000B6000000}"/>
    <hyperlink ref="J127" r:id="rId183" display="https://www.zillow.com/homedetails/1308-N-Orange-Grove-Ave-Los-Angeles-CA-90046/20795564_zpid/" xr:uid="{00000000-0004-0000-0100-0000B7000000}"/>
    <hyperlink ref="J128" r:id="rId184" display="https://www.zillow.com/homedetails/1055-S-Hayworth-Ave-Los-Angeles-CA-90035/2055493930_zpid/" xr:uid="{00000000-0004-0000-0100-0000B8000000}"/>
    <hyperlink ref="J129" r:id="rId185" display="https://www.zillow.com/homedetails/907-Pine-Grove-Ave-Los-Angeles-CA-90042/20769156_zpid/?utm_campaign=iosappmessage&amp;utm_medium=referral&amp;utm_source=txtshare" xr:uid="{00000000-0004-0000-0100-0000B9000000}"/>
    <hyperlink ref="N129" r:id="rId186" display="https://drive.google.com/open?id=1gTRYquC7x7zZDhjG1Z1xwX67x46KeuJF" xr:uid="{00000000-0004-0000-0100-0000BA000000}"/>
    <hyperlink ref="J130" r:id="rId187" display="https://www.zillow.com/homedetails/1658-Lindacrest-Dr-Beverly-Hills-CA-90210/95556943_zpid/" xr:uid="{00000000-0004-0000-0100-0000BB000000}"/>
    <hyperlink ref="N130" r:id="rId188" display="https://drive.google.com/open?id=1mcnGkktBbTOcOJJhgQVUf14I_ezBxFaV" xr:uid="{00000000-0004-0000-0100-0000BC000000}"/>
    <hyperlink ref="J131" r:id="rId189" display="https://www.zillow.com/homedetails/12829-Jolette-Ave-Granada-Hills-CA-91344/20108763_zpid/" xr:uid="{00000000-0004-0000-0100-0000BD000000}"/>
    <hyperlink ref="N131" r:id="rId190" display="https://drive.google.com/open?id=12wPpjmxrVNyhOTnGcW0VC74BN_ivdmkq" xr:uid="{00000000-0004-0000-0100-0000BE000000}"/>
    <hyperlink ref="J132" r:id="rId191" display="https://www.zillow.com/homedetails/5900-Hellman-Ave-Los-Angeles-CA-90042/20692747_zpid/?utm_campaign=iosappmessage&amp;utm_medium=referral&amp;utm_source=txtshare" xr:uid="{00000000-0004-0000-0100-0000BF000000}"/>
    <hyperlink ref="N132" r:id="rId192" display="https://drive.google.com/open?id=1Rv3Rhe94Must2eyv_4fipJVu_pCnwIZ5" xr:uid="{00000000-0004-0000-0100-0000C0000000}"/>
    <hyperlink ref="J133" r:id="rId193" display="https://www.zillow.com/homedetails/15373-Valley-Vista-Blvd-Sherman-Oaks-CA-91403/19991451_zpid/" xr:uid="{00000000-0004-0000-0100-0000C1000000}"/>
    <hyperlink ref="N133" r:id="rId194" display="https://drive.google.com/open?id=1utj10Kj4F1iFPGaGA8_tvbUctcVtUaMK" xr:uid="{00000000-0004-0000-0100-0000C2000000}"/>
    <hyperlink ref="J134" r:id="rId195" display="https://www.zillow.com/homedetails/13001-13019-Montana-Ave-13011-Los-Angeles-CA-90049/443790422_zpid/" xr:uid="{00000000-0004-0000-0100-0000C3000000}"/>
    <hyperlink ref="J135" r:id="rId196" display="https://www.zillow.com/homedetails/17821-San-Jose-St-Granada-Hills-CA-91344/20168586_zpid/" xr:uid="{00000000-0004-0000-0100-0000C4000000}"/>
    <hyperlink ref="N135" r:id="rId197" display="https://drive.google.com/open?id=1uqt7MscCxpqVSfbamcjP127Jt5AqNNHG" xr:uid="{00000000-0004-0000-0100-0000C5000000}"/>
    <hyperlink ref="J136" r:id="rId198" display="https://www.zillow.com/homedetails/2203-N-Bowmont-Dr-Beverly-Hills-CA-90210/20534087_zpid/" xr:uid="{00000000-0004-0000-0100-0000C6000000}"/>
    <hyperlink ref="N136" r:id="rId199" display="https://drive.google.com/open?id=1MF6FDE8kEkFLdtGrQG8TrqIpxLmlJyCZ" xr:uid="{00000000-0004-0000-0100-0000C7000000}"/>
    <hyperlink ref="J137" r:id="rId200" display="https://www.zillow.com/homedetails/710-Westbourne-Dr-West-Hollywood-CA-90069/2098186436_zpid/" xr:uid="{00000000-0004-0000-0100-0000C8000000}"/>
    <hyperlink ref="J138" r:id="rId201" display="https://www.zillow.com/homedetails/8185-Mannix-Dr-Los-Angeles-CA-90046/82881919_zpid/" xr:uid="{00000000-0004-0000-0100-0000C9000000}"/>
    <hyperlink ref="J139" r:id="rId202" display="https://www.zillow.com/homedetails/3323-N-Knoll-Dr-Los-Angeles-CA-90068/20805677_zpid/" xr:uid="{00000000-0004-0000-0100-0000CA000000}"/>
    <hyperlink ref="J140" r:id="rId203" display="https://www.zillow.com/homedetails/7484-Mulholland-Dr-Los-Angeles-CA-90046/20802582_zpid/" xr:uid="{00000000-0004-0000-0100-0000CB000000}"/>
    <hyperlink ref="J141" r:id="rId204" display="https://www.zillow.com/homedetails/4707-Libbit-Ave-Encino-CA-91436/19991540_zpid/" xr:uid="{00000000-0004-0000-0100-0000CC000000}"/>
    <hyperlink ref="N141" r:id="rId205" display="https://drive.google.com/open?id=1-rNasGbTjI-w93MTPDozdiHKGN4qFyFr" xr:uid="{00000000-0004-0000-0100-0000CD000000}"/>
    <hyperlink ref="J142" r:id="rId206" display="https://www.zillow.com/homedetails/2430-7th-St-Santa-Monica-CA-90405/20482351_zpid/?utm_campaign=iosappmessage&amp;utm_medium=referral&amp;utm_source=txtshare" xr:uid="{00000000-0004-0000-0100-0000CE000000}"/>
    <hyperlink ref="N142" r:id="rId207" display="https://drive.google.com/open?id=1x5F7xUgAKOP6_GGvf5Dk47j2c4CrnlZU" xr:uid="{00000000-0004-0000-0100-0000CF000000}"/>
    <hyperlink ref="J143" r:id="rId208" display="https://www.zillow.com/homedetails/2119-S-West-View-St-Los-Angeles-CA-90016/20596651_zpid/" xr:uid="{00000000-0004-0000-0100-0000D0000000}"/>
    <hyperlink ref="J144" r:id="rId209" display="https://www.zillow.com/homedetails/9621-Royalton-Dr-Beverly-Hills-CA-90210/20533828_zpid/" xr:uid="{00000000-0004-0000-0100-0000D1000000}"/>
    <hyperlink ref="N144" r:id="rId210" display="https://drive.google.com/open?id=1J-PBKqq30VAZsOE1R0HYvvQ0zzc0lJVF" xr:uid="{00000000-0004-0000-0100-0000D2000000}"/>
    <hyperlink ref="J145" r:id="rId211" display="https://www.zillow.com/homedetails/5948-Abernathy-Dr-Los-Angeles-CA-90045/20378962_zpid/" xr:uid="{00000000-0004-0000-0100-0000D3000000}"/>
    <hyperlink ref="N145" r:id="rId212" display="https://drive.google.com/open?id=1BAJxou-I0vqezS1E3AQwDhD9IO1Fn5Z0" xr:uid="{00000000-0004-0000-0100-0000D4000000}"/>
    <hyperlink ref="J146" r:id="rId213" display="https://www.zillow.com/homedetails/649-N-Edinburgh-Ave-Los-Angeles-CA-90048/20786041_zpid/" xr:uid="{00000000-0004-0000-0100-0000D5000000}"/>
    <hyperlink ref="J147" r:id="rId214" display="https://www.zillow.com/homedetails/8429-Wiley-Post-Ave-Los-Angeles-CA-90045/20380558_zpid/?utm_campaign=iosappmessage&amp;utm_medium=referral&amp;utm_source=txtshare" xr:uid="{00000000-0004-0000-0100-0000D6000000}"/>
    <hyperlink ref="N147" r:id="rId215" display="https://drive.google.com/open?id=1aGY98jQbt2iSCHhzQDlio7tvHTzVs_jB" xr:uid="{00000000-0004-0000-0100-0000D7000000}"/>
    <hyperlink ref="J148" r:id="rId216" display="https://www.zillow.com/homedetails/610-N-Stanley-Ave-Los-Angeles-CA-90036/20785234_zpid/" xr:uid="{00000000-0004-0000-0100-0000D8000000}"/>
    <hyperlink ref="N148" r:id="rId217" display="https://drive.google.com/open?id=1L8SAiBnhn-CN7UModhGaXSSvOvYQexJM" xr:uid="{00000000-0004-0000-0100-0000D9000000}"/>
    <hyperlink ref="J149" r:id="rId218" display="https://www.zillow.com/homedetails/11842-Culver-Blvd-Los-Angeles-CA-90066/2123490972_zpid/?utm_source=txtshare" xr:uid="{00000000-0004-0000-0100-0000DA000000}"/>
    <hyperlink ref="J150" r:id="rId219" display="https://www.zillow.com/homedetails/5442-W-76th-St-Los-Angeles-CA-90045/20391003_zpid/?utm_campaign=iosappmessage&amp;utm_medium=referral&amp;utm_source=txtshare" xr:uid="{00000000-0004-0000-0100-0000DB000000}"/>
    <hyperlink ref="N150" r:id="rId220" display="https://drive.google.com/open?id=1iy3vQ_D_UmLpHzaIeslr0NdrwlFvxl3v" xr:uid="{00000000-0004-0000-0100-0000DC000000}"/>
    <hyperlink ref="J151" r:id="rId221" display="https://www.zillow.com/homedetails/446-S-Almont-Dr-Beverly-Hills-CA-90211/20513005_zpid/" xr:uid="{00000000-0004-0000-0100-0000DD000000}"/>
    <hyperlink ref="N151" r:id="rId222" display="https://drive.google.com/open?id=1WwE00MiyjxRRmfvXtzlihPpwolGb1Suq" xr:uid="{00000000-0004-0000-0100-0000DE000000}"/>
    <hyperlink ref="J152" r:id="rId223" display="https://www.zillow.com/homedetails/4243-Mary-Ellen-Ave-497B9FBCD-Studio-City-CA-91604/353484968_zpid/?utm_campaign=iosappmessage&amp;utm_medium=referral&amp;utm_source=txtshare" xr:uid="{00000000-0004-0000-0100-0000DF000000}"/>
    <hyperlink ref="J153" r:id="rId224" display="https://www.zillow.com/homedetails/13252-Magnolia-Blvd-Sherman-Oaks-CA-91423/20021216_zpid/" xr:uid="{00000000-0004-0000-0100-0000E0000000}"/>
    <hyperlink ref="J154" r:id="rId225" display="https://www.zillow.com/homedetails/1937-Prosser-Ave-Los-Angeles-CA-90025/20501203_zpid/" xr:uid="{00000000-0004-0000-0100-0000E1000000}"/>
    <hyperlink ref="J155" r:id="rId226" display="https://www.zillow.com/homedetails/157-S-Anita-Ave-Los-Angeles-CA-90049/20537967_zpid/" xr:uid="{00000000-0004-0000-0100-0000E2000000}"/>
    <hyperlink ref="N155" r:id="rId227" display="https://drive.google.com/open?id=19BT85d6UwVi4gdzVdHL2EPPh1ua-ZVR6" xr:uid="{00000000-0004-0000-0100-0000E3000000}"/>
    <hyperlink ref="J156" r:id="rId228" display="https://www.zillow.com/homedetails/138-N-Hamel-Dr-Beverly-Hills-CA-90211/20514615_zpid/" xr:uid="{00000000-0004-0000-0100-0000E4000000}"/>
    <hyperlink ref="N156" r:id="rId229" display="https://drive.google.com/open?id=17n9BhuDDd9AGDbjYzMlnJfMZOES_GgM_" xr:uid="{00000000-0004-0000-0100-0000E5000000}"/>
    <hyperlink ref="J157" r:id="rId230" display="https://www.zillow.com/homedetails/317-Westbourne-Dr-West-Hollywood-CA-90048/20517150_zpid/" xr:uid="{00000000-0004-0000-0100-0000E6000000}"/>
    <hyperlink ref="N157" r:id="rId231" display="https://drive.google.com/open?id=19nzhkkUaiBGrXT8i5FxFEZt3g9CjPXbL" xr:uid="{00000000-0004-0000-0100-0000E7000000}"/>
    <hyperlink ref="J158" r:id="rId232" display="https://www.zillow.com/homedetails/2307-Federal-Ave-Los-Angeles-CA-90064/2052980412_zpid/" xr:uid="{00000000-0004-0000-0100-0000E8000000}"/>
    <hyperlink ref="J159" r:id="rId233" display="https://www.zillow.com/homedetails/114-Pacific-Ave-Venice-CA-90291/20482017_zpid/?utm_campaign=iosappmessage&amp;utm_medium=referral&amp;utm_source=txtshare" xr:uid="{00000000-0004-0000-0100-0000E9000000}"/>
    <hyperlink ref="N159" r:id="rId234" display="https://drive.google.com/open?id=1Zev9PIso1a8dzC7pNzOUawwCr8wW--kN" xr:uid="{00000000-0004-0000-0100-0000EA000000}"/>
    <hyperlink ref="J160" r:id="rId235" display="https://www.zillow.com/homedetails/8966-Shoreham-Dr-Los-Angeles-CA-90069/20799415_zpid/" xr:uid="{00000000-0004-0000-0100-0000EB000000}"/>
    <hyperlink ref="N160" r:id="rId236" display="https://drive.google.com/open?id=1b6gTo11I1fjGfyj_rS57K4LhUfnXZtYh" xr:uid="{00000000-0004-0000-0100-0000EC000000}"/>
    <hyperlink ref="J161" r:id="rId237" display="https://www.zillow.com/homedetails/811-23rd-St-Santa-Monica-CA-90403/20474791_zpid/?utm_campaign=iosappmessage&amp;utm_medium=referral&amp;utm_source=txtshare" xr:uid="{00000000-0004-0000-0100-0000ED000000}"/>
    <hyperlink ref="N161" r:id="rId238" display="https://drive.google.com/open?id=1vT4ETMcdP3zM7xr4-3EVAS7BALMSPBSj" xr:uid="{00000000-0004-0000-0100-0000EE000000}"/>
    <hyperlink ref="J162" r:id="rId239" display="https://www.zillow.com/homedetails/1741-Stearns-Dr-Los-Angeles-CA-90035/20598494_zpid/" xr:uid="{00000000-0004-0000-0100-0000EF000000}"/>
    <hyperlink ref="J163" r:id="rId240" display="https://www.zillow.com/homedetails/8680-Franklin-Ave-Los-Angeles-CA-90069/20798318_zpid/" xr:uid="{00000000-0004-0000-0100-0000F0000000}"/>
    <hyperlink ref="N163" r:id="rId241" display="https://drive.google.com/open?id=1A-soIUjd5PAmtxUsxqHcRj8j0ub7wEGb" xr:uid="{00000000-0004-0000-0100-0000F1000000}"/>
    <hyperlink ref="J164" r:id="rId242" display="https://www.zillow.com/homedetails/1106-Oakwood-Ave-Venice-CA-90291/20450981_zpid/?utm_campaign=iosappmessage&amp;utm_medium=referral&amp;utm_source=txtshare" xr:uid="{00000000-0004-0000-0100-0000F2000000}"/>
    <hyperlink ref="N164" r:id="rId243" display="https://drive.google.com/open?id=1UJACklG5nc83YYFqXuqqrCbbt1GVb80Y" xr:uid="{00000000-0004-0000-0100-0000F3000000}"/>
    <hyperlink ref="J165" r:id="rId244" display="https://www.zillow.com/homedetails/13018-Chandler-Blvd-Van-Nuys-CA-91401/440548973_zpid/" xr:uid="{00000000-0004-0000-0100-0000F4000000}"/>
    <hyperlink ref="J166" r:id="rId245" display="https://www.zillow.com/homedetails/1533-Marlay-Dr-West-Hollywood-CA-90069/20798034_zpid/" xr:uid="{00000000-0004-0000-0100-0000F5000000}"/>
    <hyperlink ref="N166" r:id="rId246" display="https://drive.google.com/open?id=1XP6fivbXUPcz0msibc26R74FE1q5PfEQ" xr:uid="{00000000-0004-0000-0100-0000F6000000}"/>
    <hyperlink ref="J167" r:id="rId247" display="https://www.zillow.com/homedetails/748-S-Cloverdale-Ave-Los-Angeles-CA-90036/20610066_zpid/" xr:uid="{00000000-0004-0000-0100-0000F7000000}"/>
    <hyperlink ref="J168" r:id="rId248" display="https://www.zillow.com/homedetails/637-Oxford-Ave-Venice-CA-90291/20445192_zpid/" xr:uid="{00000000-0004-0000-0100-0000F8000000}"/>
    <hyperlink ref="J169" r:id="rId249" display="https://www.zillow.com/homedetails/1612-Courtney-Ave-Los-Angeles-CA-90046/20794166_zpid/" xr:uid="{00000000-0004-0000-0100-0000F9000000}"/>
    <hyperlink ref="N169" r:id="rId250" display="https://drive.google.com/open?id=1DKzGSKa1tenN-YHceTeH8MAIko197Sm-" xr:uid="{00000000-0004-0000-0100-0000FA000000}"/>
    <hyperlink ref="J170" r:id="rId251" display="https://www.zillow.com/homedetails/2203-N-Bowmont-Dr-Beverly-Hills-CA-90210/20534087_zpid/" xr:uid="{00000000-0004-0000-0100-0000FB000000}"/>
    <hyperlink ref="J171" r:id="rId252" display="https://www.zillow.com/homedetails/1941-Glencoe-Way-Los-Angeles-CA-90068/20793801_zpid/" xr:uid="{00000000-0004-0000-0100-0000FC000000}"/>
    <hyperlink ref="J172" r:id="rId253" display="https://www.zillow.com/homedetails/8147-Mulholland-Ter-Los-Angeles-CA-90046/20031972_zpid/?utm_campaign=iosappmessage&amp;utm_medium=referral&amp;utm_source=txtshare" xr:uid="{00000000-0004-0000-0100-0000FD000000}"/>
    <hyperlink ref="J173" r:id="rId254" display="https://www.zillow.com/homedetails/4227-McLaughlin-Ave-FLOOR-3-ID136-Los-Angeles-CA-90066/439767586_zpid/" xr:uid="{00000000-0004-0000-0100-0000FE000000}"/>
    <hyperlink ref="J174" r:id="rId255" display="https://www.zillow.com/homedetails/1719-Wellesley-Ave-Los-Angeles-CA-90025/20464247_zpid/" xr:uid="{00000000-0004-0000-0100-0000FF000000}"/>
    <hyperlink ref="N174" r:id="rId256" display="https://drive.google.com/open?id=1L6lLR96t0dkfGjJdxQLqEjpD7FQ2BMSf" xr:uid="{00000000-0004-0000-0100-000000010000}"/>
    <hyperlink ref="J175" r:id="rId257" display="https://www.zillow.com/homedetails/1846-N-Alvarado-St-Los-Angeles-CA-90026/20742169_zpid/" xr:uid="{00000000-0004-0000-0100-000001010000}"/>
    <hyperlink ref="J176" r:id="rId258" display="https://www.zillow.com/homedetails/4630-Vantage-Ave-Valley-Village-CA-91607/2073592574_zpid/" xr:uid="{00000000-0004-0000-0100-000002010000}"/>
    <hyperlink ref="J177" r:id="rId259" display="https://zillow.com/homedetails/9987-Reevesbury-Dr-Beverly-Hills-CA-90210/20532823_zpid/" xr:uid="{00000000-0004-0000-0100-000003010000}"/>
    <hyperlink ref="N177" r:id="rId260" display="https://drive.google.com/open?id=1vf8hpHBjuhq8v2Ecqd2dojvA1zHbRFnN" xr:uid="{00000000-0004-0000-0100-000004010000}"/>
    <hyperlink ref="J178" r:id="rId261" display="https://www.zillow.com/homedetails/8429-Wiley-Post-Ave-Los-Angeles-CA-90045/20380558_zpid/" xr:uid="{00000000-0004-0000-0100-000005010000}"/>
    <hyperlink ref="J179" r:id="rId262" display="https://www.zillow.com/homedetails/3205-Waverly-Dr-Los-Angeles-CA-90027/20749233_zpid/" xr:uid="{00000000-0004-0000-0100-000006010000}"/>
    <hyperlink ref="N179" r:id="rId263" display="https://drive.google.com/open?id=1W-ioNzPqFRqCqmztCBTDGiBYb4kwXgV2" xr:uid="{00000000-0004-0000-0100-000007010000}"/>
    <hyperlink ref="J180" r:id="rId264" display="https://www.zillow.com/homedetails/Burbank-CA-91504/20060493_zpid/?utm_campaign=androidappmessage&amp;utm_medium=referral&amp;utm_source=txtshare" xr:uid="{00000000-0004-0000-0100-000008010000}"/>
    <hyperlink ref="J181" r:id="rId265" display="https://www.zillow.com/homedetails/3600-Valley-Meadow-Rd-Sherman-Oaks-CA-91403/19990550_zpid/" xr:uid="{00000000-0004-0000-0100-000009010000}"/>
    <hyperlink ref="J182" r:id="rId266" display="https://www.zillow.com/homedetails/1172-Linda-Flora-Dr-Los-Angeles-CA-90049/20528914_zpid/" xr:uid="{00000000-0004-0000-0100-00000A010000}"/>
    <hyperlink ref="N182" r:id="rId267" display="https://drive.google.com/open?id=1y0ZpIYBBjLSmm7OJESP7aZoQiIpj6_9Q" xr:uid="{00000000-0004-0000-0100-00000B010000}"/>
    <hyperlink ref="J183" r:id="rId268" display="https://www.zillow.com/homedetails/1966-Rangeview-Dr-Glendale-CA-91201/20821772_zpid/" xr:uid="{00000000-0004-0000-0100-00000C010000}"/>
    <hyperlink ref="N183" r:id="rId269" display="https://drive.google.com/open?id=1W906Jv2fvSSPhw77-SnWW1Cg9fzdXPuA" xr:uid="{00000000-0004-0000-0100-00000D010000}"/>
    <hyperlink ref="J184" r:id="rId270" display="https://www.zillow.com/homedetails/1801-Roscomare-Rd-Los-Angeles-CA-90077/20530151_zpid/" xr:uid="{00000000-0004-0000-0100-00000E010000}"/>
    <hyperlink ref="J185" r:id="rId271" display="https://www.zillow.com/homedetails/4641-Crown-Ave-La-Canada-Flintridge-CA-91011/20906018_zpid/?utm_campaign=iosappmessage&amp;utm_medium=referral&amp;utm_source=txtshare" xr:uid="{00000000-0004-0000-0100-00000F010000}"/>
    <hyperlink ref="J186" r:id="rId272" display="https://www.zillow.com/homedetails/Los-Angeles-CA-90291/95551094_zpid/" xr:uid="{00000000-0004-0000-0100-000010010000}"/>
    <hyperlink ref="N186" r:id="rId273" display="https://drive.google.com/open?id=1XG9iqbkqIViCq-rsdT7-IEHlyCmMj5En" xr:uid="{00000000-0004-0000-0100-000011010000}"/>
    <hyperlink ref="J187" r:id="rId274" display="https://www.zillow.com/homedetails/9509-Cresta-Dr-Los-Angeles-CA-90035/20493657_zpid/" xr:uid="{00000000-0004-0000-0100-000012010000}"/>
    <hyperlink ref="N187" r:id="rId275" display="https://drive.google.com/open?id=1YIXIrkHjZvuWe_ZTcjPCP7msmaNxwdW4" xr:uid="{00000000-0004-0000-0100-000013010000}"/>
    <hyperlink ref="J188" r:id="rId276" display="https://www.zillow.com/homedetails/3600-Valley-Meadow-Rd-Sherman-Oaks-CA-91403/19990550_zpid/" xr:uid="{00000000-0004-0000-0100-000014010000}"/>
    <hyperlink ref="N188" r:id="rId277" display="https://drive.google.com/open?id=1FzlnbqdywRvwTC6FXgA3Yf3dhDBpxjgm" xr:uid="{00000000-0004-0000-0100-000015010000}"/>
    <hyperlink ref="J189" r:id="rId278" display="https://www.zillow.com/homedetails/Burbank-CA-91505/20062811_zpid/" xr:uid="{00000000-0004-0000-0100-000016010000}"/>
    <hyperlink ref="N189" r:id="rId279" display="https://drive.google.com/open?id=1-Eb5AEYrX4Hfke_KyB58ZP98YUwDTlwr" xr:uid="{00000000-0004-0000-0100-000017010000}"/>
    <hyperlink ref="J190" r:id="rId280" display="https://www.zillow.com/homedetails/20-28th-Ave-PENTHOUSE-Venice-CA-90291/442583506_zpid/" xr:uid="{00000000-0004-0000-0100-000018010000}"/>
    <hyperlink ref="N190" r:id="rId281" display="https://drive.google.com/open?id=1YoVaUBPOqLwNTz4M-C_iei4pwUkgbAEp" xr:uid="{00000000-0004-0000-0100-000019010000}"/>
    <hyperlink ref="J191" r:id="rId282" display="https://www.zillow.com/homedetails/2428-Glyndon-Ave-Venice-CA-90291/20448951_zpid/?utm_campaign=iosappmessage&amp;utm_medium=referral&amp;utm_source=txtshare" xr:uid="{00000000-0004-0000-0100-00001A010000}"/>
    <hyperlink ref="J192" r:id="rId283" display="https://www.zillow.com/homedetails/14654-Addison-St-Sherman-Oaks-CA-91403/19982382_zpid/" xr:uid="{00000000-0004-0000-0100-00001B010000}"/>
    <hyperlink ref="N192" r:id="rId284" display="https://drive.google.com/open?id=1QbSgXsZU8R9YAgQocAEC5RKn8pDNTLfk" xr:uid="{00000000-0004-0000-0100-00001C010000}"/>
    <hyperlink ref="J193" r:id="rId285" display="https://www.zillow.com/homedetails/3055-Landa-St-Los-Angeles-CA-90039/20747666_zpid/" xr:uid="{00000000-0004-0000-0100-00001D010000}"/>
    <hyperlink ref="N193" r:id="rId286" display="https://drive.google.com/open?id=189eGLA2TNGPXY6w1YWV-MHqt1VYkweTV" xr:uid="{00000000-0004-0000-0100-00001E010000}"/>
    <hyperlink ref="J194" r:id="rId287" display="https://www.redfin.com/CA/Los-Angeles/12318-W-Sunset-Blvd-90049/home/6838818" xr:uid="{00000000-0004-0000-0100-00001F010000}"/>
    <hyperlink ref="N194" r:id="rId288" display="https://drive.google.com/open?id=1_SAi9JLdagD4oQrTUMTUV5MK_wG2-7Ep" xr:uid="{00000000-0004-0000-0100-000020010000}"/>
    <hyperlink ref="J195" r:id="rId289" display="https://www.zillow.com/homedetails/8725-W-Lookout-Mountain-Ave-Los-Angeles-CA-90046/95669015_zpid/" xr:uid="{00000000-0004-0000-0100-000021010000}"/>
    <hyperlink ref="J196" r:id="rId290" display="https://www.zillow.com/homedetails/1106-Oakwood-Ave-Venice-CA-90291/20450981_zpid/?utm_campaign=iosappmessage&amp;utm_medium=referral&amp;utm_source=txtshare" xr:uid="{00000000-0004-0000-0100-000022010000}"/>
    <hyperlink ref="J197" r:id="rId291" display="https://www.zillow.com/homedetails/2950-Tyburn-St-Los-Angeles-CA-90039/20751814_zpid/?utm_campaign=iosappmessage&amp;utm_medium=referral&amp;utm_source=txtshare" xr:uid="{00000000-0004-0000-0100-000023010000}"/>
    <hyperlink ref="J198" r:id="rId292" display="https://www.zillow.com/homedetails/15701-Royal-Ridge-Rd-Sherman-Oaks-CA-91403/19990414_zpid/" xr:uid="{00000000-0004-0000-0100-000024010000}"/>
    <hyperlink ref="N198" r:id="rId293" display="https://drive.google.com/open?id=1bUbifeDOjLEVXUbqLBca5g7EZ99G5BQX" xr:uid="{00000000-0004-0000-0100-000025010000}"/>
    <hyperlink ref="J199" r:id="rId294" display="https://www.zillow.com/homedetails/114-Pacific-Ave-Venice-CA-90291/20482017_zpid/" xr:uid="{00000000-0004-0000-0100-000026010000}"/>
    <hyperlink ref="N199" r:id="rId295" display="https://drive.google.com/open?id=1LhoDVGbw_O7q2wjd28AKFsUrgKKepUXK" xr:uid="{00000000-0004-0000-0100-000027010000}"/>
    <hyperlink ref="J200" r:id="rId296" display="https://www.zillow.com/homedetails/1302-N-Gardner-St-Los-Angeles-CA-90046/2060162532_zpid/" xr:uid="{00000000-0004-0000-0100-000028010000}"/>
    <hyperlink ref="J201" r:id="rId297" display="https://www.zillow.com/homedetails/1427-Columbia-Dr-Glendale-CA-91205/20847539_zpid/?utm_campaign=iosappmessage&amp;utm_medium=referral&amp;utm_source=txtshare" xr:uid="{00000000-0004-0000-0100-000029010000}"/>
    <hyperlink ref="J202" r:id="rId298" display="https://www.zillow.com/homedetails/848-15th-St-APT-2-Santa-Monica-CA-90403/20478339_zpid/" xr:uid="{00000000-0004-0000-0100-00002A010000}"/>
    <hyperlink ref="N202" r:id="rId299" display="https://drive.google.com/open?id=13XxrWddwBbsSyjIJlvNNxD8Hu9RndxAt" xr:uid="{00000000-0004-0000-0100-00002B010000}"/>
    <hyperlink ref="J203" r:id="rId300" display="https://www.zillow.com/homedetails/425-29th-St-Manhattan-Beach-CA-90266/20420888_zpid/" xr:uid="{00000000-0004-0000-0100-00002C010000}"/>
    <hyperlink ref="N203" r:id="rId301" display="https://drive.google.com/open?id=1QdCaG10dp_0I5G20noHWOZH14EruF-_M" xr:uid="{00000000-0004-0000-0100-00002D010000}"/>
    <hyperlink ref="J204" r:id="rId302" display="https://www.zillow.com/homedetails/1026-E-Verdugo-Ave-Burbank-CA-91501/20054588_zpid/?utm_campaign=androidappmessage&amp;utm_medium=referral&amp;utm_source=txtshare" xr:uid="{00000000-0004-0000-0100-00002E010000}"/>
    <hyperlink ref="J205" r:id="rId303" display="https://www.zillow.com/homedetails/240-Howland-Canal-Ct-Venice-CA-90291/443837979_zpid/" xr:uid="{00000000-0004-0000-0100-00002F010000}"/>
    <hyperlink ref="N205" r:id="rId304" display="https://drive.google.com/open?id=1N2Cem9H4VweRlYlkSlUDQA0GFYZxvyLn" xr:uid="{00000000-0004-0000-0100-000030010000}"/>
    <hyperlink ref="J206" r:id="rId305" display="https://www.zillow.com/homedetails/12243-Gorham-Ave-A-Los-Angeles-CA-90049/2079729137_zpid/" xr:uid="{00000000-0004-0000-0100-000031010000}"/>
    <hyperlink ref="N206" r:id="rId306" display="https://drive.google.com/open?id=1TZylGqslTVsNsSkNnM9Mp7SFtJAUebkq" xr:uid="{00000000-0004-0000-0100-000032010000}"/>
    <hyperlink ref="J207" r:id="rId307" display="https://www.zillow.com/homedetails/640-Harbor-St-APT-1-Venice-CA-90291/20444876_zpid/" xr:uid="{00000000-0004-0000-0100-000033010000}"/>
    <hyperlink ref="N207" r:id="rId308" display="https://drive.google.com/open?id=1helEMAdM-ub5OuLiHjpDTAh-ahcUYdbQ" xr:uid="{00000000-0004-0000-0100-000034010000}"/>
    <hyperlink ref="J208" r:id="rId309" display="https://www.zillow.com/homedetails/1741-Stearns-Dr-Los-Angeles-CA-90035/20598494_zpid/" xr:uid="{00000000-0004-0000-0100-000035010000}"/>
    <hyperlink ref="N208" r:id="rId310" display="https://drive.google.com/open?id=1JEPm2YA-BMbW22rN_NIhIqp6d_pd3oxh" xr:uid="{00000000-0004-0000-0100-000036010000}"/>
    <hyperlink ref="J209" r:id="rId311" display="https://www.zillow.com/homedetails/2311-Malcolm-Ave-Los-Angeles-CA-90064/20500588_zpid/" xr:uid="{00000000-0004-0000-0100-000037010000}"/>
    <hyperlink ref="N209" r:id="rId312" display="https://drive.google.com/open?id=1xuerSwngFGX_-pO2OY9yuXAT9OjclwEh" xr:uid="{00000000-0004-0000-0100-000038010000}"/>
    <hyperlink ref="J210" r:id="rId313" display="https://www.zillow.com/homedetails/16754-Armstead-St-Granada-Hills-CA-91344/20110441_zpid/" xr:uid="{00000000-0004-0000-0100-000039010000}"/>
    <hyperlink ref="N210" r:id="rId314" display="https://drive.google.com/open?id=1qdmT4gaJ43Jjze92Of-0pUC3dxPzdcZC" xr:uid="{00000000-0004-0000-0100-00003A010000}"/>
    <hyperlink ref="J211" r:id="rId315" display="https://www.zillow.com/homedetails/2219-Estribo-Dr-Rolling-Hills-CA-90274/21348855_zpid/" xr:uid="{00000000-0004-0000-0100-00003B010000}"/>
    <hyperlink ref="J212" r:id="rId316" display="https://www.zillow.com/homedetails/2229-Willetta-St-Los-Angeles-CA-90068/20804418_zpid/?utm_campaign=iosappmessage&amp;utm_medium=referral&amp;utm_source=txtshare" xr:uid="{00000000-0004-0000-0100-00003C010000}"/>
    <hyperlink ref="J213" r:id="rId317" display="https://www.zillow.com/homedetails/1812-Navy-St-Santa-Monica-CA-90405/20472397_zpid/" xr:uid="{00000000-0004-0000-0100-00003D010000}"/>
    <hyperlink ref="J214" r:id="rId318" display="https://www.zillow.com/homedetails/5900-Hellman-Ave-Los-Angeles-CA-90042/20692747_zpid/" xr:uid="{00000000-0004-0000-0100-00003E010000}"/>
    <hyperlink ref="J215" r:id="rId319" display="https://www.zillow.com/homedetails/427-Manhattan-Ave-Hermosa-Beach-CA-90254/2078086078_zpid/" xr:uid="{00000000-0004-0000-0100-00003F010000}"/>
    <hyperlink ref="J216" r:id="rId320" display="https://www.zillow.com/homedetails/10919-Ayres-Ave-Los-Angeles-CA-90064/2098430421_zpid/" xr:uid="{00000000-0004-0000-0100-000040010000}"/>
    <hyperlink ref="N216" r:id="rId321" display="https://drive.google.com/open?id=18VwtNi21SWtzIJgo4yu0DiKSB15fH3jl" xr:uid="{00000000-0004-0000-0100-000041010000}"/>
    <hyperlink ref="J217" r:id="rId322" display="https://www.zillow.com/homedetails/11708-Exposition-Blvd-Los-Angeles-CA-90064/20464795_zpid/?utm_campaign=iosappmessage&amp;utm_medium=referral&amp;utm_source=txtshare" xr:uid="{00000000-0004-0000-0100-000042010000}"/>
    <hyperlink ref="J218" r:id="rId323" display="https://www.zillow.com/homedetails/907-Pine-Grove-Ave-Los-Angeles-CA-90042/20769156_zpid/?utm_campaign=iosappmessage&amp;utm_medium=referral&amp;utm_source=txtshare" xr:uid="{00000000-0004-0000-0100-000043010000}"/>
    <hyperlink ref="J219" r:id="rId324" display="https://www.zillow.com/homedetails/208-Marine-Ave-Manhattan-Beach-CA-90266/20421873_zpid/" xr:uid="{00000000-0004-0000-0100-000044010000}"/>
    <hyperlink ref="J220" r:id="rId325" display="https://www.zillow.com/homedetails/716-Rochedale-Way-Los-Angeles-CA-90049/20560159_zpid/" xr:uid="{00000000-0004-0000-0100-000045010000}"/>
    <hyperlink ref="J221" r:id="rId326" display="https://zillow.com/homedetails/10-20th-Ave-Venice-CA-90291/60295991_zpid/" xr:uid="{00000000-0004-0000-0100-000046010000}"/>
    <hyperlink ref="N221" r:id="rId327" display="https://drive.google.com/open?id=1y-OPc2OM-z1FaGOQ2zwtAxETwo4buQtc" xr:uid="{00000000-0004-0000-0100-000047010000}"/>
    <hyperlink ref="J222" r:id="rId328" display="https://www.zillow.com/homedetails/907-Pine-Grove-Ave-Los-Angeles-CA-90042/20769156_zpid/" xr:uid="{00000000-0004-0000-0100-000048010000}"/>
    <hyperlink ref="J223" r:id="rId329" display="https://www.zillow.com/homedetails/(undisclosed-Address)-Burbank-CA-91504/20060493_zpid/?utm_campaign=iosappmessage&amp;utm_medium=referral&amp;utm_source=txtshare" xr:uid="{00000000-0004-0000-0100-000049010000}"/>
    <hyperlink ref="J224" r:id="rId330" display="https://www.zillow.com/homedetails/3512-Crestmont-Ave-Los-Angeles-CA-90026/20746365_zpid/" xr:uid="{00000000-0004-0000-0100-00004A010000}"/>
    <hyperlink ref="J225" r:id="rId331" display="https://www.zillow.com/homedetails/700-N-Irena-Ave-Redondo-Beach-CA-90277/21317441_zpid/" xr:uid="{00000000-0004-0000-0100-00004B010000}"/>
    <hyperlink ref="J226" r:id="rId332" display="https://www.zillow.com/homedetails/1610-S-Hayworth-Ave-Los-Angeles-CA-90035/20599960_zpid/" xr:uid="{00000000-0004-0000-0100-00004C010000}"/>
    <hyperlink ref="N226" r:id="rId333" display="https://drive.google.com/open?id=1vXxaAHSCKnl6XLgb2FG0m9vgNu_ic3cJ" xr:uid="{00000000-0004-0000-0100-00004D010000}"/>
    <hyperlink ref="J227" r:id="rId334" display="https://www.zillow.com/homedetails/705-Chaucer-Rd-San-Marino-CA-91108/20701815_zpid/" xr:uid="{00000000-0004-0000-0100-00004E010000}"/>
    <hyperlink ref="J228" r:id="rId335" display="https://www.zillow.com/homedetails/2727-El-Oeste-Dr-Hermosa-Beach-CA-90254/20416648_zpid/" xr:uid="{00000000-0004-0000-0100-00004F010000}"/>
    <hyperlink ref="J229" r:id="rId336" display="https://www.zillow.com/homedetails/6255-W-Olympic-Blvd-2-Los-Angeles-CA-90048/443225953_zpid/" xr:uid="{00000000-0004-0000-0100-000050010000}"/>
    <hyperlink ref="N229" r:id="rId337" display="https://drive.google.com/open?id=1VPdM8Uc2SWtHADKixOOZhTJbDtFwzXdW" xr:uid="{00000000-0004-0000-0100-000051010000}"/>
    <hyperlink ref="J230" r:id="rId338" display="https://www.zillow.com/homedetails/614-Midvale-Ave-Los-Angeles-CA-90024/2078728356_zpid/" xr:uid="{00000000-0004-0000-0100-000052010000}"/>
    <hyperlink ref="N230" r:id="rId339" display="https://drive.google.com/open?id=1hWk_7Apx47z-2rzRs1WFiUWSkBoN2Bja" xr:uid="{00000000-0004-0000-0100-000053010000}"/>
    <hyperlink ref="J231" r:id="rId340" display="https://www.zillow.com/homedetails/3408-Alma-Ave-Manhattan-Beach-CA-90266/20420312_zpid/" xr:uid="{00000000-0004-0000-0100-000054010000}"/>
    <hyperlink ref="N231" r:id="rId341" display="https://drive.google.com/open?id=1_wwFu5NROqgMuL41drhiEyyKx5irwwhi" xr:uid="{00000000-0004-0000-0100-000055010000}"/>
    <hyperlink ref="J232" r:id="rId342" display="https://www.zillow.com/homedetails/1222-Hilldale-Ave-Los-Angeles-CA-90069/20799396_zpid/" xr:uid="{00000000-0004-0000-0100-000056010000}"/>
    <hyperlink ref="J233" r:id="rId343" display="https://www.zillow.com/homedetails/8966-Shoreham-Dr-Los-Angeles-CA-90069/20799415_zpid/" xr:uid="{00000000-0004-0000-0100-000057010000}"/>
    <hyperlink ref="J234" r:id="rId344" display="https://www.zillow.com/homedetails/3100-The-Strand-Hermosa-Beach-CA-90254/20424059_zpid/" xr:uid="{00000000-0004-0000-0100-000058010000}"/>
    <hyperlink ref="J235" r:id="rId345" display="https://www.zillow.com/homedetails/11570-W-Sunset-Blvd-Los-Angeles-CA-90049/20527245_zpid/" xr:uid="{00000000-0004-0000-0100-000059010000}"/>
    <hyperlink ref="N235" r:id="rId346" display="https://drive.google.com/open?id=1uPsZMr9JXmrdVRIOC1OSEDPL9WcA2L33" xr:uid="{00000000-0004-0000-0100-00005A010000}"/>
    <hyperlink ref="J236" r:id="rId347" display="https://www.zillow.com/homedetails/1923-Sunset-Plaza-Dr-Los-Angeles-CA-90069/20798097_zpid/" xr:uid="{00000000-0004-0000-0100-00005B010000}"/>
    <hyperlink ref="J237" r:id="rId348" display="https://www.zillow.com/homedetails/Los-Angeles-CA-90046/20803208_zpid/" xr:uid="{00000000-0004-0000-0100-00005C010000}"/>
    <hyperlink ref="J238" r:id="rId349" display="https://www.zillow.com/homedetails/233-17th-St-Manhattan-Beach-CA-90266/20421726_zpid/" xr:uid="{00000000-0004-0000-0100-00005D010000}"/>
    <hyperlink ref="J239" r:id="rId350" display="https://www.zillow.com/homedetails/3600-Valley-Meadow-Rd-Sherman-Oaks-CA-91403/19990550_zpid/" xr:uid="{00000000-0004-0000-0100-00005E010000}"/>
    <hyperlink ref="N239" r:id="rId351" display="https://drive.google.com/open?id=1sgFI5vArFESQ0rJx1kM2uVjQGZnTEGRn" xr:uid="{00000000-0004-0000-0100-00005F010000}"/>
    <hyperlink ref="J240" r:id="rId352" display="https://www.zillow.com/homedetails/1915-S-Crescent-Heights-Blvd-Los-Angeles-CA-90034/20598384_zpid/" xr:uid="{00000000-0004-0000-0100-000060010000}"/>
    <hyperlink ref="J241" r:id="rId353" display="https://www.zillow.com/homedetails/500-14th-St-Manhattan-Beach-CA-90266/20418321_zpid/" xr:uid="{00000000-0004-0000-0100-000061010000}"/>
    <hyperlink ref="J242" r:id="rId354" display="https://www.zillow.com/homedetails/11246-Segrell-Way-Culver-City-CA-90230/20438478_zpid/" xr:uid="{00000000-0004-0000-0100-000062010000}"/>
    <hyperlink ref="N242" r:id="rId355" display="https://drive.google.com/open?id=1Q9vPuxCvxfsl41GSeNPWht_Bo1qii-Qs" xr:uid="{00000000-0004-0000-0100-000063010000}"/>
    <hyperlink ref="J243" r:id="rId356" display="https://www.zillow.com/homedetails/23716-Archwood-St-West-Hills-CA-91307/340040879_zpid/" xr:uid="{00000000-0004-0000-0100-000064010000}"/>
    <hyperlink ref="J244" r:id="rId357" display="https://www.zillow.com/homedetails/918-N-Screenland-Dr-Burbank-CA-91505/20064092_zpid/" xr:uid="{00000000-0004-0000-0100-000065010000}"/>
    <hyperlink ref="N244" r:id="rId358" display="https://drive.google.com/open?id=1Bv7Wip_9bKpqyRr_LYUzVBvFKol7-uuQ" xr:uid="{00000000-0004-0000-0100-000066010000}"/>
    <hyperlink ref="J245" r:id="rId359" display="https://www.zillow.com/homedetails/8147-Mulholland-Ter-Los-Angeles-CA-90046/20031972_zpid/" xr:uid="{00000000-0004-0000-0100-000067010000}"/>
    <hyperlink ref="N245" r:id="rId360" display="https://drive.google.com/open?id=1c3pVWwcTW_y8cQ8vXVpZdgeXeWyfHncC" xr:uid="{00000000-0004-0000-0100-000068010000}"/>
    <hyperlink ref="J246" r:id="rId361" display="https://www.zillow.com/homedetails/711-Huntley-Dr-West-Hollywood-CA-90069/20517081_zpid/" xr:uid="{00000000-0004-0000-0100-000069010000}"/>
    <hyperlink ref="N246" r:id="rId362" display="https://drive.google.com/open?id=1EUrRth6TK1anfnH0gJ0jzf1bR0RtGlZG" xr:uid="{00000000-0004-0000-0100-00006A010000}"/>
    <hyperlink ref="J247" r:id="rId363" display="https://www.zillow.com/homedetails/825-N-Pasadena-Ave-Pasadena-CA-91103/20857788_zpid/" xr:uid="{00000000-0004-0000-0100-00006B010000}"/>
    <hyperlink ref="J248" r:id="rId364" display="https://www.zillow.com/homedetails/233-17th-St-Manhattan-Beach-CA-90266/20421726_zpid/" xr:uid="{00000000-0004-0000-0100-00006C010000}"/>
    <hyperlink ref="N248" r:id="rId365" display="https://drive.google.com/open?id=1TtdzfmcsirmchVHTQzjpIYVL7gZ-FtCO" xr:uid="{00000000-0004-0000-0100-00006D010000}"/>
    <hyperlink ref="J249" r:id="rId366" display="https://www.zillow.com/homedetails/1321-Londonderry-Pl-Los-Angeles-CA-90069/20798979_zpid/" xr:uid="{00000000-0004-0000-0100-00006E010000}"/>
    <hyperlink ref="N249" r:id="rId367" display="https://drive.google.com/open?id=1ATYe5B5jzNSry08ltD0XTPf2iHS8s37b" xr:uid="{00000000-0004-0000-0100-00006F010000}"/>
    <hyperlink ref="J250" r:id="rId368" display="https://www.zillow.com/homedetails/1920-Sunset-Plaza-Dr-Los-Angeles-CA-90069/20798268_zpid/" xr:uid="{00000000-0004-0000-0100-000070010000}"/>
    <hyperlink ref="N250" r:id="rId369" display="https://drive.google.com/open?id=1F4K1W5k5QTO2OM0ImMyiCWvH2yAo6MTM" xr:uid="{00000000-0004-0000-0100-000071010000}"/>
    <hyperlink ref="J251" r:id="rId370" display="https://www.zillow.com/homedetails/870-Hilgard-Ave-315-Los-Angeles-CA-90024/2079769957_zpid/" xr:uid="{00000000-0004-0000-0100-000072010000}"/>
    <hyperlink ref="N251" r:id="rId371" display="https://drive.google.com/open?id=19Xbzwal21XeuqzLAwY-iGUdN05BF3uRF" xr:uid="{00000000-0004-0000-0100-000073010000}"/>
    <hyperlink ref="J252" r:id="rId372" display="https://www.zillow.com/homedetails/1801-Roscomare-Rd-Los-Angeles-CA-90077/20530151_zpid/" xr:uid="{00000000-0004-0000-0100-000074010000}"/>
    <hyperlink ref="N252" r:id="rId373" display="https://drive.google.com/open?id=1xrh6x7xiVA8_hSMrWbUJNncEujUK-mU6" xr:uid="{00000000-0004-0000-0100-000075010000}"/>
    <hyperlink ref="J253" r:id="rId374" display="https://www.zillow.com/homedetails/815-N-Whittier-Dr-Beverly-Hills-CA-90210/20521924_zpid/" xr:uid="{00000000-0004-0000-0100-000076010000}"/>
    <hyperlink ref="N253" r:id="rId375" display="https://drive.google.com/open?id=1qjQGpYS4NVE8KEG0qchARlBWc0TQcv9A" xr:uid="{00000000-0004-0000-0100-000077010000}"/>
    <hyperlink ref="J254" r:id="rId376" display="https://www.zillow.com/homedetails/8911-Cynthia-St-APT-9-West-Hollywood-CA-90069/2100113899_zpid/" xr:uid="{00000000-0004-0000-0100-000078010000}"/>
    <hyperlink ref="J255" r:id="rId377" display="https://www.zillow.com/homedetails/274-S-La-Fayette-Park-Pl-2B-2BA-Los-Angeles-CA-90057/441951840_zpid/" xr:uid="{00000000-0004-0000-0100-000079010000}"/>
    <hyperlink ref="N255" r:id="rId378" display="https://drive.google.com/open?id=1I2N6IXCNajYrAsvTl1Wd3pJpQXmGpgaS" xr:uid="{00000000-0004-0000-0100-00007A010000}"/>
    <hyperlink ref="J256" r:id="rId379" display="https://www.zillow.com/homedetails/2070-Layton-St-Pasadena-CA-91104/20921040_zpid/" xr:uid="{00000000-0004-0000-0100-00007B010000}"/>
    <hyperlink ref="J257" r:id="rId380" display="https://www.zillow.com/homedetails/5514-Sylvia-Ave-Tarzana-CA-91356/19940536_zpid/" xr:uid="{00000000-0004-0000-0100-00007C010000}"/>
    <hyperlink ref="N257" r:id="rId381" display="https://drive.google.com/open?id=1nUhxHUlZWRBrwRSE0-2jBaWPreBIuOlG" xr:uid="{00000000-0004-0000-0100-00007D010000}"/>
    <hyperlink ref="J258" r:id="rId382" display="https://www.zillow.com/homedetails/1221-Myra-Ave-PENTHOUSE-605-Los-Angeles-CA-90029/442628656_zpid/" xr:uid="{00000000-0004-0000-0100-00007E010000}"/>
    <hyperlink ref="N258" r:id="rId383" display="https://drive.google.com/open?id=1IvEc_KP1v7xZsNs2ZrFsM3mbKVtRdQoV" xr:uid="{00000000-0004-0000-0100-00007F010000}"/>
    <hyperlink ref="J259" r:id="rId384" display="https://www.zillow.com/homedetails/2950-Tyburn-St-Los-Angeles-CA-90039/20751814_zpid/" xr:uid="{00000000-0004-0000-0100-000080010000}"/>
    <hyperlink ref="J260" r:id="rId385" display="https://www.zillow.com/homedetails/446-S-Almont-Dr-Beverly-Hills-CA-90211/20513005_zpid/?utm_campaign=iosappmessage&amp;utm_medium=referral&amp;utm_source=txtshare" xr:uid="{00000000-0004-0000-0100-000081010000}"/>
    <hyperlink ref="J261" r:id="rId386" display="https://docs.google.com/spreadsheets/d/1RXWxLqTyWvAuq8A0PgaBuWeEn_G6qTLyTZ8lzfNEaNw/htmlview" xr:uid="{00000000-0004-0000-0100-000082010000}"/>
    <hyperlink ref="J262" r:id="rId387" display="https://www.zillow.com/homedetails/1106-Maybrook-Dr-Beverly-Hills-CA-90210/20524112_zpid/" xr:uid="{00000000-0004-0000-0100-000083010000}"/>
    <hyperlink ref="N262" r:id="rId388" display="https://drive.google.com/open?id=1FCc3hVLZluutG08uUEkV69VHkWoF-4ll" xr:uid="{00000000-0004-0000-0100-000084010000}"/>
    <hyperlink ref="J263" r:id="rId389" display="https://www.zillow.com/homedetails/1222-Hilldale-Ave-Los-Angeles-CA-90069/20799396_zpid/" xr:uid="{00000000-0004-0000-0100-000085010000}"/>
    <hyperlink ref="J264" r:id="rId390" display="https://www.zillow.com/homedetails/10734-Bloomfield-St-North-Hollywood-CA-91602/157718290_zpid/" xr:uid="{00000000-0004-0000-0100-000086010000}"/>
    <hyperlink ref="J265" r:id="rId391" display="https://www.zillow.com/homedetails/15105-Mulholland-Dr-Los-Angeles-CA-90077/19990206_zpid/" xr:uid="{00000000-0004-0000-0100-000087010000}"/>
    <hyperlink ref="N265" r:id="rId392" display="https://drive.google.com/open?id=16BcWxiHgDEVc2qXkR3c2Do5-EiPYJXr5" xr:uid="{00000000-0004-0000-0100-000088010000}"/>
    <hyperlink ref="J266" r:id="rId393" display="https://www.zillow.com/homedetails/1106-Maybrook-Dr-Beverly-Hills-CA-90210/20524112_zpid/" xr:uid="{00000000-0004-0000-0100-000089010000}"/>
    <hyperlink ref="N266" r:id="rId394" display="https://drive.google.com/open?id=1Moi4mL06HTx-hH8O5r7L2tAEA_2_zFnw" xr:uid="{00000000-0004-0000-0100-00008A010000}"/>
    <hyperlink ref="J267" r:id="rId395" display="https://www.zillow.com/homedetails/Burbank-CA-91505/20065843_zpid/" xr:uid="{00000000-0004-0000-0100-00008B010000}"/>
    <hyperlink ref="N267" r:id="rId396" display="https://drive.google.com/open?id=1x3Vp3RMfXD7RCn4k1KhkaLqNf2fMqP3e" xr:uid="{00000000-0004-0000-0100-00008C010000}"/>
    <hyperlink ref="J268" r:id="rId397" display="https://www.zillow.com/homedetails/8666-Hollywood-Blvd-Los-Angeles-CA-90069/20799046_zpid/" xr:uid="{00000000-0004-0000-0100-00008D010000}"/>
    <hyperlink ref="N268" r:id="rId398" display="https://drive.google.com/open?id=1jKWUbrryJO2HGARe7FU8TJzWhmJEN4t0" xr:uid="{00000000-0004-0000-0100-00008E010000}"/>
    <hyperlink ref="J269" r:id="rId399" display="https://www.zillow.com/homedetails/10714-Franklin-Ave-Culver-City-CA-90230/20434510_zpid/" xr:uid="{00000000-0004-0000-0100-00008F010000}"/>
    <hyperlink ref="N269" r:id="rId400" display="https://drive.google.com/open?id=1z9NXhbEDm_M5w6CnT0khDRyOldxpX6wP" xr:uid="{00000000-0004-0000-0100-000090010000}"/>
    <hyperlink ref="J270" r:id="rId401" display="https://www.zillow.com/homedetails/2903-Lincoln-Blvd-221-Santa-Monica-CA-90405/2055723866_zpid/" xr:uid="{00000000-0004-0000-0100-000091010000}"/>
    <hyperlink ref="N270" r:id="rId402" display="https://drive.google.com/open?id=1XXMoL6w-TiLSS2C5JukczKtdTI6Ml5XT" xr:uid="{00000000-0004-0000-0100-000092010000}"/>
    <hyperlink ref="J271" r:id="rId403" display="https://www.zillow.com/homedetails/7599-W-Coastal-View-Dr-Los-Angeles-CA-90045/443793824_zpid/?utm_campaign=iosappmessage&amp;utm_medium=referral&amp;utm_source=txtshare" xr:uid="{00000000-0004-0000-0100-000093010000}"/>
    <hyperlink ref="N271" r:id="rId404" display="https://drive.google.com/open?id=1pmlGPUW-dbDyMNDuu5UMKihfmhSUF8si" xr:uid="{00000000-0004-0000-0100-000094010000}"/>
    <hyperlink ref="J272" r:id="rId405" display="https://www.zillow.com/los-angeles-ca/rentals/?searchQueryState=%7B%22pagination%22%3A%7B%7D%2C%22isMapVisible%22%3Atrue%2C%22mapBounds%22%3A%7B%22west%22%3A-118.52363831787109%2C%22east%22%3A-118.4144616821289%2C%22south%22%3A34.03261687026668%2C%22north%22%3A34.12929785798081%7D%2C%22regionSelection%22%3A%5B%7B%22regionId%22%3A12447%2C%22regionType%22%3A6%7D%5D%2C%22filterState%22%3A%7B%22fr%22%3A%7B%22value%22%3Atrue%7D%2C%22fsba%22%3A%7B%22value%22%3Afalse%7D%2C%22fsbo%22%3A%7B%22value%22%3Afalse%7D%2C%22nc%22%3A%7B%22value%22%3Afalse%7D%2C%22cmsn%22%3A%7B%22value%22%3Afalse%7D%2C%22auc%22%3A%7B%22value%22%3Afalse%7D%2C%22fore%22%3A%7B%22value%22%3Afalse%7D%7D%2C%22isListVisible%22%3Atrue%2C%22mapZoom%22%3A13%7D" xr:uid="{00000000-0004-0000-0100-000095010000}"/>
    <hyperlink ref="J273" r:id="rId406" display="https://www.zillow.com/homedetails/3552-Federal-Ave-Los-Angeles-CA-90066/20458262_zpid/" xr:uid="{00000000-0004-0000-0100-000096010000}"/>
    <hyperlink ref="N273" r:id="rId407" display="https://drive.google.com/open?id=1wM0IFIAro2SiNr32j0Uu4L5rl__obEfv" xr:uid="{00000000-0004-0000-0100-000097010000}"/>
    <hyperlink ref="J274" r:id="rId408" display="https://www.zillow.com/homedetails/1741-Stearns-Dr-Los-Angeles-CA-90035/20598494_zpid/" xr:uid="{00000000-0004-0000-0100-000098010000}"/>
    <hyperlink ref="N274" r:id="rId409" display="https://drive.google.com/open?id=1p2XOVhogUXb7dN4gfi2IxKOc086UDmVB" xr:uid="{00000000-0004-0000-0100-000099010000}"/>
    <hyperlink ref="J275" r:id="rId410" display="https://www.zillow.com/homedetails/2229-Willetta-St-Los-Angeles-CA-90068/20804418_zpid/?utm_campaign=iosappmessage&amp;utm_medium=referral&amp;utm_source=txtshare" xr:uid="{00000000-0004-0000-0100-00009A010000}"/>
    <hyperlink ref="N275" r:id="rId411" display="https://drive.google.com/open?id=16Id389rDEvuyJNQgvmDD421AMifV41GW" xr:uid="{00000000-0004-0000-0100-00009B010000}"/>
    <hyperlink ref="J276" r:id="rId412" display="https://www.zillow.com/homedetails/11455-Segrell-Way-Culver-City-CA-90230/20438430_zpid/" xr:uid="{00000000-0004-0000-0100-00009C010000}"/>
    <hyperlink ref="J277" r:id="rId413" display="https://www.zillow.com/homedetails/11310-Valley-Spring-Ln-North-Hollywood-CA-91602/80620474_zpid/" xr:uid="{00000000-0004-0000-0100-00009D010000}"/>
    <hyperlink ref="N277" r:id="rId414" display="https://drive.google.com/open?id=1bmzYjkvGlufXrTKBcwKKAUgYUxt1EJ2J" xr:uid="{00000000-0004-0000-0100-00009E010000}"/>
    <hyperlink ref="J278" r:id="rId415" display="https://www.zillow.com/homedetails/10919-Ayres-Ave-Los-Angeles-CA-90064/2098430421_zpid/?utm_campaign=iosappmessage&amp;utm_medium=referral&amp;utm_source=txtshare" xr:uid="{00000000-0004-0000-0100-00009F010000}"/>
    <hyperlink ref="J279" r:id="rId416" display="https://www.redfin.com/CA/Los-Angeles/3452-Maplewood-Ave-90066/home/6745385" xr:uid="{00000000-0004-0000-0100-0000A0010000}"/>
    <hyperlink ref="N279" r:id="rId417" display="https://drive.google.com/open?id=1-PyMDtUe4hRGJT2g366p6gb1-Py7Pc1u" xr:uid="{00000000-0004-0000-0100-0000A1010000}"/>
    <hyperlink ref="J280" r:id="rId418" display="https://www.zillow.com/homedetails/2010-Vineburn-Ave-Los-Angeles-CA-90032/20640422_zpid/" xr:uid="{00000000-0004-0000-0100-0000A2010000}"/>
    <hyperlink ref="J281" r:id="rId419" display="https://www.zillow.com/homedetails/1812-Navy-St-Santa-Monica-CA-90405/20472397_zpid/" xr:uid="{00000000-0004-0000-0100-0000A3010000}"/>
    <hyperlink ref="N281" r:id="rId420" display="https://drive.google.com/open?id=1BoZfT7wCBGlurbwqFTQ0q6fEWzic6K84" xr:uid="{00000000-0004-0000-0100-0000A4010000}"/>
    <hyperlink ref="J282" r:id="rId421" display="https://www.zillow.com/homedetails/1302-N-Gardner-St-Los-Angeles-CA-90046/2060162532_zpid/?utm_campaign=iosappmessage&amp;utm_medium=referral&amp;utm_source=txtshare" xr:uid="{00000000-0004-0000-0100-0000A5010000}"/>
    <hyperlink ref="N282" r:id="rId422" display="https://drive.google.com/open?id=1Vd-8HxJdOlYz7Yafu1oukpaRO2bZZtSX" xr:uid="{00000000-0004-0000-0100-0000A6010000}"/>
    <hyperlink ref="J283" r:id="rId423" display="https://www.zillow.com/homedetails/1405-Elkgrove-Cir-FLOOR-2-ID71-Venice-CA-90291/439767588_zpid/" xr:uid="{00000000-0004-0000-0100-0000A7010000}"/>
    <hyperlink ref="J284" r:id="rId424" display="https://www.zillow.com/homedetails/1941-Glencoe-Way-Los-Angeles-CA-90068/20793801_zpid/?utm_campaign=iosappmessage&amp;utm_medium=referral&amp;utm_source=txtshare" xr:uid="{00000000-0004-0000-0100-0000A8010000}"/>
    <hyperlink ref="N284" r:id="rId425" display="https://drive.google.com/open?id=18MCew9Eu7z2ksiX5nPpH4QxyPAkSA3nO" xr:uid="{00000000-0004-0000-0100-0000A9010000}"/>
    <hyperlink ref="J285" r:id="rId426" display="https://www.zillow.com/homedetails/724-N-Ogden-Dr-Los-Angeles-CA-90046/20785980_zpid/" xr:uid="{00000000-0004-0000-0100-0000AA010000}"/>
    <hyperlink ref="N285" r:id="rId427" display="https://drive.google.com/open?id=1v_KY4rhFU1PVBscg83ETTvYK5CeLvuUV" xr:uid="{00000000-0004-0000-0100-0000AB010000}"/>
    <hyperlink ref="J286" r:id="rId428" display="https://www.zillow.com/homedetails/9314-Sierra-Mar-Dr-Los-Angeles-CA-90069/20535099_zpid/" xr:uid="{00000000-0004-0000-0100-0000AC010000}"/>
    <hyperlink ref="N286" r:id="rId429" display="https://drive.google.com/open?id=1To-wMgLjwDdFW73Kj5AUtuKuoe2_8nts" xr:uid="{00000000-0004-0000-0100-0000AD010000}"/>
    <hyperlink ref="J287" r:id="rId430" display="https://www.zillow.com/homedetails/11730-Stonehenge-Ln-Los-Angeles-CA-90077/20530651_zpid/" xr:uid="{00000000-0004-0000-0100-0000AE010000}"/>
    <hyperlink ref="N287" r:id="rId431" display="https://drive.google.com/open?id=1rQVjeY8DimBIyk6aFBpeuzdEVyIrW2Xm" xr:uid="{00000000-0004-0000-0100-0000AF010000}"/>
    <hyperlink ref="J288" r:id="rId432" display="https://www.zillow.com/homedetails/3205-Waverly-Dr-Los-Angeles-CA-90027/20749233_zpid/" xr:uid="{00000000-0004-0000-0100-0000B0010000}"/>
    <hyperlink ref="J289" r:id="rId433" display="https://www.zillow.com/homedetails/3663-Edenhurst-Ave-Los-Angeles-CA-90039/20749912_zpid/" xr:uid="{00000000-0004-0000-0100-0000B1010000}"/>
    <hyperlink ref="J290" r:id="rId434" display="https://www.zillow.com/homedetails/8911-Cynthia-St-APT-9-West-Hollywood-CA-90069/2100113899_zpid/" xr:uid="{00000000-0004-0000-0100-0000B2010000}"/>
    <hyperlink ref="J291" r:id="rId435" display="https://www.zillow.com/homedetails/1659-Waynecrest-Dr-Beverly-Hills-CA-90210/20522844_zpid/" xr:uid="{00000000-0004-0000-0100-0000B3010000}"/>
    <hyperlink ref="N291" r:id="rId436" display="https://drive.google.com/open?id=1bA6okqOMHzTBpunt8fkIpws42Pf7AX45" xr:uid="{00000000-0004-0000-0100-0000B4010000}"/>
    <hyperlink ref="J292" r:id="rId437" display="https://www.zillow.com/homedetails/11842-Culver-Blvd-Los-Angeles-CA-90066/2123490972_zpid/" xr:uid="{00000000-0004-0000-0100-0000B5010000}"/>
    <hyperlink ref="N292" r:id="rId438" display="https://drive.google.com/open?id=15qA2u2OeySJVBuMkdGhfdBG1Z2G-1g2o" xr:uid="{00000000-0004-0000-0100-0000B6010000}"/>
    <hyperlink ref="J293" r:id="rId439" display="https://www.zillow.com/homedetails/715-N-Rexford-Dr-Beverly-Hills-CA-90210/20520993_zpid/" xr:uid="{00000000-0004-0000-0100-0000B7010000}"/>
    <hyperlink ref="J294" r:id="rId440" display="https://www.zillow.com/homedetails/2260-Maravilla-Dr-Los-Angeles-CA-90068/20793606_zpid/?utm_campaign=iosappmessage&amp;utm_medium=referral&amp;utm_source=txtshare" xr:uid="{00000000-0004-0000-0100-0000B8010000}"/>
    <hyperlink ref="N294" r:id="rId441" display="https://drive.google.com/open?id=1GJ_HPbHk0cqknP6y4Ce4xHkp_no6Y9UQ" xr:uid="{00000000-0004-0000-0100-0000B9010000}"/>
    <hyperlink ref="J295" r:id="rId442" display="https://www.zillow.com/homedetails/2655-Creston-Dr-Los-Angeles-CA-90068/20806979_zpid/" xr:uid="{00000000-0004-0000-0100-0000BA010000}"/>
    <hyperlink ref="N295" r:id="rId443" display="https://drive.google.com/open?id=1pYGS3ksDkiR6c0XudzDPTBxKQ7cPs0Rf" xr:uid="{00000000-0004-0000-0100-0000BB010000}"/>
    <hyperlink ref="J296" r:id="rId444" display="https://www.zillow.com/homedetails/3935-Inglewood-Blvd-3935-Los-Angeles-CA-90066/401885716_zpid/" xr:uid="{00000000-0004-0000-0100-0000BC010000}"/>
    <hyperlink ref="J297" r:id="rId445" display="https://www.zillow.com/homedetails/2929-S-Beverly-Dr-Los-Angeles-CA-90034/20495197_zpid/" xr:uid="{00000000-0004-0000-0100-0000BD010000}"/>
    <hyperlink ref="N297" r:id="rId446" display="https://drive.google.com/open?id=1A1_FC6R8Z1jrwzceiz61RHH5vzuEk5N5" xr:uid="{00000000-0004-0000-0100-0000BE010000}"/>
    <hyperlink ref="J298" r:id="rId447" display="https://www.zillow.com/homedetails/4188-Marcasel-Ave-Los-Angeles-CA-90066/20447597_zpid/" xr:uid="{00000000-0004-0000-0100-0000BF010000}"/>
    <hyperlink ref="N298" r:id="rId448" display="https://drive.google.com/open?id=17MUQwwoRY02n8MJ6H06objHdOIg7bXoS" xr:uid="{00000000-0004-0000-0100-0000C0010000}"/>
    <hyperlink ref="J299" r:id="rId449" display="https://www.zillow.com/homedetails/726-Pier-Ave-C-Santa-Monica-CA-90405/443775974_zpid/?utm_campaign=iosappmessage&amp;utm_medium=referral&amp;utm_source=txtshare" xr:uid="{00000000-0004-0000-0100-0000C1010000}"/>
    <hyperlink ref="N299" r:id="rId450" display="https://drive.google.com/open?id=1wa-t42EFdoS5dec9ok4eWhE29fdOtMDg" xr:uid="{00000000-0004-0000-0100-0000C2010000}"/>
    <hyperlink ref="J300" r:id="rId451" display="https://www.zillow.com/homedetails/12354-Tiara-St-Valley-Village-CA-91607/20013214_zpid/" xr:uid="{00000000-0004-0000-0100-0000C3010000}"/>
    <hyperlink ref="N300" r:id="rId452" display="https://drive.google.com/open?id=1EiMJBpIvxirsExEChounTX8nZzKcL8Gy" xr:uid="{00000000-0004-0000-0100-0000C4010000}"/>
    <hyperlink ref="J301" r:id="rId453" display="https://www.zillow.com/homedetails/4531-Van-Nuys-Blvd-Sherman-Oaks-CA-91403/134800501_zpid/" xr:uid="{00000000-0004-0000-0100-0000C5010000}"/>
    <hyperlink ref="J302" r:id="rId454" display="https://www.zillow.com/homedetails/2442-Beverwil-Dr-Los-Angeles-CA-90034/20494462_zpid/" xr:uid="{00000000-0004-0000-0100-0000C6010000}"/>
    <hyperlink ref="N302" r:id="rId455" display="https://drive.google.com/open?id=1IO27b-BWYpVKLvNWqghtVTf7-zjxcxxl" xr:uid="{00000000-0004-0000-0100-0000C7010000}"/>
    <hyperlink ref="J303" r:id="rId456" display="https://www.zillow.com/homedetails/700-Main-St-UNIT-25-Venice-CA-90291/82877585_zpid/" xr:uid="{00000000-0004-0000-0100-0000C8010000}"/>
    <hyperlink ref="N303" r:id="rId457" display="https://drive.google.com/open?id=1if9-R9HXJvapmlRaWUOW7IG3W041Glmf" xr:uid="{00000000-0004-0000-0100-0000C9010000}"/>
    <hyperlink ref="J304" r:id="rId458" display="https://www.zillow.com/homedetails/823-S-Sierra-Bonita-Ave-Los-Angeles-CA-90036/20610339_zpid/" xr:uid="{00000000-0004-0000-0100-0000CA010000}"/>
    <hyperlink ref="J305" r:id="rId459" display="https://www.zillow.com/homedetails/241-Rees-St-Playa-Del-Rey-CA-90293/20386149_zpid/" xr:uid="{00000000-0004-0000-0100-0000CB010000}"/>
    <hyperlink ref="M305" r:id="rId460" display="https://www.instagram.com/kimkesslerhomes/?hl=en" xr:uid="{00000000-0004-0000-0100-0000CC010000}"/>
    <hyperlink ref="N305" r:id="rId461" display="https://drive.google.com/open?id=1UynTGmtnnXwQOVC5fMieZUL_cLYCtQnG" xr:uid="{00000000-0004-0000-0100-0000CD010000}"/>
    <hyperlink ref="J306" r:id="rId462" display="https://www.zillow.com/homedetails/518-Rialto-Ave-A-Venice-CA-90291/440956450_zpid/" xr:uid="{00000000-0004-0000-0100-0000CE010000}"/>
    <hyperlink ref="J307" r:id="rId463" display="https://www.zillow.com/homedetails/Burbank-CA-91505/20062811_zpid/" xr:uid="{00000000-0004-0000-0100-0000CF010000}"/>
    <hyperlink ref="N307" r:id="rId464" display="https://drive.google.com/open?id=18DUVbGXqcPf8qMcGuNClLaFdHEC3xGow" xr:uid="{00000000-0004-0000-0100-0000D0010000}"/>
    <hyperlink ref="J308" r:id="rId465" display="https://www.zillow.com/homedetails/12318-W-Sunset-Blvd-Los-Angeles-CA-90049/20538275_zpid/" xr:uid="{00000000-0004-0000-0100-0000D1010000}"/>
    <hyperlink ref="N308" r:id="rId466" display="https://drive.google.com/open?id=13tcOPwOJWU9Bd9sjpJYD3GiFP0SB0cHA" xr:uid="{00000000-0004-0000-0100-0000D2010000}"/>
    <hyperlink ref="J309" r:id="rId467" display="https://www.zillow.com/homedetails/1444-Beverwil-Dr-Los-Angeles-CA-90035/20492978_zpid/" xr:uid="{00000000-0004-0000-0100-0000D3010000}"/>
    <hyperlink ref="N309" r:id="rId468" display="https://drive.google.com/open?id=12U1-IB7p_nUs12B7f6r2ZhUxgPoZ6Y1U" xr:uid="{00000000-0004-0000-0100-0000D4010000}"/>
    <hyperlink ref="J310" r:id="rId469" display="https://www.zillow.com/homedetails/8666-Hollywood-Blvd-Los-Angeles-CA-90069/20799046_zpid/" xr:uid="{00000000-0004-0000-0100-0000D5010000}"/>
    <hyperlink ref="J311" r:id="rId470" display="https://www.zillow.com/homedetails/4418-S-Slauson-Ave-402-Culver-City-CA-90230/440875021_zpid/" xr:uid="{00000000-0004-0000-0100-0000D6010000}"/>
    <hyperlink ref="J312" r:id="rId471" display="https://www.zillow.com/homedetails/8666-Hollywood-Blvd-Los-Angeles-CA-90069/20799046_zpid/" xr:uid="{00000000-0004-0000-0100-0000D7010000}"/>
    <hyperlink ref="J313" r:id="rId472" display="https://www.zillow.com/homedetails/5516-Willowcrest-Ave-North-Hollywood-CA-91601/20040950_zpid/" xr:uid="{00000000-0004-0000-0100-0000D8010000}"/>
    <hyperlink ref="N313" r:id="rId473" display="https://drive.google.com/open?id=1ax9-PyAODayii8KqROn3Wp5GcrdUIawN" xr:uid="{00000000-0004-0000-0100-0000D9010000}"/>
    <hyperlink ref="J314" r:id="rId474" display="https://www.zillow.com/homedetails/22809-Del-Valle-St-APT-10-Woodland-Hills-CA-91364/89145149_zpid/" xr:uid="{00000000-0004-0000-0100-0000DA010000}"/>
    <hyperlink ref="J315" r:id="rId475" display="https://www.zillow.com/homedetails/9892-Beverly-Grove-Dr-Beverly-Hills-CA-90210/20523641_zpid/" xr:uid="{00000000-0004-0000-0100-0000DB010000}"/>
    <hyperlink ref="M315" r:id="rId476" display="https://www.instagram.com/realtor_mer/" xr:uid="{00000000-0004-0000-0100-0000DC010000}"/>
    <hyperlink ref="N315" r:id="rId477" display="https://drive.google.com/open?id=1zc_rXe5eY-HEevQ93IBNS_xpdjiquv3R" xr:uid="{00000000-0004-0000-0100-0000DD010000}"/>
    <hyperlink ref="J316" r:id="rId478" display="https://www.zillow.com/homedetails/17841-Tarzana-St-Encino-CA-91316/19950053_zpid/" xr:uid="{00000000-0004-0000-0100-0000DE010000}"/>
    <hyperlink ref="J317" r:id="rId479" display="https://www.zillow.com/homedetails/20-28th-Ave-APT-C-Venice-CA-90291/2092186923_zpid/" xr:uid="{00000000-0004-0000-0100-0000DF010000}"/>
    <hyperlink ref="J318" r:id="rId480" display="https://www.zillow.com/homedetails/22527-Cass-Ave-1-Woodland-Hills-CA-91364/443629345_zpid/" xr:uid="{00000000-0004-0000-0100-0000E0010000}"/>
    <hyperlink ref="J319" r:id="rId481" display="https://www.zillow.com/homedetails/13318-Mulholland-Dr-Beverly-Hills-CA-90210/20533184_zpid/" xr:uid="{00000000-0004-0000-0100-0000E1010000}"/>
    <hyperlink ref="N319" r:id="rId482" display="https://drive.google.com/open?id=1DKcoRKoeAm2r6kU91LsmY9FUaLganslw" xr:uid="{00000000-0004-0000-0100-0000E2010000}"/>
    <hyperlink ref="J320" r:id="rId483" display="https://www.zillow.com/homedetails/20500-Ventura-Blvd-FLOOR-3-ID681-Woodland-Hills-CA-91364/2065471166_zpid/" xr:uid="{00000000-0004-0000-0100-0000E3010000}"/>
    <hyperlink ref="N320" r:id="rId484" display="https://drive.google.com/open?id=1CZrlT5S4kBxjIQjDbc_TdUzgvBNQY_gt" xr:uid="{00000000-0004-0000-0100-0000E4010000}"/>
    <hyperlink ref="J321" r:id="rId485" display="https://www.zillow.com/homedetails/11361-Ovada-Pl-APT-2-Los-Angeles-CA-90049/2111162635_zpid/" xr:uid="{00000000-0004-0000-0100-0000E5010000}"/>
    <hyperlink ref="J322" r:id="rId486" display="https://www.zillow.com/homedetails/8147-Mulholland-Ter-Los-Angeles-CA-90046/20031972_zpid/?utm_campaign=iosappmessage&amp;utm_medium=referral&amp;utm_source=txtshare" xr:uid="{00000000-0004-0000-0100-0000E6010000}"/>
    <hyperlink ref="J323" r:id="rId487" display="https://www.zillow.com/homedetails/4521-Alla-Rd-Marina-Del-Rey-CA-90292/441836699_zpid/" xr:uid="{00000000-0004-0000-0100-0000E7010000}"/>
    <hyperlink ref="J324" r:id="rId488" display="https://www.zillow.com/homedetails/22731-Burbank-Blvd-Woodland-Hills-CA-91367/19878010_zpid/" xr:uid="{00000000-0004-0000-0100-0000E8010000}"/>
    <hyperlink ref="J325" r:id="rId489" display="https://www.zillow.com/homedetails/9031-Alto-Cedro-Dr-Beverly-Hills-CA-90210/20534161_zpid/" xr:uid="{00000000-0004-0000-0100-0000E9010000}"/>
    <hyperlink ref="J326" r:id="rId490" display="https://www.zillow.com/homedetails/3731-W-59th-Pl-Los-Angeles-CA-90043/20325270_zpid/" xr:uid="{00000000-0004-0000-0100-0000EA010000}"/>
    <hyperlink ref="N326" r:id="rId491" display="https://drive.google.com/open?id=1i_ALZuHmfPo1tfSSeeNz4ym95dJw7su9" xr:uid="{00000000-0004-0000-0100-0000EB010000}"/>
    <hyperlink ref="J327" r:id="rId492" display="https://www.zillow.com/homedetails/22731-Burbank-Blvd-Woodland-Hills-CA-91367/19878010_zpid/" xr:uid="{00000000-0004-0000-0100-0000EC010000}"/>
    <hyperlink ref="N327" r:id="rId493" display="https://drive.google.com/open?id=1sHeEw2G7cdqY5Fk7pHlZbqlY18O-pmt_" xr:uid="{00000000-0004-0000-0100-0000ED010000}"/>
    <hyperlink ref="J328" r:id="rId494" display="https://www.zillow.com/homedetails/20500-Ventura-Blvd-FLOOR-3-ID681-Woodland-Hills-CA-91364/2065471166_zpid/" xr:uid="{00000000-0004-0000-0100-0000EE010000}"/>
    <hyperlink ref="J329" r:id="rId495" display="https://www.zillow.com/homedetails/5709-Calvin-Ave-Tarzana-CA-91356/19932890_zpid/" xr:uid="{00000000-0004-0000-0100-0000EF010000}"/>
    <hyperlink ref="J330" r:id="rId496" display="https://www.zillow.com/homedetails/22527-Cass-Ave-1-Woodland-Hills-CA-91364/443629345_zpid/" xr:uid="{00000000-0004-0000-0100-0000F0010000}"/>
    <hyperlink ref="J331" r:id="rId497" display="https://www.zillow.com/homedetails/Culver-City-CA-90232/20432486_zpid/" xr:uid="{00000000-0004-0000-0100-0000F1010000}"/>
    <hyperlink ref="J332" r:id="rId498" display="https://www.zillow.com/homedetails/3310-Coy-Dr-Sherman-Oaks-CA-91423/19987597_zpid/" xr:uid="{00000000-0004-0000-0100-0000F2010000}"/>
    <hyperlink ref="N332" r:id="rId499" display="https://drive.google.com/open?id=1u_JxoGrBb23ezSiNO4W_F-QIRduVpuSx" xr:uid="{00000000-0004-0000-0100-0000F3010000}"/>
    <hyperlink ref="J333" r:id="rId500" display="https://www.zillow.com/homedetails/8680-Franklin-Ave-Los-Angeles-CA-90069/20798318_zpid/" xr:uid="{00000000-0004-0000-0100-0000F4010000}"/>
    <hyperlink ref="N333" r:id="rId501" display="https://drive.google.com/open?id=1sh-mc_J_t-V5wtXhrmoFJ1gR1xbCNqjR" xr:uid="{00000000-0004-0000-0100-0000F5010000}"/>
    <hyperlink ref="J334" r:id="rId502" display="https://www.zillow.com/homedetails/748-S-Cloverdale-Ave-Los-Angeles-CA-90036/20610066_zpid/" xr:uid="{00000000-0004-0000-0100-0000F6010000}"/>
    <hyperlink ref="N334" r:id="rId503" display="https://drive.google.com/open?id=1YymzgMHTKpPjauuzvDRJdqSQcVzNDSAX" xr:uid="{00000000-0004-0000-0100-0000F7010000}"/>
    <hyperlink ref="J335" r:id="rId504" display="https://www.compass.com/listing/543-rialto-avenue-venice-ca-90291/1751008032018693513/" xr:uid="{00000000-0004-0000-0100-0000F8010000}"/>
    <hyperlink ref="N335" r:id="rId505" display="https://drive.google.com/open?id=15JYbs31tkYPJNxdgwMoqa9a1HtCmDbkO" xr:uid="{00000000-0004-0000-0100-0000F9010000}"/>
    <hyperlink ref="J336" r:id="rId506" display="https://www.zillow.com/homedetails/2461-Jupiter-Dr-Los-Angeles-CA-90046/20802089_zpid/" xr:uid="{00000000-0004-0000-0100-0000FA010000}"/>
    <hyperlink ref="N336" r:id="rId507" display="https://drive.google.com/open?id=1PWp7PllOi1Rub3Tl7Z2EZWi8m_J1F7K8" xr:uid="{00000000-0004-0000-0100-0000FB010000}"/>
    <hyperlink ref="J337" r:id="rId508" display="https://www.zillow.com/homedetails/4045-Jackson-Ave-Culver-City-CA-90232/20433150_zpid/" xr:uid="{00000000-0004-0000-0100-0000FC010000}"/>
    <hyperlink ref="J338" r:id="rId509" display="https://www.zillow.com/homedetails/710-Westbourne-Dr-West-Hollywood-CA-90069/2098186436_zpid/" xr:uid="{00000000-0004-0000-0100-0000FD010000}"/>
    <hyperlink ref="J339" r:id="rId510" display="https://www.zillow.com/homedetails/Sherman-Oaks-CA-91423/2061731923_zpid/" xr:uid="{00000000-0004-0000-0100-0000FE010000}"/>
    <hyperlink ref="N339" r:id="rId511" display="https://drive.google.com/open?id=1zRZufXef6ZvR_o2IbNZa3dn-f3AxFKEj" xr:uid="{00000000-0004-0000-0100-0000FF010000}"/>
    <hyperlink ref="J340" r:id="rId512" display="https://www.zillow.com/homedetails/2242-Jeffersonia-Way-Los-Angeles-CA-90049/89149575_zpid/" xr:uid="{00000000-0004-0000-0100-000000020000}"/>
    <hyperlink ref="J341" r:id="rId513" display="https://www.zillow.com/homedetails/1807-San-Ysidro-Dr-Beverly-Hills-CA-90210/20523504_zpid/" xr:uid="{00000000-0004-0000-0100-000001020000}"/>
    <hyperlink ref="N341" r:id="rId514" display="https://drive.google.com/open?id=1cDi20Egfm1CzPUZHE-YX4Ih3Y-92PCL2" xr:uid="{00000000-0004-0000-0100-000002020000}"/>
    <hyperlink ref="J342" r:id="rId515" display="https://www.zillow.com/homedetails/8517-Valley-Flores-Dr-B-West-Hills-CA-91304/2088281090_zpid/" xr:uid="{00000000-0004-0000-0100-000003020000}"/>
    <hyperlink ref="J343" r:id="rId516" display="https://www.zillow.com/homedetails/15541-Aqua-Verde-Dr-Los-Angeles-CA-90077/20531173_zpid/" xr:uid="{00000000-0004-0000-0100-000004020000}"/>
    <hyperlink ref="N343" r:id="rId517" display="https://drive.google.com/open?id=1XIWAmEMheuJtE6JHUCdlaJIJid8go9m1" xr:uid="{00000000-0004-0000-0100-000005020000}"/>
    <hyperlink ref="J344" r:id="rId518" display="https://www.zillow.com/homedetails/11964-Brentwood-Grove-Dr-Los-Angeles-CA-90049/20547052_zpid/" xr:uid="{00000000-0004-0000-0100-000006020000}"/>
    <hyperlink ref="N344" r:id="rId519" display="https://drive.google.com/open?id=1iC3YDc9sAw5kQF7xd8RQmqgwgK-Kxydf" xr:uid="{00000000-0004-0000-0100-000007020000}"/>
    <hyperlink ref="J345" r:id="rId520" display="https://www.zillow.com/homedetails/802-N-Edinburgh-Ave-Los-Angeles-CA-90046/441737128_zpid/" xr:uid="{00000000-0004-0000-0100-000008020000}"/>
    <hyperlink ref="J346" r:id="rId521" display="https://www.zillow.com/homedetails/1881-Mount-Olympus-Dr-Los-Angeles-CA-90046/20802451_zpid/" xr:uid="{00000000-0004-0000-0100-000009020000}"/>
    <hyperlink ref="N346" r:id="rId522" display="https://drive.google.com/open?id=1FVRTLoOLw_BqABqxhw724xqWFtPgFyV8" xr:uid="{00000000-0004-0000-0100-00000A020000}"/>
    <hyperlink ref="J347" r:id="rId523" display="https://www.zillow.com/homedetails/1106-Oakwood-Ave-Venice-CA-90291/20450981_zpid/" xr:uid="{00000000-0004-0000-0100-00000B020000}"/>
    <hyperlink ref="N347" r:id="rId524" display="https://drive.google.com/open?id=103BLSYoIgGN6zJqNX5aO86D_qqOHQEa5" xr:uid="{00000000-0004-0000-0100-00000C020000}"/>
    <hyperlink ref="J348" r:id="rId525" display="https://www.zillow.com/homedetails/774-N-Kenter-Ave-Los-Angeles-CA-90049/20560441_zpid/" xr:uid="{00000000-0004-0000-0100-00000D020000}"/>
    <hyperlink ref="N348" r:id="rId526" display="https://drive.google.com/open?id=1eQpDcw_omE99_VuokbxMSps7-SH1bogE" xr:uid="{00000000-0004-0000-0100-00000E020000}"/>
    <hyperlink ref="J349" r:id="rId527" display="https://www.zillow.com/homedetails/4260-Revere-Pl-Culver-City-CA-90232/20432601_zpid/" xr:uid="{00000000-0004-0000-0100-00000F020000}"/>
    <hyperlink ref="J350" r:id="rId528" display="https://www.zillow.com/homedetails/2369-Jupiter-Dr-Los-Angeles-CA-90046/20801934_zpid/" xr:uid="{00000000-0004-0000-0100-000010020000}"/>
    <hyperlink ref="N350" r:id="rId529" display="https://drive.google.com/open?id=1dB8163Gv8GJ2_JkaamKPYUJRnwaQoNqj" xr:uid="{00000000-0004-0000-0100-000011020000}"/>
    <hyperlink ref="J351" r:id="rId530" display="https://www.zillow.com/homedetails/1540-Marlay-Dr-Los-Angeles-CA-90069/20798020_zpid/" xr:uid="{00000000-0004-0000-0100-000012020000}"/>
    <hyperlink ref="N351" r:id="rId531" display="https://drive.google.com/open?id=1yuzb9kS34TA4vdMTaZMNNQTxg6nP--IZ" xr:uid="{00000000-0004-0000-0100-000013020000}"/>
    <hyperlink ref="J352" r:id="rId532" display="https://www.zillow.com/homedetails/634-W-California-Ave-Glendale-CA-91203/20832386_zpid/" xr:uid="{00000000-0004-0000-0100-000014020000}"/>
    <hyperlink ref="J353" r:id="rId533" display="https://www.zillow.com/homedetails/920-N-Beverly-Glen-Blvd-Los-Angeles-CA-90077/20529879_zpid/" xr:uid="{00000000-0004-0000-0100-000015020000}"/>
    <hyperlink ref="N353" r:id="rId534" display="https://drive.google.com/open?id=1kpfKb97MszzifZqTIjx4K42NsnfqcfEV" xr:uid="{00000000-0004-0000-0100-000016020000}"/>
    <hyperlink ref="J354" r:id="rId535" display="https://www.zillow.com/homedetails/16754-Armstead-St-Granada-Hills-CA-91344/20110441_zpid/" xr:uid="{00000000-0004-0000-0100-000017020000}"/>
    <hyperlink ref="J355" r:id="rId536" display="https://www.zillow.com/homedetails/1416-Pandora-Ave-Los-Angeles-CA-90024/20507742_zpid/" xr:uid="{00000000-0004-0000-0100-000018020000}"/>
    <hyperlink ref="N355" r:id="rId537" display="https://drive.google.com/open?id=1A8nEpPZ8CUjNFA4JjlXkOZUWTjWsBXyN" xr:uid="{00000000-0004-0000-0100-000019020000}"/>
    <hyperlink ref="J356" r:id="rId538" display="https://www.zillow.com/homedetails/354-S-Spring-St-FLOOR-10-ID1208-Los-Angeles-CA-90013/442289384_zpid/" xr:uid="{00000000-0004-0000-0100-00001A020000}"/>
    <hyperlink ref="J357" r:id="rId539" display="https://www.zillow.com/homedetails/929-Marco-Pl-Venice-CA-90291/2071334027_zpid/" xr:uid="{00000000-0004-0000-0100-00001B020000}"/>
    <hyperlink ref="J358" r:id="rId540" display="https://www.zillow.com/homedetails/17841-Tarzana-St-Encino-CA-91316/19950053_zpid/" xr:uid="{00000000-0004-0000-0100-00001C020000}"/>
    <hyperlink ref="J359" r:id="rId541" display="https://www.zillow.com/homedetails/4906-Rubio-Ave-Encino-CA-91436/19980319_zpid/" xr:uid="{00000000-0004-0000-0100-00001D020000}"/>
    <hyperlink ref="N359" r:id="rId542" display="https://drive.google.com/open?id=187V0Zgo0ps-ua8lrDoBWXvh2jWL8-qrT" xr:uid="{00000000-0004-0000-0100-00001E020000}"/>
    <hyperlink ref="J360" r:id="rId543" display="https://www.zillow.com/homedetails/4707-Libbit-Ave-Encino-CA-91436/19991540_zpid/" xr:uid="{00000000-0004-0000-0100-00001F020000}"/>
    <hyperlink ref="J361" r:id="rId544" display="https://www.zillow.com/homedetails/8147-Mulholland-Ter-Los-Angeles-CA-90046/20031972_zpid/" xr:uid="{00000000-0004-0000-0100-000020020000}"/>
    <hyperlink ref="N361" r:id="rId545" display="https://drive.google.com/open?id=19q6U4HoiXZyk9zBbO64owBXk3sOYKuuU" xr:uid="{00000000-0004-0000-0100-000021020000}"/>
    <hyperlink ref="J362" r:id="rId546" display="https://www.zillow.com/homedetails/5709-Calvin-Ave-Tarzana-CA-91356/19932890_zpid/" xr:uid="{00000000-0004-0000-0100-000022020000}"/>
    <hyperlink ref="J363" r:id="rId547" display="https://www.zillow.com/homedetails/1723-S-Durango-Ave-Los-Angeles-CA-90035/20492797_zpid/" xr:uid="{00000000-0004-0000-0100-000023020000}"/>
    <hyperlink ref="N363" r:id="rId548" display="https://drive.google.com/open?id=1FgYG8OLfMOD62HvtBpRodseuS1AXp0HE" xr:uid="{00000000-0004-0000-0100-000024020000}"/>
    <hyperlink ref="J364" r:id="rId549" display="https://www.zillow.com/homedetails/1916-W-Court-St-Los-Angeles-CA-90026/20627817_zpid/" xr:uid="{00000000-0004-0000-0100-000025020000}"/>
    <hyperlink ref="J365" r:id="rId550" display="https://www.zillow.com/homedetails/1445-S-Ogden-Dr-Los-Angeles-CA-90019/20599990_zpid/" xr:uid="{00000000-0004-0000-0100-000026020000}"/>
    <hyperlink ref="N365" r:id="rId551" display="https://drive.google.com/open?id=1hsVL0s6p3nQ9hXzZKMIzvMnCEfloERIm" xr:uid="{00000000-0004-0000-0100-000027020000}"/>
    <hyperlink ref="J366" r:id="rId552" display="https://www.zillow.com/homedetails/11361-Ovada-Pl-APT-2-Los-Angeles-CA-90049/2111162635_zpid/" xr:uid="{00000000-0004-0000-0100-000028020000}"/>
    <hyperlink ref="N366" r:id="rId553" display="https://drive.google.com/open?id=1VPQwGXo1jWxgkw6403xNgw9Ud7psstY5" xr:uid="{00000000-0004-0000-0100-000029020000}"/>
    <hyperlink ref="J367" r:id="rId554" display="https://www.zillow.com/homedetails/1637-S-Sherbourne-Dr-Los-Angeles-CA-90035/20491861_zpid/" xr:uid="{00000000-0004-0000-0100-00002A020000}"/>
    <hyperlink ref="N367" r:id="rId555" display="https://drive.google.com/open?id=16t9TH_P5VbagmL3RUUqwgWBvTrYOQ5Tp" xr:uid="{00000000-0004-0000-0100-00002B020000}"/>
    <hyperlink ref="J368" r:id="rId556" display="https://www.zillow.com/los-angeles-ca/rentals/?searchQueryState=%7B%22pagination%22%3A%7B%7D%2C%22isMapVisible%22%3Atrue%2C%22mapBounds%22%3A%7B%22west%22%3A-118.49452988525391%2C%22east%22%3A-118.0543901147461%2C%22south%22%3A33.954100149236645%2C%22north%22%3A34.23045662689283%7D%2C%22regionSelection%22%3A%5B%7B%22regionId%22%3A12447%2C%22regionType%22%3A6%7D%5D%2C%22filterState%22%3A%7B%22fr%22%3A%7B%22value%22%3Atrue%7D%2C%22fsba%22%3A%7B%22value%22%3Afalse%7D%2C%22fsbo%22%3A%7B%22value%22%3Afalse%7D%2C%22nc%22%3A%7B%22value%22%3Afalse%7D%2C%22cmsn%22%3A%7B%22value%22%3Afalse%7D%2C%22auc%22%3A%7B%22value%22%3Afalse%7D%2C%22fore%22%3A%7B%22value%22%3Afalse%7D%2C%22tow%22%3A%7B%22value%22%3Afalse%7D%2C%22con%22%3A%7B%22value%22%3Afalse%7D%2C%22apa%22%3A%7B%22value%22%3Afalse%7D%2C%22apco%22%3A%7B%22value%22%3Afalse%7D%7D%2C%22isListVisible%22%3Atrue%2C%22mapZoom%22%3A11%7D" xr:uid="{00000000-0004-0000-0100-00002C020000}"/>
    <hyperlink ref="J369" r:id="rId557" display="https://www.zillow.com/homedetails/1533-Marlay-Dr-West-Hollywood-CA-90069/20798034_zpid/" xr:uid="{00000000-0004-0000-0100-00002D020000}"/>
    <hyperlink ref="J370" r:id="rId558" display="https://www.zillow.com/homedetails/274-S-La-Fayette-Park-Pl-2B-2BA-Los-Angeles-CA-90057/441951840_zpid/" xr:uid="{00000000-0004-0000-0100-00002E020000}"/>
    <hyperlink ref="N370" r:id="rId559" display="https://drive.google.com/open?id=15wCIyPX90Q_ljgJCQnCozUgX6tBAVUgZ" xr:uid="{00000000-0004-0000-0100-00002F020000}"/>
    <hyperlink ref="J371" r:id="rId560" display="https://www.zillow.com/homedetails/823-S-Sierra-Bonita-Ave-Los-Angeles-CA-90036/20610339_zpid/" xr:uid="{00000000-0004-0000-0100-000030020000}"/>
    <hyperlink ref="N371" r:id="rId561" display="https://drive.google.com/open?id=1YbXlIdZhUx4xqD6o84CZBoCuF8D0ZUh_" xr:uid="{00000000-0004-0000-0100-000031020000}"/>
    <hyperlink ref="J372" r:id="rId562" display="https://www.zillow.com/homedetails/20-28th-Ave-APT-C-Venice-CA-90291/2092186923_zpid/" xr:uid="{00000000-0004-0000-0100-000032020000}"/>
    <hyperlink ref="N372" r:id="rId563" display="https://drive.google.com/open?id=1o298dz6zoghusGjUOzrAdxbcFtkJrOQX" xr:uid="{00000000-0004-0000-0100-000033020000}"/>
    <hyperlink ref="J373" r:id="rId564" display="https://www.zillow.com/homedetails/8401-Remmet-Ave-Canoga-Park-CA-91304/20179428_zpid/" xr:uid="{00000000-0004-0000-0100-000034020000}"/>
    <hyperlink ref="J374" r:id="rId565" display="https://www.zillow.com/homedetails/7901-Limerick-Ave-1-Winnetka-CA-91306/2054214691_zpid/" xr:uid="{00000000-0004-0000-0100-000035020000}"/>
    <hyperlink ref="J375" r:id="rId566" display="https://www.zillow.com/homedetails/17808-Sherman-Way-APT-127-Reseda-CA-91335/2061798789_zpid/" xr:uid="{00000000-0004-0000-0100-000036020000}"/>
    <hyperlink ref="N375" r:id="rId567" display="https://drive.google.com/open?id=1y1wVtoLvl0ufZ__cKjeBwrPafVlwTKp8" xr:uid="{00000000-0004-0000-0100-000037020000}"/>
    <hyperlink ref="J376" r:id="rId568" display="https://www.zillow.com/homedetails/1636-N-Occidental-Blvd-Los-Angeles-CA-90026/20743781_zpid/" xr:uid="{00000000-0004-0000-0100-000038020000}"/>
    <hyperlink ref="J377" r:id="rId569" display="https://www.zillow.com/homedetails/22809-Del-Valle-St-APT-10-Woodland-Hills-CA-91364/89145149_zpid/" xr:uid="{00000000-0004-0000-0100-000039020000}"/>
    <hyperlink ref="N377" r:id="rId570" display="https://drive.google.com/open?id=1nxQ4tEQquVBiu4LCBFN7l-lH-Vo85qlZ" xr:uid="{00000000-0004-0000-0100-00003A020000}"/>
    <hyperlink ref="J378" r:id="rId571" display="https://www.zillow.com/homedetails/5535-Carlton-Way-1B-1BA-Los-Angeles-CA-90028/443351112_zpid/" xr:uid="{00000000-0004-0000-0100-00003B020000}"/>
    <hyperlink ref="N378" r:id="rId572" display="https://drive.google.com/open?id=1UEvkwHSoV1xWMhiBpvmzjjni_wtQz5Dk" xr:uid="{00000000-0004-0000-0100-00003C020000}"/>
    <hyperlink ref="J379" r:id="rId573" display="https://www.zillow.com/homedetails/2369-Jupiter-Dr-Los-Angeles-CA-90046/20801934_zpid/" xr:uid="{00000000-0004-0000-0100-00003D020000}"/>
    <hyperlink ref="J380" r:id="rId574" display="https://www.zillow.com/homedetails/3055-Landa-St-Los-Angeles-CA-90039/20747666_zpid/" xr:uid="{00000000-0004-0000-0100-00003E020000}"/>
    <hyperlink ref="J381" r:id="rId575" display="https://www.zillow.com/homedetails/2559-Hutton-Dr-Beverly-Hills-CA-90210/20532078_zpid/" xr:uid="{00000000-0004-0000-0100-00003F020000}"/>
    <hyperlink ref="J382" r:id="rId576" display="https://www.zillow.com/homedetails/4418-S-Slauson-Ave-402-Culver-City-CA-90230/440875021_zpid/" xr:uid="{00000000-0004-0000-0100-000040020000}"/>
    <hyperlink ref="N382" r:id="rId577" display="https://drive.google.com/open?id=1sy5r2nrciBx9xxmiBDmhg3Zu4FZ8PHX6" xr:uid="{00000000-0004-0000-0100-000041020000}"/>
    <hyperlink ref="J383" r:id="rId578" display="https://www.zillow.com/homedetails/2390-Nalin-Dr-Los-Angeles-CA-90077/20531088_zpid/" xr:uid="{00000000-0004-0000-0100-000042020000}"/>
    <hyperlink ref="J384" r:id="rId579" display="https://www.zillow.com/homedetails/3663-Edenhurst-Ave-Los-Angeles-CA-90039/20749912_zpid/" xr:uid="{00000000-0004-0000-0100-000043020000}"/>
    <hyperlink ref="J385" r:id="rId580" display="https://www.zillow.com/homedetails/4045-Jackson-Ave-Culver-City-CA-90232/20433150_zpid/" xr:uid="{00000000-0004-0000-0100-000044020000}"/>
    <hyperlink ref="J386" r:id="rId581" display="https://www.zillow.com/homedetails/1941-Glencoe-Way-Los-Angeles-CA-90068/20793801_zpid/" xr:uid="{00000000-0004-0000-0100-000045020000}"/>
    <hyperlink ref="J387" r:id="rId582" display="https://www.zillow.com/homedetails/748-S-Cloverdale-Ave-Los-Angeles-CA-90036/20610066_zpid/" xr:uid="{00000000-0004-0000-0100-000046020000}"/>
    <hyperlink ref="J388" r:id="rId583" display="https://www.zillow.com/homedetails/2229-Willetta-St-Los-Angeles-CA-90068/20804418_zpid/" xr:uid="{00000000-0004-0000-0100-000047020000}"/>
    <hyperlink ref="J389" r:id="rId584" display="https://www.zillow.com/homedetails/110-Bennett-Ave-Long-Beach-CA-90803/2054770491_zpid/" xr:uid="{00000000-0004-0000-0100-000048020000}"/>
    <hyperlink ref="J390" r:id="rId585" display="https://www.zillow.com/homedetails/747-Monterey-Blvd-Hermosa-Beach-CA-90254/20427731_zpid/" xr:uid="{00000000-0004-0000-0100-000049020000}"/>
    <hyperlink ref="J391" r:id="rId586" display="https://www.zillow.com/homedetails/1211-Goodman-Ave-Redondo-Beach-CA-90278/20411015_zpid/?utm_campaign=iosappmessage&amp;utm_medium=referral&amp;utm_source=txtshare" xr:uid="{00000000-0004-0000-0100-00004A020000}"/>
    <hyperlink ref="N391" r:id="rId587" display="https://drive.google.com/open?id=1dtgFlROGaSCoPPIpefAzURSHDY0eEldR" xr:uid="{00000000-0004-0000-0100-00004B020000}"/>
    <hyperlink ref="J392" r:id="rId588" display="https://www.zillow.com/homedetails/12117-Alberta-Dr-Los-Angeles-CA-90230/20439895_zpid/" xr:uid="{00000000-0004-0000-0100-00004C020000}"/>
    <hyperlink ref="J393" r:id="rId589" display="https://www.zillow.com/homedetails/825-N-Pasadena-Ave-Pasadena-CA-91103/20857788_zpid/" xr:uid="{00000000-0004-0000-0100-00004D020000}"/>
    <hyperlink ref="J394" r:id="rId590" display="https://www.zillow.com/homedetails/817-Manhattan-Ave-Hermosa-Beach-CA-90254/2127122732_zpid/?utm_campaign=iosappmessage&amp;utm_medium=referral&amp;utm_source=txtshare" xr:uid="{00000000-0004-0000-0100-00004E020000}"/>
    <hyperlink ref="N394" r:id="rId591" display="https://drive.google.com/open?id=14AtT3dYEljLZnnqfk0yA4esm5lOAmmvj" xr:uid="{00000000-0004-0000-0100-00004F020000}"/>
    <hyperlink ref="J395" r:id="rId592" display="https://www.zillow.com/homedetails/2666-Hutton-Dr-Beverly-Hills-CA-90210/20532893_zpid/" xr:uid="{00000000-0004-0000-0100-000050020000}"/>
    <hyperlink ref="N395" r:id="rId593" display="https://drive.google.com/open?id=1Sl4o0K4RXjkhXy0afE1ZW0eZGQea16Qz" xr:uid="{00000000-0004-0000-0100-000051020000}"/>
    <hyperlink ref="J396" r:id="rId594" display="https://www.zillow.com/homedetails/2328-San-Ysidro-Dr-Beverly-Hills-CA-90210/20533103_zpid/" xr:uid="{00000000-0004-0000-0100-000052020000}"/>
    <hyperlink ref="N396" r:id="rId595" display="https://drive.google.com/open?id=1ALdQjDNHz4eViUl7THeU1QVPs68PNJyO" xr:uid="{00000000-0004-0000-0100-000053020000}"/>
    <hyperlink ref="J397" r:id="rId596" display="https://www.zillow.com/homedetails/2639-S-Genesee-Ave-Los-Angeles-CA-90016/20588130_zpid/" xr:uid="{00000000-0004-0000-0100-000054020000}"/>
    <hyperlink ref="J398" r:id="rId597" display="https://www.zillow.com/homedetails/13204-Hansworth-Ave-Hawthorne-CA-90250/20400640_zpid/?utm_campaign=iosappmessage&amp;utm_medium=referral&amp;utm_source=txtshare" xr:uid="{00000000-0004-0000-0100-000055020000}"/>
    <hyperlink ref="N398" r:id="rId598" display="https://drive.google.com/open?id=1vc-y_bvgAnMuTqroMVl9era_QAA2L2Yb" xr:uid="{00000000-0004-0000-0100-000056020000}"/>
    <hyperlink ref="J399" r:id="rId599" display="https://www.zillow.com/homedetails/745-Oxford-Ave-Marina-Del-Rey-CA-90292/20445282_zpid/" xr:uid="{00000000-0004-0000-0100-000057020000}"/>
    <hyperlink ref="N399" r:id="rId600" display="https://drive.google.com/open?id=1DRr90Iq2Hpi34Lg2JvgIxmZ5SARVlOp1" xr:uid="{00000000-0004-0000-0100-000058020000}"/>
    <hyperlink ref="J400" r:id="rId601" display="https://www.zillow.com/homedetails/1185-Corsica-Dr-Pacific-Palisades-CA-90272/20538915_zpid/" xr:uid="{00000000-0004-0000-0100-000059020000}"/>
    <hyperlink ref="N400" r:id="rId602" display="https://drive.google.com/open?id=1SEaIrNQHq4Qp3gOLE_-aVWDEDICAciIm" xr:uid="{00000000-0004-0000-0100-00005A020000}"/>
    <hyperlink ref="J401" r:id="rId603" display="https://www.zillow.com/homedetails/715-N-Rexford-Dr-Beverly-Hills-CA-90210/20520993_zpid/" xr:uid="{00000000-0004-0000-0100-00005B020000}"/>
    <hyperlink ref="J402" r:id="rId604" display="https://www.trulia.com/home/1802-belmont-ln-redondo-beach-ca-90278-20410745?cid=shr%7Capp_ios_rental_phone%7Crent%7Cpdp_share" xr:uid="{00000000-0004-0000-0100-00005C020000}"/>
    <hyperlink ref="N402" r:id="rId605" display="https://drive.google.com/open?id=1HGAbctnFt1J3TdqX4pb3NHonroRCrwn5" xr:uid="{00000000-0004-0000-0100-00005D020000}"/>
    <hyperlink ref="J403" r:id="rId606" display="https://www.zillow.com/homedetails/190-Arroyo-Ter-APT-202-Pasadena-CA-91103/20857668_zpid/" xr:uid="{00000000-0004-0000-0100-00005E020000}"/>
    <hyperlink ref="J404" r:id="rId607" display="https://www.zillow.com/homedetails/1104-Casiano-Rd-Los-Angeles-CA-90049/20528677_zpid/" xr:uid="{00000000-0004-0000-0100-00005F020000}"/>
    <hyperlink ref="N404" r:id="rId608" display="https://drive.google.com/open?id=1-OSQ9jAhp-dgupf07uzTjXEra3e9OeJ9" xr:uid="{00000000-0004-0000-0100-000060020000}"/>
    <hyperlink ref="J405" r:id="rId609" display="https://www.zillow.com/homedetails/1815-Oak-View-Ln-Arcadia-CA-91006/20883953_zpid/" xr:uid="{00000000-0004-0000-0100-000061020000}"/>
    <hyperlink ref="J406" r:id="rId610" display="https://www.trulia.com/home/1931-nelson-ave-redondo-beach-ca-90278-2061986612?cid=shr%7Capp_ios_rental_phone%7Crent%7Cpdp_share" xr:uid="{00000000-0004-0000-0100-000062020000}"/>
    <hyperlink ref="N406" r:id="rId611" display="https://drive.google.com/open?id=1XaJT_1-1vdKGWwStln1D3hty2nIlsuFg" xr:uid="{00000000-0004-0000-0100-000063020000}"/>
    <hyperlink ref="J407" r:id="rId612" display="https://www.zillow.com/homedetails/Burbank-CA-91505/20062811_zpid/" xr:uid="{00000000-0004-0000-0100-000064020000}"/>
    <hyperlink ref="N407" r:id="rId613" display="https://drive.google.com/open?id=1pM3ZPZnV-myvZbEfiT3yWRcjfMaovx-w" xr:uid="{00000000-0004-0000-0100-000065020000}"/>
    <hyperlink ref="J408" r:id="rId614" display="https://www.trulia.com/home/592-30th-st-manhattan-beach-ca-90266-20420685?cid=shr%7Capp_ios_rental_phone%7Crent%7Cpdp_share" xr:uid="{00000000-0004-0000-0100-000066020000}"/>
    <hyperlink ref="N408" r:id="rId615" display="https://drive.google.com/open?id=1WKmzFPUehSrJx6E4dQib0edWutRXTf1V" xr:uid="{00000000-0004-0000-0100-000067020000}"/>
    <hyperlink ref="J409" r:id="rId616" display="https://www.zillow.com/homedetails/1302-N-Gardner-St-Los-Angeles-CA-90046/2060162532_zpid/" xr:uid="{00000000-0004-0000-0100-000068020000}"/>
    <hyperlink ref="J410" r:id="rId617" display="https://www.zillow.com/homedetails/241-Rees-St-Playa-Del-Rey-CA-90293/20386149_zpid/?utm_campaign=iosappmessage&amp;utm_medium=referral&amp;utm_source=txtshare" xr:uid="{00000000-0004-0000-0100-000069020000}"/>
    <hyperlink ref="J411" r:id="rId618" display="https://www.zillow.com/homedetails/917-S-Berendo-St-401-Los-Angeles-CA-90006/2056259359_zpid/?utm_campaign=iosappmessage&amp;utm_medium=referral&amp;utm_source=txtshare" xr:uid="{00000000-0004-0000-0100-00006A020000}"/>
    <hyperlink ref="N411" r:id="rId619" display="https://drive.google.com/open?id=1mXNDyBNvv-dMObjSsNqe7KkOouFF6hKG" xr:uid="{00000000-0004-0000-0100-00006B020000}"/>
    <hyperlink ref="J412" r:id="rId620" display="https://www.zillow.com/homedetails/724-S-Gramercy-Dr-Los-Angeles-CA-90005/2070015636_zpid/?utm_campaign=iosappmessage&amp;utm_medium=referral&amp;utm_source=txtshare" xr:uid="{00000000-0004-0000-0100-00006C020000}"/>
    <hyperlink ref="N412" r:id="rId621" display="https://drive.google.com/open?id=1zLWR6UB-X-Lkisyzd6O0WBVgTrXvSd3N" xr:uid="{00000000-0004-0000-0100-00006D020000}"/>
    <hyperlink ref="J413" r:id="rId622" display="https://www.zillow.com/homedetails/8038-Blackburn-Ave-7-Los-Angeles-CA-90048/2067901955_zpid/" xr:uid="{00000000-0004-0000-0100-00006E020000}"/>
    <hyperlink ref="N413" r:id="rId623" display="https://drive.google.com/open?id=1jjrFVIhD3jOep7bXXqMTcWy1OZtIyEKl" xr:uid="{00000000-0004-0000-0100-00006F020000}"/>
    <hyperlink ref="J414" r:id="rId624" display="https://www.zillow.com/homedetails/748-N-Detroit-St-Los-Angeles-CA-90046/20784322_zpid/?utm_campaign=iosappmessage&amp;utm_medium=referral&amp;utm_source=txtshare" xr:uid="{00000000-0004-0000-0100-000070020000}"/>
    <hyperlink ref="N414" r:id="rId625" display="https://drive.google.com/open?id=1KgiVmkJ1rj-ZQAfU8IXkDWqdwNDwRu1C" xr:uid="{00000000-0004-0000-0100-000071020000}"/>
    <hyperlink ref="J415" r:id="rId626" display="https://www.zillow.com/homedetails/3055-Landa-St-Los-Angeles-CA-90039/20747666_zpid/" xr:uid="{00000000-0004-0000-0100-000072020000}"/>
    <hyperlink ref="N415" r:id="rId627" display="https://drive.google.com/open?id=1aS5GDEsmdNmy4brvJHn6i6bR5nUv_fUa" xr:uid="{00000000-0004-0000-0100-000073020000}"/>
    <hyperlink ref="J416" r:id="rId628" display="https://www.zillow.com/homedetails/6056-Fountain-Ave-Los-Angeles-CA-90028/20789459_zpid/" xr:uid="{00000000-0004-0000-0100-000074020000}"/>
    <hyperlink ref="N416" r:id="rId629" display="https://drive.google.com/open?id=1pEZ5MOoXPIY_QDr3Al6APYByDbrsFLiU" xr:uid="{00000000-0004-0000-0100-000075020000}"/>
    <hyperlink ref="J417" r:id="rId630" display="https://www.zillow.com/homedetails/845-N-Formosa-Ave-Los-Angeles-CA-90046/2088165910_zpid/" xr:uid="{00000000-0004-0000-0100-000076020000}"/>
    <hyperlink ref="N417" r:id="rId631" display="https://drive.google.com/open?id=1iFuLYuRsor84s82Xao-mwX5GGkQSu5CA" xr:uid="{00000000-0004-0000-0100-000077020000}"/>
    <hyperlink ref="J418" r:id="rId632" display="https://www.zillow.com/homedetails/2901-Angus-St-Los-Angeles-CA-90039/20749550_zpid/" xr:uid="{00000000-0004-0000-0100-000078020000}"/>
    <hyperlink ref="N418" r:id="rId633" display="https://drive.google.com/open?id=1-G9qTud4jaiS5dltOXcaLtPoBWkINE9A" xr:uid="{00000000-0004-0000-0100-000079020000}"/>
    <hyperlink ref="J419" r:id="rId634" display="https://www.zillow.com/homedetails/1427-Columbia-Dr-Glendale-CA-91205/20847539_zpid/?utm_campaign=iosappmessage&amp;utm_medium=referral&amp;utm_source=txtshare" xr:uid="{00000000-0004-0000-0100-00007A020000}"/>
    <hyperlink ref="N419" r:id="rId635" display="https://drive.google.com/open?id=1Nxqci0VXzaI0dQ5G-0z_nixsmxcBqh0r" xr:uid="{00000000-0004-0000-0100-00007B020000}"/>
    <hyperlink ref="J420" r:id="rId636" display="https://www.zillow.com/homedetails/1533-Marlay-Dr-West-Hollywood-CA-90069/20798034_zpid/?utm_campaign=iosappmessage&amp;utm_medium=referral&amp;utm_source=txtshare" xr:uid="{00000000-0004-0000-0100-00007C020000}"/>
    <hyperlink ref="N420" r:id="rId637" display="https://drive.google.com/open?id=1q_YnNlYOV4Nkktfv6-hZUzWBaEzxgOuA" xr:uid="{00000000-0004-0000-0100-00007D020000}"/>
    <hyperlink ref="J421" r:id="rId638" display="https://www.zillow.com/homedetails/(undisclosed-Address)-Pacific-Palisades-CA-90272/20542872_zpid/?utm_campaign=iosappmessage&amp;utm_medium=referral&amp;utm_source=txtshare" xr:uid="{00000000-0004-0000-0100-00007E020000}"/>
    <hyperlink ref="N421" r:id="rId639" display="https://drive.google.com/open?id=16JzbveeTHJy6W5UTcnWUHsH-IZw8mE7R" xr:uid="{00000000-0004-0000-0100-00007F020000}"/>
    <hyperlink ref="J422" r:id="rId640" display="https://www.zillow.com/homedetails/3425-W-Olive-Ave-335-Burbank-CA-91505/2086716625_zpid/?utm_campaign=iosappmessage&amp;utm_medium=referral&amp;utm_source=txtshare" xr:uid="{00000000-0004-0000-0100-000080020000}"/>
    <hyperlink ref="N422" r:id="rId641" display="https://drive.google.com/open?id=13ZcQBP_jqomhSvIrsusWt7B0KtBjWRXT" xr:uid="{00000000-0004-0000-0100-000081020000}"/>
    <hyperlink ref="J423" r:id="rId642" display="https://www.zillow.com/homedetails/22720-Oxnard-St-2-Woodland-Hills-CA-91367/441854582_zpid/" xr:uid="{00000000-0004-0000-0100-000082020000}"/>
    <hyperlink ref="J424" r:id="rId643" display="https://www.zillow.com/homedetails/22928-Roscoe-Blvd-Canoga-Park-CA-91304/51578863_zpid/?msockid=0b6a884f9a7b68f23d399d259b1a69d4" xr:uid="{00000000-0004-0000-0100-000083020000}"/>
    <hyperlink ref="J425" r:id="rId644" display="https://www.zillow.com/homedetails/2948-Eckleson-St-Lakewood-CA-90712/21168830_zpid/?utm_campaign=iosappmessage&amp;utm_medium=referral&amp;utm_source=txtshare" xr:uid="{00000000-0004-0000-0100-000084020000}"/>
    <hyperlink ref="J426" r:id="rId645" location="property-history" display="https://www.redfin.com/CA/Canoga-Park/22349-Vanowen-St-91303/home/3105525 - property-history" xr:uid="{00000000-0004-0000-0100-000085020000}"/>
    <hyperlink ref="J427" r:id="rId646" display="https://www.zillow.com/homedetails/10123-Angelo-View-Dr-Beverly-Hills-CA-90210/20523808_zpid/?msockid=0b6a884f9a7b68f23d399d259b1a69d4" xr:uid="{00000000-0004-0000-0100-000086020000}"/>
    <hyperlink ref="N427" r:id="rId647" display="https://drive.google.com/open?id=1VQygLJ_YQEvevj_Nxrs7xC1omnFMhJJ9" xr:uid="{00000000-0004-0000-0100-000087020000}"/>
    <hyperlink ref="J428" r:id="rId648" location="property-history" display="https://www.redfin.com/CA/Los-Angeles/15541-Aqua-Verde-Dr-90077/home/6831653 - property-history" xr:uid="{00000000-0004-0000-0100-000088020000}"/>
    <hyperlink ref="N428" r:id="rId649" display="https://drive.google.com/open?id=1rT-8MNa_fhtodlQg8X4PmmER-0tT5Nq4" xr:uid="{00000000-0004-0000-0100-000089020000}"/>
    <hyperlink ref="J429" r:id="rId650" display="https://www.zillow.com/homedetails/2442-W-Sunset-Blvd-Los-Angeles-CA-90026/443714015_zpid/" xr:uid="{00000000-0004-0000-0100-00008A020000}"/>
    <hyperlink ref="J430" r:id="rId651" display="https://www.zillow.com/homedetails/9343-White-Oak-Ave-Northridge-CA-91325/20176737_zpid/" xr:uid="{00000000-0004-0000-0100-00008B020000}"/>
    <hyperlink ref="J431" r:id="rId652" display="http://zillow.com/homedetails/233-17th-St-Manhattan-Beach-CA-90266/20421726_zpid/" xr:uid="{00000000-0004-0000-0100-00008C020000}"/>
    <hyperlink ref="J432" r:id="rId653" display="https://www.zillow.com/homedetails/20850-Kingsbury-St-Chatsworth-CA-91311/134988770_zpid/" xr:uid="{00000000-0004-0000-0100-00008D020000}"/>
    <hyperlink ref="J433" r:id="rId654" display="https://www.zillow.com/homedetails/907-Pine-Grove-Ave-Los-Angeles-CA-90042/20769156_zpid/?utm_campaign=iosappmessage&amp;utm_medium=referral&amp;utm_source=txtshare" xr:uid="{00000000-0004-0000-0100-00008E020000}"/>
    <hyperlink ref="N433" r:id="rId655" display="https://drive.google.com/open?id=1SVvXvtqq6oZKMRT0b3Q5LbshLr89JiQh" xr:uid="{00000000-0004-0000-0100-00008F020000}"/>
    <hyperlink ref="J434" r:id="rId656" display="https://www.zillow.com/homedetails/915-Edie-Dr-Duarte-CA-91010/58477819_zpid/?utm_campaign=iosappmessage&amp;utm_medium=referral&amp;utm_source=txtshare" xr:uid="{00000000-0004-0000-0100-000090020000}"/>
    <hyperlink ref="J435" r:id="rId657" display="https://www.zillow.com/homedetails/7901-Limerick-Ave-1-Winnetka-CA-91306/2054214691_zpid/" xr:uid="{00000000-0004-0000-0100-000091020000}"/>
    <hyperlink ref="J436" r:id="rId658" display="https://www.zillow.com/homedetails/22147-Gresham-St-West-Hills-CA-91304/51576724_zpid/" xr:uid="{00000000-0004-0000-0100-000092020000}"/>
    <hyperlink ref="J437" r:id="rId659" display="https://www.zillow.com/homedetails/1533-Twin-Tides-Pl-Oxnard-CA-93035/63031008_zpid/?utm_campaign=iosappmessage&amp;utm_medium=referral&amp;utm_source=txtshare" xr:uid="{00000000-0004-0000-0100-000093020000}"/>
    <hyperlink ref="N437" r:id="rId660" display="https://drive.google.com/open?id=19eGBV5q3FGpuvAbDFYez3kukHfw7H3py" xr:uid="{00000000-0004-0000-0100-000094020000}"/>
    <hyperlink ref="J438" r:id="rId661" display="https://www.zillow.com/homedetails/7540-Quimby-Ave-West-Hills-CA-91307/19865941_zpid/" xr:uid="{00000000-0004-0000-0100-000095020000}"/>
    <hyperlink ref="J439" r:id="rId662" display="https://www.zillow.com/homedetails/22958-Cantlay-St-West-Hills-CA-91307/19866343_zpid/" xr:uid="{00000000-0004-0000-0100-000096020000}"/>
    <hyperlink ref="J440" r:id="rId663" display="https://www.zillow.com/homedetails/686-Island-View-Ct-Port-Hueneme-CA-93041/16400784_zpid/?utm_campaign=iosappmessage&amp;utm_medium=referral&amp;utm_source=txtshare" xr:uid="{00000000-0004-0000-0100-000097020000}"/>
    <hyperlink ref="N440" r:id="rId664" display="https://drive.google.com/open?id=1o7H4TmAFhYcInovJAyC3AZZluENsGEDx" xr:uid="{00000000-0004-0000-0100-000098020000}"/>
    <hyperlink ref="J441" r:id="rId665" display="https://www.zillow.com/homedetails/9530-Cedarbrook-Dr-Beverly-Hills-CA-90210/20533876_zpid/" xr:uid="{00000000-0004-0000-0100-000099020000}"/>
    <hyperlink ref="N441" r:id="rId666" display="https://drive.google.com/open?id=1UkFkxy45gqyre1X_mRJVqj5Hb-t8iH9U" xr:uid="{00000000-0004-0000-0100-00009A020000}"/>
    <hyperlink ref="J442" r:id="rId667" display="https://www.zillow.com/homedetails/2021-Vineburn-Ave-Los-Angeles-CA-90032/20640409_zpid/" xr:uid="{00000000-0004-0000-0100-00009B020000}"/>
    <hyperlink ref="N442" r:id="rId668" display="https://drive.google.com/open?id=1_KkCraSFoj1ksSCpKLxzV1ICRmhXnwoC" xr:uid="{00000000-0004-0000-0100-00009C020000}"/>
    <hyperlink ref="J443" r:id="rId669" display="https://www.zillow.com/homedetails/823-S-Sierra-Bonita-Ave-Los-Angeles-CA-90036/20610339_zpid/" xr:uid="{00000000-0004-0000-0100-00009D020000}"/>
    <hyperlink ref="N443" r:id="rId670" display="https://drive.google.com/open?id=1JIENl35wpgxW9OJ8hdptSZobmrIr8EEb" xr:uid="{00000000-0004-0000-0100-00009E020000}"/>
    <hyperlink ref="J444" r:id="rId671" display="https://www.zillow.com/homedetails/16-Park-Ave-Venice-CA-90291/20482259_zpid/" xr:uid="{00000000-0004-0000-0100-00009F020000}"/>
    <hyperlink ref="N444" r:id="rId672" display="https://drive.google.com/open?id=13yAlsTN0FCKkQaq3CzYSccKv5NwYx2NY" xr:uid="{00000000-0004-0000-0100-0000A0020000}"/>
    <hyperlink ref="J445" r:id="rId673" display="https://www.zillow.com/homedetails/9337-Shoshone-Ave-Northridge-CA-91325/20177092_zpid/" xr:uid="{00000000-0004-0000-0100-0000A1020000}"/>
    <hyperlink ref="J446" r:id="rId674" display="https://www.zillow.com/homedetails/317-N-Flores-St-Los-Angeles-CA-90048/20779077_zpid/" xr:uid="{00000000-0004-0000-0100-0000A2020000}"/>
    <hyperlink ref="N446" r:id="rId675" display="https://drive.google.com/open?id=1dptJdziJJOk5SERVhBEgLXtfm_DvUh7w" xr:uid="{00000000-0004-0000-0100-0000A3020000}"/>
    <hyperlink ref="J447" r:id="rId676" display="https://www.zillow.com/homedetails/22660-Baltar-St-West-Hills-CA-91304/51578714_zpid/" xr:uid="{00000000-0004-0000-0100-0000A4020000}"/>
    <hyperlink ref="J448" r:id="rId677" display="https://www.zillow.com/homedetails/1455-N-Los-Robles-Ave-1B-1BA-650SQFT-Pasadena-CA-91104/441125403_zpid/" xr:uid="{00000000-0004-0000-0100-0000A5020000}"/>
    <hyperlink ref="N448" r:id="rId678" display="https://drive.google.com/open?id=11sFGlwmBRwZbh24Um7yzpoRhsYVfmN0N" xr:uid="{00000000-0004-0000-0100-0000A6020000}"/>
    <hyperlink ref="J449" r:id="rId679" display="https://www.zillow.com/homedetails/1622-Viewmont-Dr-Los-Angeles-CA-90069/95641245_zpid/" xr:uid="{00000000-0004-0000-0100-0000A7020000}"/>
    <hyperlink ref="N449" r:id="rId680" display="https://drive.google.com/open?id=1Q-aiJcKg6trx3JfFcsyKHAlRKVvYqSTU" xr:uid="{00000000-0004-0000-0100-0000A8020000}"/>
    <hyperlink ref="J450" r:id="rId681" display="https://www.zillow.com/homedetails/2730-Earle-Ave-Rosemead-CA-91770/2097129855_zpid/" xr:uid="{00000000-0004-0000-0100-0000A9020000}"/>
    <hyperlink ref="N450" r:id="rId682" display="https://drive.google.com/open?id=1GCQHND3CStqFIbIbmlL_WU-U3RHF9B6i" xr:uid="{00000000-0004-0000-0100-0000AA020000}"/>
    <hyperlink ref="J451" r:id="rId683" display="https://www.zillow.com/homedetails/9572-Rhea-Ave-Northridge-CA-91324/20176308_zpid/" xr:uid="{00000000-0004-0000-0100-0000AB020000}"/>
    <hyperlink ref="J452" r:id="rId684" display="https://www.zillow.com/homedetails/1235-Highland-Oaks-Dr-Arcadia-CA-91006/20887520_zpid/" xr:uid="{00000000-0004-0000-0100-0000AC020000}"/>
    <hyperlink ref="N452" r:id="rId685" display="https://drive.google.com/open?id=18Hr_OC_Bmj6-3fMq5KsPC2xOOamEgGVe" xr:uid="{00000000-0004-0000-0100-0000AD020000}"/>
    <hyperlink ref="J453" r:id="rId686" display="https://www.zillow.com/homedetails/17063-San-Fernando-Mission-Blvd-Granada-Hills-CA-91344/20154671_zpid/" xr:uid="{00000000-0004-0000-0100-0000AE020000}"/>
    <hyperlink ref="J454" r:id="rId687" display="https://www.zillow.com/homedetails/3816-San-Augustine-Dr-Glendale-CA-91206/20842133_zpid/" xr:uid="{00000000-0004-0000-0100-0000AF020000}"/>
    <hyperlink ref="N454" r:id="rId688" display="https://drive.google.com/open?id=1dqL42dYKMuGzsS3Jp8y923MXmRqoxvc6" xr:uid="{00000000-0004-0000-0100-0000B0020000}"/>
    <hyperlink ref="J455" r:id="rId689" location="property-history" display="https://www.redfin.com/CA/West-Hollywood/828-Westmount-Dr-90069/home/6816738 - property-history" xr:uid="{00000000-0004-0000-0100-0000B1020000}"/>
    <hyperlink ref="N455" r:id="rId690" display="https://drive.google.com/open?id=1R9Fp71i1VfdcbEEhPt0xZ9_fV2_81r2a" xr:uid="{00000000-0004-0000-0100-0000B2020000}"/>
    <hyperlink ref="J456" r:id="rId691" display="https://www.zillow.com/homedetails/8434-Shirley-Ave-Northridge-CA-91324/20182539_zpid/" xr:uid="{00000000-0004-0000-0100-0000B3020000}"/>
    <hyperlink ref="J457" r:id="rId692" display="https://www.zillow.com/homedetails/512-Griswold-St-APT-6-Glendale-CA-91205/2089256757_zpid/" xr:uid="{00000000-0004-0000-0100-0000B4020000}"/>
    <hyperlink ref="N457" r:id="rId693" display="https://drive.google.com/open?id=1YfA8WvE-02u1yo5LCj4wODpXVDyYdbDm" xr:uid="{00000000-0004-0000-0100-0000B5020000}"/>
    <hyperlink ref="J458" r:id="rId694" display="https://www.zillow.com/homedetails/11633-Chenault-St-UNIT-202-Los-Angeles-CA-90049/119677949_zpid/" xr:uid="{00000000-0004-0000-0100-0000B6020000}"/>
    <hyperlink ref="N458" r:id="rId695" display="https://drive.google.com/open?id=1fcxn9QdsuzZyW4LXSyu80Yazu6jdzHBs" xr:uid="{00000000-0004-0000-0100-0000B7020000}"/>
    <hyperlink ref="J459" r:id="rId696" display="https://www.zillow.com/homedetails/325-E-Stocker-St-APT-5-Glendale-CA-91207/442359457_zpid/" xr:uid="{00000000-0004-0000-0100-0000B8020000}"/>
    <hyperlink ref="N459" r:id="rId697" display="https://drive.google.com/open?id=1cB_tNkSk17E4fbHKaJt-rKdcZIm5RLnM" xr:uid="{00000000-0004-0000-0100-0000B9020000}"/>
    <hyperlink ref="J460" r:id="rId698" display="https://www.zillow.com/homedetails/724-S-Gramercy-Dr-Los-Angeles-CA-90005/2070015636_zpid/" xr:uid="{00000000-0004-0000-0100-0000BA020000}"/>
    <hyperlink ref="N460" r:id="rId699" display="https://drive.google.com/open?id=1GfpfsW2MYAa8RmTy-4XUPixjbLNhnkwf" xr:uid="{00000000-0004-0000-0100-0000BB020000}"/>
    <hyperlink ref="J461" r:id="rId700" display="https://www.zillow.com/homedetails/15105-Mulholland-Dr-Los-Angeles-CA-90077/19990206_zpid/" xr:uid="{00000000-0004-0000-0100-0000BC020000}"/>
    <hyperlink ref="N461" r:id="rId701" display="https://drive.google.com/open?id=1MO8hWvLH6SPLQmmhCAHx069PDgJ7quZh" xr:uid="{00000000-0004-0000-0100-0000BD020000}"/>
    <hyperlink ref="J462" r:id="rId702" display="https://www.zillow.com/homedetails/233-17th-St-Manhattan-Beach-CA-90266/20421726_zpid/" xr:uid="{00000000-0004-0000-0100-0000BE020000}"/>
    <hyperlink ref="N462" r:id="rId703" display="https://drive.google.com/open?id=1xw0ENkef9q2OnoQFqap5GfKBQd7ohmXK" xr:uid="{00000000-0004-0000-0100-0000BF020000}"/>
    <hyperlink ref="J463" r:id="rId704" display="https://www.zillow.com/homedetails/6354-N-Charlotte-Ave-San-Gabriel-CA-91775/20727399_zpid/?utm_campaign=iosappmessage&amp;utm_medium=referral&amp;utm_source=txtshare" xr:uid="{00000000-0004-0000-0100-0000C0020000}"/>
    <hyperlink ref="N463" r:id="rId705" display="https://drive.google.com/open?id=1446QFyTEM6Fo-HGZCU9WP6HIAcnBQs4T" xr:uid="{00000000-0004-0000-0100-0000C1020000}"/>
    <hyperlink ref="J464" r:id="rId706" display="https://www.zillow.com/homedetails/472-36th-St-Manhattan-Beach-CA-90266/20420178_zpid/" xr:uid="{00000000-0004-0000-0100-0000C2020000}"/>
    <hyperlink ref="N464" r:id="rId707" display="https://drive.google.com/open?id=1wvgWF7Mv4FVNQcDegmeayWrXk8kUlbTz" xr:uid="{00000000-0004-0000-0100-0000C3020000}"/>
    <hyperlink ref="J465" r:id="rId708" display="https://www.zillow.com/homedetails/23608-Pineforest-Ln-Harbor-City-CA-90710/21289318_zpid/" xr:uid="{00000000-0004-0000-0100-0000C4020000}"/>
    <hyperlink ref="J466" r:id="rId709" display="https://www.zillow.com/homedetails/3055-Landa-St-Los-Angeles-CA-90039/20747666_zpid/" xr:uid="{00000000-0004-0000-0100-0000C5020000}"/>
    <hyperlink ref="J467" r:id="rId710" display="https://www.zillow.com/homedetails/26865-Via-Linda-St-Malibu-CA-90265/20554740_zpid/" xr:uid="{00000000-0004-0000-0100-0000C6020000}"/>
    <hyperlink ref="N467" r:id="rId711" display="https://drive.google.com/open?id=1WcKkv6ewyYREaTHbRAhDPhH8ZEssCfhA" xr:uid="{00000000-0004-0000-0100-0000C7020000}"/>
    <hyperlink ref="J468" r:id="rId712" display="https://www.zillow.com/homedetails/119-W-Live-Oak-St-APT-J-San-Gabriel-CA-91776/2101023272_zpid/" xr:uid="{00000000-0004-0000-0100-0000C8020000}"/>
    <hyperlink ref="N468" r:id="rId713" display="https://drive.google.com/open?id=1ce3wJ_J3K76gz9ExRsaG-QJ2ugCYnyxV" xr:uid="{00000000-0004-0000-0100-0000C9020000}"/>
    <hyperlink ref="J469" r:id="rId714" display="https://www.zillow.com/homedetails/Los-Angeles-CA-90028/2063392866_zpid/" xr:uid="{00000000-0004-0000-0100-0000CA020000}"/>
    <hyperlink ref="N469" r:id="rId715" display="https://drive.google.com/open?id=1ZCW5cdQm3CKc901iI_RBl5tvzsaOfnmj" xr:uid="{00000000-0004-0000-0100-0000CB020000}"/>
    <hyperlink ref="J470" r:id="rId716" display="https://www.zillow.com/homedetails/31678-Cottontail-Ln-Malibu-CA-90265/2054295562_zpid/" xr:uid="{00000000-0004-0000-0100-0000CC020000}"/>
    <hyperlink ref="N470" r:id="rId717" display="https://drive.google.com/open?id=1YoZzS-Zpo6z0Iuk307iFqld83xIY7I3M" xr:uid="{00000000-0004-0000-0100-0000CD020000}"/>
    <hyperlink ref="J471" r:id="rId718" display="https://www.zillow.com/homedetails/16070-W-Sunset-Blvd-FLOOR-1-ID361-Pacific-Palisades-CA-90272/2066994843_zpid/" xr:uid="{00000000-0004-0000-0100-0000CE020000}"/>
    <hyperlink ref="N471" r:id="rId719" display="https://drive.google.com/open?id=1m8Hdtg0vvAKyY00tkJWEr0-lXlznCGfh" xr:uid="{00000000-0004-0000-0100-0000CF020000}"/>
    <hyperlink ref="J472" r:id="rId720" display="https://www.zillow.com/homedetails/900-S-Orange-Grove-Blvd-APT-C-Pasadena-CA-91105/20860599_zpid/?utm_campaign=iosappmessage&amp;utm_medium=referral&amp;utm_source=txtshare" xr:uid="{00000000-0004-0000-0100-0000D0020000}"/>
    <hyperlink ref="N472" r:id="rId721" display="https://drive.google.com/open?id=1V5W4yGBti5Ip_wwrzcfHg-Ef6zqNclv1" xr:uid="{00000000-0004-0000-0100-0000D1020000}"/>
    <hyperlink ref="J473" r:id="rId722" display="https://www.zillow.com/homedetails/425-29th-St-Manhattan-Beach-CA-90266/20420888_zpid/" xr:uid="{00000000-0004-0000-0100-0000D2020000}"/>
    <hyperlink ref="N473" r:id="rId723" display="https://drive.google.com/open?id=1QUzp_3X_X-WlIHL5gMPtZixBhnYwR0Wd" xr:uid="{00000000-0004-0000-0100-0000D3020000}"/>
    <hyperlink ref="J474" r:id="rId724" display="https://www.zillow.com/homedetails/1850-San-Jacinto-St-Los-Angeles-CA-90026/20747879_zpid/" xr:uid="{00000000-0004-0000-0100-0000D4020000}"/>
    <hyperlink ref="J475" r:id="rId725" display="https://www.zillow.com/homedetails/Pacific-Palisades-CA-90272/20542872_zpid/" xr:uid="{00000000-0004-0000-0100-0000D5020000}"/>
    <hyperlink ref="J476" r:id="rId726" display="https://www.zillow.com/homedetails/286-N-Madison-Ave-FLOOR-3-ID1153-Pasadena-CA-91101/348506118_zpid/" xr:uid="{00000000-0004-0000-0100-0000D6020000}"/>
    <hyperlink ref="N476" r:id="rId727" display="https://drive.google.com/open?id=1MqemVQD-QAhxCaBLJdkfGLHpADnaYHQt" xr:uid="{00000000-0004-0000-0100-0000D7020000}"/>
    <hyperlink ref="J477" r:id="rId728" display="https://www.zillow.com/homedetails/30830-Broad-Beach-Rd-Malibu-CA-90265/20557654_zpid/" xr:uid="{00000000-0004-0000-0100-0000D8020000}"/>
    <hyperlink ref="N477" r:id="rId729" display="https://drive.google.com/open?id=1LgXeZNdkFk38s7IUai7euxsDWk7jWYPM" xr:uid="{00000000-0004-0000-0100-0000D9020000}"/>
    <hyperlink ref="J478" r:id="rId730" display="https://www.zillow.com/homedetails/3608-The-Strand-APT-2-Manhattan-Beach-CA-90266/2094828516_zpid/" xr:uid="{00000000-0004-0000-0100-0000DA020000}"/>
    <hyperlink ref="N478" r:id="rId731" display="https://drive.google.com/open?id=1Cp-hsZPhx9i3lznyjfgiJoUcvvQq9aeZ" xr:uid="{00000000-0004-0000-0100-0000DB020000}"/>
    <hyperlink ref="J479" r:id="rId732" display="https://www.zillow.com/homedetails/31777-Broad-Beach-Rd-Malibu-CA-90265/20557808_zpid/" xr:uid="{00000000-0004-0000-0100-0000DC020000}"/>
    <hyperlink ref="N479" r:id="rId733" display="https://drive.google.com/open?id=1L-Esep3aicoPnNwkBZF-7pR8dpku-Jug" xr:uid="{00000000-0004-0000-0100-0000DD020000}"/>
    <hyperlink ref="J480" r:id="rId734" display="https://www.zillow.com/homedetails/909-El-Centro-St-FLOOR-2-ID1158-South-Pasadena-CA-91030/2053698939_zpid/" xr:uid="{00000000-0004-0000-0100-0000DE020000}"/>
    <hyperlink ref="N480" r:id="rId735" display="https://drive.google.com/open?id=1LpQWHFBVxG1wIoWUQ8p3xqIb5criphEn" xr:uid="{00000000-0004-0000-0100-0000DF020000}"/>
    <hyperlink ref="J481" r:id="rId736" display="https://www.zillow.com/homedetails/1807-San-Ysidro-Dr-Beverly-Hills-CA-90210/20523504_zpid/" xr:uid="{00000000-0004-0000-0100-0000E0020000}"/>
    <hyperlink ref="N481" r:id="rId737" display="https://drive.google.com/open?id=1kXqdr-_9alyZteZ8w2p9GkX4gmVOqgCy" xr:uid="{00000000-0004-0000-0100-0000E1020000}"/>
    <hyperlink ref="J482" r:id="rId738" display="https://www.zillow.com/homedetails/500-14th-St-Manhattan-Beach-CA-90266/20418321_zpid/" xr:uid="{00000000-0004-0000-0100-0000E2020000}"/>
    <hyperlink ref="N482" r:id="rId739" display="https://drive.google.com/open?id=1F0ISGjC1XrIw04zLJ5cV3qC3AFX-IaX8" xr:uid="{00000000-0004-0000-0100-0000E3020000}"/>
    <hyperlink ref="J483" r:id="rId740" display="https://www.zillow.com/homedetails/1205-Highview-Ave-Manhattan-Beach-CA-90266/20417018_zpid/" xr:uid="{00000000-0004-0000-0100-0000E4020000}"/>
    <hyperlink ref="N483" r:id="rId741" display="https://drive.google.com/open?id=1FslmXhA4PH496wkAOraK3MngxcCae2_5" xr:uid="{00000000-0004-0000-0100-0000E5020000}"/>
    <hyperlink ref="J484" r:id="rId742" location="property-history" display="https://www.redfin.com/CA/Los-Angeles/8417-Harold-Way-90069/home/110141347 - property-history" xr:uid="{00000000-0004-0000-0100-0000E6020000}"/>
    <hyperlink ref="N484" r:id="rId743" display="https://drive.google.com/open?id=1EhtLCp2yz3jqGx-4J1gLtp8cLP5YMKwV" xr:uid="{00000000-0004-0000-0100-0000E7020000}"/>
    <hyperlink ref="J485" r:id="rId744" display="https://www.zillow.com/homedetails/314-Upper-Lake-Rd-Westlake-Village-CA-91361/2062639240_zpid/" xr:uid="{00000000-0004-0000-0100-0000E8020000}"/>
    <hyperlink ref="J486" r:id="rId745" display="https://www.zillow.com/homedetails/20752-Collins-St-Woodland-Hills-CA-91367/19932187_zpid/" xr:uid="{00000000-0004-0000-0100-0000E9020000}"/>
    <hyperlink ref="J487" r:id="rId746" display="https://www.zillow.com/homedetails/16-Park-Ave-Venice-CA-90291/20482259_zpid/" xr:uid="{00000000-0004-0000-0100-0000EA020000}"/>
    <hyperlink ref="N487" r:id="rId747" display="https://drive.google.com/open?id=1N_mo8xWs7IIbk4m67SpLKo0l3S6P4iOV" xr:uid="{00000000-0004-0000-0100-0000EB020000}"/>
    <hyperlink ref="J488" r:id="rId748" display="https://www.zillow.com/homedetails/20202-Clark-St-Woodland-Hills-CA-91367/2054703692_zpid/" xr:uid="{00000000-0004-0000-0100-0000EC020000}"/>
    <hyperlink ref="J489" r:id="rId749" display="https://www.zillow.com/homedetails/Van-Nuys-CA-91406/19964598_zpid/" xr:uid="{00000000-0004-0000-0100-0000ED020000}"/>
    <hyperlink ref="J490" r:id="rId750" display="https://www.zillow.com/homedetails/716-The-Strand-Manhattan-Beach-CA-90266/20423287_zpid/" xr:uid="{00000000-0004-0000-0100-0000EE020000}"/>
    <hyperlink ref="N490" r:id="rId751" display="https://drive.google.com/open?id=15FVCO4QWHIPisKu1sjp1qwrEnBepTn3i" xr:uid="{00000000-0004-0000-0100-0000EF020000}"/>
    <hyperlink ref="J491" r:id="rId752" display="https://www.zillow.com/homedetails/3977-Dalton-Ave-1-Los-Angeles-CA-90062/347232716_zpid/" xr:uid="{00000000-0004-0000-0100-0000F0020000}"/>
    <hyperlink ref="J492" r:id="rId753" display="https://www.zillow.com/homedetails/592-30th-St-Manhattan-Beach-CA-90266/20420685_zpid/" xr:uid="{00000000-0004-0000-0100-0000F1020000}"/>
    <hyperlink ref="N492" r:id="rId754" display="https://drive.google.com/open?id=1tvCi2Jo1cWdqa7iH9I3Xd9cvwFuzk8_-" xr:uid="{00000000-0004-0000-0100-0000F2020000}"/>
    <hyperlink ref="J493" r:id="rId755" display="https://www.zillow.com/homedetails/5358-Baza-Ave-Woodland-Hills-CA-91364/19942951_zpid/" xr:uid="{00000000-0004-0000-0100-0000F3020000}"/>
    <hyperlink ref="J494" r:id="rId756" display="https://www.zillow.com/homedetails/15736-Vanowen-St-APT-205-Lake-Balboa-CA-91406/2099122356_zpid/?utm_campaign=iosappmessage&amp;utm_medium=referral&amp;utm_source=txtshare" xr:uid="{00000000-0004-0000-0100-0000F4020000}"/>
    <hyperlink ref="N494" r:id="rId757" display="https://drive.google.com/open?id=1hluoxtfRpoy4csmSbGjtYFAfRxp4Iemp" xr:uid="{00000000-0004-0000-0100-0000F5020000}"/>
    <hyperlink ref="J495" r:id="rId758" display="https://www.zillow.com/homedetails/359-E-Broadway-Long-Beach-CA-90802/2083979360_zpid/" xr:uid="{00000000-0004-0000-0100-0000F6020000}"/>
    <hyperlink ref="J496" r:id="rId759" display="https://www.zillow.com/homedetails/425-29th-St-Manhattan-Beach-CA-90266/20420888_zpid/" xr:uid="{00000000-0004-0000-0100-0000F7020000}"/>
    <hyperlink ref="N496" r:id="rId760" display="https://drive.google.com/open?id=12JMhD0VbAqf4yXuk03-lfsWrkJbxz98C" xr:uid="{00000000-0004-0000-0100-0000F8020000}"/>
    <hyperlink ref="J497" r:id="rId761" display="https://www.zillow.com/homedetails/17808-Sherman-Way-APT-127-Reseda-CA-91335/2061798789_zpid/?utm_campaign=iosappmessage&amp;utm_medium=referral&amp;utm_source=txtshare" xr:uid="{00000000-0004-0000-0100-0000F9020000}"/>
    <hyperlink ref="N497" r:id="rId762" display="https://drive.google.com/open?id=1ttVIvi-CSobryGROKiA-7DH0m6DksybI" xr:uid="{00000000-0004-0000-0100-0000FA020000}"/>
    <hyperlink ref="J498" r:id="rId763" display="https://www.zillow.com/homedetails/Hermosa-Beach-CA-90254/20425174_zpid/" xr:uid="{00000000-0004-0000-0100-0000FB020000}"/>
    <hyperlink ref="N498" r:id="rId764" display="https://drive.google.com/open?id=1LdFH1VeuzmSbUFzP0UlZWDcsS1Q1rBSg" xr:uid="{00000000-0004-0000-0100-0000FC020000}"/>
    <hyperlink ref="J499" r:id="rId765" display="https://www.zillow.com/homedetails/6229-Fallbrook-Ave-Woodland-Hills-CA-91367/19877436_zpid/" xr:uid="{00000000-0004-0000-0100-0000FD020000}"/>
    <hyperlink ref="J500" r:id="rId766" display="https://www.zillow.com/homedetails/1070-S-Bedford-St-405A-Los-Angeles-CA-90035/443493164_zpid/" xr:uid="{00000000-0004-0000-0100-0000FE020000}"/>
    <hyperlink ref="N500" r:id="rId767" display="https://drive.google.com/open?id=1a-WYDLcGBl4IZmWF8DzX3AXxoGl9Zrk4" xr:uid="{00000000-0004-0000-0100-0000FF020000}"/>
    <hyperlink ref="J501" r:id="rId768" location="property-history" display="https://www.redfin.com/CA/Los-Angeles/6358-La-Rocha-Dr-90068/home/7127670 - property-history" xr:uid="{00000000-0004-0000-0100-000000030000}"/>
    <hyperlink ref="N501" r:id="rId769" display="https://drive.google.com/open?id=1zq7sGmKX4LMWYLrExqaL0CgPqHv0hWQs" xr:uid="{00000000-0004-0000-0100-000001030000}"/>
    <hyperlink ref="J502" r:id="rId770" display="https://www.zillow.com/homedetails/3055-Landa-St-Los-Angeles-CA-90039/20747666_zpid/?rtoken=b1891952-e094-45d9-ae50-3cab14af4087~X1-ZU14jqana78s9vt_5gnlt&amp;utm_campaign=emo-instantsavedsearch-rental&amp;utm_source=email&amp;utm_term=urn:msg:20250113143102be2199294cc2065f&amp;utm_medium=email&amp;utm_content=forrentimage&amp;sse=X1-SSx1jqpcj6xc560000000000_3wguh&amp;srp=H4sIAAAAAAAAAI2UTXObMBCGfw3HxNKCBD50Ok3aQ4+NL51ePAsWAUcfWB+O8+/LWJjiNG7FSVqed3f1smjVGSXcqjV2a4X2q89OoG26H0HYt41HLz5l5UMGoHB4MEHv3LjO8i8x+Cqcj/s7Sqt7WFNO1hR4UTDKMngc3wm8RoAD4bSgFXBCI+JM8F1k8uKeMM5yXpSMVIyWkdDGLghK2FiA83WRl0B5Vn6NVNtLL+y56WWTbhQv90eU4QIADLY3tvdvrjH2HJ2z2Rsib8fVTLkab3AtSncFmiRQN0lYo5xOAjGkJWyn8/8XVMMSU/3UBgAhE4CnGKLAxthFV4vr4ZmV+TuZDlL+UaHvPpbBv2SqTXPRpJkoUe/S3O5SpgaHtKHBoUkbGndo/YcmUfbXV7nySWJIaXhA+3Kr5Qs4W4/DL2PUVL+YjA7OG/Uknnujv1+sBKgYr2vOWdX8pHePT8djccA87F9qW29p7qw814hHxKPYbc6X0zdtjZRqvK4WqcYEm82J7g9Ds+enhnEyP9v89Tl08ef+Dfk5Hs/wBAAA" xr:uid="{00000000-0004-0000-0100-000002030000}"/>
    <hyperlink ref="J503" r:id="rId771" display="https://www.zillow.com/homedetails/414-Monterey-Blvd-Hermosa-Beach-CA-90254/20428484_zpid/" xr:uid="{00000000-0004-0000-0100-000003030000}"/>
    <hyperlink ref="N503" r:id="rId772" display="https://drive.google.com/open?id=1f8I2DxZfiad6SVYQyQ8sMmIFEbqHKyuc" xr:uid="{00000000-0004-0000-0100-000004030000}"/>
    <hyperlink ref="J504" r:id="rId773" display="https://www.zillow.com/homedetails/632-N-Hayworth-Ave-APT-3-Los-Angeles-CA-90048/2080867853_zpid/" xr:uid="{00000000-0004-0000-0100-000005030000}"/>
    <hyperlink ref="J505" r:id="rId774" display="https://www.zillow.com/homedetails/5571-Camp-St-Cypress-CA-90630/25330127_zpid/" xr:uid="{00000000-0004-0000-0100-000006030000}"/>
    <hyperlink ref="J506" r:id="rId775" display="https://www.zillow.com/homedetails/8568-Burton-Way-APT-301-Los-Angeles-CA-90048/20514791_zpid/" xr:uid="{00000000-0004-0000-0100-000007030000}"/>
    <hyperlink ref="J507" r:id="rId776" location="property-history" display="https://www.redfin.com/CA/Los-Angeles/5669-Tuxedo-Ter-90068/home/7131755 - property-history" xr:uid="{00000000-0004-0000-0100-000008030000}"/>
    <hyperlink ref="N507" r:id="rId777" display="https://drive.google.com/open?id=12GAxhYfPXr1ifQ8hSBnYAbMvrSWQDQcp" xr:uid="{00000000-0004-0000-0100-000009030000}"/>
    <hyperlink ref="J508" r:id="rId778" display="https://www.zillow.com/homedetails/14649-Addison-St-Sherman-Oaks-CA-91403/19982606_zpid/" xr:uid="{00000000-0004-0000-0100-00000A030000}"/>
    <hyperlink ref="J509" r:id="rId779" display="https://www.zillow.com/homedetails/4643-1-2-Pickford-St-Los-Angeles-CA-90019/2096718267_zpid/" xr:uid="{00000000-0004-0000-0100-00000B030000}"/>
    <hyperlink ref="J510" r:id="rId780" display="https://www.zillow.com/homedetails/8038-Blackburn-Ave-7-Los-Angeles-CA-90048/2067901955_zpid/" xr:uid="{00000000-0004-0000-0100-00000C030000}"/>
    <hyperlink ref="N510" r:id="rId781" display="https://drive.google.com/open?id=10FAvISM95X3VVcUkk9fOLG_vyXcItjkP" xr:uid="{00000000-0004-0000-0100-00000D030000}"/>
    <hyperlink ref="J511" r:id="rId782" display="https://www.zillow.com/homedetails/672-Walther-Way-Los-Angeles-CA-90049/2059425368_zpid/" xr:uid="{00000000-0004-0000-0100-00000E030000}"/>
    <hyperlink ref="N511" r:id="rId783" display="https://drive.google.com/open?id=1zJaI5ibBy5sVUbwhw45IMiLcO5E2HRQA" xr:uid="{00000000-0004-0000-0100-00000F030000}"/>
    <hyperlink ref="J512" r:id="rId784" location="property-history" display="https://www.redfin.com/CA/Los-Angeles/108-W-2nd-St-90012/unit-206/home/21923543 - property-history" xr:uid="{00000000-0004-0000-0100-000010030000}"/>
    <hyperlink ref="N512" r:id="rId785" display="https://drive.google.com/open?id=1UF7R4-oLHrMp5_RpODpqboRzkrU4lmqT" xr:uid="{00000000-0004-0000-0100-000011030000}"/>
    <hyperlink ref="J513" r:id="rId786" display="https://www.zillow.com/homedetails/1646-Blue-Jay-Way-Los-Angeles-CA-90069/20799931_zpid/" xr:uid="{00000000-0004-0000-0100-000012030000}"/>
    <hyperlink ref="N513" r:id="rId787" display="https://drive.google.com/open?id=17Va2mZb9Arl9DZ2N5Rul2Qqno0Kcrbs2" xr:uid="{00000000-0004-0000-0100-000013030000}"/>
    <hyperlink ref="J514" r:id="rId788" display="https://www.zillow.com/homedetails/1470-Blue-Jay-Way-Los-Angeles-CA-90069/20799733_zpid/" xr:uid="{00000000-0004-0000-0100-000014030000}"/>
    <hyperlink ref="N514" r:id="rId789" display="https://drive.google.com/open?id=1C6ONULTfz57Q0knbGDmACfhgARZxj0gb" xr:uid="{00000000-0004-0000-0100-000015030000}"/>
    <hyperlink ref="J515" r:id="rId790" display="https://www.zillow.com/homedetails/1702-Sunset-Plaza-Dr-Los-Angeles-CA-90069/20798287_zpid/" xr:uid="{00000000-0004-0000-0100-000016030000}"/>
    <hyperlink ref="N515" r:id="rId791" display="https://drive.google.com/open?id=1Vzvt3EqlPbdX4XPq8AuwS5hqCnQ0Vj1A" xr:uid="{00000000-0004-0000-0100-000017030000}"/>
    <hyperlink ref="J516" r:id="rId792" display="https://www.zillow.com/homedetails/715-N-Rexford-Dr-Beverly-Hills-CA-90210/20520993_zpid/" xr:uid="{00000000-0004-0000-0100-000018030000}"/>
    <hyperlink ref="N516" r:id="rId793" display="https://drive.google.com/open?id=1v6u4hcxZhdxT8reDa0oyqCAk47mpb9EP" xr:uid="{00000000-0004-0000-0100-000019030000}"/>
    <hyperlink ref="J517" r:id="rId794" location="property-history" display="https://www.redfin.com/CA/Harbor-City/1661-259th-St-90710/unit-235/home/193276678 - property-history" xr:uid="{00000000-0004-0000-0100-00001A030000}"/>
    <hyperlink ref="N517" r:id="rId795" display="https://drive.google.com/open?id=1XUITWWIP2ZwGy8xwaUOjvKHvjWYhy0lY" xr:uid="{00000000-0004-0000-0100-00001B030000}"/>
    <hyperlink ref="J518" r:id="rId796" display="https://www.zillow.com/homedetails/7665-Woodrow-Wilson-Dr-Los-Angeles-CA-90046/20802829_zpid/" xr:uid="{00000000-0004-0000-0100-00001C030000}"/>
    <hyperlink ref="N518" r:id="rId797" display="https://drive.google.com/open?id=1l6P2y4cxchVE90aPqvCEm4NywLnp46kx" xr:uid="{00000000-0004-0000-0100-00001D030000}"/>
    <hyperlink ref="J519" r:id="rId798" display="https://www.zillow.com/homedetails/5109-Longridge-Ave-Sherman-Oaks-CA-91423/20021223_zpid/" xr:uid="{00000000-0004-0000-0100-00001E030000}"/>
    <hyperlink ref="N519" r:id="rId799" display="https://drive.google.com/open?id=1X0uyH3OOXTuItMa4tMDIfrxXC_LTex9J" xr:uid="{00000000-0004-0000-0100-00001F030000}"/>
    <hyperlink ref="J520" r:id="rId800" display="https://www.zillow.com/homedetails/508-N-Canon-Dr-Beverly-Hills-CA-90210/20521062_zpid/" xr:uid="{00000000-0004-0000-0100-000020030000}"/>
    <hyperlink ref="N520" r:id="rId801" display="https://drive.google.com/open?id=1NJlmV23hAbn0g8tBoJm8ac7jxtWxtUR-" xr:uid="{00000000-0004-0000-0100-000021030000}"/>
    <hyperlink ref="J521" r:id="rId802" display="https://www.zillow.com/homedetails/3365-Tyburn-St-Los-Angeles-CA-90039/20750852_zpid/" xr:uid="{00000000-0004-0000-0100-000022030000}"/>
    <hyperlink ref="N521" r:id="rId803" display="https://drive.google.com/open?id=1lStE0Irreds8E0lvuggay7vDDFuVgUyg" xr:uid="{00000000-0004-0000-0100-000023030000}"/>
    <hyperlink ref="J522" r:id="rId804" display="https://www.zillow.com/homedetails/5344-Leghorn-Ave-Van-Nuys-CA-91401/20015679_zpid/" xr:uid="{00000000-0004-0000-0100-000024030000}"/>
    <hyperlink ref="N522" r:id="rId805" display="https://drive.google.com/open?id=1NdXx2bCA3ymxCJP39eqetoT00zbpJc6M" xr:uid="{00000000-0004-0000-0100-000025030000}"/>
    <hyperlink ref="J523" r:id="rId806" display="https://www.zillow.com/homedetails/745-Patterson-Ave-Glendale-CA-91202/20830106_zpid/" xr:uid="{00000000-0004-0000-0100-000026030000}"/>
    <hyperlink ref="J524" r:id="rId807" display="https://www.zillow.com/homedetails/138-N-Hamel-Dr-Beverly-Hills-CA-90211/20514615_zpid/" xr:uid="{00000000-0004-0000-0100-000027030000}"/>
    <hyperlink ref="N524" r:id="rId808" display="https://drive.google.com/open?id=1zw4fNusP9ncPwgr1jVf11kEuEcuRoocW" xr:uid="{00000000-0004-0000-0100-000028030000}"/>
    <hyperlink ref="J525" r:id="rId809" location="property-history" display="https://www.redfin.com/CA/Los-Angeles/1237-S-Holt-Ave-90035/unit-206/home/191150566 - property-history" xr:uid="{00000000-0004-0000-0100-000029030000}"/>
    <hyperlink ref="N525" r:id="rId810" display="https://drive.google.com/open?id=1KY7dvVWL0xZEzMZdH2lUAtbJWlLMXVt-" xr:uid="{00000000-0004-0000-0100-00002A030000}"/>
    <hyperlink ref="J526" r:id="rId811" display="https://www.zillow.com/homedetails/3418-Glendale-Blvd-1-2-Los-Angeles-CA-90039/441657486_zpid/" xr:uid="{00000000-0004-0000-0100-00002B030000}"/>
    <hyperlink ref="N526" r:id="rId812" display="https://drive.google.com/open?id=1OspzwTiV4amwFN8EcwcC6-xSJ7fok_tT" xr:uid="{00000000-0004-0000-0100-00002C030000}"/>
    <hyperlink ref="J527" r:id="rId813" display="https://www.zillow.com/homedetails/812-N-Croft-Ave-APT-201-Los-Angeles-CA-90069/2098592518_zpid/" xr:uid="{00000000-0004-0000-0100-00002D030000}"/>
    <hyperlink ref="N527" r:id="rId814" display="https://drive.google.com/open?id=1p94nlE3V3myTnWaoHP5hQZl_6-IGICRa" xr:uid="{00000000-0004-0000-0100-00002E030000}"/>
    <hyperlink ref="J528" r:id="rId815" display="https://www.zillow.com/homedetails/3771-Keystone-Ave-14106-Los-Angeles-CA-90034/442573913_zpid/" xr:uid="{00000000-0004-0000-0100-00002F030000}"/>
    <hyperlink ref="J529" r:id="rId816" display="https://www.zillow.com/homedetails/13918-Chandler-Blvd-Van-Nuys-CA-91401/19974663_zpid/" xr:uid="{00000000-0004-0000-0100-000030030000}"/>
    <hyperlink ref="N529" r:id="rId817" display="https://drive.google.com/open?id=1ji22KuOkeVGFM8kyjMB6lu9wOL74EkKd" xr:uid="{00000000-0004-0000-0100-000031030000}"/>
    <hyperlink ref="J530" r:id="rId818" display="https://www.zillow.com/homedetails/7177-Pacific-View-Dr-Los-Angeles-CA-90068/20045420_zpid/" xr:uid="{00000000-0004-0000-0100-000032030000}"/>
    <hyperlink ref="N530" r:id="rId819" display="https://drive.google.com/open?id=1T9H2AtgcxZB4BVqhnujpILNoZQDIRXhh" xr:uid="{00000000-0004-0000-0100-000033030000}"/>
    <hyperlink ref="J531" r:id="rId820" display="https://www.zillow.com/homedetails/13018-Chandler-Blvd-Van-Nuys-CA-91401/440548973_zpid/" xr:uid="{00000000-0004-0000-0100-000034030000}"/>
    <hyperlink ref="N531" r:id="rId821" display="https://drive.google.com/open?id=1zceQZxwSkxHpLeNWjm1IfmAPwGpIEqGM" xr:uid="{00000000-0004-0000-0100-000035030000}"/>
    <hyperlink ref="J532" r:id="rId822" display="https://www.zillow.com/homedetails/14143-Hatteras-St-Sherman-Oaks-CA-91401/71543451_zpid/" xr:uid="{00000000-0004-0000-0100-000036030000}"/>
    <hyperlink ref="N532" r:id="rId823" display="https://drive.google.com/open?id=1TrmT2e6BIaJ4i40N-RuhRGFv7z3ggVpi" xr:uid="{00000000-0004-0000-0100-000037030000}"/>
    <hyperlink ref="J533" r:id="rId824" display="https://www.zillow.com/homedetails/7801-White-Oak-Ave-Reseda-CA-91335/19903033_zpid/" xr:uid="{00000000-0004-0000-0100-000038030000}"/>
    <hyperlink ref="J534" r:id="rId825" display="https://www.zillow.com/homedetails/240-Howland-Canal-Ct-Venice-CA-90291/443837979_zpid/" xr:uid="{00000000-0004-0000-0100-000039030000}"/>
    <hyperlink ref="N534" r:id="rId826" display="https://drive.google.com/open?id=1P_1d_7FkETiPPie_MSIjS1hOqGA8jTeb" xr:uid="{00000000-0004-0000-0100-00003A030000}"/>
    <hyperlink ref="J535" r:id="rId827" display="https://www.zillow.com/homedetails/3935-Inglewood-Blvd-3935-Los-Angeles-CA-90066/401885716_zpid/" xr:uid="{00000000-0004-0000-0100-00003B030000}"/>
    <hyperlink ref="J536" r:id="rId828" display="https://www.zillow.com/homedetails/6229-Fallbrook-Ave-Woodland-Hills-CA-91367/19877436_zpid/" xr:uid="{00000000-0004-0000-0100-00003C030000}"/>
    <hyperlink ref="N536" r:id="rId829" display="https://drive.google.com/open?id=1V0FyQafcLdLlmVZb6RtYQo4PbXgUSdqg" xr:uid="{00000000-0004-0000-0100-00003D030000}"/>
    <hyperlink ref="J537" r:id="rId830" display="https://www.redfin.com/CA/Los-Angeles/1941-Glencoe-Way-90068/home/7114955" xr:uid="{00000000-0004-0000-0100-00003E030000}"/>
    <hyperlink ref="J538" r:id="rId831" display="https://www.zillow.com/homedetails/3215-Ocean-Front-Walk-101-Marina-Del-Rey-CA-90292/51582315_zpid/" xr:uid="{00000000-0004-0000-0100-00003F030000}"/>
    <hyperlink ref="J539" r:id="rId832" display="https://www.zillow.com/homedetails/14133-Tiara-St-Sherman-Oaks-CA-91401/19972784_zpid/" xr:uid="{00000000-0004-0000-0100-000040030000}"/>
    <hyperlink ref="N539" r:id="rId833" display="https://drive.google.com/open?id=1y4x3osig7e8Kz9E4C5uTOH9M055vlU-9" xr:uid="{00000000-0004-0000-0100-000041030000}"/>
    <hyperlink ref="J540" r:id="rId834" display="https://www.zillow.com/homedetails/3215-Ocean-Front-Walk-101-Marina-Del-Rey-CA-90292/51582315_zpid/" xr:uid="{00000000-0004-0000-0100-000042030000}"/>
    <hyperlink ref="N540" r:id="rId835" display="https://drive.google.com/open?id=1a6OxM_ZsH6kdmA_kCSOn_5CXmf_km6Ar" xr:uid="{00000000-0004-0000-0100-000043030000}"/>
    <hyperlink ref="J541" r:id="rId836" display="https://www.zillow.com/homedetails/10923-Ayres-Ave-1-Los-Angeles-CA-90064/440958563_zpid/" xr:uid="{00000000-0004-0000-0100-000044030000}"/>
    <hyperlink ref="J542" r:id="rId837" display="https://www.zillow.com/homedetails/15701-Royal-Ridge-Rd-Sherman-Oaks-CA-91403/19990414_zpid/" xr:uid="{00000000-0004-0000-0100-000045030000}"/>
    <hyperlink ref="N542" r:id="rId838" display="https://drive.google.com/open?id=1eLKH_QuR-TneeFee01sC_eITXv__L3Ud" xr:uid="{00000000-0004-0000-0100-000046030000}"/>
    <hyperlink ref="J543" r:id="rId839" display="https://www.zillow.com/homedetails/2084-N-Vine-St-Los-Angeles-CA-90068/2080260263_zpid/" xr:uid="{00000000-0004-0000-0100-000047030000}"/>
    <hyperlink ref="J544" r:id="rId840" display="https://www.zillow.com/homedetails/5344-Leghorn-Ave-Van-Nuys-CA-91401/20015679_zpid/" xr:uid="{00000000-0004-0000-0100-000048030000}"/>
    <hyperlink ref="J545" r:id="rId841" display="https://www.zillow.com/homedetails/3701-Royal-Meadow-Rd-Sherman-Oaks-CA-91403/19990560_zpid/" xr:uid="{00000000-0004-0000-0100-000049030000}"/>
    <hyperlink ref="N545" r:id="rId842" display="https://drive.google.com/open?id=1zQy_r3JN941ZOrOhvPzV9Tm7nRPlY_GG" xr:uid="{00000000-0004-0000-0100-00004A030000}"/>
    <hyperlink ref="J546" r:id="rId843" display="https://www.zillow.com/homedetails/306-N-Venice-Blvd-Venice-CA-90291/20450581_zpid/" xr:uid="{00000000-0004-0000-0100-00004B030000}"/>
    <hyperlink ref="J547" r:id="rId844" display="https://www.zillow.com/homedetails/10802-Wilkins-Ave-Los-Angeles-CA-90024/2053179796_zpid/" xr:uid="{00000000-0004-0000-0100-00004C030000}"/>
    <hyperlink ref="J548" r:id="rId845" location="property-history" display="https://www.redfin.com/CA/Los-Angeles/15541-Aqua-Verde-Dr-90077/home/6831653 - property-history" xr:uid="{00000000-0004-0000-0100-00004D030000}"/>
    <hyperlink ref="N548" r:id="rId846" display="https://drive.google.com/open?id=1mtOIovnQcc2__4BoJWkF76gXQY7idyIT" xr:uid="{00000000-0004-0000-0100-00004E030000}"/>
    <hyperlink ref="J549" r:id="rId847" display="https://www.zillow.com/homedetails/14320-Hortense-St-Sherman-Oaks-CA-91423/19984223_zpid/" xr:uid="{00000000-0004-0000-0100-00004F030000}"/>
    <hyperlink ref="N549" r:id="rId848" display="https://drive.google.com/open?id=10mthTV-x6G6EP7BEQDNLjodFoxOXfjY0" xr:uid="{00000000-0004-0000-0100-000050030000}"/>
    <hyperlink ref="I550" r:id="rId849" display="http://compass.com/" xr:uid="{00000000-0004-0000-0100-000051030000}"/>
    <hyperlink ref="J550" r:id="rId850" display="https://www.compass.com/listing/714-south-street-glendale-ca-91202/1690164355320241993/?origin=listing_page&amp;origin_type=copy_url&amp;agent_id=625f3a90c7a8cf0001c3ab8d" xr:uid="{00000000-0004-0000-0100-000052030000}"/>
    <hyperlink ref="J551" r:id="rId851" location="property-history" display="https://www.redfin.com/CA/Los-Angeles/11633-Chenault-St-90049/unit-202/home/51587417 - property-history" xr:uid="{00000000-0004-0000-0100-000053030000}"/>
    <hyperlink ref="N551" r:id="rId852" display="https://drive.google.com/open?id=14zkeT4FH4-C5xn2FnnO2dILmRpAyGPkM" xr:uid="{00000000-0004-0000-0100-000054030000}"/>
    <hyperlink ref="J552" r:id="rId853" display="https://www.zillow.com/homedetails/6617-S-Sherbourne-Dr-Los-Angeles-CA-90056/20377951_zpid/" xr:uid="{00000000-0004-0000-0100-000055030000}"/>
    <hyperlink ref="N552" r:id="rId854" display="https://drive.google.com/open?id=1AjqN0aQ8AXSsOa1iOn7lwpshsYqdDf2X" xr:uid="{00000000-0004-0000-0100-000056030000}"/>
    <hyperlink ref="J553" r:id="rId855" display="https://www.zillow.com/homedetails/325-Woodcliffe-Rd-Pasadena-CA-91105/20856334_zpid/" xr:uid="{00000000-0004-0000-0100-000057030000}"/>
    <hyperlink ref="N553" r:id="rId856" display="https://drive.google.com/open?id=18N2SpT-HqRXVtkNuJwfD4IwY8mcxrDrh" xr:uid="{00000000-0004-0000-0100-000058030000}"/>
    <hyperlink ref="J554" r:id="rId857" display="https://www.zillow.com/homedetails/3945-Eagle-Rock-Blvd-UNIT-49-Los-Angeles-CA-90065/124212301_zpid/" xr:uid="{00000000-0004-0000-0100-000059030000}"/>
    <hyperlink ref="J555" r:id="rId858" display="https://www.zillow.com/homedetails/5117-Bakman-Ave-North-Hollywood-CA-91601/2131031938_zpid/" xr:uid="{00000000-0004-0000-0100-00005A030000}"/>
    <hyperlink ref="J556" r:id="rId859" display="https://www.zillow.com/homedetails/878-Hartglen-Ave-Westlake-Village-CA-91361/16492149_zpid/" xr:uid="{00000000-0004-0000-0100-00005B030000}"/>
    <hyperlink ref="J557" r:id="rId860" display="https://www.themls.com/Share/YWFmaWFkZmZp" xr:uid="{00000000-0004-0000-0100-00005C030000}"/>
    <hyperlink ref="N557" r:id="rId861" display="https://drive.google.com/open?id=1n_zEv5aXfX1mS5kdOU2sU1dmIqKoaHv9" xr:uid="{00000000-0004-0000-0100-00005D030000}"/>
    <hyperlink ref="J558" r:id="rId862" display="https://www.zillow.com/homedetails/1933-N-Vista-Del-Mar-Ave-Los-Angeles-CA-90068/20807472_zpid/" xr:uid="{00000000-0004-0000-0100-00005E030000}"/>
    <hyperlink ref="J559" r:id="rId863" location="property-history" display="https://www.redfin.com/CA/Los-Angeles/1719-Wellesley-Ave-90025/home/6756075 - property-history" xr:uid="{00000000-0004-0000-0100-00005F030000}"/>
    <hyperlink ref="N559" r:id="rId864" display="https://drive.google.com/open?id=1qTq2JWwniDfHjbIDdDVfW_I468Qv23Vw" xr:uid="{00000000-0004-0000-0100-000060030000}"/>
    <hyperlink ref="J560" r:id="rId865" display="https://www.zillow.com/homedetails/7171-La-Presa-Dr-Los-Angeles-CA-90068/20793583_zpid/" xr:uid="{00000000-0004-0000-0100-000061030000}"/>
    <hyperlink ref="N560" r:id="rId866" display="https://drive.google.com/open?id=18ANVW2RhU7_XDtzSOZkq307Gca7zU3h0" xr:uid="{00000000-0004-0000-0100-000062030000}"/>
    <hyperlink ref="J561" r:id="rId867" display="https://www.zillow.com/homedetails/Los-Angeles-CA-90026/20739765_zpid/?" xr:uid="{00000000-0004-0000-0100-000063030000}"/>
    <hyperlink ref="J562" r:id="rId868" display="https://www.zillow.com/homedetails/3108-Yale-Ave-Marina-Del-Rey-CA-90292/20445056_zpid/" xr:uid="{00000000-0004-0000-0100-000064030000}"/>
    <hyperlink ref="N562" r:id="rId869" display="https://drive.google.com/open?id=1UTLbM8N6A4irbIHWeR3y03YCRdvzED8c" xr:uid="{00000000-0004-0000-0100-000065030000}"/>
    <hyperlink ref="J563" r:id="rId870" display="https://www.zillow.com/homedetails/18220-Fallenleaf-Cir-Fountain-Valley-CA-92708/25284910_zpid/" xr:uid="{00000000-0004-0000-0100-000066030000}"/>
    <hyperlink ref="J564" r:id="rId871" display="https://www.zillow.com/homedetails/6111-San-Vicente-Blvd-Los-Angeles-CA-90048/20609731_zpid/" xr:uid="{00000000-0004-0000-0100-000067030000}"/>
    <hyperlink ref="J565" r:id="rId872" display="https://www.zillow.com/homedetails/6119-Maryland-Dr-Los-Angeles-CA-90048/20776184_zpid/" xr:uid="{00000000-0004-0000-0100-000068030000}"/>
    <hyperlink ref="N565" r:id="rId873" display="https://drive.google.com/open?id=1veaTH5QtlflQ135A_CB4PzTcd0ay3zZN" xr:uid="{00000000-0004-0000-0100-000069030000}"/>
    <hyperlink ref="J566" r:id="rId874" display="https://www.zillow.com/homedetails/14550-Round-Valley-Dr-Sherman-Oaks-CA-91403/19987851_zpid/" xr:uid="{00000000-0004-0000-0100-00006A030000}"/>
    <hyperlink ref="J567" r:id="rId875" display="https://www.zillow.com/homedetails/Woodland-Hills-CA-91367/19878327_zpid/" xr:uid="{00000000-0004-0000-0100-00006B030000}"/>
    <hyperlink ref="J568" r:id="rId876" display="https://www.zillow.com/homedetails/16412-Ardsley-Cir-Huntington-Beach-CA-92649/25298727_zpid/" xr:uid="{00000000-0004-0000-0100-00006C030000}"/>
    <hyperlink ref="J569" r:id="rId877" display="https://www.zillow.com/homedetails/534-Wilcox-Ave-Los-Angeles-CA-90004/20783361_zpid/" xr:uid="{00000000-0004-0000-0100-00006D030000}"/>
    <hyperlink ref="N569" r:id="rId878" display="https://drive.google.com/open?id=10GDwSNmrLyGEJe5GHqO-F7mD8dgyJL3y" xr:uid="{00000000-0004-0000-0100-00006E030000}"/>
    <hyperlink ref="J570" r:id="rId879" location="property-history" display="https://www.redfin.com/CA/Los-Angeles/1612-Courtney-Ave-90046/home/7115359 - property-history" xr:uid="{00000000-0004-0000-0100-00006F030000}"/>
    <hyperlink ref="N570" r:id="rId880" display="https://drive.google.com/open?id=1W9LOShcgzXNoMBqWjzRNkciX-Fda4QQk" xr:uid="{00000000-0004-0000-0100-000070030000}"/>
    <hyperlink ref="J571" r:id="rId881" display="https://nicholeshanfeld.com/properties/1030-somera-road-los-angeles-ca-90077-23-335971" xr:uid="{00000000-0004-0000-0100-000071030000}"/>
    <hyperlink ref="N571" r:id="rId882" display="https://drive.google.com/open?id=10Wuv7N-4OEbjXsc4I3rQ5EIc1ncVnYOt" xr:uid="{00000000-0004-0000-0100-000072030000}"/>
    <hyperlink ref="J572" r:id="rId883" display="https://www.zillow.com/homedetails/Pacific-Palisades-CA-90272/20542872_zpid/" xr:uid="{00000000-0004-0000-0100-000073030000}"/>
    <hyperlink ref="J573" r:id="rId884" display="https://www.zillow.com/homedetails/2227-Pearl-St-Santa-Monica-CA-90405/20472937_zpid/" xr:uid="{00000000-0004-0000-0100-000074030000}"/>
    <hyperlink ref="N573" r:id="rId885" display="https://drive.google.com/open?id=10mu_QAdzwq6ueQS2HO-IoPsSXQSsU_7n" xr:uid="{00000000-0004-0000-0100-000075030000}"/>
    <hyperlink ref="J574" r:id="rId886" location="property-history" display="https://www.redfin.com/CA/Los-Angeles/2390-Nalin-Dr-90077/home/6831567 - property-history" xr:uid="{00000000-0004-0000-0100-000076030000}"/>
    <hyperlink ref="N574" r:id="rId887" display="https://drive.google.com/open?id=1gfYUzh7ZpO48bEZy7LB5YEUsQucAcZSg" xr:uid="{00000000-0004-0000-0100-000077030000}"/>
    <hyperlink ref="J575" r:id="rId888" display="https://www.zillow.com/homedetails/10290-Seabury-Ln-Los-Angeles-CA-90077/20531944_zpid/" xr:uid="{00000000-0004-0000-0100-000078030000}"/>
    <hyperlink ref="N575" r:id="rId889" display="https://drive.google.com/open?id=1Vq82Rao8nun98mKoX8rJCsJVvPd2KKyg" xr:uid="{00000000-0004-0000-0100-000079030000}"/>
    <hyperlink ref="J576" r:id="rId890" display="https://www.zillow.com/homedetails/Los-Angeles-CA-90046/20803208_zpid/" xr:uid="{00000000-0004-0000-0100-00007A030000}"/>
    <hyperlink ref="J577" r:id="rId891" display="https://www.zillow.com/homedetails/2071-Paramount-Dr-Los-Angeles-CA-90068/442128547_zpid/" xr:uid="{00000000-0004-0000-0100-00007B030000}"/>
    <hyperlink ref="J578" r:id="rId892" display="https://www.zillow.com/homedetails/10824-Chalon-Rd-Los-Angeles-CA-90077/20529073_zpid/" xr:uid="{00000000-0004-0000-0100-00007C030000}"/>
    <hyperlink ref="J579" r:id="rId893" display="https://www.zillow.com/homedetails/20300-Oxnard-St-Woodland-Hills-CA-91367/19931424_zpid/?utm_campaign=iosappmessage&amp;utm_medium=referral&amp;utm_source=txtshare" xr:uid="{00000000-0004-0000-0100-00007D030000}"/>
    <hyperlink ref="J580" r:id="rId894" display="https://www.zillow.com/homedetails/6557-Laramie-Ave-Winnetka-CA-91306/2057632822_zpid/" xr:uid="{00000000-0004-0000-0100-00007E030000}"/>
    <hyperlink ref="J581" r:id="rId895" display="https://www.zillow.com/homedetails/1524-N-Sierra-Bonita-Ave-Los-Angeles-CA-90046/20794339_zpid/" xr:uid="{00000000-0004-0000-0100-00007F030000}"/>
    <hyperlink ref="N581" r:id="rId896" display="https://drive.google.com/open?id=1LHBerSq90b20eNK7dRyZZujekGW9DcHu" xr:uid="{00000000-0004-0000-0100-000080030000}"/>
    <hyperlink ref="J582" r:id="rId897" display="https://www.zillow.com/homedetails/6248-Teesdale-Ave-North-Hollywood-CA-91606/20009083_zpid/" xr:uid="{00000000-0004-0000-0100-000081030000}"/>
    <hyperlink ref="J583" r:id="rId898" display="https://www.zillow.com/homedetails/110-N-Barrington-Ave-Los-Angeles-CA-90049/20547175_zpid/" xr:uid="{00000000-0004-0000-0100-000082030000}"/>
    <hyperlink ref="N583" r:id="rId899" display="https://drive.google.com/open?id=1gc7qb35DXCkE2jgxJ-EWdis2JitTTe-x" xr:uid="{00000000-0004-0000-0100-000083030000}"/>
    <hyperlink ref="J584" r:id="rId900" display="https://www.redfin.com/CA/Los-Angeles/449-N-Bonhill-Rd-90049/home/6860980" xr:uid="{00000000-0004-0000-0100-000084030000}"/>
    <hyperlink ref="N584" r:id="rId901" display="https://drive.google.com/open?id=1KoKu8vGLUrZuSHmgYiu0i-stxTuZkU2-" xr:uid="{00000000-0004-0000-0100-000085030000}"/>
    <hyperlink ref="J585" r:id="rId902" display="https://www.zillow.com/homedetails/Los-Angeles-CA-90077/20531944_zpid/?" xr:uid="{00000000-0004-0000-0100-000086030000}"/>
    <hyperlink ref="J586" r:id="rId903" display="https://www.zillow.com/homedetails/1250-S-Beverly-Glen-Blvd-APT-107-Los-Angeles-CA-90024/20508096_zpid/" xr:uid="{00000000-0004-0000-0100-000087030000}"/>
    <hyperlink ref="N586" r:id="rId904" display="https://drive.google.com/open?id=1rYM8FTeXTzErDh2ArKQiZ-rH_puvT29W" xr:uid="{00000000-0004-0000-0100-000088030000}"/>
    <hyperlink ref="J587" r:id="rId905" display="https://www.zillow.com/homedetails/2414-N-Millstream-Ln-Orange-CA-92865/25424064_zpid/" xr:uid="{00000000-0004-0000-0100-000089030000}"/>
    <hyperlink ref="J588" r:id="rId906" display="https://www.zillow.com/homedetails/550-San-Juan-Ave-Venice-CA-90291/95663701_zpid/" xr:uid="{00000000-0004-0000-0100-00008A030000}"/>
    <hyperlink ref="N588" r:id="rId907" display="https://drive.google.com/open?id=1zJVbMvCnCjeFQWMzDS-qSUUZHv6l4A6s" xr:uid="{00000000-0004-0000-0100-00008B030000}"/>
    <hyperlink ref="J589" r:id="rId908" display="https://www.zillow.com/homedetails/7320-Balboa-Blvd-Van-Nuys-CA-91406/2076966998_zpid/" xr:uid="{00000000-0004-0000-0100-00008C030000}"/>
    <hyperlink ref="J590" r:id="rId909" display="https://www.zillow.com/homedetails/2470-Venus-Dr-Los-Angeles-CA-90046/20802366_zpid/?utm_campaign=iosappmessage&amp;utm_medium=referral&amp;utm_source=txtshare" xr:uid="{00000000-0004-0000-0100-00008D030000}"/>
    <hyperlink ref="J591" r:id="rId910" display="https://www.zillow.com/homedetails/1252-Masselin-Ave-Los-Angeles-CA-90019/20608246_zpid/" xr:uid="{00000000-0004-0000-0100-00008E030000}"/>
    <hyperlink ref="J592" r:id="rId911" display="https://www.zillow.com/homedetails/10767-Oregon-Ave-Culver-City-CA-90232/20432740_zpid/?utm_campaign=androidappmessage&amp;utm_medium=referral&amp;utm_source=txtshare" xr:uid="{00000000-0004-0000-0100-00008F030000}"/>
    <hyperlink ref="J593" r:id="rId912" display="https://www.zillow.com/homedetails/1318-S-Roxbury-Dr-111-Los-Angeles-CA-90035/95527136_zpid/" xr:uid="{00000000-0004-0000-0100-000090030000}"/>
    <hyperlink ref="N593" r:id="rId913" display="https://drive.google.com/open?id=1qQzgWuWAIsmaRGaH_1Qh1MqRkXZ9k70X" xr:uid="{00000000-0004-0000-0100-000091030000}"/>
    <hyperlink ref="J594" r:id="rId914" display="https://www.zillow.com/homedetails/15705-Gun-Tree-Dr-Hacienda-Heights-CA-91745/21492050_zpid/" xr:uid="{00000000-0004-0000-0100-000092030000}"/>
    <hyperlink ref="J595" r:id="rId915" display="https://www.zillow.com/homedetails/1318-S-Roxbury-Dr-111-Los-Angeles-CA-90035/95527136_zpid/" xr:uid="{00000000-0004-0000-0100-000093030000}"/>
    <hyperlink ref="J596" r:id="rId916" display="https://www.zillow.com/homedetails/10228-Encino-Ave-Northridge-CA-91325/20169508_zpid/" xr:uid="{00000000-0004-0000-0100-000094030000}"/>
    <hyperlink ref="J597" r:id="rId917" display="https://www.zillow.com/homedetails/2227-Pearl-St-Santa-Monica-CA-90405/20472937_zpid/" xr:uid="{00000000-0004-0000-0100-000095030000}"/>
    <hyperlink ref="J598" r:id="rId918" display="https://www.zillow.com/homedetails/(undisclosed-Address)-Venice-CA-90291/20450249_zpid/?utm_campaign=iosappmessage&amp;utm_medium=referral&amp;utm_source=txtshare" xr:uid="{00000000-0004-0000-0100-000096030000}"/>
    <hyperlink ref="J599" r:id="rId919" display="https://www.zillow.com/homedetails/9907-National-Blvd-Los-Angeles-CA-90034/402290876_zpid/" xr:uid="{00000000-0004-0000-0100-000097030000}"/>
    <hyperlink ref="J600" r:id="rId920" display="https://www.zillow.com/homedetails/709-E-Manchester-Blvd-Inglewood-CA-90301/20336485_zpid/" xr:uid="{00000000-0004-0000-0100-000098030000}"/>
    <hyperlink ref="J601" r:id="rId921" display="https://www.zillow.com/homedetails/225-Sherman-Canal-Venice-CA-90291/20444095_zpid/?utm_campaign=iosappmessage&amp;utm_medium=referral&amp;utm_source=txtshare" xr:uid="{00000000-0004-0000-0100-000099030000}"/>
    <hyperlink ref="J602" r:id="rId922" display="https://www.zillow.com/homedetails/8590-Hollywood-Blvd-Los-Angeles-CA-90069/20797372_zpid/" xr:uid="{00000000-0004-0000-0100-00009A030000}"/>
    <hyperlink ref="J603" r:id="rId923" display="https://www.zillow.com/homedetails/1023-S-Stanley-Ave-Los-Angeles-CA-90019/20607748_zpid/" xr:uid="{00000000-0004-0000-0100-00009B030000}"/>
    <hyperlink ref="J604" r:id="rId924" display="https://www.zillow.com/homedetails/(undisclosed-Address)-Venice-CA-90291/443897944_zpid/?utm_campaign=iosappmessage&amp;utm_medium=referral&amp;utm_source=txtshare" xr:uid="{00000000-0004-0000-0100-00009C030000}"/>
    <hyperlink ref="J605" r:id="rId925" display="https://www.zillow.com/homedetails/Tarzana-CA-91356/19948070_zpid/" xr:uid="{00000000-0004-0000-0100-00009D030000}"/>
    <hyperlink ref="J606" r:id="rId926" display="https://www.zillow.com/homedetails/700-Main-St-UNIT-25-Venice-CA-90291/82877585_zpid/?utm_campaign=iosappmessage&amp;utm_medium=referral&amp;utm_source=txtshare" xr:uid="{00000000-0004-0000-0100-00009E030000}"/>
    <hyperlink ref="J607" r:id="rId927" display="https://www.zillow.com/homedetails/15236-Hesby-St-Sherman-Oaks-CA-91403/19982151_zpid/" xr:uid="{00000000-0004-0000-0100-00009F030000}"/>
    <hyperlink ref="J608" r:id="rId928" display="https://www.airbnb.com/l/1d4IivEK" xr:uid="{00000000-0004-0000-0100-0000A0030000}"/>
    <hyperlink ref="J609" r:id="rId929" display="https://www.zillow.com/homedetails/4952-N-Figueroa-St-APT-F-Los-Angeles-CA-90042/2075141514_zpid/" xr:uid="{00000000-0004-0000-0100-0000A1030000}"/>
    <hyperlink ref="J610" r:id="rId930" display="https://www.zillow.com/homedetails/19500-Oxnard-St-Tarzana-CA-91356/401888932_zpid/" xr:uid="{00000000-0004-0000-0100-0000A2030000}"/>
    <hyperlink ref="J611" r:id="rId931" display="https://www.zillow.com/homedetails/23863-Friar-St-Woodland-Hills-CA-91367/19873812_zpid/" xr:uid="{00000000-0004-0000-0100-0000A3030000}"/>
    <hyperlink ref="J612" r:id="rId932" display="https://www.zillow.com/homedetails/18821-Kirkcolm-Ln-Porter-Ranch-CA-91326/20199559_zpid/" xr:uid="{00000000-0004-0000-0100-0000A4030000}"/>
    <hyperlink ref="J613" r:id="rId933" display="https://www.zillow.com/homedetails/32802-Pacific-Coast-Hwy-Malibu-CA-90265/20558217_zpid/" xr:uid="{00000000-0004-0000-0100-0000A5030000}"/>
    <hyperlink ref="J614" r:id="rId934" display="https://www.zillow.com/homedetails/5344-Leghorn-Ave-Van-Nuys-CA-91401/20015679_zpid/" xr:uid="{00000000-0004-0000-0100-0000A6030000}"/>
    <hyperlink ref="N614" r:id="rId935" display="https://drive.google.com/open?id=1XHLGfqomqYwm4x9NZm3vCQxRLOY5d0DQ" xr:uid="{00000000-0004-0000-0100-0000A7030000}"/>
    <hyperlink ref="J615" r:id="rId936" display="https://www.zillow.com/homedetails/256-N-Rafael-Walk-Long-Beach-CA-90803/21216243_zpid/?utm_campaign=iosappmessage&amp;utm_medium=referral&amp;utm_source=txtshare" xr:uid="{00000000-0004-0000-0100-0000A8030000}"/>
    <hyperlink ref="N615" r:id="rId937" display="https://drive.google.com/open?id=1ruluOV0XIGaul23eknjFVTxQTxZ08LOA" xr:uid="{00000000-0004-0000-0100-0000A9030000}"/>
    <hyperlink ref="J616" r:id="rId938" display="https://www.zillow.com/homedetails/1330-N-Harper-Ave-100-Los-Angeles-CA-90046/2068797074_zpid/" xr:uid="{00000000-0004-0000-0100-0000AA030000}"/>
    <hyperlink ref="J617" r:id="rId939" display="https://www.zillow.com/homedetails/729-Raymond-Ave-Santa-Monica-CA-90405/20482750_zpid/?utm_campaign=iosappmessage&amp;utm_medium=referral&amp;utm_source=txtshare" xr:uid="{00000000-0004-0000-0100-0000AB030000}"/>
    <hyperlink ref="J618" r:id="rId940" display="https://www.zillow.com/homedetails/5625-W-83rd-St-Los-Angeles-CA-90045/20379415_zpid/" xr:uid="{00000000-0004-0000-0100-0000AC030000}"/>
    <hyperlink ref="J619" r:id="rId941" display="https://www.zillow.com/homedetails/5358-Baza-Ave-Woodland-Hills-CA-91364/19942951_zpid/" xr:uid="{00000000-0004-0000-0100-0000AD030000}"/>
    <hyperlink ref="N619" r:id="rId942" display="https://drive.google.com/open?id=1qF7J94X0s9hNLYF1yJxogCGdypC-o_oq" xr:uid="{00000000-0004-0000-0100-0000AE030000}"/>
    <hyperlink ref="J620" r:id="rId943" display="https://www.zillow.com/homedetails/822-S-Plymouth-Blvd-2-Los-Angeles-CA-90005/339398724_zpid/" xr:uid="{00000000-0004-0000-0100-0000AF030000}"/>
    <hyperlink ref="J621" r:id="rId944" display="https://www.zillow.com/homedetails/5204-Etiwanda-Ave-Tarzana-CA-91356/19949467_zpid/" xr:uid="{00000000-0004-0000-0100-0000B0030000}"/>
    <hyperlink ref="N621" r:id="rId945" display="https://drive.google.com/open?id=1S4sFn4ROyHa1rDJbRDirdIvc2bLwlljk" xr:uid="{00000000-0004-0000-0100-0000B1030000}"/>
    <hyperlink ref="J622" r:id="rId946" display="https://www.compass.com/listing/14729-otsego-street-sherman-oaks-ca-91403/1751946698597328937/" xr:uid="{00000000-0004-0000-0100-0000B2030000}"/>
    <hyperlink ref="N622" r:id="rId947" display="https://drive.google.com/open?id=1vXjfny69IBRHtjQTu2feytrPcfxAzACP" xr:uid="{00000000-0004-0000-0100-0000B3030000}"/>
    <hyperlink ref="J623" r:id="rId948" display="https://www.zillow.com/homedetails/Los-Angeles-CA-90065/443611488_zpid/?" xr:uid="{00000000-0004-0000-0100-0000B4030000}"/>
    <hyperlink ref="J624" r:id="rId949" display="https://www.zillow.com/homedetails/6617-S-Sherbourne-Dr-Los-Angeles-CA-90056/20377951_zpid/?utm_campaign=iosappmessage&amp;utm_medium=referral&amp;utm_source=txtshare" xr:uid="{00000000-0004-0000-0100-0000B5030000}"/>
    <hyperlink ref="N624" r:id="rId950" display="https://drive.google.com/open?id=14z21zG9jQy0iQg-dRfcjVS0O7vPSChrS" xr:uid="{00000000-0004-0000-0100-0000B6030000}"/>
    <hyperlink ref="J625" r:id="rId951" display="http://alreadypulleddown.com/" xr:uid="{00000000-0004-0000-0100-0000B7030000}"/>
    <hyperlink ref="J626" r:id="rId952" display="https://www.zillow.com/homedetails/10097-Tujunga-Canyon-Blvd-Tujunga-CA-91042/2080530432_zpid/" xr:uid="{00000000-0004-0000-0100-0000B8030000}"/>
    <hyperlink ref="J627" r:id="rId953" display="https://www.zillow.com/homedetails/13918-Chandler-Blvd-Van-Nuys-CA-91401/19974663_zpid/" xr:uid="{00000000-0004-0000-0100-0000B9030000}"/>
    <hyperlink ref="J628" r:id="rId954" location="propertyHistory" display="https://www.compass.com/listing/5222-ventura-canyon-avenue-sherman-oaks-ca-91401/1749053077309590265/ - propertyHistory" xr:uid="{00000000-0004-0000-0100-0000BA030000}"/>
    <hyperlink ref="N628" r:id="rId955" display="https://drive.google.com/open?id=1CPsz1i4P39bm_gC1B3uui3oF4OQJs0c1" xr:uid="{00000000-0004-0000-0100-0000BB030000}"/>
    <hyperlink ref="J629" r:id="rId956" display="https://www.redfin.com/CA/Malibu/6130-Galahad-Rd-90265/home/22137187" xr:uid="{00000000-0004-0000-0100-0000BC030000}"/>
    <hyperlink ref="N629" r:id="rId957" display="https://drive.google.com/open?id=1yzeDZzMJ5jrnVlKKivqSiJZTn03DEIx7" xr:uid="{00000000-0004-0000-0100-0000BD030000}"/>
    <hyperlink ref="J630" r:id="rId958" display="https://www.redfin.com/CA/Los-Angeles/3351-N-Knoll-Dr-90068/home/8181304" xr:uid="{00000000-0004-0000-0100-0000BE030000}"/>
    <hyperlink ref="N630" r:id="rId959" display="https://drive.google.com/open?id=197ATC5H295tlnPyEPvRqeA0jF7QK3c2r" xr:uid="{00000000-0004-0000-0100-0000BF030000}"/>
    <hyperlink ref="J631" r:id="rId960" display="https://www.zillow.com/homedetails/626-University-Ave-Burbank-CA-91504/2062931190_zpid/" xr:uid="{00000000-0004-0000-0100-0000C0030000}"/>
    <hyperlink ref="J632" r:id="rId961" display="https://www.zillow.com/homedetails/166-S-McCadden-Pl-Los-Angeles-CA-90004/20778258_zpid/" xr:uid="{00000000-0004-0000-0100-0000C1030000}"/>
    <hyperlink ref="N632" r:id="rId962" display="https://drive.google.com/open?id=1gUX306YX_uGOQEDkiuZvo-KeeNS6sd3P" xr:uid="{00000000-0004-0000-0100-0000C2030000}"/>
    <hyperlink ref="J633" r:id="rId963" display="https://www.zillow.com/homedetails/710-Longfellow-Ave-Hermosa-Beach-CA-90254/20416512_zpid/" xr:uid="{00000000-0004-0000-0100-0000C3030000}"/>
    <hyperlink ref="J634" r:id="rId964" display="https://www.zillow.com/homedetails/1516-N-Beverly-Glen-Blvd-Los-Angeles-CA-90077/250219152_zpid/?utm_campaign=iosappmessage&amp;utm_medium=referral&amp;utm_source=txtshare" xr:uid="{00000000-0004-0000-0100-0000C4030000}"/>
    <hyperlink ref="J635" r:id="rId965" display="https://www.zillow.com/homedetails/208-Marine-Ave-Manhattan-Beach-CA-90266/20421873_zpid/" xr:uid="{00000000-0004-0000-0100-0000C5030000}"/>
    <hyperlink ref="J636" r:id="rId966" display="https://www.zillow.com/homedetails/27553-Country-Glen-Rd-Agoura-Hills-CA-91301/19894551_zpid/" xr:uid="{00000000-0004-0000-0100-0000C6030000}"/>
    <hyperlink ref="N636" r:id="rId967" display="https://drive.google.com/open?id=1AVTg7Hjv1_eq1FnZ-hO4O3Ckrhvxxwel" xr:uid="{00000000-0004-0000-0100-0000C7030000}"/>
    <hyperlink ref="J637" r:id="rId968" display="https://www.zillow.com/homedetails/16-Park-Ave-Venice-CA-90291/20482259_zpid/?utm_campaign=iosappmessage&amp;utm_medium=referral&amp;utm_source=txtshare" xr:uid="{00000000-0004-0000-0100-0000C8030000}"/>
    <hyperlink ref="N637" r:id="rId969" display="https://drive.google.com/open?id=1ojAz8CInNNo_u3TSdbHu5vFrbWfE02U0" xr:uid="{00000000-0004-0000-0100-0000C9030000}"/>
    <hyperlink ref="J638" r:id="rId970" display="https://www.zillow.com/homedetails/1141-Summit-Dr-Beverly-Hills-CA-90210/135433958_zpid/" xr:uid="{00000000-0004-0000-0100-0000CA030000}"/>
    <hyperlink ref="J639" r:id="rId971" display="https://www.zillow.com/homedetails/220-Avenue-A-Redondo-Beach-CA-90277/21322400_zpid/" xr:uid="{00000000-0004-0000-0100-0000CB030000}"/>
    <hyperlink ref="J640" r:id="rId972" display="https://www.redfin.com/CA/Redondo-Beach/220-Avenue-A-90277/home/7705462" xr:uid="{00000000-0004-0000-0100-0000CC030000}"/>
    <hyperlink ref="J641" r:id="rId973" display="https://www.zillow.com/homedetails/330-W-California-Blvd-Pasadena-CA-91105/442831501_zpid/" xr:uid="{00000000-0004-0000-0100-0000CD030000}"/>
    <hyperlink ref="N641" r:id="rId974" display="https://drive.google.com/open?id=15BzOv04_-SJsDsa-LYG2p7MdUrpzikZU" xr:uid="{00000000-0004-0000-0100-0000CE030000}"/>
    <hyperlink ref="J642" r:id="rId975" display="https://www.zillow.com/homedetails/5204-Etiwanda-Ave-Tarzana-CA-91356/19949467_zpid/" xr:uid="{00000000-0004-0000-0100-0000CF030000}"/>
    <hyperlink ref="N642" r:id="rId976" display="https://drive.google.com/open?id=1eGESJjHae58-xlfD4KX1nCkuNdSNih1g" xr:uid="{00000000-0004-0000-0100-0000D0030000}"/>
    <hyperlink ref="J643" r:id="rId977" display="https://www.zillow.com/homedetails/11633-Chenault-St-UNIT-202-Los-Angeles-CA-90049/119677949_zpid/" xr:uid="{00000000-0004-0000-0100-0000D1030000}"/>
    <hyperlink ref="N643" r:id="rId978" display="https://drive.google.com/open?id=1GyKRpvy_aPpMAU6qYFYqmNVRr43MmpYB" xr:uid="{00000000-0004-0000-0100-0000D2030000}"/>
    <hyperlink ref="J644" r:id="rId979" display="https://www.zillow.com/homedetails/1165-Coldwater-Canyon-Dr-Beverly-Hills-CA-90210/20522705_zpid/" xr:uid="{00000000-0004-0000-0100-0000D3030000}"/>
    <hyperlink ref="J645" r:id="rId980" display="https://www.zillow.com/homedetails/12267-San-Vicente-Blvd-Los-Angeles-CA-90049/20538212_zpid/" xr:uid="{00000000-0004-0000-0100-0000D4030000}"/>
    <hyperlink ref="N645" r:id="rId981" display="https://drive.google.com/open?id=1HK85z-TzuplZPCfu_ZP6wtuKnnoV2VF-" xr:uid="{00000000-0004-0000-0100-0000D5030000}"/>
    <hyperlink ref="J646" r:id="rId982" display="https://www.zillow.com/homedetails/1104-Casiano-Rd-Los-Angeles-CA-90049/20528677_zpid/" xr:uid="{00000000-0004-0000-0100-0000D6030000}"/>
    <hyperlink ref="N646" r:id="rId983" display="https://drive.google.com/open?id=1Bd4-4i90iQgmxewAba4Kn4cvVo8DWPdD" xr:uid="{00000000-0004-0000-0100-0000D7030000}"/>
    <hyperlink ref="J647" r:id="rId984" display="https://www.zillow.com/homedetails/110-N-Barrington-Ave-Los-Angeles-CA-90049/20547175_zpid/" xr:uid="{00000000-0004-0000-0100-0000D8030000}"/>
    <hyperlink ref="N647" r:id="rId985" display="https://drive.google.com/open?id=1VT8sqZQLpQt71MiOm4jqzC6E-iMVYOQ0" xr:uid="{00000000-0004-0000-0100-0000D9030000}"/>
    <hyperlink ref="J648" r:id="rId986" display="https://www.zillow.com/homedetails/380-Trousdale-Pl-Beverly-Hills-CA-90210/20534471_zpid/" xr:uid="{00000000-0004-0000-0100-0000DA030000}"/>
    <hyperlink ref="J649" r:id="rId987" display="https://www.zillow.com/homedetails/11788-Bellagio-Rd-Los-Angeles-CA-90049/20528726_zpid/" xr:uid="{00000000-0004-0000-0100-0000DB030000}"/>
    <hyperlink ref="N649" r:id="rId988" display="https://drive.google.com/open?id=157btZ_BWccojwNlQq20IFZyyEXEnO1LT" xr:uid="{00000000-0004-0000-0100-0000DC030000}"/>
    <hyperlink ref="J650" r:id="rId989" display="https://www.zillow.com/homedetails/724-S-Gramercy-Dr-Los-Angeles-CA-90005/2070015636_zpid/" xr:uid="{00000000-0004-0000-0100-0000DD030000}"/>
    <hyperlink ref="N650" r:id="rId990" display="https://drive.google.com/open?id=18olK4P8-OCvpqsJa52b-KtRG7mZ8-tiP" xr:uid="{00000000-0004-0000-0100-0000DE030000}"/>
    <hyperlink ref="J651" r:id="rId991" display="https://www.trulia.com/home/address-not-disclosed-venice-ca-90291-443897944?cid=shr%7Capp_ios_main_phone%7Crent%7Cpdp_share" xr:uid="{00000000-0004-0000-0100-0000DF030000}"/>
    <hyperlink ref="N651" r:id="rId992" display="https://drive.google.com/open?id=1SNvkaaVpgXjKJGkFhE5pc5yr-lW__iuN" xr:uid="{00000000-0004-0000-0100-0000E0030000}"/>
    <hyperlink ref="J652" r:id="rId993" display="https://www.zillow.com/homedetails/6686-Drexel-Ave-2-Los-Angeles-CA-90048/401816476_zpid/" xr:uid="{00000000-0004-0000-0100-0000E1030000}"/>
    <hyperlink ref="N652" r:id="rId994" display="https://drive.google.com/open?id=1MUWVHGhFlvJ8k6Jd6WycGax6uGUxtvLQ" xr:uid="{00000000-0004-0000-0100-0000E2030000}"/>
    <hyperlink ref="J653" r:id="rId995" display="https://www.zillow.com/homedetails/16-Park-Ave-Venice-CA-90291/20482259_zpid/" xr:uid="{00000000-0004-0000-0100-0000E3030000}"/>
    <hyperlink ref="N653" r:id="rId996" display="https://drive.google.com/open?id=1xv9qCx_1tWmyWPDzieCancwRTVbj50Ze" xr:uid="{00000000-0004-0000-0100-0000E4030000}"/>
    <hyperlink ref="J654" r:id="rId997" display="https://www.zillow.com/homedetails/7135-Hollywood-Blvd-APT-702-Los-Angeles-CA-90046/20792737_zpid/" xr:uid="{00000000-0004-0000-0100-0000E5030000}"/>
    <hyperlink ref="N654" r:id="rId998" display="https://drive.google.com/open?id=1GyelHmxswe5A6EuMtRgpuZtgvyp3lnFW" xr:uid="{00000000-0004-0000-0100-0000E6030000}"/>
    <hyperlink ref="J655" r:id="rId999" display="https://www.zillow.com/homedetails/536-Quail-Dr-Los-Angeles-CA-90065/20761121_zpid/" xr:uid="{00000000-0004-0000-0100-0000E7030000}"/>
    <hyperlink ref="J656" r:id="rId1000" display="https://www.zillow.com/homedetails/1270-Boynton-St-APT-2-Glendale-CA-91205/20847324_zpid/?utm_campaign=iosappmessage&amp;utm_medium=referral&amp;utm_source=txtshare" xr:uid="{00000000-0004-0000-0100-0000E8030000}"/>
    <hyperlink ref="N656" r:id="rId1001" display="https://drive.google.com/open?id=1VxUF7DyJfKuJCbpacr-TbgTs5NSOiz39" xr:uid="{00000000-0004-0000-0100-0000E9030000}"/>
    <hyperlink ref="J657" r:id="rId1002" display="https://www.zillow.com/homedetails/2604-Perkins-Cir-Glendale-CA-91206/20844617_zpid/" xr:uid="{00000000-0004-0000-0100-0000EA030000}"/>
    <hyperlink ref="J658" r:id="rId1003" display="https://www.zillow.com/homedetails/1568-Stoddard-Ave-Thousand-Oaks-CA-91360/16425862_zpid/?utm_campaign=iosappmessage&amp;utm_medium=referral&amp;utm_source=txtshare" xr:uid="{00000000-0004-0000-0100-0000EB030000}"/>
    <hyperlink ref="J659" r:id="rId1004" display="https://www.zillow.com/homedetails/3035-Lake-Glen-Dr-Beverly-Hills-CA-90210/20533531_zpid/" xr:uid="{00000000-0004-0000-0100-0000EC030000}"/>
    <hyperlink ref="J660" r:id="rId1005" display="https://www.zillow.com/homedetails/4609-Alla-Rd-UNIT-3-Marina-Del-Rey-CA-90292/20435568_zpid/" xr:uid="{00000000-0004-0000-0100-0000ED030000}"/>
    <hyperlink ref="J661" r:id="rId1006" display="https://elaraliving.com/floorplan/" xr:uid="{00000000-0004-0000-0100-0000EE030000}"/>
    <hyperlink ref="J662" r:id="rId1007" display="https://www.zillow.com/homedetails/5028-Willowcrest-Ave-North-Hollywood-CA-91601/20041641_zpid/" xr:uid="{00000000-0004-0000-0100-0000EF030000}"/>
    <hyperlink ref="J663" r:id="rId1008" display="https://www.zillow.com/homedetails/16-Park-Ave-Venice-CA-90291/20482259_zpid/" xr:uid="{00000000-0004-0000-0100-0000F0030000}"/>
    <hyperlink ref="N663" r:id="rId1009" display="https://drive.google.com/open?id=1VtrnkSb-BetzBFszaaaBbRh-31DWOCaz" xr:uid="{00000000-0004-0000-0100-0000F1030000}"/>
    <hyperlink ref="J664" r:id="rId1010" display="https://www.zillow.com/homedetails/1945-Glendon-Ave-FLOOR-1-ID1279-Los-Angeles-CA-90025/442340892_zpid/" xr:uid="{00000000-0004-0000-0100-0000F2030000}"/>
    <hyperlink ref="N664" r:id="rId1011" display="https://drive.google.com/open?id=1DIut1-cKArF4pShB7hMrWuszu7YDcn9v" xr:uid="{00000000-0004-0000-0100-0000F3030000}"/>
    <hyperlink ref="J665" r:id="rId1012" display="https://www.zillow.com/homedetails/10787-Wilshire-Blvd-PENTHOUSE-Los-Angeles-CA-90024/443396409_zpid/" xr:uid="{00000000-0004-0000-0100-0000F4030000}"/>
    <hyperlink ref="N665" r:id="rId1013" display="https://drive.google.com/open?id=15ttysk9e85zb1lgm764ScH6jn6FwAmwd" xr:uid="{00000000-0004-0000-0100-0000F5030000}"/>
    <hyperlink ref="J666" r:id="rId1014" display="https://www.redfin.com/CA/Los-Angeles/108-W-2nd-St-90012/unit-206/home/21923543" xr:uid="{00000000-0004-0000-0100-0000F6030000}"/>
    <hyperlink ref="N666" r:id="rId1015" display="https://drive.google.com/open?id=1oxvDs1zGH8f_GkEjNLh52yKx-kzj-lJ4" xr:uid="{00000000-0004-0000-0100-0000F7030000}"/>
    <hyperlink ref="J667" r:id="rId1016" display="https://www.zillow.com/homedetails/2111-Rio-Grande-Pomona-CA-91766/441784665_zpid/" xr:uid="{00000000-0004-0000-0100-0000F8030000}"/>
    <hyperlink ref="N667" r:id="rId1017" display="https://drive.google.com/open?id=183WBQLsJ6a4rbmydxdRrIRVIYzF-5K7k" xr:uid="{00000000-0004-0000-0100-0000F9030000}"/>
    <hyperlink ref="J668" r:id="rId1018" display="https://www.zillow.com/homedetails/1707-Brockton-Ave-APT-12-Los-Angeles-CA-90025/2056214972_zpid/" xr:uid="{00000000-0004-0000-0100-0000FA030000}"/>
    <hyperlink ref="N668" r:id="rId1019" display="https://drive.google.com/open?id=11DtmO3a4-_zlWm3dXDyxq_rZgRlZJLPp" xr:uid="{00000000-0004-0000-0100-0000FB030000}"/>
    <hyperlink ref="J669" r:id="rId1020" display="https://www.compass.com/listing/1536-blue-jay-way-los-angeles-ca-90069/1591519659078998841/" xr:uid="{00000000-0004-0000-0100-0000FC030000}"/>
    <hyperlink ref="N669" r:id="rId1021" display="https://drive.google.com/open?id=1qPZi2x2d81qHcZOPPWgk3Bm8faFf1etT" xr:uid="{00000000-0004-0000-0100-0000FD030000}"/>
    <hyperlink ref="J670" r:id="rId1022" display="https://www.zillow.com/homedetails/6467-Zuma-View-Pl-UNIT-160-Malibu-CA-90265/51583077_zpid/" xr:uid="{00000000-0004-0000-0100-0000FE030000}"/>
    <hyperlink ref="N670" r:id="rId1023" display="https://drive.google.com/open?id=1Wcsv4sYzpJpBZxWAKZipzICA0RZVw3Yg" xr:uid="{00000000-0004-0000-0100-0000FF030000}"/>
    <hyperlink ref="J671" r:id="rId1024" display="https://www.zillow.com/homedetails/715-N-Rexford-Dr-Beverly-Hills-CA-90210/20520993_zpid/?utm_campaign=iosappmessage&amp;utm_medium=referral&amp;utm_source=txtshare" xr:uid="{00000000-0004-0000-0100-000000040000}"/>
    <hyperlink ref="N671" r:id="rId1025" display="https://drive.google.com/open?id=16uloGGtvtH0H6GxvXRwLoOqVnBpkTlLQ" xr:uid="{00000000-0004-0000-0100-000001040000}"/>
    <hyperlink ref="J672" r:id="rId1026" display="https://www.compass.com/listing/7309-north-eaton-street-los-angeles-ca-90042/1753399338577397089/" xr:uid="{00000000-0004-0000-0100-000002040000}"/>
    <hyperlink ref="N672" r:id="rId1027" display="https://drive.google.com/open?id=1Fffk1lANdJn8YavQu7m9W0H9zn1I4ZDV" xr:uid="{00000000-0004-0000-0100-000003040000}"/>
    <hyperlink ref="J673" r:id="rId1028" display="https://www.compass.com/listing/8159-hollywood-boulevard-los-angeles-ca-90069/1753352903706402097/" xr:uid="{00000000-0004-0000-0100-000004040000}"/>
    <hyperlink ref="N673" r:id="rId1029" display="https://drive.google.com/open?id=12H4FxQXgBkKaVEAFTiXemDdfNx08iwP8" xr:uid="{00000000-0004-0000-0100-000005040000}"/>
    <hyperlink ref="J674" r:id="rId1030" display="https://www.compass.com/listing/616-north-fuller-avenue-los-angeles-ca-90036/1753286517554879385/" xr:uid="{00000000-0004-0000-0100-000006040000}"/>
    <hyperlink ref="N674" r:id="rId1031" display="https://drive.google.com/open?id=1oa8KLL5GFEFS7OTDoJxzubpZNRcv7mKZ" xr:uid="{00000000-0004-0000-0100-000007040000}"/>
    <hyperlink ref="J675" r:id="rId1032" display="https://www.zillow.com/homedetails/5763-1-2-Clemson-St-Los-Angeles-CA-90016/20587894_zpid/" xr:uid="{00000000-0004-0000-0100-000008040000}"/>
    <hyperlink ref="J676" r:id="rId1033" display="https://www.compass.com/listing/10518-woodbridge-street-toluca-lake-ca-91602/1753167744872985745/" xr:uid="{00000000-0004-0000-0100-000009040000}"/>
    <hyperlink ref="N676" r:id="rId1034" display="https://drive.google.com/open?id=1QOkfxgXomJnV0Bj1pYo61rXRefY48Qdc" xr:uid="{00000000-0004-0000-0100-00000A040000}"/>
    <hyperlink ref="J677" r:id="rId1035" display="https://www.zillow.com/homedetails/11814-Hesby-St-Valley-Village-CA-91607/20019456_zpid/?utm_campaign=iosappmessage&amp;utm_medium=referral&amp;utm_source=txtshare" xr:uid="{00000000-0004-0000-0100-00000B040000}"/>
    <hyperlink ref="N677" r:id="rId1036" display="https://drive.google.com/open?id=1-QyWo-kww3SZJWmNlhDOLJntUGG4_kIc" xr:uid="{00000000-0004-0000-0100-00000C040000}"/>
    <hyperlink ref="J678" r:id="rId1037" display="https://www.compass.com/listing/7962-oceanus-drive-los-angeles-ca-90046/1753154497331380697/" xr:uid="{00000000-0004-0000-0100-00000D040000}"/>
    <hyperlink ref="N678" r:id="rId1038" display="https://drive.google.com/open?id=1hPoQdV_bLdXEpbKBJdxxs5qYPOfn0HDV" xr:uid="{00000000-0004-0000-0100-00000E040000}"/>
    <hyperlink ref="J679" r:id="rId1039" display="http://zillow.com/" xr:uid="{00000000-0004-0000-0100-00000F040000}"/>
    <hyperlink ref="N679" r:id="rId1040" display="https://drive.google.com/open?id=1C4-coZogeqkRXhJxxuuUih_MknjoTI5K" xr:uid="{00000000-0004-0000-0100-000010040000}"/>
    <hyperlink ref="J680" r:id="rId1041" display="https://www.zillow.com/homedetails/Baldwin-Park-CA-91706/21596745_zpid/" xr:uid="{00000000-0004-0000-0100-000011040000}"/>
    <hyperlink ref="J681" r:id="rId1042" display="https://www.compass.com/listing/6760-gill-way-los-angeles-ca-90068/1752316050567855849/" xr:uid="{00000000-0004-0000-0100-000012040000}"/>
    <hyperlink ref="N681" r:id="rId1043" display="https://drive.google.com/open?id=13aKnweom7cLN0WjP9Ef2BlvyOCm0ZUwg" xr:uid="{00000000-0004-0000-0100-000013040000}"/>
    <hyperlink ref="J682" r:id="rId1044" display="https://www.zillow.com/homedetails/5344-Leghorn-Ave-Van-Nuys-CA-91401/20015679_zpid/" xr:uid="{00000000-0004-0000-0100-000014040000}"/>
    <hyperlink ref="J683" r:id="rId1045" display="https://www.zillow.com/homedetails/13918-Chandler-Blvd-Van-Nuys-CA-91401/19974663_zpid/" xr:uid="{00000000-0004-0000-0100-000015040000}"/>
    <hyperlink ref="J684" r:id="rId1046" display="https://www.compass.com/listing/4536-maycrest-avenue-los-angeles-ca-90032/1751469909730991929/" xr:uid="{00000000-0004-0000-0100-000016040000}"/>
    <hyperlink ref="N684" r:id="rId1047" display="https://drive.google.com/open?id=1GVb4Eayir_LD-UOa61BcazUzmEnQZiiS" xr:uid="{00000000-0004-0000-0100-000017040000}"/>
    <hyperlink ref="J685" r:id="rId1048" display="https://www.zillow.com/homedetails/1211-Goodman-Ave-Redondo-Beach-CA-90278/20411015_zpid/?utm_campaign=iosappmessage&amp;utm_medium=referral&amp;utm_source=txtshare" xr:uid="{00000000-0004-0000-0100-000018040000}"/>
    <hyperlink ref="J686" r:id="rId1049" display="https://www.zillow.com/homedetails/6111-San-Vicente-Blvd-Los-Angeles-CA-90048/20609731_zpid/" xr:uid="{00000000-0004-0000-0100-000019040000}"/>
    <hyperlink ref="J687" r:id="rId1050" display="https://www.zillow.com/homedetails/1155-Englewild-Dr-Glendora-CA-91741/21638249_zpid/" xr:uid="{00000000-0004-0000-0100-00001A040000}"/>
    <hyperlink ref="J688" r:id="rId1051" display="https://www.zillow.com/homedetails/10824-Chalon-Rd-Los-Angeles-CA-90077/20529073_zpid/" xr:uid="{00000000-0004-0000-0100-00001B040000}"/>
    <hyperlink ref="J689" r:id="rId1052" display="https://www.compass.com/listing/724-north-ogden-drive-los-angeles-ca-90046/1751592460600119041/" xr:uid="{00000000-0004-0000-0100-00001C040000}"/>
    <hyperlink ref="N689" r:id="rId1053" display="https://drive.google.com/open?id=1_ez8C291aYqmZcTMf_JGYE1prTN8De67" xr:uid="{00000000-0004-0000-0100-00001D040000}"/>
    <hyperlink ref="J690" r:id="rId1054" display="https://www.zillow.com/homedetails/15236-Hesby-St-Sherman-Oaks-CA-91403/19982151_zpid/" xr:uid="{00000000-0004-0000-0100-00001E040000}"/>
    <hyperlink ref="J691" r:id="rId1055" display="https://www.zillow.com/homedetails/3577-Thorndale-Rd-Pasadena-CA-91107/20878791_zpid/" xr:uid="{00000000-0004-0000-0100-00001F040000}"/>
    <hyperlink ref="N691" r:id="rId1056" display="https://drive.google.com/open?id=1yQJ6OPjAj6-bb_zaX9szw2ytwXzZbaV5" xr:uid="{00000000-0004-0000-0100-000020040000}"/>
    <hyperlink ref="J692" r:id="rId1057" display="https://www.zillow.com/homedetails/10023-Westwanda-Dr-Beverly-Hills-CA-90210/20532837_zpid/" xr:uid="{00000000-0004-0000-0100-000021040000}"/>
    <hyperlink ref="J693" r:id="rId1058" display="https://www.compass.com/listing/10941-cardamine-place-tujunga-ca-91042/1751119937148160233/" xr:uid="{00000000-0004-0000-0100-000022040000}"/>
    <hyperlink ref="N693" r:id="rId1059" display="https://drive.google.com/open?id=1PZPtxUcLDeL0bNq97Sb_OMWT5HY0Kxxj" xr:uid="{00000000-0004-0000-0100-000023040000}"/>
    <hyperlink ref="J694" r:id="rId1060" display="https://www.zillow.com/homedetails/705-Chaucer-Rd-San-Marino-CA-91108/20701815_zpid/" xr:uid="{00000000-0004-0000-0100-000024040000}"/>
    <hyperlink ref="N694" r:id="rId1061" display="https://drive.google.com/open?id=1fR69U0LILn7PT08d9Ws2il_nw-jnu4ep" xr:uid="{00000000-0004-0000-0100-000025040000}"/>
    <hyperlink ref="J695" r:id="rId1062" display="https://www.zillow.com/homedetails/10824-Chalon-Rd-Los-Angeles-CA-90077/20529073_zpid/" xr:uid="{00000000-0004-0000-0100-000026040000}"/>
    <hyperlink ref="J696" r:id="rId1063" display="https://www.zillow.com/homedetails/2075-Minoru-Dr-Altadena-CA-91001/20922301_zpid/" xr:uid="{00000000-0004-0000-0100-000027040000}"/>
    <hyperlink ref="N696" r:id="rId1064" display="https://drive.google.com/open?id=1d2LYCUAfhBeAkX6RSww3qVzXG1ISwSdK" xr:uid="{00000000-0004-0000-0100-000028040000}"/>
    <hyperlink ref="J697" r:id="rId1065" display="https://www.zillow.com/homedetails/5028-Willowcrest-Ave-North-Hollywood-CA-91601/20041641_zpid/" xr:uid="{00000000-0004-0000-0100-000029040000}"/>
    <hyperlink ref="N697" r:id="rId1066" display="https://drive.google.com/open?id=1ejOH9Jvg8TyZBFvoY2La_aBa7rHZr2VM" xr:uid="{00000000-0004-0000-0100-00002A040000}"/>
    <hyperlink ref="J698" r:id="rId1067" display="https://www.compass.com/listing/1901-north-catalina-street-los-feliz-ca-90027/1750878495654124113/" xr:uid="{00000000-0004-0000-0100-00002B040000}"/>
    <hyperlink ref="N698" r:id="rId1068" display="https://drive.google.com/open?id=1XrETyAOwvqr4xtbn7Y_83MPLBIOiI4mi" xr:uid="{00000000-0004-0000-0100-00002C040000}"/>
    <hyperlink ref="J699" r:id="rId1069" display="https://www.zillow.com/homedetails/1235-Highland-Oaks-Dr-Arcadia-CA-91006/20887520_zpid/" xr:uid="{00000000-0004-0000-0100-00002D040000}"/>
    <hyperlink ref="J700" r:id="rId1070" display="https://www.redfin.com/CA/Van-Nuys/15333-Lemay-St-91406/home/4593658" xr:uid="{00000000-0004-0000-0100-00002E040000}"/>
    <hyperlink ref="K700" r:id="rId1071" display="http://showmojo.com/lrt/9aaab72095" xr:uid="{00000000-0004-0000-0100-00002F040000}"/>
    <hyperlink ref="N700" r:id="rId1072" display="https://drive.google.com/open?id=1eo-BlXbxzZOEVKX1nrlaIwxqef2n3cRY" xr:uid="{00000000-0004-0000-0100-000030040000}"/>
    <hyperlink ref="J701" r:id="rId1073" display="https://www.zillow.com/homedetails/12354-Tiara-St-Valley-Village-CA-91607/20013214_zpid/" xr:uid="{00000000-0004-0000-0100-000031040000}"/>
    <hyperlink ref="J702" r:id="rId1074" display="https://www.zillow.com/homedetails/420-S-Sunset-Canyon-Dr-Burbank-CA-91501/20816835_zpid/" xr:uid="{00000000-0004-0000-0100-000032040000}"/>
    <hyperlink ref="N702" r:id="rId1075" display="https://drive.google.com/open?id=1pTdXjVUN4bITSyjCSQ4Ow5pwWoOE8mdo" xr:uid="{00000000-0004-0000-0100-000033040000}"/>
    <hyperlink ref="J703" r:id="rId1076" display="https://www.zillow.com/homedetails/4968-Reforma-Rd-Woodland-Hills-CA-91364/19899784_zpid/" xr:uid="{00000000-0004-0000-0100-000034040000}"/>
    <hyperlink ref="J704" r:id="rId1077" display="https://www.zillow.com/homedetails/20955-Marmora-St-Woodland-Hills-CA-91364/19945090_zpid/" xr:uid="{00000000-0004-0000-0100-000035040000}"/>
    <hyperlink ref="N704" r:id="rId1078" display="https://drive.google.com/open?id=16p1uvAhHoD7qzCE5hi_S0L92l19PypZo" xr:uid="{00000000-0004-0000-0100-000036040000}"/>
    <hyperlink ref="J705" r:id="rId1079" display="https://www.redfin.com/CA/Lake-Balboa/15335-Lemay-St-91406/home/193499975" xr:uid="{00000000-0004-0000-0100-000037040000}"/>
    <hyperlink ref="N705" r:id="rId1080" display="https://drive.google.com/open?id=1jlIVoKWblIZksBBQH0sSJQj-2J96e6ym" xr:uid="{00000000-0004-0000-0100-000038040000}"/>
    <hyperlink ref="J706" r:id="rId1081" display="https://www.zillow.com/homedetails/Los-Angeles-CA-90068/95700897_zpid/" xr:uid="{00000000-0004-0000-0100-000039040000}"/>
    <hyperlink ref="J707" r:id="rId1082" display="https://www.zillow.com/homedetails/2181-Hillsbury-Rd-Westlake-Village-CA-91361/16492776_zpid/" xr:uid="{00000000-0004-0000-0100-00003A040000}"/>
    <hyperlink ref="J708" r:id="rId1083" display="https://www.zillow.com/apartments/los-angeles-ca/726-n-van-ness-ave/ChqrC9/?utm_campaign=iosappmessage&amp;utm_medium=referral&amp;utm_source=txtshare" xr:uid="{00000000-0004-0000-0100-00003B040000}"/>
    <hyperlink ref="J709" r:id="rId1084" display="https://www.compass.com/listing/7566-west-sunset-boulevard-unit-423phw-los-angeles-ca-90046/1751040834965519697/" xr:uid="{00000000-0004-0000-0100-00003C040000}"/>
    <hyperlink ref="N709" r:id="rId1085" display="https://drive.google.com/open?id=1Whn27qhhBvqGwc_YDqvXfUdKYOoYskZZ" xr:uid="{00000000-0004-0000-0100-00003D040000}"/>
    <hyperlink ref="J710" r:id="rId1086" display="https://www.zillow.com/homedetails/4335-Jubilo-Dr-Tarzana-CA-91356/19947995_zpid/" xr:uid="{00000000-0004-0000-0100-00003E040000}"/>
    <hyperlink ref="N710" r:id="rId1087" display="https://drive.google.com/open?id=1WqbeUiUd34vfg--51Q8T-42iqlTcirRR" xr:uid="{00000000-0004-0000-0100-00003F040000}"/>
    <hyperlink ref="J711" r:id="rId1088" display="https://www.zillow.com/homedetails/801-S-Grand-Ave-APT-2010-Los-Angeles-CA-90017/67420686_zpid/" xr:uid="{00000000-0004-0000-0100-000040040000}"/>
    <hyperlink ref="N711" r:id="rId1089" display="https://drive.google.com/open?id=1JwNceo_EXEFwGx3aHgk3qh9yMPZRAZdu" xr:uid="{00000000-0004-0000-0100-000041040000}"/>
    <hyperlink ref="J712" r:id="rId1090" display="https://www.zillow.com/homedetails/10798-Lindbrook-Dr-Los-Angeles-CA-90024/20525012_zpid/" xr:uid="{00000000-0004-0000-0100-000042040000}"/>
    <hyperlink ref="J713" r:id="rId1091" display="https://www.zillow.com/homedetails/1049-S-Hayworth-Ave-Los-Angeles-CA-90035/20609573_zpid/" xr:uid="{00000000-0004-0000-0100-000043040000}"/>
    <hyperlink ref="N713" r:id="rId1092" display="https://drive.google.com/open?id=1665k12HCm8AZdns5Vtvt52BEFZ15L665" xr:uid="{00000000-0004-0000-0100-000044040000}"/>
    <hyperlink ref="J714" r:id="rId1093" display="https://www.compass.com/listing/1537-wildwood-drive-eagle-rock-ca-90041/1750293297031826697/" xr:uid="{00000000-0004-0000-0100-000045040000}"/>
    <hyperlink ref="N714" r:id="rId1094" display="https://drive.google.com/open?id=1veM_gwZ48BVQ657F5hY3nMXpTMb0Bftz" xr:uid="{00000000-0004-0000-0100-000046040000}"/>
    <hyperlink ref="J715" r:id="rId1095" display="https://www.zillow.com/homedetails/6445-Deep-Dell-Pl-Los-Angeles-CA-90068/20804921_zpid/" xr:uid="{00000000-0004-0000-0100-000047040000}"/>
    <hyperlink ref="N715" r:id="rId1096" display="https://drive.google.com/open?id=19gXawZETlHaGsJmERt4RgMhg9cJ4Kucr" xr:uid="{00000000-0004-0000-0100-000048040000}"/>
    <hyperlink ref="J716" r:id="rId1097" display="https://www.redfin.com/CA/Beverly-Hills/240-El-Camino-Dr-90212/home/6808296" xr:uid="{00000000-0004-0000-0100-000049040000}"/>
    <hyperlink ref="N716" r:id="rId1098" display="https://drive.google.com/open?id=1SIRHBTrQYVyrJFL4i3WTAEYGEWDbPccX" xr:uid="{00000000-0004-0000-0100-00004A040000}"/>
    <hyperlink ref="J717" r:id="rId1099" display="https://www.zillow.com/homedetails/1304-The-Strand-C-Manhattan-Beach-CA-90266/20422503_zpid/" xr:uid="{00000000-0004-0000-0100-00004B040000}"/>
    <hyperlink ref="N717" r:id="rId1100" display="https://drive.google.com/open?id=1lW7glwuBKvdmz5FD3l5AMSgPJGTho6rp" xr:uid="{00000000-0004-0000-0100-00004C040000}"/>
    <hyperlink ref="J718" r:id="rId1101" display="https://www.zillow.com/homedetails/2844-Ashmont-Ave-Arcadia-CA-91006/21581179_zpid/" xr:uid="{00000000-0004-0000-0100-00004D040000}"/>
    <hyperlink ref="N718" r:id="rId1102" display="https://drive.google.com/open?id=1S2q7og_US7EtnhiWfDwrEf_-9GZ97z-J" xr:uid="{00000000-0004-0000-0100-00004E040000}"/>
    <hyperlink ref="J719" r:id="rId1103" display="https://www.zillow.com/homedetails/16679-Calneva-Dr-Encino-CA-91436/441577757_zpid/" xr:uid="{00000000-0004-0000-0100-00004F040000}"/>
    <hyperlink ref="N719" r:id="rId1104" display="https://drive.google.com/open?id=1oC0V3XPMNwdGMemIGmMZZm6LFiguR7k3" xr:uid="{00000000-0004-0000-0100-000050040000}"/>
    <hyperlink ref="J720" r:id="rId1105" display="https://www.zillow.com/homedetails/1410-Coronado-Ter-Los-Angeles-CA-90026/20744469_zpid/" xr:uid="{00000000-0004-0000-0100-000051040000}"/>
    <hyperlink ref="N720" r:id="rId1106" display="https://drive.google.com/open?id=1iVda1a0KRFdBz4poFePdEWTu7_921A-8" xr:uid="{00000000-0004-0000-0100-000052040000}"/>
    <hyperlink ref="J721" r:id="rId1107" display="https://www.zillow.com/homedetails/2069-Paramount-Dr-Los-Angeles-CA-90068/20793804_zpid/" xr:uid="{00000000-0004-0000-0100-000053040000}"/>
    <hyperlink ref="N721" r:id="rId1108" display="https://drive.google.com/open?id=1plVU-eo1cNUspou9hTkTBNLrHHOqv3B1" xr:uid="{00000000-0004-0000-0100-000054040000}"/>
    <hyperlink ref="J722" r:id="rId1109" display="https://www.zillow.com/homedetails/8700-Dorrington-Ave-West-Hollywood-CA-90048/20516282_zpid/" xr:uid="{00000000-0004-0000-0100-000055040000}"/>
    <hyperlink ref="N722" r:id="rId1110" display="https://drive.google.com/open?id=1ITzHGNRLjU6llfOsBaHqda9F3yG5xVr4" xr:uid="{00000000-0004-0000-0100-000056040000}"/>
    <hyperlink ref="J723" r:id="rId1111" display="https://www.zillow.com/homedetails/233-3-4-S-Gale-Dr-Beverly-Hills-CA-90211/2083952220_zpid/" xr:uid="{00000000-0004-0000-0100-000057040000}"/>
    <hyperlink ref="N723" r:id="rId1112" display="https://drive.google.com/open?id=1VpLzxXxfIuxuJtqF_0CqAgsXgytiGXxn" xr:uid="{00000000-0004-0000-0100-000058040000}"/>
    <hyperlink ref="J724" r:id="rId1113" display="https://www.zillow.com/homedetails/4OO-Huntley-Dr-Los-Angeles-CA-90048/420744684_zpid/" xr:uid="{00000000-0004-0000-0100-000059040000}"/>
    <hyperlink ref="N724" r:id="rId1114" display="https://drive.google.com/open?id=1GAUvWhRRxViPYjyYU_kURE9uC5u-eWie" xr:uid="{00000000-0004-0000-0100-00005A040000}"/>
    <hyperlink ref="J725" r:id="rId1115" display="https://www.zillow.com/homedetails/133-S-Elm-Dr-APT-L-Beverly-Hills-CA-90212/2082088336_zpid/" xr:uid="{00000000-0004-0000-0100-00005B040000}"/>
    <hyperlink ref="N725" r:id="rId1116" display="https://drive.google.com/open?id=1IR9d5odrZROMnqFwGAKL-Fgz9mih0K8N" xr:uid="{00000000-0004-0000-0100-00005C040000}"/>
    <hyperlink ref="J726" r:id="rId1117" display="https://www.zillow.com/homedetails/138-N-Hamel-Dr-Beverly-Hills-CA-90211/20514615_zpid/" xr:uid="{00000000-0004-0000-0100-00005D040000}"/>
    <hyperlink ref="N726" r:id="rId1118" display="https://drive.google.com/open?id=159al1OGyUYkITkQztdNPBareJ7p-Wf-D" xr:uid="{00000000-0004-0000-0100-00005E040000}"/>
    <hyperlink ref="J727" r:id="rId1119" display="https://www.zillow.com/homedetails/9060-Harland-Ave-West-Hollywood-CA-90069/20518102_zpid/" xr:uid="{00000000-0004-0000-0100-00005F040000}"/>
    <hyperlink ref="N727" r:id="rId1120" display="https://drive.google.com/open?id=1bNjMj7D-qR5LABNsqRUbkAAfr46ZINFe" xr:uid="{00000000-0004-0000-0100-000060040000}"/>
    <hyperlink ref="J728" r:id="rId1121" display="https://www.zillow.com/homedetails/240-El-Camino-Dr-Beverly-Hills-CA-90212/20509301_zpid/" xr:uid="{00000000-0004-0000-0100-000061040000}"/>
    <hyperlink ref="N728" r:id="rId1122" display="https://drive.google.com/open?id=1dSWAYNYZ6yGyPLb7UZq92jMEl1dshsBG" xr:uid="{00000000-0004-0000-0100-000062040000}"/>
    <hyperlink ref="J729" r:id="rId1123" display="https://www.zillow.com/homedetails/9297-Burton-Way-B-Beverly-Hills-CA-90210/2070939537_zpid/" xr:uid="{00000000-0004-0000-0100-000063040000}"/>
    <hyperlink ref="N729" r:id="rId1124" display="https://drive.google.com/open?id=1iEOIn41lXjjlkl0CxVtNuJCa8YYnQORB" xr:uid="{00000000-0004-0000-0100-000064040000}"/>
    <hyperlink ref="J730" r:id="rId1125" display="https://www.zillow.com/homedetails/1141-Summit-Dr-Beverly-Hills-CA-90210/135433958_zpid/" xr:uid="{00000000-0004-0000-0100-000065040000}"/>
    <hyperlink ref="N730" r:id="rId1126" display="https://drive.google.com/open?id=1cmWRKUuPfDiKBOGkhiNZR7JFUkl4MloK" xr:uid="{00000000-0004-0000-0100-000066040000}"/>
    <hyperlink ref="J731" r:id="rId1127" display="https://www.zillow.com/homedetails/715-N-Rexford-Dr-Beverly-Hills-CA-90210/20520993_zpid/" xr:uid="{00000000-0004-0000-0100-000067040000}"/>
    <hyperlink ref="N731" r:id="rId1128" display="https://drive.google.com/open?id=196FAEx96NieELOhTuJ4I2Q8suaztVYVS" xr:uid="{00000000-0004-0000-0100-000068040000}"/>
    <hyperlink ref="J732" r:id="rId1129" display="https://www.zillow.com/homedetails/1070-S-Bedford-St-405A-Los-Angeles-CA-90035/443493164_zpid/?utm_campaign=iosappmessage&amp;utm_medium=referral&amp;utm_source=txtshare" xr:uid="{00000000-0004-0000-0100-000069040000}"/>
    <hyperlink ref="J733" r:id="rId1130" display="https://www.zillow.com/homedetails/508-N-Canon-Dr-Beverly-Hills-CA-90210/20521062_zpid/" xr:uid="{00000000-0004-0000-0100-00006A040000}"/>
    <hyperlink ref="N733" r:id="rId1131" display="https://drive.google.com/open?id=13YtClyTpPwYd8Z7DfNaTw0xbKif4Wn0y" xr:uid="{00000000-0004-0000-0100-00006B040000}"/>
    <hyperlink ref="J734" r:id="rId1132" display="https://www.zillow.com/homedetails/620-N-Walden-Dr-Beverly-Hills-CA-90210/2054212565_zpid/" xr:uid="{00000000-0004-0000-0100-00006C040000}"/>
    <hyperlink ref="N734" r:id="rId1133" display="https://drive.google.com/open?id=1z2tZVhrjBEU6gShZuGw3lc000pX2JNYE" xr:uid="{00000000-0004-0000-0100-00006D040000}"/>
    <hyperlink ref="J735" r:id="rId1134" display="https://www.zillow.com/homedetails/2935-Westwood-Blvd-Los-Angeles-CA-90064/20460870_zpid/" xr:uid="{00000000-0004-0000-0100-00006E040000}"/>
    <hyperlink ref="N735" r:id="rId1135" display="https://drive.google.com/open?id=1g2UMXY2otHkN_Np1HCRHFspECLE8Cw40" xr:uid="{00000000-0004-0000-0100-00006F040000}"/>
    <hyperlink ref="J736" r:id="rId1136" display="https://www.zillow.com/homedetails/815-N-Whittier-Dr-Beverly-Hills-CA-90210/20521924_zpid/" xr:uid="{00000000-0004-0000-0100-000070040000}"/>
    <hyperlink ref="N736" r:id="rId1137" display="https://drive.google.com/open?id=1ANs4CrYYP2KIpOa0f1jEPj0Y_WV0QtoU" xr:uid="{00000000-0004-0000-0100-000071040000}"/>
    <hyperlink ref="J737" r:id="rId1138" display="https://www.zillow.com/homedetails/4267-Marina-City-Dr-UNIT-102-Marina-Del-Rey-CA-90292/302687068_zpid/" xr:uid="{00000000-0004-0000-0100-000072040000}"/>
    <hyperlink ref="N737" r:id="rId1139" display="https://drive.google.com/open?id=1T_M5MmfCBWDPjrAZ3xQSZ1IPega5W75p" xr:uid="{00000000-0004-0000-0100-000073040000}"/>
    <hyperlink ref="J738" r:id="rId1140" display="https://www.zillow.com/homedetails/1847-Stearns-Dr-Los-Angeles-CA-90035/20598518_zpid/" xr:uid="{00000000-0004-0000-0100-000074040000}"/>
    <hyperlink ref="K738" r:id="rId1141" display="https://www.zillow.com/homedetails/1847-Stearns-Dr-Los-Angeles-CA-90035/20598518_zpid/" xr:uid="{00000000-0004-0000-0100-000075040000}"/>
    <hyperlink ref="N738" r:id="rId1142" display="https://drive.google.com/open?id=1vfQUQF1zH9vYJCcmFigdvDL1g_Lfyjkk" xr:uid="{00000000-0004-0000-0100-000076040000}"/>
    <hyperlink ref="J739" r:id="rId1143" display="https://www.zillow.com/homedetails/4504-Cedros-Ave-Sherman-Oaks-CA-91403/19983993_zpid/" xr:uid="{00000000-0004-0000-0100-000077040000}"/>
    <hyperlink ref="N739" r:id="rId1144" display="https://drive.google.com/open?id=19aDHEmCcg4Pt9jf2qxt5OhqGf9W9Hynw" xr:uid="{00000000-0004-0000-0100-000078040000}"/>
    <hyperlink ref="J740" r:id="rId1145" display="https://www.zillow.com/homedetails/16-Park-Ave-Venice-CA-90291/20482259_zpid/" xr:uid="{00000000-0004-0000-0100-000079040000}"/>
    <hyperlink ref="N740" r:id="rId1146" display="https://drive.google.com/open?id=1byRQQW55I47272rEwLG_rZa5vFkvtato" xr:uid="{00000000-0004-0000-0100-00007A040000}"/>
    <hyperlink ref="J741" r:id="rId1147" display="https://www.zillow.com/homedetails/10798-Lindbrook-Dr-Los-Angeles-CA-90024/20525012_zpid/" xr:uid="{00000000-0004-0000-0100-00007B040000}"/>
    <hyperlink ref="J742" r:id="rId1148" display="http://www.westsiderentals.com/" xr:uid="{00000000-0004-0000-0100-00007C040000}"/>
    <hyperlink ref="J743" r:id="rId1149" display="https://www.zillow.com/homedetails/3055-Landa-St-Los-Angeles-CA-90039/20747666_zpid/" xr:uid="{00000000-0004-0000-0100-00007D040000}"/>
    <hyperlink ref="J744" r:id="rId1150" display="https://www.zillow.com/homedetails/1439-Cabrillo-Ave-Venice-CA-90291/20450140_zpid/?utm_source=txtshare" xr:uid="{00000000-0004-0000-0100-00007E040000}"/>
    <hyperlink ref="J745" r:id="rId1151" display="https://www.zillow.com/homedetails/1524-N-Sierra-Bonita-Ave-Los-Angeles-CA-90046/20794339_zpid/" xr:uid="{00000000-0004-0000-0100-00007F040000}"/>
    <hyperlink ref="J746" r:id="rId1152" display="https://www.zillow.com/homedetails/420-S-Sunset-Canyon-Dr-Burbank-CA-91501/20816835_zpid/" xr:uid="{00000000-0004-0000-0100-000080040000}"/>
    <hyperlink ref="N746" r:id="rId1153" display="https://drive.google.com/open?id=1zsJS51Z-YmCYtrWIlaN8mg7Nk7F2j4DX" xr:uid="{00000000-0004-0000-0100-000081040000}"/>
    <hyperlink ref="J747" r:id="rId1154" display="https://www.zillow.com/homedetails/3180-Casitas-Ave-Los-Angeles-CA-90039/20750713_zpid/?utm_campaign=iosappmessage&amp;utm_medium=referral&amp;utm_source=txtshare" xr:uid="{00000000-0004-0000-0100-000082040000}"/>
    <hyperlink ref="J748" r:id="rId1155" display="https://www.zillow.com/homedetails/11410-Dona-Pegita-Dr-Studio-City-CA-91604/20031183_zpid/" xr:uid="{00000000-0004-0000-0100-000083040000}"/>
    <hyperlink ref="N748" r:id="rId1156" display="https://drive.google.com/open?id=1oxke1RljeG6U1SO2Fk90WdYKcFcoVW1e" xr:uid="{00000000-0004-0000-0100-000084040000}"/>
    <hyperlink ref="J749" r:id="rId1157" display="https://www.zillow.com/homedetails/3055-Landa-St-Los-Angeles-CA-90039/20747666_zpid/?utm_campaign=iosappmessage&amp;utm_medium=referral&amp;utm_source=txtshare" xr:uid="{00000000-0004-0000-0100-000085040000}"/>
    <hyperlink ref="N749" r:id="rId1158" display="https://drive.google.com/open?id=1686Lfrn3iToWKCiR80GwCrRTByY9W-VX" xr:uid="{00000000-0004-0000-0100-000086040000}"/>
    <hyperlink ref="J750" r:id="rId1159" display="https://www.zillow.com/homedetails/644-E-97th-St-APT-7-Inglewood-CA-90301/2061286817_zpid/?utm_campaign=iosappmessage&amp;utm_medium=referral&amp;utm_source=txtshare" xr:uid="{00000000-0004-0000-0100-000087040000}"/>
    <hyperlink ref="N750" r:id="rId1160" display="https://drive.google.com/open?id=1eEuG15FeQHAZFhvWGTcvI1-rocSS5ljT" xr:uid="{00000000-0004-0000-0100-000088040000}"/>
    <hyperlink ref="J751" r:id="rId1161" display="https://www.zillow.com/homedetails/3055-Landa-St-Los-Angeles-CA-90039/20747666_zpid/" xr:uid="{00000000-0004-0000-0100-000089040000}"/>
    <hyperlink ref="J752" r:id="rId1162" display="https://www.zillow.com/homedetails/6665-Franklin-Ave-APT-6-Los-Angeles-CA-90028/20803776_zpid/" xr:uid="{00000000-0004-0000-0100-00008A040000}"/>
    <hyperlink ref="J753" r:id="rId1163" display="https://www.zillow.com/homedetails/1140-N-Clark-St-209A-West-Hollywood-CA-90069/443853695_zpid/" xr:uid="{00000000-0004-0000-0100-00008B040000}"/>
    <hyperlink ref="N753" r:id="rId1164" display="https://drive.google.com/open?id=1HOUn51uaVl9Ch4HKhnA-uWhtrSCdk2m8" xr:uid="{00000000-0004-0000-0100-00008C040000}"/>
    <hyperlink ref="J754" r:id="rId1165" display="https://www.zillow.com/homedetails/3055-Landa-St-Los-Angeles-CA-90039/20747666_zpid/" xr:uid="{00000000-0004-0000-0100-00008D040000}"/>
    <hyperlink ref="J755" r:id="rId1166" display="https://www.zillow.com/homedetails/2315-Glendale-Blvd-Los-Angeles-CA-90039/2069329510_zpid/" xr:uid="{00000000-0004-0000-0100-00008E040000}"/>
    <hyperlink ref="J756" r:id="rId1167" display="https://www.zillow.com/homedetails/2822-Grayson-Ave-Venice-CA-90291/20444393_zpid/" xr:uid="{00000000-0004-0000-0100-00008F040000}"/>
    <hyperlink ref="N756" r:id="rId1168" display="https://drive.google.com/open?id=18Sq_80zmyIFrgIZhfbzy90G3-5ExQgUk" xr:uid="{00000000-0004-0000-0100-000090040000}"/>
    <hyperlink ref="J757" r:id="rId1169" display="https://www.zillow.com/homedetails/8911-Cynthia-St-APT-10-West-Hollywood-CA-90069/2058171272_zpid/" xr:uid="{00000000-0004-0000-0100-000091040000}"/>
    <hyperlink ref="N757" r:id="rId1170" display="https://drive.google.com/open?id=1XRvOVWHeuFpeMZSu646O2Nu9LyUbHfMv" xr:uid="{00000000-0004-0000-0100-000092040000}"/>
    <hyperlink ref="J758" r:id="rId1171" display="https://www.zillow.com/homedetails/Los-Angeles-CA-90004/2092617999_zpid/" xr:uid="{00000000-0004-0000-0100-000093040000}"/>
    <hyperlink ref="J759" r:id="rId1172" display="https://www.zillow.com/homedetails/600-Flower-Ave-Venice-CA-90291/2076687188_zpid/" xr:uid="{00000000-0004-0000-0100-000094040000}"/>
    <hyperlink ref="N759" r:id="rId1173" display="https://drive.google.com/open?id=1rOOlPZ63vXE8gFV4DkEeJsu9wGA-dMut" xr:uid="{00000000-0004-0000-0100-000095040000}"/>
    <hyperlink ref="J760" r:id="rId1174" display="https://www.zillow.com/homedetails/16-Park-Ave-Venice-CA-90291/20482259_zpid/" xr:uid="{00000000-0004-0000-0100-000096040000}"/>
    <hyperlink ref="N760" r:id="rId1175" display="https://drive.google.com/open?id=1RZVLIDFqjA5GrbZPxYS5A2GJ4KgcZaTM" xr:uid="{00000000-0004-0000-0100-000097040000}"/>
    <hyperlink ref="J761" r:id="rId1176" display="https://www.zillow.com/homedetails/532-N-Rossmore-Ave-APT-103-Los-Angeles-CA-90004/20782624_zpid/" xr:uid="{00000000-0004-0000-0100-000098040000}"/>
    <hyperlink ref="J762" r:id="rId1177" display="https://www.zillow.com/homedetails/1525-Selby-Ave-APT-203-Los-Angeles-CA-90024/2094114909_zpid/" xr:uid="{00000000-0004-0000-0100-000099040000}"/>
    <hyperlink ref="N762" r:id="rId1178" display="https://drive.google.com/open?id=1OHVAjv3vXWHHYt7GY8yRgwb-gk2SXval" xr:uid="{00000000-0004-0000-0100-00009A040000}"/>
    <hyperlink ref="J763" r:id="rId1179" display="https://www.zillow.com/homedetails/233-3-4-S-Gale-Dr-Beverly-Hills-CA-90211/2083952220_zpid/" xr:uid="{00000000-0004-0000-0100-00009B040000}"/>
    <hyperlink ref="N763" r:id="rId1180" display="https://drive.google.com/open?id=136zMoE4ZtONyYHjgIh7lAiNhDRinfZvQ" xr:uid="{00000000-0004-0000-0100-00009C040000}"/>
    <hyperlink ref="J764" r:id="rId1181" display="https://www.zillow.com/homedetails/11863-Darlington-Ave-UNIT-308-Los-Angeles-CA-90049/135374969_zpid/" xr:uid="{00000000-0004-0000-0100-00009D040000}"/>
    <hyperlink ref="N764" r:id="rId1182" display="https://drive.google.com/open?id=1vX-nJ7f1LTWdg5s5EZMEfXqtcEL56ELS" xr:uid="{00000000-0004-0000-0100-00009E040000}"/>
    <hyperlink ref="J765" r:id="rId1183" display="https://www.zillow.com/homedetails/417-1-2-S-Cochran-Ave-Los-Angeles-CA-90036/2082146739_zpid/" xr:uid="{00000000-0004-0000-0100-00009F040000}"/>
    <hyperlink ref="N765" r:id="rId1184" display="https://drive.google.com/open?id=1ONl2BSJQla3RjDJZ0avvMmpt3bqfBW_q" xr:uid="{00000000-0004-0000-0100-0000A0040000}"/>
    <hyperlink ref="J766" r:id="rId1185" display="https://www.zillow.com/homedetails/10501-Wilshire-Blvd-UNIT-1501-Los-Angeles-CA-90024/82883623_zpid/" xr:uid="{00000000-0004-0000-0100-0000A1040000}"/>
    <hyperlink ref="N766" r:id="rId1186" display="https://drive.google.com/open?id=16ZGKbIbfKpY42OCFWwVI33gJXMR3cWCn" xr:uid="{00000000-0004-0000-0100-0000A2040000}"/>
    <hyperlink ref="J767" r:id="rId1187" display="https://www.zillow.com/homedetails/2346-Selby-Ave-Los-Angeles-CA-90064/20500634_zpid/" xr:uid="{00000000-0004-0000-0100-0000A3040000}"/>
    <hyperlink ref="N767" r:id="rId1188" display="https://drive.google.com/open?id=1zEdHJ8q8fBJL2fXlg9n9EMradTwTCkFp" xr:uid="{00000000-0004-0000-0100-0000A4040000}"/>
    <hyperlink ref="J768" r:id="rId1189" display="https://www.zillow.com/homedetails/5661-Spreading-Oak-Dr-Los-Angeles-CA-90068/20808029_zpid/" xr:uid="{00000000-0004-0000-0100-0000A5040000}"/>
    <hyperlink ref="J769" r:id="rId1190" display="https://www.zillow.com/homedetails/532-N-Rossmore-Ave-APT-103-Los-Angeles-CA-90004/20782624_zpid/" xr:uid="{00000000-0004-0000-0100-0000A6040000}"/>
    <hyperlink ref="N769" r:id="rId1191" display="https://drive.google.com/open?id=1c0sGZ9bpa84_b2_fHzFVtd4xnklfjfFz" xr:uid="{00000000-0004-0000-0100-0000A7040000}"/>
    <hyperlink ref="J770" r:id="rId1192" display="https://www.zillow.com/homedetails/6884-Warm-Springs-Ave-La-Verne-CA-91750/21656968_zpid/" xr:uid="{00000000-0004-0000-0100-0000A8040000}"/>
    <hyperlink ref="J771" r:id="rId1193" display="https://www.zillow.com/homedetails/1524-N-Sierra-Bonita-Ave-Los-Angeles-CA-90046/20794339_zpid/" xr:uid="{00000000-0004-0000-0100-0000A9040000}"/>
    <hyperlink ref="N771" r:id="rId1194" display="https://drive.google.com/open?id=1yPfL4pehU-7IgPffGmDae-F2NUr_enB0" xr:uid="{00000000-0004-0000-0100-0000AA040000}"/>
    <hyperlink ref="J772" r:id="rId1195" display="https://www.zillow.com/homedetails/1036-Ruberta-Ave-Glendale-CA-91201/20824498_zpid/" xr:uid="{00000000-0004-0000-0100-0000AB040000}"/>
    <hyperlink ref="J773" r:id="rId1196" display="https://www.zillow.com/homedetails/1016-S-Wooster-St-APT-8-Los-Angeles-CA-90035/2108655700_zpid/" xr:uid="{00000000-0004-0000-0100-0000AC040000}"/>
    <hyperlink ref="N774" r:id="rId1197" display="https://drive.google.com/open?id=1WM7mZbCkA56yE4v9JEjL_gXqRl7ri6ry" xr:uid="{00000000-0004-0000-0100-0000AD040000}"/>
    <hyperlink ref="J775" r:id="rId1198" display="https://www.zillow.com/homedetails/2822-Oak-Point-Dr-Los-Angeles-CA-90068/20045383_zpid/?rtoken=52342285-6e47-4b10-8880-ecb1f26ed70b~X1-ZUycucvuvnqscp_6le3i&amp;utm_campaign=emo-propertyalertnew&amp;utm_source=email&amp;utm_term=urn:msg:20250114174940e9d2ee5dec8fdbbc&amp;utm_medium=email&amp;utm_content=forrentaddress" xr:uid="{00000000-0004-0000-0100-0000AE040000}"/>
    <hyperlink ref="N775" r:id="rId1199" display="https://drive.google.com/open?id=1AIAGt4WxM5fFq0PFvBt1GDoFhA_8Kh09" xr:uid="{00000000-0004-0000-0100-0000AF040000}"/>
    <hyperlink ref="J776" r:id="rId1200" display="https://www.zillow.com/homedetails/412-Westminster-Ave-1-Venice-CA-90291/2078913805_zpid/" xr:uid="{00000000-0004-0000-0100-0000B0040000}"/>
    <hyperlink ref="J777" r:id="rId1201" display="https://www.casademarinaapartments.com/interactivepropertymap" xr:uid="{00000000-0004-0000-0100-0000B1040000}"/>
    <hyperlink ref="J778" r:id="rId1202" display="https://www.casademarinaapartments.com/interactivepropertymap" xr:uid="{00000000-0004-0000-0100-0000B2040000}"/>
    <hyperlink ref="J779" r:id="rId1203" display="https://www.zillow.com/homedetails/12426-Idaho-Ave-Los-Angeles-CA-90025/20464168_zpid/" xr:uid="{00000000-0004-0000-0100-0000B3040000}"/>
    <hyperlink ref="J780" r:id="rId1204" display="https://www.zillow.com/homedetails/2084-E-Washington-Blvd-Pasadena-CA-91104/20872343_zpid/" xr:uid="{00000000-0004-0000-0100-0000B4040000}"/>
    <hyperlink ref="N780" r:id="rId1205" display="https://drive.google.com/open?id=1QfbdS2tJzV1SWz82GXGJJsqMxT465oaV" xr:uid="{00000000-0004-0000-0100-0000B5040000}"/>
    <hyperlink ref="J781" r:id="rId1206" display="https://www.compass.com/listing/750-south-oxford-avenue-unit-669-los-angeles-ca-90005/1681986269086401201/" xr:uid="{00000000-0004-0000-0100-0000B6040000}"/>
    <hyperlink ref="N781" r:id="rId1207" display="https://drive.google.com/open?id=1YXrNSUF_IRiWVcU5rO4MsQdTHe2LJllv" xr:uid="{00000000-0004-0000-0100-0000B7040000}"/>
    <hyperlink ref="J782" r:id="rId1208" display="https://www.zillow.com/homedetails/17862-Via-Vallarta-Encino-CA-91316/19950893_zpid/" xr:uid="{00000000-0004-0000-0100-0000B8040000}"/>
    <hyperlink ref="J783" r:id="rId1209" display="https://www.zillow.com/homedetails/10320-Newcomb-Ave-Whittier-CA-90603/21466492_zpid/" xr:uid="{00000000-0004-0000-0100-0000B9040000}"/>
    <hyperlink ref="J784" r:id="rId1210" display="https://www.zillow.com/homedetails/1812-Navy-St-Santa-Monica-CA-90405/20472397_zpid/" xr:uid="{00000000-0004-0000-0100-0000BA040000}"/>
    <hyperlink ref="J785" r:id="rId1211" display="https://www.zillow.com/homedetails/2016-Trinity-St-Los-Angeles-CA-90011/20622860_zpid/" xr:uid="{00000000-0004-0000-0100-0000BB040000}"/>
    <hyperlink ref="J786" r:id="rId1212" display="https://www.compass.com/listing/717-west-olympic-boulevard-unit-1903-los-angeles-ca-90015/1682045154295747281/" xr:uid="{00000000-0004-0000-0100-0000BC040000}"/>
    <hyperlink ref="N786" r:id="rId1213" display="https://drive.google.com/open?id=12p7eLoRDCdhCWulQwYHWkGo_-g0H-gLj" xr:uid="{00000000-0004-0000-0100-0000BD040000}"/>
    <hyperlink ref="J787" r:id="rId1214" display="https://www.zillow.com/homedetails/336-Museum-Dr-Los-Angeles-CA-90065/20761567_zpid/" xr:uid="{00000000-0004-0000-0100-0000BE040000}"/>
    <hyperlink ref="J788" r:id="rId1215" display="https://www.zillow.com/homedetails/1224-Wesley-Ave-Pasadena-CA-91104/20871318_zpid/" xr:uid="{00000000-0004-0000-0100-0000BF040000}"/>
    <hyperlink ref="N788" r:id="rId1216" display="https://drive.google.com/open?id=1YT2EwwV1cajOJwpH9zcue5ZtSTs2f2Ux" xr:uid="{00000000-0004-0000-0100-0000C0040000}"/>
    <hyperlink ref="J789" r:id="rId1217" display="https://www.compass.com/listing/11908-exposition-boulevard-unit-408-los-angeles-ca-90064/1710264785158877257/" xr:uid="{00000000-0004-0000-0100-0000C1040000}"/>
    <hyperlink ref="N789" r:id="rId1218" display="https://drive.google.com/open?id=13-KsPoZSJqofzyk-0u_3oxoBZaFmdcrA" xr:uid="{00000000-0004-0000-0100-0000C2040000}"/>
    <hyperlink ref="J790" r:id="rId1219" display="https://www.zillow.com/homedetails/1017-Pearl-St-UNIT-C-Santa-Monica-CA-90405/20480338_zpid/" xr:uid="{00000000-0004-0000-0100-0000C3040000}"/>
    <hyperlink ref="J791" r:id="rId1220" display="https://www.zillow.com/homedetails/267-Barthe-Dr-14-Pasadena-CA-91103/441812912_zpid/" xr:uid="{00000000-0004-0000-0100-0000C4040000}"/>
    <hyperlink ref="J792" r:id="rId1221" display="https://www.zillow.com/homedetails/802-N-Edinburgh-Ave-Los-Angeles-CA-90046/441737128_zpid/" xr:uid="{00000000-0004-0000-0100-0000C5040000}"/>
    <hyperlink ref="J793" r:id="rId1222" display="https://www.zillow.com/homedetails/11633-Chenault-St-UNIT-202-Los-Angeles-CA-90049/119677949_zpid/" xr:uid="{00000000-0004-0000-0100-0000C6040000}"/>
    <hyperlink ref="N793" r:id="rId1223" display="https://drive.google.com/open?id=1nlm_7TkcinguWMjaHK6idZnlaiI0ZPu2" xr:uid="{00000000-0004-0000-0100-0000C7040000}"/>
    <hyperlink ref="J794" r:id="rId1224" display="https://www.zillow.com/homedetails/11822-Marshall-St-Los-Angeles-CA-90230/20439428_zpid/?utm_campaign=iosappmessage&amp;utm_medium=referral&amp;utm_source=txtshare" xr:uid="{00000000-0004-0000-0100-0000C8040000}"/>
    <hyperlink ref="J795" r:id="rId1225" display="https://www.zillow.com/homedetails/9243-Cordell-Dr-Los-Angeles-CA-90069/20534852_zpid/" xr:uid="{00000000-0004-0000-0100-0000C9040000}"/>
    <hyperlink ref="N795" r:id="rId1226" display="https://drive.google.com/open?id=1TEpAXWGU8Ex9z5do9EyrYV8HLMs76hMR" xr:uid="{00000000-0004-0000-0100-0000CA040000}"/>
    <hyperlink ref="J796" r:id="rId1227" display="https://www.compass.com/listing/1612-courtney-avenue-los-angeles-ca-90046/1747876484574831273/" xr:uid="{00000000-0004-0000-0100-0000CB040000}"/>
    <hyperlink ref="N796" r:id="rId1228" display="https://drive.google.com/open?id=1rKMoMeU_EKZrbNcW0Nd0F-rEflJ6cLya" xr:uid="{00000000-0004-0000-0100-0000CC040000}"/>
    <hyperlink ref="J797" r:id="rId1229" display="https://www.zillow.com/homedetails/1525-Selby-Ave-APT-203-Los-Angeles-CA-90024/2094114909_zpid/" xr:uid="{00000000-0004-0000-0100-0000CD040000}"/>
    <hyperlink ref="J798" r:id="rId1230" display="https://www.redfin.com/CA/Los-Angeles/3464-Greenwood-Ave-90066/home/6745328?utm_source=ios_share&amp;utm_medium=share&amp;utm_campaign=copy_link&amp;utm_nooverride=1&amp;utm_content=link" xr:uid="{00000000-0004-0000-0100-0000CE040000}"/>
    <hyperlink ref="N798" r:id="rId1231" display="https://drive.google.com/open?id=1ijJ7LFCkSFiZeCZ1n3uGjQhWT98nfP52" xr:uid="{00000000-0004-0000-0100-0000CF040000}"/>
    <hyperlink ref="J799" r:id="rId1232" display="https://www.zillow.com/homedetails/380-Trousdale-Pl-Beverly-Hills-CA-90210/20534471_zpid/" xr:uid="{00000000-0004-0000-0100-0000D0040000}"/>
    <hyperlink ref="N799" r:id="rId1233" display="https://drive.google.com/open?id=1Bn1zIZLk3t5xol_apsjjev7HQLhgwwen" xr:uid="{00000000-0004-0000-0100-0000D1040000}"/>
    <hyperlink ref="J800" r:id="rId1234" display="https://www.compass.com/listing/2470-venus-drive-los-angeles-ca-90046/1692131304925978729/" xr:uid="{00000000-0004-0000-0100-0000D2040000}"/>
    <hyperlink ref="N800" r:id="rId1235" display="https://drive.google.com/open?id=1iOcDL5ArvPVY_8GdFhnwmL3dnNdoPALB" xr:uid="{00000000-0004-0000-0100-0000D3040000}"/>
    <hyperlink ref="J801" r:id="rId1236" display="https://www.zillow.com/homedetails/532-N-Rossmore-Ave-APT-103-Los-Angeles-CA-90004/20782624_zpid/" xr:uid="{00000000-0004-0000-0100-0000D4040000}"/>
    <hyperlink ref="N801" r:id="rId1237" display="https://drive.google.com/open?id=1Y3kMINCYE3_WBrnk5-i4_CPKRXlwo7Ga" xr:uid="{00000000-0004-0000-0100-0000D5040000}"/>
    <hyperlink ref="J802" r:id="rId1238" display="https://www.zillow.com/homedetails/201-Ocean-Ave-UNIT-1702P-Santa-Monica-CA-90402/20487065_zpid/" xr:uid="{00000000-0004-0000-0100-0000D6040000}"/>
    <hyperlink ref="J803" r:id="rId1239" display="https://www.zillow.com/homedetails/1293-Monte-Cielo-Dr-Beverly-Hills-CA-90210/95618498_zpid/" xr:uid="{00000000-0004-0000-0100-0000D7040000}"/>
    <hyperlink ref="J804" r:id="rId1240" display="https://www.zillow.com/homedetails/715-N-Rexford-Dr-Beverly-Hills-CA-90210/20520993_zpid/" xr:uid="{00000000-0004-0000-0100-0000D8040000}"/>
    <hyperlink ref="N804" r:id="rId1241" display="https://drive.google.com/open?id=1xqX9FNVQ12PyBZ693Pli-4IMIhnaY2vq" xr:uid="{00000000-0004-0000-0100-0000D9040000}"/>
    <hyperlink ref="J805" r:id="rId1242" display="https://www.compass.com/listing/695-south-santa-fe-avenue-unit-302-los-angeles-ca-90021/1517643130692156657/" xr:uid="{00000000-0004-0000-0100-0000DA040000}"/>
    <hyperlink ref="N805" r:id="rId1243" display="https://drive.google.com/open?id=1RcCVF4sb3BB8ccKDUtiDnOdfJ0m5kV-n" xr:uid="{00000000-0004-0000-0100-0000DB040000}"/>
    <hyperlink ref="J806" r:id="rId1244" display="https://www.zillow.com/homedetails/12036-Wood-Ranch-Rd-Granada-Hills-CA-91344/20104747_zpid/?utm_campaign=iosappmessage&amp;utm_medium=referral&amp;utm_source=txtshare" xr:uid="{00000000-0004-0000-0100-0000DC040000}"/>
    <hyperlink ref="N806" r:id="rId1245" display="https://drive.google.com/open?id=1vPXV6kXaePv3jNdI1GBtFga5rqXnPRG9" xr:uid="{00000000-0004-0000-0100-0000DD040000}"/>
    <hyperlink ref="J807" r:id="rId1246" display="https://www.redfin.com/CA/Los-Angeles/800-W-1st-St-90012/unit-3106/home/6933851" xr:uid="{00000000-0004-0000-0100-0000DE040000}"/>
    <hyperlink ref="N807" r:id="rId1247" display="https://drive.google.com/open?id=1q-P0wYnFKhbwwFFlH3hWjYlpq0OH2zuG" xr:uid="{00000000-0004-0000-0100-0000DF040000}"/>
    <hyperlink ref="J808" r:id="rId1248" display="https://www.zillow.com/homedetails/508-N-Canon-Dr-Beverly-Hills-CA-90210/20521062_zpid/" xr:uid="{00000000-0004-0000-0100-0000E0040000}"/>
    <hyperlink ref="N808" r:id="rId1249" display="https://drive.google.com/open?id=1VT02kAEBqqJx1m1HVKgQdvLPQHCGutBe" xr:uid="{00000000-0004-0000-0100-0000E1040000}"/>
    <hyperlink ref="J809" r:id="rId1250" display="https://www.zillow.com/homedetails/1524-N-Sierra-Bonita-Ave-Los-Angeles-CA-90046/20794339_zpid/?utm_campaign=iosappmessage&amp;utm_medium=referral&amp;utm_source=txtshare" xr:uid="{00000000-0004-0000-0100-0000E2040000}"/>
    <hyperlink ref="N809" r:id="rId1251" display="https://drive.google.com/open?id=1omINwyGjSqUyNILMF5B2O73JinUCgfe_" xr:uid="{00000000-0004-0000-0100-0000E3040000}"/>
    <hyperlink ref="J810" r:id="rId1252" display="https://www.redfin.com/CA/Los-Angeles/1331-N-Cahuenga-Blvd-90028/unit-4701/home/194171991" xr:uid="{00000000-0004-0000-0100-0000E4040000}"/>
    <hyperlink ref="N810" r:id="rId1253" display="https://drive.google.com/open?id=17PAFCAavJRmU-e73z1DMx5OSsIObfRrD" xr:uid="{00000000-0004-0000-0100-0000E5040000}"/>
    <hyperlink ref="J811" r:id="rId1254" display="https://www.trulia.com/home/2463-treelane-ave-monrovia-ca-91016-21580804" xr:uid="{00000000-0004-0000-0100-0000E6040000}"/>
    <hyperlink ref="J812" r:id="rId1255" display="https://www.zillow.com/homedetails/1460-Parkway-Dr-Rohnert-Park-CA-94928/15855437_zpid/" xr:uid="{00000000-0004-0000-0100-0000E7040000}"/>
    <hyperlink ref="J813" r:id="rId1256" display="https://www.zillow.com/homedetails/12426-Idaho-Ave-Los-Angeles-CA-90025/20464168_zpid/" xr:uid="{00000000-0004-0000-0100-0000E8040000}"/>
    <hyperlink ref="N813" r:id="rId1257" display="https://drive.google.com/open?id=1FnWdL5n3Onpr6NnOeE_uYL_H1s8rCDxg" xr:uid="{00000000-0004-0000-0100-0000E9040000}"/>
    <hyperlink ref="J814" r:id="rId1258" display="https://www.zillow.com/homedetails/2189-Sunset-Plaza-Dr-Los-Angeles-CA-90069/20800086_zpid/" xr:uid="{00000000-0004-0000-0100-0000EA040000}"/>
    <hyperlink ref="N814" r:id="rId1259" display="https://drive.google.com/open?id=147Wk_ZodFpzXpE1BzL8zX-e5AuiiMFC8" xr:uid="{00000000-0004-0000-0100-0000EB040000}"/>
    <hyperlink ref="J815" r:id="rId1260" display="https://www.zillow.com/homedetails/6015-Saturn-St-Los-Angeles-CA-90035/346267631_zpid/" xr:uid="{00000000-0004-0000-0100-0000EC040000}"/>
    <hyperlink ref="N815" r:id="rId1261" display="https://drive.google.com/open?id=1oD5--hgFNhNIJPm2_zNyxO_auD4MHAtL" xr:uid="{00000000-0004-0000-0100-0000ED040000}"/>
    <hyperlink ref="J816" r:id="rId1262" display="https://www.zillow.com/homedetails/Pasadena-CA-91104/20919815_zpid/" xr:uid="{00000000-0004-0000-0100-0000EE040000}"/>
    <hyperlink ref="J817" r:id="rId1263" display="https://www.zillow.com/homedetails/540-W-Knoll-Dr-West-Hollywood-CA-90048/2108723145_zpid/" xr:uid="{00000000-0004-0000-0100-0000EF040000}"/>
    <hyperlink ref="N817" r:id="rId1264" display="https://drive.google.com/open?id=1hEegzj5c5XyMj6VMplcsgPYRnqhmvB7y" xr:uid="{00000000-0004-0000-0100-0000F0040000}"/>
    <hyperlink ref="J818" r:id="rId1265" display="https://www.zillow.com/homedetails/748-N-Detroit-St-Los-Angeles-CA-90046/20784322_zpid/" xr:uid="{00000000-0004-0000-0100-0000F1040000}"/>
    <hyperlink ref="N818" r:id="rId1266" display="https://drive.google.com/open?id=1colKWY9LRfDRKHhMwLzj99M6kESkaXMo" xr:uid="{00000000-0004-0000-0100-0000F2040000}"/>
    <hyperlink ref="J819" r:id="rId1267" display="https://www.zillow.com/homedetails/323-N-Flores-St-Los-Angeles-CA-90048/20779076_zpid/" xr:uid="{00000000-0004-0000-0100-0000F3040000}"/>
    <hyperlink ref="N819" r:id="rId1268" display="https://drive.google.com/open?id=1P_PEr90J8-g9epjKpT-IcLgPHhDRPtvB" xr:uid="{00000000-0004-0000-0100-0000F4040000}"/>
    <hyperlink ref="J820" r:id="rId1269" display="https://www.zillow.com/homedetails/Woodland-Hills-CA-91364/136709794_zpid/" xr:uid="{00000000-0004-0000-0100-0000F5040000}"/>
    <hyperlink ref="J821" r:id="rId1270" display="https://www.zillow.com/homedetails/9243-Cordell-Dr-Los-Angeles-CA-90069/20534852_zpid/" xr:uid="{00000000-0004-0000-0100-0000F6040000}"/>
    <hyperlink ref="N821" r:id="rId1271" display="https://drive.google.com/open?id=168UrlOeiBHs5hm0XiFPrLzuB1RoR556r" xr:uid="{00000000-0004-0000-0100-0000F7040000}"/>
    <hyperlink ref="J822" r:id="rId1272" display="https://www.zillow.com/homedetails/24375-Hatteras-St-Woodland-Hills-CA-91367/19880901_zpid/" xr:uid="{00000000-0004-0000-0100-0000F8040000}"/>
    <hyperlink ref="J823" r:id="rId1273" display="https://www.zillow.com/homedetails/12426-Idaho-Ave-Los-Angeles-CA-90025/20464168_zpid/" xr:uid="{00000000-0004-0000-0100-0000F9040000}"/>
    <hyperlink ref="N823" r:id="rId1274" display="https://drive.google.com/open?id=1KKXXdfLldL9hs1oldvJpZ1cf1sMbo41Y" xr:uid="{00000000-0004-0000-0100-0000FA040000}"/>
    <hyperlink ref="J824" r:id="rId1275" display="https://www.zillow.com/homedetails/1745-S-Barrington-Ave-Los-Angeles-CA-90025/120789557_zpid/" xr:uid="{00000000-0004-0000-0100-0000FB040000}"/>
    <hyperlink ref="J825" r:id="rId1276" display="https://www.zillow.com/homedetails/1536-Blue-Jay-Way-Los-Angeles-CA-90069/20799751_zpid/" xr:uid="{00000000-0004-0000-0100-0000FC040000}"/>
    <hyperlink ref="N825" r:id="rId1277" display="https://drive.google.com/open?id=1mNt7gEInYcRSCQrF42L26tUkT_uXRmW1" xr:uid="{00000000-0004-0000-0100-0000FD040000}"/>
    <hyperlink ref="J826" r:id="rId1278" display="https://www.zillow.com/homedetails/17862-Via-Vallarta-Encino-CA-91316/19950893_zpid/" xr:uid="{00000000-0004-0000-0100-0000FE040000}"/>
    <hyperlink ref="J827" r:id="rId1279" display="https://www.zillow.com/homedetails/12830-Elkwood-St-North-Hollywood-CA-91605/19997569_zpid/" xr:uid="{00000000-0004-0000-0100-0000FF040000}"/>
    <hyperlink ref="J828" r:id="rId1280" display="https://www.zillow.com/homedetails/Van-Nuys-CA-91406/19953018_zpid/" xr:uid="{00000000-0004-0000-0100-000000050000}"/>
    <hyperlink ref="J829" r:id="rId1281" display="https://www.zillow.com/homedetails/110-Box-Canyon-Rd-Canoga-Park-CA-91304/16463829_zpid/" xr:uid="{00000000-0004-0000-0100-000001050000}"/>
    <hyperlink ref="J830" r:id="rId1282" display="https://www.trulia.com/home/458-s-ramona-ave-b-monterey-park-ca-91754-2088826105" xr:uid="{00000000-0004-0000-0100-000002050000}"/>
    <hyperlink ref="N830" r:id="rId1283" display="https://drive.google.com/open?id=1fsHQTEsaDKfKuECpN9RqtVV9Rc5eARjj" xr:uid="{00000000-0004-0000-0100-000003050000}"/>
    <hyperlink ref="J831" r:id="rId1284" display="https://www.trulia.com/home/2324-n-vermont-ave-los-angeles-ca-90027-20809114" xr:uid="{00000000-0004-0000-0100-000004050000}"/>
    <hyperlink ref="N831" r:id="rId1285" display="https://drive.google.com/open?id=1k5BvLcs9yJZyi45CAgCpMrXCx2weYHaV" xr:uid="{00000000-0004-0000-0100-000005050000}"/>
    <hyperlink ref="J832" r:id="rId1286" display="https://www.zillow.com/homedetails/3365-Tyburn-St-Los-Angeles-CA-90039/20750852_zpid/" xr:uid="{00000000-0004-0000-0100-000006050000}"/>
    <hyperlink ref="J833" r:id="rId1287" display="https://www.zillow.com/homedetails/30028-Torrepines-Pl-Agoura-Hills-CA-91301/19887179_zpid/" xr:uid="{00000000-0004-0000-0100-000007050000}"/>
    <hyperlink ref="J834" r:id="rId1288" display="https://www.trulia.com/home/6760-w-gill-way-los-angeles-ca-90068-122235808" xr:uid="{00000000-0004-0000-0100-000008050000}"/>
    <hyperlink ref="N834" r:id="rId1289" display="https://drive.google.com/open?id=1WqTRBf6BtPVlIjeb1IYxiZsxRtOnCY2W" xr:uid="{00000000-0004-0000-0100-000009050000}"/>
    <hyperlink ref="J835" r:id="rId1290" display="https://www.zillow.com/homedetails/629-Traction-Ave-Los-Angeles-CA-90013/2104238752_zpid/" xr:uid="{00000000-0004-0000-0100-00000A050000}"/>
    <hyperlink ref="N835" r:id="rId1291" display="https://drive.google.com/open?id=19z-PTKSAx0YcVBgoSvPoq2LZrisZH3WI" xr:uid="{00000000-0004-0000-0100-00000B050000}"/>
    <hyperlink ref="J836" r:id="rId1292" display="https://www.zillow.com/homedetails/Van-Nuys-CA-91406/19953018_zpid/" xr:uid="{00000000-0004-0000-0100-00000C050000}"/>
    <hyperlink ref="J837" r:id="rId1293" display="https://www.zillow.com/homedetails/1123-4th-Ave-Los-Angeles-CA-90019/2087193810_zpid/" xr:uid="{00000000-0004-0000-0100-00000D050000}"/>
    <hyperlink ref="J838" r:id="rId1294" display="https://www.trulia.com/home/2928-las-alturas-st-los-angeles-ca-90068-20045443" xr:uid="{00000000-0004-0000-0100-00000E050000}"/>
    <hyperlink ref="N838" r:id="rId1295" display="https://drive.google.com/open?id=1trPzVy7V-6n7Kct6UV12cpjGVjgcaj18" xr:uid="{00000000-0004-0000-0100-00000F050000}"/>
    <hyperlink ref="J839" r:id="rId1296" display="https://www.trulia.com/home/2955-passmore-dr-los-angeles-ca-90068-20045194" xr:uid="{00000000-0004-0000-0100-000010050000}"/>
    <hyperlink ref="N839" r:id="rId1297" display="https://drive.google.com/open?id=15JB6BYIA_Bhw2HKtBSJpvFnWZxrGR4xr" xr:uid="{00000000-0004-0000-0100-000011050000}"/>
    <hyperlink ref="J840" r:id="rId1298" display="https://www.zillow.com/homedetails/406-W-Sierra-Dr-Santa-Ana-CA-92707/25456759_zpid/" xr:uid="{00000000-0004-0000-0100-000012050000}"/>
    <hyperlink ref="J841" r:id="rId1299" display="https://www.zillow.com/homedetails/23621-Dunsmore-Ln-Santa-Clarita-CA-91354/20195841_zpid/?utm_campaign=iosappmessage&amp;utm_medium=referral&amp;utm_source=txtshare" xr:uid="{00000000-0004-0000-0100-000013050000}"/>
    <hyperlink ref="J842" r:id="rId1300" display="https://www.zillow.com/homedetails/141-S-La-Peer-Dr-Beverly-Hills-CA-90211/20513483_zpid/" xr:uid="{00000000-0004-0000-0100-000014050000}"/>
    <hyperlink ref="J843" r:id="rId1301" display="https://www.zillow.com/homedetails/1255-Federal-Ave-APT-407-Los-Angeles-CA-90025/20466832_zpid/" xr:uid="{00000000-0004-0000-0100-000015050000}"/>
    <hyperlink ref="J844" r:id="rId1302" display="https://www.trulia.com/home/3763-lankershim-blvd-los-angeles-ca-90068-20030296" xr:uid="{00000000-0004-0000-0100-000016050000}"/>
    <hyperlink ref="N844" r:id="rId1303" display="https://drive.google.com/open?id=1Yz_il5FvBrEiHSYezXfksBveYeItWXZT" xr:uid="{00000000-0004-0000-0100-000017050000}"/>
    <hyperlink ref="J845" r:id="rId1304" display="https://www.zillow.com/homedetails/1156-N-Orange-Dr-Los-Angeles-CA-90038/338340809_zpid/" xr:uid="{00000000-0004-0000-0100-000018050000}"/>
    <hyperlink ref="J846" r:id="rId1305" display="https://www.zillow.com/homedetails/5041-Noeline-Ave-Encino-CA-91436/19980566_zpid/" xr:uid="{00000000-0004-0000-0100-000019050000}"/>
    <hyperlink ref="J847" r:id="rId1306" display="https://www.zillow.com/homedetails/8262-Woodshill-Trl-Los-Angeles-CA-90069/20797509_zpid/" xr:uid="{00000000-0004-0000-0100-00001A050000}"/>
    <hyperlink ref="J848" r:id="rId1307" display="https://www.zillow.com/homedetails/10364-Eastborne-Ave-Los-Angeles-CA-90024/20507858_zpid/" xr:uid="{00000000-0004-0000-0100-00001B050000}"/>
    <hyperlink ref="J849" r:id="rId1308" display="https://www.zillow.com/homedetails/173-S-Alta-Vista-Blvd-Los-Angeles-CA-90036/20777839_zpid/" xr:uid="{00000000-0004-0000-0100-00001C050000}"/>
    <hyperlink ref="J850" r:id="rId1309" display="https://www.zillow.com/homedetails/5107-11th-Ave-Los-Angeles-CA-90043/20567993_zpid/" xr:uid="{00000000-0004-0000-0100-00001D050000}"/>
    <hyperlink ref="J851" r:id="rId1310" display="https://www.zillow.com/homedetails/6740-Colgate-Ave-Los-Angeles-CA-90048/20776032_zpid/" xr:uid="{00000000-0004-0000-0100-00001E050000}"/>
    <hyperlink ref="J852" r:id="rId1311" display="https://www.zillow.com/homedetails/4256-Rosario-Rd-Woodland-Hills-CA-91364/19945259_zpid/" xr:uid="{00000000-0004-0000-0100-00001F050000}"/>
    <hyperlink ref="J853" r:id="rId1312" display="https://www.zillow.com/homedetails/6132-Maryland-Dr-Los-Angeles-CA-90048/20776444_zpid/" xr:uid="{00000000-0004-0000-0100-000020050000}"/>
    <hyperlink ref="J854" r:id="rId1313" display="https://www.zillow.com/homedetails/5247-Calatrana-Dr-Woodland-Hills-CA-91364/19942811_zpid/" xr:uid="{00000000-0004-0000-0100-000021050000}"/>
    <hyperlink ref="J855" r:id="rId1314" display="https://www.zillow.com/homedetails/2606-James-M-Wood-Blvd-Los-Angeles-CA-90006/302797427_zpid/" xr:uid="{00000000-0004-0000-0100-000022050000}"/>
    <hyperlink ref="J856" r:id="rId1315" display="https://www.zillow.com/homedetails/7901-Berger-Ave-Playa-Del-Rey-CA-90293/20384884_zpid/" xr:uid="{00000000-0004-0000-0100-000023050000}"/>
    <hyperlink ref="J857" r:id="rId1316" display="https://www.zillow.com/homedetails/1831-Federal-Ave-11-Los-Angeles-CA-90025/2077855757_zpid/" xr:uid="{00000000-0004-0000-0100-000024050000}"/>
    <hyperlink ref="J858" r:id="rId1317" display="https://www.zillow.com/homedetails/10214-Candleberry-Ln-Northridge-CA-91324/20167392_zpid/" xr:uid="{00000000-0004-0000-0100-000025050000}"/>
    <hyperlink ref="J859" r:id="rId1318" display="https://www.zillow.com/homedetails/817-N-Whittier-Dr-Beverly-Hills-CA-90210/20521923_zpid/" xr:uid="{00000000-0004-0000-0100-000026050000}"/>
    <hyperlink ref="J860" r:id="rId1319" display="https://www.zillow.com/homedetails/1808-Paseo-Del-Mar-Palos-Verdes-Estates-CA-90274/21341208_zpid/" xr:uid="{00000000-0004-0000-0100-000027050000}"/>
    <hyperlink ref="J861" r:id="rId1320" display="https://www.zillow.com/homedetails/20955-Marmora-St-Woodland-Hills-CA-91364/19945090_zpid/" xr:uid="{00000000-0004-0000-0100-000028050000}"/>
    <hyperlink ref="J862" r:id="rId1321" display="https://www.zillow.com/homedetails/9562-Center-Dr-Villa-Park-CA-92861/25420466_zpid/" xr:uid="{00000000-0004-0000-0100-000029050000}"/>
    <hyperlink ref="J863" r:id="rId1322" display="https://www.zillow.com/homedetails/13616-Vose-St-Van-Nuys-CA-91405/20006587_zpid/" xr:uid="{00000000-0004-0000-0100-00002A050000}"/>
    <hyperlink ref="J864" r:id="rId1323" display="https://www.zillow.com/homedetails/801-S-Grand-Ave-APT-2010-Los-Angeles-CA-90017/67420686_zpid/" xr:uid="{00000000-0004-0000-0100-00002B050000}"/>
    <hyperlink ref="J865" r:id="rId1324" display="https://www.zillow.com/homedetails/934-N-Orlando-Ave-Los-Angeles-CA-90069/20787434_zpid/" xr:uid="{00000000-0004-0000-0100-00002C050000}"/>
    <hyperlink ref="N865" r:id="rId1325" display="https://drive.google.com/open?id=1TCAbNSqcGvlq-_JXyPt6JZb98qAbB4o2" xr:uid="{00000000-0004-0000-0100-00002D050000}"/>
    <hyperlink ref="J866" r:id="rId1326" display="https://www.zillow.com/homedetails/9509-Cresta-Dr-Los-Angeles-CA-90035/20493657_zpid/" xr:uid="{00000000-0004-0000-0100-00002E050000}"/>
    <hyperlink ref="N866" r:id="rId1327" display="https://drive.google.com/open?id=1QmoVyDiSY5cILJKJYNGmyGFbmKsqP1Rd" xr:uid="{00000000-0004-0000-0100-00002F050000}"/>
    <hyperlink ref="J867" r:id="rId1328" display="https://www.zillow.com/homedetails/22928-Roscoe-Blvd-Canoga-Park-CA-91304/51578863_zpid/" xr:uid="{00000000-0004-0000-0100-000030050000}"/>
    <hyperlink ref="K867" r:id="rId1329" display="https://vcmlawgroup.com/" xr:uid="{00000000-0004-0000-0100-000031050000}"/>
    <hyperlink ref="J868" r:id="rId1330" display="https://www.zillow.com/homedetails/4045-Jackson-Ave-Culver-City-CA-90232/20433150_zpid/?utm_campaign=iosappmessage&amp;utm_medium=referral&amp;utm_source=txtshare" xr:uid="{00000000-0004-0000-0100-000032050000}"/>
    <hyperlink ref="J869" r:id="rId1331" display="https://www.zillow.com/homedetails/934-N-Orlando-Ave-Los-Angeles-CA-90069/20787434_zpid/" xr:uid="{00000000-0004-0000-0100-000033050000}"/>
    <hyperlink ref="J870" r:id="rId1332" display="https://www.redfin.com/CA/Calabasas/22740-Liberty-Bell-Rd-91302/home/3596428" xr:uid="{00000000-0004-0000-0100-000034050000}"/>
    <hyperlink ref="J871" r:id="rId1333" display="https://www.zillow.com/homedetails/907-Pine-Grove-Ave-Los-Angeles-CA-90042/20769156_zpid/" xr:uid="{00000000-0004-0000-0100-000035050000}"/>
    <hyperlink ref="N871" r:id="rId1334" display="https://drive.google.com/open?id=1fJmGAEl4dp744wzqqYATDobMtXx4doZ8" xr:uid="{00000000-0004-0000-0100-000036050000}"/>
    <hyperlink ref="J872" r:id="rId1335" display="http://zillow.com/" xr:uid="{00000000-0004-0000-0100-000037050000}"/>
    <hyperlink ref="N872" r:id="rId1336" display="https://drive.google.com/open?id=13Ac9zvjmXO_faQ5iR3q-NH91X-XSIEaP" xr:uid="{00000000-0004-0000-0100-000038050000}"/>
    <hyperlink ref="J873" r:id="rId1337" display="https://www.zillow.com/homedetails/1653-Micheltorena-St-APT-3-Los-Angeles-CA-90026/20746457_zpid/" xr:uid="{00000000-0004-0000-0100-000039050000}"/>
    <hyperlink ref="N873" r:id="rId1338" display="https://drive.google.com/open?id=13Y4KlXbGkmmaWR36_IbQrNGh_8ZKUWOz" xr:uid="{00000000-0004-0000-0100-00003A050000}"/>
    <hyperlink ref="J874" r:id="rId1339" display="https://www.zillow.com/homedetails/Los-Angeles-CA-90056/20429298_zpid/" xr:uid="{00000000-0004-0000-0100-00003B050000}"/>
    <hyperlink ref="J875" r:id="rId1340" display="https://www.zillow.com/homedetails/748-S-Cloverdale-Ave-Los-Angeles-CA-90036/20610066_zpid/" xr:uid="{00000000-0004-0000-0100-00003C050000}"/>
    <hyperlink ref="J876" r:id="rId1341" display="http://trulia.com/" xr:uid="{00000000-0004-0000-0100-00003D050000}"/>
    <hyperlink ref="N876" r:id="rId1342" display="https://drive.google.com/open?id=1acxO7p-Wwf1O2RO4AEJ5g-a4IGEHnebh" xr:uid="{00000000-0004-0000-0100-00003E050000}"/>
    <hyperlink ref="I877" r:id="rId1343" display="https://centralinvestmentcorp.appfolio.com/listings/detail/704fb4c3-b73c-440b-8616-1a9195832f12" xr:uid="{00000000-0004-0000-0100-00003F050000}"/>
    <hyperlink ref="J877" r:id="rId1344" display="https://www.zillow.com/homedetails/1105-S-Barrington-Ave-8-Los-Angeles-CA-90049/442775342_zpid/" xr:uid="{00000000-0004-0000-0100-000040050000}"/>
    <hyperlink ref="J878" r:id="rId1345" display="https://www.zillow.com/homedetails/17837-Blackbrush-Dr-Santa-Clarita-CA-91387/20215783_zpid/" xr:uid="{00000000-0004-0000-0100-000041050000}"/>
    <hyperlink ref="J879" r:id="rId1346" display="https://www.redfin.com/CA/Los-Angeles/7599-Coastal-View-Dr-90045/home/17238564" xr:uid="{00000000-0004-0000-0100-000042050000}"/>
    <hyperlink ref="N879" r:id="rId1347" display="https://drive.google.com/open?id=15igRpIrHqTHy7uClvBJ2g28Es9F-wgBE" xr:uid="{00000000-0004-0000-0100-000043050000}"/>
    <hyperlink ref="J880" r:id="rId1348" display="https://www.zillow.com/homedetails/4411-Roma-Ct-Marina-Del-Rey-CA-90292/20487766_zpid/" xr:uid="{00000000-0004-0000-0100-000044050000}"/>
    <hyperlink ref="J881" r:id="rId1349" display="https://www.zillow.com/homedetails/2154-Miner-St-Costa-Mesa-CA-92627/25462788_zpid/" xr:uid="{00000000-0004-0000-0100-000045050000}"/>
    <hyperlink ref="J882" r:id="rId1350" display="https://www.zillow.com/homedetails/600-N-Soto-St-APT-101-Los-Angeles-CA-90033/2095350496_zpid/?utm_campaign=iosappmessage&amp;utm_medium=referral&amp;utm_source=txtshare" xr:uid="{00000000-0004-0000-0100-000046050000}"/>
    <hyperlink ref="J883" r:id="rId1351" display="https://www.zillow.com/homedetails/10364-Eastborne-Ave-Los-Angeles-CA-90024/20507858_zpid/" xr:uid="{00000000-0004-0000-0100-000047050000}"/>
    <hyperlink ref="N883" r:id="rId1352" display="https://drive.google.com/open?id=16UH9DamUXehHB-VTrQWb9Vh5JHp3n-wE" xr:uid="{00000000-0004-0000-0100-000048050000}"/>
    <hyperlink ref="J884" r:id="rId1353" display="https://www.zillow.com/homedetails/15541-Aqua-Verde-Dr-Los-Angeles-CA-90077/20531173_zpid/" xr:uid="{00000000-0004-0000-0100-000049050000}"/>
    <hyperlink ref="J885" r:id="rId1354" display="https://www.zillow.com/homedetails/6952-Solano-Verde-Dr-Somis-CA-93066/16346318_zpid/" xr:uid="{00000000-0004-0000-0100-00004A050000}"/>
    <hyperlink ref="J886" r:id="rId1355" display="https://www.zillow.com/homedetails/1378-N-Raymond-Ave-Pasadena-CA-91103/20865141_zpid/" xr:uid="{00000000-0004-0000-0100-00004B050000}"/>
    <hyperlink ref="J887" r:id="rId1356" display="https://www.zillow.com/homedetails/5737-Cartwright-Ave-North-Hollywood-CA-91601/20040629_zpid/" xr:uid="{00000000-0004-0000-0100-00004C050000}"/>
    <hyperlink ref="N887" r:id="rId1357" display="https://drive.google.com/open?id=1qbzyHM6tkikEDoRZBX1gNlKjD-hN6PSo" xr:uid="{00000000-0004-0000-0100-00004D050000}"/>
    <hyperlink ref="J888" r:id="rId1358" display="https://www.zillow.com/homedetails/3856-Vista-Linda-Dr-Encino-CA-91316/19951052_zpid/" xr:uid="{00000000-0004-0000-0100-00004E050000}"/>
    <hyperlink ref="J889" r:id="rId1359" display="https://www.zillow.com/homedetails/12501-Sapphire-Pl-Valley-Village-CA-91607/325797939_zpid/" xr:uid="{00000000-0004-0000-0100-00004F050000}"/>
    <hyperlink ref="N889" r:id="rId1360" display="https://drive.google.com/open?id=1JbTRbnG9_nikV8vJV9aJWoQdtmSPlI8Y" xr:uid="{00000000-0004-0000-0100-000050050000}"/>
    <hyperlink ref="J890" r:id="rId1361" display="https://www.zillow.com/homedetails/2444-E-Del-Mar-Blvd-UNIT-115-Pasadena-CA-91107/20702157_zpid/" xr:uid="{00000000-0004-0000-0100-000051050000}"/>
    <hyperlink ref="J891" r:id="rId1362" display="https://www.zillow.com/homedetails/4832-Whitsett-Ave-Valley-Village-CA-91607/443924837_zpid/" xr:uid="{00000000-0004-0000-0100-000052050000}"/>
    <hyperlink ref="N891" r:id="rId1363" display="https://drive.google.com/open?id=1xC1GNeBy3YGHPHHKoSDug94qx1Xx5c0p" xr:uid="{00000000-0004-0000-0100-000053050000}"/>
    <hyperlink ref="J892" r:id="rId1364" display="https://www.zillow.com/homedetails/3019-Linda-Ln-Santa-Monica-CA-90405/20481699_zpid/" xr:uid="{00000000-0004-0000-0100-000054050000}"/>
    <hyperlink ref="J893" r:id="rId1365" display="https://www.zillow.com/homedetails/7826-Fallbrook-Ave-7826-Canoga-Park-CA-91304/2057607656_zpid/" xr:uid="{00000000-0004-0000-0100-000055050000}"/>
    <hyperlink ref="J894" r:id="rId1366" display="https://www.zillow.com/homedetails/427-W-Riverside-Dr-Burbank-CA-91506/20825323_zpid/" xr:uid="{00000000-0004-0000-0100-000056050000}"/>
    <hyperlink ref="N894" r:id="rId1367" display="https://drive.google.com/open?id=1eLezQ7AJf9VGn1r9t_F6PY7qzynQS_EC" xr:uid="{00000000-0004-0000-0100-000057050000}"/>
    <hyperlink ref="J895" r:id="rId1368" display="https://www.zillow.com/homedetails/2937-Urban-Ave-Santa-Monica-CA-90404/20473812_zpid/" xr:uid="{00000000-0004-0000-0100-000058050000}"/>
    <hyperlink ref="J896" r:id="rId1369" display="https://www.zillow.com/homedetails/15-Outrigger-St-APT-102-Marina-Del-Rey-CA-90292/2091349239_zpid/" xr:uid="{00000000-0004-0000-0100-000059050000}"/>
    <hyperlink ref="N896" r:id="rId1370" display="https://drive.google.com/open?id=1TRKZbnkvAfoGr_FgoLacYwXudXyw9u1k" xr:uid="{00000000-0004-0000-0100-00005A050000}"/>
    <hyperlink ref="J897" r:id="rId1371" display="https://www.zillow.com/homedetails/4322-Escondido-Dr-Malibu-CA-90265/338340541_zpid/" xr:uid="{00000000-0004-0000-0100-00005B050000}"/>
    <hyperlink ref="J898" r:id="rId1372" display="https://www.zillow.com/homedetails/321-Beloit-Ave-Los-Angeles-CA-90049/20527260_zpid/" xr:uid="{00000000-0004-0000-0100-00005C050000}"/>
    <hyperlink ref="J899" r:id="rId1373" display="https://www.zillow.com/homedetails/6952-Solano-Verde-Dr-Somis-CA-93066/16346318_zpid/" xr:uid="{00000000-0004-0000-0100-00005D050000}"/>
    <hyperlink ref="J900" r:id="rId1374" display="https://www.zillow.com/homedetails/414-Pacific-Ave-Venice-CA-90291/20482001_zpid/" xr:uid="{00000000-0004-0000-0100-00005E050000}"/>
    <hyperlink ref="J901" r:id="rId1375" display="https://www.zillow.com/homedetails/5059-Hermosa-Ave-Los-Angeles-CA-90041/2090546544_zpid/" xr:uid="{00000000-0004-0000-0100-00005F050000}"/>
    <hyperlink ref="N901" r:id="rId1376" display="https://drive.google.com/open?id=1v1H3QeJY_qq2mjOGOsY9-v_K-9KL0_Tt" xr:uid="{00000000-0004-0000-0100-000060050000}"/>
    <hyperlink ref="J902" r:id="rId1377" display="https://www.zillow.com/homedetails/222-7th-St-UNIT-202-Santa-Monica-CA-90402/20485881_zpid/" xr:uid="{00000000-0004-0000-0100-000061050000}"/>
    <hyperlink ref="N902" r:id="rId1378" display="https://drive.google.com/open?id=1cLGR0wN2_pDUo5Nu432atS1vLEJW57ZE" xr:uid="{00000000-0004-0000-0100-000062050000}"/>
    <hyperlink ref="J903" r:id="rId1379" display="https://www.zillow.com/homedetails/934-N-Orlando-Ave-Los-Angeles-CA-90069/20787434_zpid/?utm_campaign=iosappmessage&amp;utm_medium=referral&amp;utm_source=txtshare" xr:uid="{00000000-0004-0000-0100-000063050000}"/>
    <hyperlink ref="J904" r:id="rId1380" display="https://www.trulia.com/home/4400-carpenter-ave-valley-village-ca-91607-20024404" xr:uid="{00000000-0004-0000-0100-000064050000}"/>
    <hyperlink ref="N904" r:id="rId1381" display="https://drive.google.com/open?id=1I9-w49am5bOsT5kE4UBOOtW2G0vqrHVz" xr:uid="{00000000-0004-0000-0100-000065050000}"/>
    <hyperlink ref="J905" r:id="rId1382" display="https://www.zillow.com/homedetails/207-Hollister-Ave-Santa-Monica-CA-90405/82872897_zpid/" xr:uid="{00000000-0004-0000-0100-000066050000}"/>
    <hyperlink ref="J906" r:id="rId1383" display="https://www.zillow.com/homedetails/547-Palisades-Beach-Rd-Santa-Monica-CA-90402/20486922_zpid/" xr:uid="{00000000-0004-0000-0100-000067050000}"/>
    <hyperlink ref="N906" r:id="rId1384" display="https://drive.google.com/open?id=1o5Qz_AuYKzMEli3xoRpl9vGp0IlysP4s" xr:uid="{00000000-0004-0000-0100-000068050000}"/>
    <hyperlink ref="J907" r:id="rId1385" display="https://www.zillow.com/homedetails/3362-1-2-Descanso-Dr-Los-Angeles-CA-90026/2094914576_zpid/" xr:uid="{00000000-0004-0000-0100-000069050000}"/>
    <hyperlink ref="N907" r:id="rId1386" display="https://drive.google.com/open?id=1ZNsh9GUlGNSMC-slYorgWwVhq9DUhb7L" xr:uid="{00000000-0004-0000-0100-00006A050000}"/>
    <hyperlink ref="J908" r:id="rId1387" display="https://www.zillow.com/homedetails/8262-Woodshill-Trl-Los-Angeles-CA-90069/20797509_zpid/?utm_campaign=iosappmessage&amp;utm_medium=referral&amp;utm_source=txtshare" xr:uid="{00000000-0004-0000-0100-00006B050000}"/>
    <hyperlink ref="J909" r:id="rId1388" display="https://www.zillow.com/homedetails/4104-Huron-Ave-Culver-City-CA-90232/20432909_zpid/" xr:uid="{00000000-0004-0000-0100-00006C050000}"/>
    <hyperlink ref="J910" r:id="rId1389" display="https://www.zillow.com/homedetails/1067-Palos-Verdes-Blvd-A-Redondo-Beach-CA-90277/2077373956_zpid/" xr:uid="{00000000-0004-0000-0100-00006D050000}"/>
    <hyperlink ref="N910" r:id="rId1390" display="https://drive.google.com/open?id=1ehv4sjNnPAXAk4A4AUbuiLNsQ23GVlZo" xr:uid="{00000000-0004-0000-0100-00006E050000}"/>
    <hyperlink ref="J911" r:id="rId1391" display="https://www.zillow.com/homedetails/411-Grand-Blvd-Venice-CA-90291/20450390_zpid/" xr:uid="{00000000-0004-0000-0100-00006F050000}"/>
    <hyperlink ref="N911" r:id="rId1392" display="https://drive.google.com/open?id=1WJa7DRtnb7A0xXci5jLbefxnLRMu9IEZ" xr:uid="{00000000-0004-0000-0100-000070050000}"/>
    <hyperlink ref="J912" r:id="rId1393" display="https://www.zillow.com/homedetails/715-N-Rexford-Dr-Beverly-Hills-CA-90210/20520993_zpid/" xr:uid="{00000000-0004-0000-0100-000071050000}"/>
    <hyperlink ref="J913" r:id="rId1394" display="https://www.zillow.com/homedetails/120-Galleon-St-Los-Angeles-CA-90292/50894475_zpid/" xr:uid="{00000000-0004-0000-0100-000072050000}"/>
    <hyperlink ref="N913" r:id="rId1395" display="https://drive.google.com/open?id=1PjTJhkWRdd-2nyZFagan0YBmuPHV-r3j" xr:uid="{00000000-0004-0000-0100-000073050000}"/>
    <hyperlink ref="J914" r:id="rId1396" display="https://www.zillow.com/homedetails/1433-19th-St-APT-C-Santa-Monica-CA-90404/2088111038_zpid/?utm_campaign=iosappmessage&amp;utm_medium=referral&amp;utm_source=txtshare" xr:uid="{00000000-0004-0000-0100-000074050000}"/>
    <hyperlink ref="N914" r:id="rId1397" display="https://drive.google.com/open?id=10B4itCRJadNmeDs_3C7di3KSSVOdVm99" xr:uid="{00000000-0004-0000-0100-000075050000}"/>
    <hyperlink ref="J915" r:id="rId1398" display="https://www.zillow.com/homedetails/5190-Horizon-Dr-Malibu-CA-90265/95578986_zpid/" xr:uid="{00000000-0004-0000-0100-000076050000}"/>
    <hyperlink ref="N916" r:id="rId1399" display="https://drive.google.com/open?id=10k86cidj7BDd03mSvF6Y5iDXjEibPkaK" xr:uid="{00000000-0004-0000-0100-000077050000}"/>
    <hyperlink ref="J917" r:id="rId1400" display="https://www.zillow.com/homedetails/2152-Crescent-Ave-Montrose-CA-91020/20902481_zpid/?utm_campaign=iosappmessage&amp;utm_medium=referral&amp;utm_source=txtshare" xr:uid="{00000000-0004-0000-0100-000078050000}"/>
    <hyperlink ref="N917" r:id="rId1401" display="https://drive.google.com/open?id=1M-zhTTNtqbdNloapQ4_FPgq21KyCUhwS" xr:uid="{00000000-0004-0000-0100-000079050000}"/>
    <hyperlink ref="J918" r:id="rId1402" display="https://www.zillow.com/homedetails/2-El-Concho-Ln-Rolling-Hills-CA-90274/21355619_zpid/" xr:uid="{00000000-0004-0000-0100-00007A050000}"/>
    <hyperlink ref="J919" r:id="rId1403" location="property-history" display="https://www.redfin.com/CA/South-El-Monte/49-Aria-St-91733/home/182335149 - property-history" xr:uid="{00000000-0004-0000-0100-00007B050000}"/>
    <hyperlink ref="N919" r:id="rId1404" display="https://drive.google.com/open?id=1-CMbX1zUMRhKUT2TaJZzPtM7mFqWOkDw" xr:uid="{00000000-0004-0000-0100-00007C050000}"/>
    <hyperlink ref="J920" r:id="rId1405" display="https://www.zillow.com/homedetails/25247-Bigelow-Rd-503-02-Torrance-CA-90505/2079199375_zpid/" xr:uid="{00000000-0004-0000-0100-00007D050000}"/>
    <hyperlink ref="J921" r:id="rId1406" display="https://www.zillow.com/homedetails/31663-Broad-Beach-Rd-Malibu-CA-90265/20557790_zpid/" xr:uid="{00000000-0004-0000-0100-00007E050000}"/>
    <hyperlink ref="J922" r:id="rId1407" location="property-history" display="https://www.redfin.com/CA/Los-Angeles/843-N-Spaulding-Ave-90046/home/7103480 - property-history" xr:uid="{00000000-0004-0000-0100-00007F050000}"/>
    <hyperlink ref="N922" r:id="rId1408" display="https://drive.google.com/open?id=1XwVk29ZJ10q097mqReXgr4-BQYG7FNvU" xr:uid="{00000000-0004-0000-0100-000080050000}"/>
    <hyperlink ref="J923" r:id="rId1409" display="https://www.zillow.com/homedetails/3761-Greenfield-Ave-Los-Angeles-CA-90034/20460245_zpid/" xr:uid="{00000000-0004-0000-0100-000081050000}"/>
    <hyperlink ref="N923" r:id="rId1410" display="https://drive.google.com/open?id=1Vnx6izXIA3kCOhXvyhgMZGJ2j0MLeHeQ" xr:uid="{00000000-0004-0000-0100-000082050000}"/>
    <hyperlink ref="J924" r:id="rId1411" display="https://www.zillow.com/homedetails/3317-Vista-Dr-Manhattan-Beach-CA-90266/68993329_zpid/?utm_campaign=iosappmessage&amp;utm_medium=referral&amp;utm_source=txtshare" xr:uid="{00000000-0004-0000-0100-000083050000}"/>
    <hyperlink ref="J925" r:id="rId1412" display="https://www.redfin.com/CA/Tarzana/5050-Casa-Dr-91356/home/4238732" xr:uid="{00000000-0004-0000-0100-000084050000}"/>
    <hyperlink ref="J926" r:id="rId1413" display="https://www.zillow.com/homedetails/1900-Fox-Hills-Dr-Los-Angeles-CA-90025/20500326_zpid/" xr:uid="{00000000-0004-0000-0100-000085050000}"/>
    <hyperlink ref="N926" r:id="rId1414" display="https://drive.google.com/open?id=1zRAKdqGtj1Ewx-BbXjhtTKRRTuapmKOa" xr:uid="{00000000-0004-0000-0100-000086050000}"/>
    <hyperlink ref="J927" r:id="rId1415" location="property-history" display="https://www.redfin.com/CA/Los-Angeles/637-N-Gardner-St-90036/home/7102773 - property-history" xr:uid="{00000000-0004-0000-0100-000087050000}"/>
    <hyperlink ref="N927" r:id="rId1416" display="https://drive.google.com/open?id=1C-_4t0WLafFJQzezkbuMoamD8uDg3kEq" xr:uid="{00000000-0004-0000-0100-000088050000}"/>
    <hyperlink ref="J928" r:id="rId1417" location="property-history" display="https://www.redfin.com/CA/Los-Angeles/610-N-Stanley-Ave-90036/home/7102743 - property-history" xr:uid="{00000000-0004-0000-0100-000089050000}"/>
    <hyperlink ref="N928" r:id="rId1418" display="https://drive.google.com/open?id=1KAslVx50Pdex-peJVV_J5UNuJmkY-Vki" xr:uid="{00000000-0004-0000-0100-00008A050000}"/>
    <hyperlink ref="J929" r:id="rId1419" display="https://www.zillow.com/homedetails/71-Linda-Isle-Newport-Beach-CA-92660/25139026_zpid/" xr:uid="{00000000-0004-0000-0100-00008B050000}"/>
    <hyperlink ref="J930" r:id="rId1420" display="https://www.redfin.com/CA/West-Hills/7168-Rockridge-Ter-91307/home/3142272" xr:uid="{00000000-0004-0000-0100-00008C050000}"/>
    <hyperlink ref="J931" r:id="rId1421" display="https://www.zillow.com/homedetails/213-Via-Cordova-Newport-Beach-CA-92663/25464893_zpid/" xr:uid="{00000000-0004-0000-0100-00008D050000}"/>
    <hyperlink ref="J932" r:id="rId1422" display="https://www.zillow.com/homedetails/1524-N-Sierra-Bonita-Ave-Los-Angeles-CA-90046/20794339_zpid/?utm_campaign=iosappmessage&amp;utm_medium=referral&amp;utm_source=txtshare" xr:uid="{00000000-0004-0000-0100-00008E050000}"/>
    <hyperlink ref="K932" r:id="rId1423" display="https://www.zillow.com/profile/lindsaysegal" xr:uid="{00000000-0004-0000-0100-00008F050000}"/>
    <hyperlink ref="J933" r:id="rId1424" display="https://www.zillow.com/homedetails/10769-10771-Ashton-Ave-Los-Angeles-CA-90024/20504690_zpid/" xr:uid="{00000000-0004-0000-0100-000090050000}"/>
    <hyperlink ref="N933" r:id="rId1425" display="https://drive.google.com/open?id=1WUHVj4onr_wBmUis7ge5Kefw93mxX_0b" xr:uid="{00000000-0004-0000-0100-000091050000}"/>
    <hyperlink ref="J934" r:id="rId1426" display="https://www.zillow.com/homedetails/527-Seaward-Rd-Corona-Del-Mar-CA-92625/25498083_zpid/" xr:uid="{00000000-0004-0000-0100-000092050000}"/>
    <hyperlink ref="J935" r:id="rId1427" display="https://www.zillow.com/homedetails/474-Rye-Ct-Thousand-Oaks-CA-91362/54900416_zpid/" xr:uid="{00000000-0004-0000-0100-000093050000}"/>
    <hyperlink ref="J936" r:id="rId1428" display="https://www.zillow.com/homedetails/1914-Laurel-Canyon-Blvd-Los-Angeles-CA-90046/20802462_zpid/?utm_campaign=iosappmessage&amp;utm_medium=referral&amp;utm_source=txtshare" xr:uid="{00000000-0004-0000-0100-000094050000}"/>
    <hyperlink ref="J937" r:id="rId1429" display="https://www.zillow.com/homedetails/2529-Topanga-Skyline-Dr-Topanga-CA-90290/135463528_zpid/" xr:uid="{00000000-0004-0000-0100-000095050000}"/>
    <hyperlink ref="J938" r:id="rId1430" display="https://www.zillow.com/homedetails/321-Beloit-Ave-Los-Angeles-CA-90049/20527260_zpid/?utm_campaign=iosappmessage&amp;utm_medium=referral&amp;utm_source=txtshare" xr:uid="{00000000-0004-0000-0100-000096050000}"/>
    <hyperlink ref="J939" r:id="rId1431" display="https://www.zillow.com/homedetails/18007-Elgar-Ave-Torrance-CA-90504/20373248_zpid/" xr:uid="{00000000-0004-0000-0100-000097050000}"/>
    <hyperlink ref="J940" r:id="rId1432" display="https://www.zillow.com/homedetails/715-N-Rexford-Dr-Beverly-Hills-CA-90210/20520993_zpid/?utm_campaign=iosappmessage&amp;utm_medium=referral&amp;utm_source=txtshare" xr:uid="{00000000-0004-0000-0100-000098050000}"/>
    <hyperlink ref="J941" r:id="rId1433" display="https://www.zillow.com/homedetails/508-N-Canon-Dr-Beverly-Hills-CA-90210/20521062_zpid/?utm_campaign=iosappmessage&amp;utm_medium=referral&amp;utm_source=txtshare" xr:uid="{00000000-0004-0000-0100-000099050000}"/>
    <hyperlink ref="J942" r:id="rId1434" display="https://www.zillow.com/homedetails/2438-Riverside-Pl-Los-Angeles-CA-90039/20753132_zpid/?utm_campaign=iosappmessage&amp;utm_medium=referral&amp;utm_source=txtshare" xr:uid="{00000000-0004-0000-0100-00009A050000}"/>
    <hyperlink ref="J943" r:id="rId1435" display="https://www.zillow.com/homedetails/11730-Stonehenge-Ln-Los-Angeles-CA-90077/20530651_zpid/" xr:uid="{00000000-0004-0000-0100-00009B050000}"/>
    <hyperlink ref="J944" r:id="rId1436" display="https://www.zillow.com/homedetails/24438-Ward-St-Torrance-CA-90505/21337001_zpid/" xr:uid="{00000000-0004-0000-0100-00009C050000}"/>
    <hyperlink ref="J945" r:id="rId1437" display="https://www.zillow.com/homedetails/3623-Saint-Elizabeth-Rd-Glendale-CA-91206/20841809_zpid/" xr:uid="{00000000-0004-0000-0100-00009D050000}"/>
    <hyperlink ref="N945" r:id="rId1438" display="https://drive.google.com/open?id=1dJiHmGashTUihDtL9uUkcvUtnfUlP0V4" xr:uid="{00000000-0004-0000-0100-00009E050000}"/>
    <hyperlink ref="J946" r:id="rId1439" display="https://www.zillow.com/homedetails/18027-Saint-Andrews-Pl-Torrance-CA-90504/20376462_zpid/" xr:uid="{00000000-0004-0000-0100-00009F050000}"/>
    <hyperlink ref="J947" r:id="rId1440" display="https://www.zillow.com/homedetails/349-E-Newman-Ave-Arcadia-CA-91006/20888114_zpid/" xr:uid="{00000000-0004-0000-0100-0000A0050000}"/>
    <hyperlink ref="N947" r:id="rId1441" display="https://drive.google.com/open?id=1oPuBLTwcLJHbvyVlx1NCPp9O48ofp6KY" xr:uid="{00000000-0004-0000-0100-0000A1050000}"/>
    <hyperlink ref="J948" r:id="rId1442" display="https://www.zillow.com/homedetails/1425-Wentworth-Ave-Pasadena-CA-91106/20699925_zpid/" xr:uid="{00000000-0004-0000-0100-0000A2050000}"/>
    <hyperlink ref="N948" r:id="rId1443" display="https://drive.google.com/open?id=1ElfqO42X1xb7ugCh3lKihcCpi1vpu9_z" xr:uid="{00000000-0004-0000-0100-0000A3050000}"/>
    <hyperlink ref="J949" r:id="rId1444" display="https://www.zillow.com/homedetails/22601-Iris-Ave-Torrance-CA-90505/21277590_zpid/" xr:uid="{00000000-0004-0000-0100-0000A4050000}"/>
    <hyperlink ref="J950" r:id="rId1445" display="https://www.zillow.com/homedetails/161-E-Las-Flores-Ave-Arcadia-CA-91006/20896641_zpid/" xr:uid="{00000000-0004-0000-0100-0000A5050000}"/>
    <hyperlink ref="N950" r:id="rId1446" display="https://drive.google.com/open?id=1kGugXFrSy8Zf47cxt5fh6PH0gH9u1WJX" xr:uid="{00000000-0004-0000-0100-0000A6050000}"/>
    <hyperlink ref="J951" r:id="rId1447" display="https://www.zillow.com/homedetails/2908-Foss-Ave-Arcadia-CA-91006/20898248_zpid/" xr:uid="{00000000-0004-0000-0100-0000A7050000}"/>
    <hyperlink ref="N951" r:id="rId1448" display="https://drive.google.com/open?id=1JYXj0d_1KSnTZk_vJlRZNOBn1lysvQAl" xr:uid="{00000000-0004-0000-0100-0000A8050000}"/>
    <hyperlink ref="J952" r:id="rId1449" display="https://www.zillow.com/homedetails/1341-Sierra-Alta-Way-Los-Angeles-CA-90069/20535094_zpid/" xr:uid="{00000000-0004-0000-0100-0000A9050000}"/>
    <hyperlink ref="J953" r:id="rId1450" display="https://www.zillow.com/homedetails/815-E-Chestnut-Ave-San-Gabriel-CA-91776/20725484_zpid/" xr:uid="{00000000-0004-0000-0100-0000AA050000}"/>
    <hyperlink ref="N953" r:id="rId1451" display="https://drive.google.com/open?id=1EA4UhOZeHm7mVJTAJdYuiE0sFkkzODhJ" xr:uid="{00000000-0004-0000-0100-0000AB050000}"/>
    <hyperlink ref="J954" r:id="rId1452" display="https://www.zillow.com/homedetails/3210-Merrill-Dr-APT-9-Torrance-CA-90503/2101357879_zpid/" xr:uid="{00000000-0004-0000-0100-0000AC050000}"/>
    <hyperlink ref="J955" r:id="rId1453" display="https://www.zillow.com/homedetails/536-Quail-Dr-Los-Angeles-CA-90065/20761121_zpid/" xr:uid="{00000000-0004-0000-0100-0000AD050000}"/>
    <hyperlink ref="J956" r:id="rId1454" display="https://www.zillow.com/homedetails/3872-N-Delta-Ave-Rosemead-CA-91770/2063289465_zpid/" xr:uid="{00000000-0004-0000-0100-0000AE050000}"/>
    <hyperlink ref="N956" r:id="rId1455" display="https://drive.google.com/open?id=1o_9ITaq7JSCKsi7V2m8Xy4cBbiStM8ie" xr:uid="{00000000-0004-0000-0100-0000AF050000}"/>
    <hyperlink ref="J957" r:id="rId1456" display="https://www.zillow.com/homedetails/280-Cherry-Dr-Pasadena-CA-91105/20857313_zpid/" xr:uid="{00000000-0004-0000-0100-0000B0050000}"/>
    <hyperlink ref="J958" r:id="rId1457" display="https://www.zillow.com/homedetails/1621-S-Atlantic-Blvd-Alhambra-CA-91803/20716753_zpid/" xr:uid="{00000000-0004-0000-0100-0000B1050000}"/>
    <hyperlink ref="N958" r:id="rId1458" display="https://drive.google.com/open?id=1tynkOT1UoWPkKztvoCiYIJimOwNUKLvz" xr:uid="{00000000-0004-0000-0100-0000B2050000}"/>
    <hyperlink ref="J959" r:id="rId1459" display="https://www.zillow.com/homedetails/19311-Inglewood-Ave-Torrance-CA-90503/21331251_zpid/" xr:uid="{00000000-0004-0000-0100-0000B3050000}"/>
    <hyperlink ref="J960" r:id="rId1460" display="https://www.zillow.com/homedetails/1234-W-1st-St-Monterey-Park-CA-91754/20658363_zpid/" xr:uid="{00000000-0004-0000-0100-0000B4050000}"/>
    <hyperlink ref="N960" r:id="rId1461" display="https://drive.google.com/open?id=1PSZZLoE9JwLEiYeRhQAU2MWt4o0u3qJK" xr:uid="{00000000-0004-0000-0100-0000B5050000}"/>
    <hyperlink ref="J961" r:id="rId1462" display="https://www.zillow.com/homedetails/Los-Angeles-CA-90056/20429298_zpid/" xr:uid="{00000000-0004-0000-0100-0000B6050000}"/>
    <hyperlink ref="J963" r:id="rId1463" display="https://www.zillow.com/homedetails/414-Pacific-Ave-Venice-CA-90291/20482001_zpid/" xr:uid="{00000000-0004-0000-0100-0000B7050000}"/>
    <hyperlink ref="J964" r:id="rId1464" display="https://www.zillow.com/homedetails/3321-E-Colorado-Blvd-25-Pasadena-CA-91107/353727409_zpid/" xr:uid="{00000000-0004-0000-0100-0000B8050000}"/>
    <hyperlink ref="N964" r:id="rId1465" display="https://drive.google.com/open?id=1hf8SwBwNaZVj0FV6VG8D7mKCuF_N8bR7" xr:uid="{00000000-0004-0000-0100-0000B9050000}"/>
    <hyperlink ref="J965" r:id="rId1466" display="https://www.zillow.com/homedetails/11750-W-Sunset-Blvd-APT-311-Los-Angeles-CA-90049/20535208_zpid/" xr:uid="{00000000-0004-0000-0100-0000BA050000}"/>
    <hyperlink ref="J966" r:id="rId1467" display="https://www.zillow.com/homedetails/850-S-Rosemead-Blvd-APT-6-Pasadena-CA-91107/2087922098_zpid/" xr:uid="{00000000-0004-0000-0100-0000BB050000}"/>
    <hyperlink ref="N966" r:id="rId1468" display="https://drive.google.com/open?id=1DTeUk5r5Y-wfzP32xOy0fo_-3f4nEkdw" xr:uid="{00000000-0004-0000-0100-0000BC050000}"/>
    <hyperlink ref="J967" r:id="rId1469" display="https://www.zillow.com/homedetails/19844-Schoolcraft-St-Winnetka-CA-91306/19926144_zpid/?utm_campaign=iosappmessage&amp;utm_medium=referral&amp;utm_source=txtshare" xr:uid="{00000000-0004-0000-0100-0000BD050000}"/>
    <hyperlink ref="J968" r:id="rId1470" display="https://www.zillow.com/homedetails/1141-Sunset-Blvd-C-Arcadia-CA-91007/2132378039_zpid/" xr:uid="{00000000-0004-0000-0100-0000BE050000}"/>
    <hyperlink ref="N968" r:id="rId1471" display="https://drive.google.com/open?id=1f37aSUOYGsfibxZgLkMdRjRSsG4Cd0ov" xr:uid="{00000000-0004-0000-0100-0000BF050000}"/>
    <hyperlink ref="J969" r:id="rId1472" display="https://www.zillow.com/homedetails/3185-Larga-Ave-C-Los-Angeles-CA-90039/2077459261_zpid/" xr:uid="{00000000-0004-0000-0100-0000C0050000}"/>
    <hyperlink ref="J970" r:id="rId1473" display="https://www.zillow.com/homedetails/95-N-Michigan-Ave-11-Pasadena-CA-91106/2068492397_zpid/" xr:uid="{00000000-0004-0000-0100-0000C1050000}"/>
    <hyperlink ref="N970" r:id="rId1474" display="https://drive.google.com/open?id=16VVogyfzs9o9glS9SxDyHwgO-fPeSqOX" xr:uid="{00000000-0004-0000-0100-0000C2050000}"/>
    <hyperlink ref="J971" r:id="rId1475" display="https://www.zillow.com/homedetails/420-S-San-Pedro-St-APT-612-Los-Angeles-CA-90013/72107701_zpid/" xr:uid="{00000000-0004-0000-0100-0000C3050000}"/>
    <hyperlink ref="J972" r:id="rId1476" display="https://www.zillow.com/homedetails/2243-Century-Hl-Los-Angeles-CA-90067/20510481_zpid/" xr:uid="{00000000-0004-0000-0100-0000C4050000}"/>
    <hyperlink ref="J973" r:id="rId1477" display="https://www.zillow.com/homedetails/278-E-Washington-Blvd-APT-7-Pasadena-CA-91104/2087473975_zpid/" xr:uid="{00000000-0004-0000-0100-0000C5050000}"/>
    <hyperlink ref="N973" r:id="rId1478" display="https://drive.google.com/open?id=19IcC5_AE79HfQNoxZG2OD__JcCtbZXvM" xr:uid="{00000000-0004-0000-0100-0000C6050000}"/>
    <hyperlink ref="J974" r:id="rId1479" display="https://www.zillow.com/homedetails/267-Barthe-Dr-14-Pasadena-CA-91103/441812912_zpid/" xr:uid="{00000000-0004-0000-0100-0000C7050000}"/>
    <hyperlink ref="N974" r:id="rId1480" display="https://drive.google.com/open?id=1cDso2WqU03ADGzluNncvUJTEm6g7hfFS" xr:uid="{00000000-0004-0000-0100-0000C8050000}"/>
    <hyperlink ref="J975" r:id="rId1481" display="https://www.zillow.com/homedetails/4703-Columbus-Ave-Sherman-Oaks-CA-91403/19982935_zpid/" xr:uid="{00000000-0004-0000-0100-0000C9050000}"/>
    <hyperlink ref="J976" r:id="rId1482" display="https://www.zillow.com/homedetails/2801-Winter-St-Los-Angeles-CA-90033/20630676_zpid/" xr:uid="{00000000-0004-0000-0100-0000CA050000}"/>
    <hyperlink ref="J977" r:id="rId1483" display="https://www.zillow.com/homedetails/501-E-Del-Mar-Blvd-APT-110-Pasadena-CA-91101/20867692_zpid/" xr:uid="{00000000-0004-0000-0100-0000CB050000}"/>
    <hyperlink ref="N977" r:id="rId1484" display="https://drive.google.com/open?id=1mfXKOtzVxM1yr-gpVxHvdkSHDFGlaGPI" xr:uid="{00000000-0004-0000-0100-0000CC050000}"/>
    <hyperlink ref="J978" r:id="rId1485" display="https://www.zillow.com/homedetails/332-N-Orlando-Ave-Los-Angeles-CA-90048/20779041_zpid/" xr:uid="{00000000-0004-0000-0100-0000CD050000}"/>
    <hyperlink ref="J979" r:id="rId1486" display="https://www.zillow.com/homedetails/394-S-Los-Robles-Ave-APT-7-Pasadena-CA-91101/20867347_zpid/" xr:uid="{00000000-0004-0000-0100-0000CE050000}"/>
    <hyperlink ref="N979" r:id="rId1487" display="https://drive.google.com/open?id=1z9LzIuRRJFbJ6JcCrVGK_Kb7TFP0hJ9W" xr:uid="{00000000-0004-0000-0100-0000CF050000}"/>
    <hyperlink ref="J980" r:id="rId1488" display="https://www.zillow.com/homedetails/5115-Kester-Ave-APT-9-Sherman-Oaks-CA-91403/19981877_zpid/" xr:uid="{00000000-0004-0000-0100-0000D0050000}"/>
    <hyperlink ref="J981" r:id="rId1489" display="https://www.zillow.com/homedetails/3227-E-8th-St-1-Los-Angeles-CA-90023/443931453_zpid/" xr:uid="{00000000-0004-0000-0100-0000D1050000}"/>
    <hyperlink ref="J982" r:id="rId1490" display="https://www.zillow.com/homedetails/3406-Larissa-Dr-Los-Angeles-CA-90026/2104279829_zpid/" xr:uid="{00000000-0004-0000-0100-0000D2050000}"/>
    <hyperlink ref="J983" r:id="rId1491" display="https://www.zillow.com/homedetails/137-N-Doheny-Dr-3-Los-Angeles-CA-90048/406261680_zpid/" xr:uid="{00000000-0004-0000-0100-0000D3050000}"/>
    <hyperlink ref="N983" r:id="rId1492" display="https://drive.google.com/open?id=1q-Sdl8RYDbcdX4WsK2QjxRs-_M-y8IDU" xr:uid="{00000000-0004-0000-0100-0000D4050000}"/>
    <hyperlink ref="J984" r:id="rId1493" display="https://www.zillow.com/homedetails/909-El-Centro-St-FLOOR-2-ID1158-South-Pasadena-CA-91030/2053698939_zpid/?utm_campaign=iosappmessage&amp;utm_medium=referral&amp;utm_source=txtshare" xr:uid="{00000000-0004-0000-0100-0000D5050000}"/>
    <hyperlink ref="J985" r:id="rId1494" display="https://www.zillow.com/homedetails/5709-Calvin-Ave-Tarzana-CA-91356/19932890_zpid/" xr:uid="{00000000-0004-0000-0100-0000D6050000}"/>
    <hyperlink ref="J986" r:id="rId1495" display="https://www.zillow.com/homedetails/4249-Longridge-Ave-UNIT-303-Studio-City-CA-91604/20029463_zpid/" xr:uid="{00000000-0004-0000-0100-0000D7050000}"/>
    <hyperlink ref="J987" r:id="rId1496" display="https://www.zillow.com/homedetails/351-S-Catalina-St-351-Los-Angeles-CA-90020/442833273_zpid/" xr:uid="{00000000-0004-0000-0100-0000D8050000}"/>
    <hyperlink ref="J988" r:id="rId1497" display="https://www.zillow.com/homedetails/8262-Woodshill-Trl-Los-Angeles-CA-90069/20797509_zpid/?utm_campaign=iosappmessage&amp;utm_medium=referral&amp;utm_source=txtshare" xr:uid="{00000000-0004-0000-0100-0000D9050000}"/>
    <hyperlink ref="N988" r:id="rId1498" display="https://drive.google.com/open?id=1Bmdh1y15oqA302M4eyQq62PopwgN4J0z" xr:uid="{00000000-0004-0000-0100-0000DA050000}"/>
    <hyperlink ref="J989" r:id="rId1499" display="https://www.zillow.com/homedetails/11645-Montana-Ave-APT-304-Los-Angeles-CA-90049/20535996_zpid/" xr:uid="{00000000-0004-0000-0100-0000DB050000}"/>
    <hyperlink ref="J990" r:id="rId1500" display="https://www.google.com/url?q=https://www.zillow.com/homedetails/351-S-Catalina-St-351-Los-Angeles-CA-90020/442833273_zpid/?utm_campaign%3Diosappmessage%26utm_medium%3Dreferral%26utm_source%3Dtxtshare&amp;sa=D&amp;source=editors&amp;ust=1736931393971201&amp;usg=AOvVaw1uLNsK5xWkL1hdcxkBrfc8" xr:uid="{00000000-0004-0000-0100-0000DC050000}"/>
    <hyperlink ref="J991" r:id="rId1501" display="https://www.google.com/url?q=https://www.zillow.com/homedetails/351-S-Catalina-St-351-Los-Angeles-CA-90020/442833273_zpid/?utm_campaign%3Diosappmessage%26utm_medium%3Dreferral%26utm_source%3Dtxtshare&amp;sa=D&amp;source=editors&amp;ust=1736931393971201&amp;usg=AOvVaw1uLNsK5xWkL1hdcxkBrfc8" xr:uid="{00000000-0004-0000-0100-0000DD050000}"/>
    <hyperlink ref="J992" r:id="rId1502" display="https://www.google.com/url?q=https://www.zillow.com/homedetails/917-S-Berendo-St-402-Los-Angeles-CA-90006/439637632_zpid/?utm_campaign%3Diosappmessage%26utm_medium%3Dreferral%26utm_source%3Dtxtshare&amp;sa=D&amp;source=editors&amp;ust=1736931393970887&amp;usg=AOvVaw38zefftyL_aeA4vEU1lLg8" xr:uid="{00000000-0004-0000-0100-0000DE050000}"/>
    <hyperlink ref="J993" r:id="rId1503" display="http://zillow.com/" xr:uid="{00000000-0004-0000-0100-0000DF050000}"/>
    <hyperlink ref="N993" r:id="rId1504" display="https://drive.google.com/open?id=1h6eEO_3myR18tJWio_mxcmDSzzRfUKPe" xr:uid="{00000000-0004-0000-0100-0000E0050000}"/>
    <hyperlink ref="J994" r:id="rId1505" display="https://www.zillow.com/homedetails/16-Park-Ave-Venice-CA-90291/20482259_zpid/?utm_campaign=iosappmessage&amp;utm_medium=referral&amp;utm_source=txtshare" xr:uid="{00000000-0004-0000-0100-0000E1050000}"/>
    <hyperlink ref="N994" r:id="rId1506" display="https://drive.google.com/open?id=1bGk5j9EKDzwjsbopSC1EjdIlsGrFmM4k" xr:uid="{00000000-0004-0000-0100-0000E2050000}"/>
    <hyperlink ref="J995" r:id="rId1507" display="https://www.zillow.com/homedetails/3019-Linda-Ln-Santa-Monica-CA-90405/20481699_zpid/?utm_campaign=iosappmessage&amp;utm_medium=referral&amp;utm_source=txtshare" xr:uid="{00000000-0004-0000-0100-0000E3050000}"/>
    <hyperlink ref="J996" r:id="rId1508" display="https://www.zillow.com/homedetails/14649-Addison-St-Sherman-Oaks-CA-91403/19982606_zpid/" xr:uid="{00000000-0004-0000-0100-0000E4050000}"/>
    <hyperlink ref="J997" r:id="rId1509" display="https://www.zillow.com/apartments/marina-del-rey-ca/17-northstar-street/5Xn2hz/" xr:uid="{00000000-0004-0000-0100-0000E5050000}"/>
    <hyperlink ref="N997" r:id="rId1510" display="https://drive.google.com/open?id=1Wrf_leVpIqTyyzeVzX_B2O-cjiuOtJ43" xr:uid="{00000000-0004-0000-0100-0000E6050000}"/>
    <hyperlink ref="J998" r:id="rId1511" display="https://www.zillow.com/homedetails/134-S-Carmelina-Ave-Los-Angeles-CA-90049/20538283_zpid/" xr:uid="{00000000-0004-0000-0100-0000E7050000}"/>
    <hyperlink ref="N998" r:id="rId1512" display="https://drive.google.com/open?id=1XRTz0UVzH1nRXHJLwltZ9lgqbhRwhwvD" xr:uid="{00000000-0004-0000-0100-0000E8050000}"/>
    <hyperlink ref="J999" r:id="rId1513" display="https://www.zillow.com/homedetails/800-Canon-Dr-Pasadena-CA-91106/20700154_zpid/" xr:uid="{00000000-0004-0000-0100-0000E9050000}"/>
    <hyperlink ref="N999" r:id="rId1514" display="https://drive.google.com/open?id=1Ew1ZJjusm-2jw__tzsTfbuhEPOz4mOGQ" xr:uid="{00000000-0004-0000-0100-0000EA050000}"/>
    <hyperlink ref="J1000" r:id="rId1515" display="https://www.zillow.com/homedetails/627-N-Kilkea-Dr-Los-Angeles-CA-90048/20786878_zpid/" xr:uid="{00000000-0004-0000-0100-0000EB050000}"/>
    <hyperlink ref="N1000" r:id="rId1516" display="https://drive.google.com/open?id=15cg--HtLcnRUayIq9VvOFV1p3xXerzmo" xr:uid="{00000000-0004-0000-0100-0000EC050000}"/>
    <hyperlink ref="J1001" r:id="rId1517" display="https://www.zillow.com/homedetails/641-N-Fuller-Ave-Los-Angeles-CA-90036/20785325_zpid/" xr:uid="{00000000-0004-0000-0100-0000ED050000}"/>
    <hyperlink ref="N1001" r:id="rId1518" display="https://drive.google.com/open?id=1e_KVH6RsFL6yNWeWM5xabpd3IWLaBeYR" xr:uid="{00000000-0004-0000-0100-0000EE050000}"/>
    <hyperlink ref="J1002" r:id="rId1519" display="https://www.zillow.com/homedetails/6213-S-Budlong-Ave-Los-Angeles-CA-90044/443691128_zpid/" xr:uid="{00000000-0004-0000-0100-0000EF050000}"/>
    <hyperlink ref="N1002" r:id="rId1520" display="https://drive.google.com/open?id=1pCpmFXrpAHCmAX3rnKApi4H20L65gVnq" xr:uid="{00000000-0004-0000-0100-0000F0050000}"/>
    <hyperlink ref="J1003" r:id="rId1521" display="https://www.zillow.com/homedetails/3759-S-Canfield-Ave-204A-Los-Angeles-CA-90034/443801052_zpid/" xr:uid="{00000000-0004-0000-0100-0000F1050000}"/>
    <hyperlink ref="N1003" r:id="rId1522" display="https://drive.google.com/open?id=16NLqvB28nY21hixUG0r34JKLvDrTKJeB" xr:uid="{00000000-0004-0000-0100-0000F2050000}"/>
    <hyperlink ref="J1004" r:id="rId1523" display="https://www.zillow.com/homedetails/1821-W-25th-St-Los-Angeles-CA-90018/2054605304_zpid/" xr:uid="{00000000-0004-0000-0100-0000F3050000}"/>
    <hyperlink ref="N1004" r:id="rId1524" display="https://drive.google.com/open?id=1XLJYHQYLmA7oezTd7aaYKAKK5QsVuXDQ" xr:uid="{00000000-0004-0000-0100-0000F4050000}"/>
    <hyperlink ref="J1005" r:id="rId1525" display="https://www.zillow.com/homedetails/10982-Roebling-Ave-APT-565-Los-Angeles-CA-90024/51582844_zpid/" xr:uid="{00000000-0004-0000-0100-0000F5050000}"/>
    <hyperlink ref="N1005" r:id="rId1526" display="https://drive.google.com/open?id=1-QHUCZcHDOC7c-Mw-m89Msc9aX6yXakq" xr:uid="{00000000-0004-0000-0100-0000F6050000}"/>
    <hyperlink ref="J1006" r:id="rId1527" display="https://www.zillow.com/homedetails/8326-Blackburn-Ave-UNIT-404-Los-Angeles-CA-90048/440713381_zpid/" xr:uid="{00000000-0004-0000-0100-0000F7050000}"/>
    <hyperlink ref="N1006" r:id="rId1528" display="https://drive.google.com/open?id=1bxkCEmXGy_TDWorR6qSsk-rM4tCxatTK" xr:uid="{00000000-0004-0000-0100-0000F8050000}"/>
    <hyperlink ref="J1007" r:id="rId1529" display="https://www.zillow.com/homedetails/2025-S-Sherbourne-Dr-Los-Angeles-CA-90034/2128304469_zpid/" xr:uid="{00000000-0004-0000-0100-0000F9050000}"/>
    <hyperlink ref="N1007" r:id="rId1530" display="https://drive.google.com/open?id=13DrVI0o4wNhm-RGydB7fZYm3MOFWeqSA" xr:uid="{00000000-0004-0000-0100-0000FA050000}"/>
    <hyperlink ref="J1008" r:id="rId1531" display="https://www.zillow.com/homedetails/1508-S-Beverly-Glen-Blvd-Los-Angeles-CA-90024/402072336_zpid/" xr:uid="{00000000-0004-0000-0100-0000FB050000}"/>
    <hyperlink ref="N1008" r:id="rId1532" display="https://drive.google.com/open?id=1Xt7Vjk7jNojpOFhAmEEdTuEjj__J1ebT" xr:uid="{00000000-0004-0000-0100-0000FC050000}"/>
    <hyperlink ref="J1009" r:id="rId1533" display="https://www.zillow.com/homedetails/22015-Mulholland-Way-Woodland-Hills-CA-91364/19943854_zpid/" xr:uid="{00000000-0004-0000-0100-0000FD050000}"/>
    <hyperlink ref="N1009" r:id="rId1534" display="https://drive.google.com/open?id=1d0u-DIGnY6vu0mgt9TbtmkrTmI7kFC0U" xr:uid="{00000000-0004-0000-0100-0000FE050000}"/>
    <hyperlink ref="J1010" r:id="rId1535" display="https://www.zillow.com/homedetails/6927-Lindley-Ave-Reseda-CA-91335/19919445_zpid/" xr:uid="{00000000-0004-0000-0100-0000FF050000}"/>
    <hyperlink ref="N1010" r:id="rId1536" display="https://drive.google.com/open?id=12bUy7kXhMtl1s5G-iGGcSB5i3My0QIHK" xr:uid="{00000000-0004-0000-0100-000000060000}"/>
    <hyperlink ref="J1011" r:id="rId1537" display="https://www.zillow.com/homedetails/18804-Nordhoff-St-Northridge-CA-91324/20178103_zpid/" xr:uid="{00000000-0004-0000-0100-000001060000}"/>
    <hyperlink ref="N1011" r:id="rId1538" display="https://drive.google.com/open?id=13lY1Ej-0bKXYxGVdR_zMtVGayH8mU28S" xr:uid="{00000000-0004-0000-0100-000002060000}"/>
    <hyperlink ref="J1012" r:id="rId1539" display="https://www.zillow.com/homedetails/10780-Andora-Ave-Chatsworth-CA-91311/2068802822_zpid/" xr:uid="{00000000-0004-0000-0100-000003060000}"/>
    <hyperlink ref="N1012" r:id="rId1540" display="https://drive.google.com/open?id=1ATSbae9VoQkvV40ZdnEVS1cFHVeZQV2A" xr:uid="{00000000-0004-0000-0100-000004060000}"/>
    <hyperlink ref="J1013" r:id="rId1541" display="https://www.zillow.com/homedetails/5704-La-Mirada-Ave-6A-Los-Angeles-CA-90038/444191530_zpid/" xr:uid="{00000000-0004-0000-0100-000005060000}"/>
    <hyperlink ref="N1013" r:id="rId1542" display="https://drive.google.com/open?id=1rdpk5RDSYqz0IIFE2DYYpDwVCAnVT9Af" xr:uid="{00000000-0004-0000-0100-000006060000}"/>
    <hyperlink ref="J1014" r:id="rId1543" display="https://www.zillow.com/homedetails/22028-Covello-St-Canoga-Park-CA-91303/19867043_zpid/" xr:uid="{00000000-0004-0000-0100-000007060000}"/>
    <hyperlink ref="N1014" r:id="rId1544" display="https://drive.google.com/open?id=1yx8Qaf2cGDDW6D1NwkYo91rIuPtULFLc" xr:uid="{00000000-0004-0000-0100-000008060000}"/>
    <hyperlink ref="J1015" r:id="rId1545" display="https://www.zillow.com/homedetails/15-Outrigger-St-APT-102-Marina-Del-Rey-CA-90292/2091349239_zpid/" xr:uid="{00000000-0004-0000-0100-000009060000}"/>
    <hyperlink ref="N1015" r:id="rId1546" display="https://drive.google.com/open?id=13OMhN2abmYJ-LrYjTZKPmqAR13Pr3cCX" xr:uid="{00000000-0004-0000-0100-00000A060000}"/>
    <hyperlink ref="J1016" r:id="rId1547" display="https://www.zillow.com/homedetails/4045-Jackson-Ave-Culver-City-CA-90232/20433150_zpid/" xr:uid="{00000000-0004-0000-0100-00000B060000}"/>
    <hyperlink ref="N1016" r:id="rId1548" display="https://drive.google.com/open?id=1QOimACWu0prpPFVPkCKiHAM71QDLs2pU" xr:uid="{00000000-0004-0000-0100-00000C060000}"/>
    <hyperlink ref="J1017" r:id="rId1549" display="https://www.zillow.com/homedetails/9243-Cordell-Dr-Los-Angeles-CA-90069/20534852_zpid/" xr:uid="{00000000-0004-0000-0100-00000D060000}"/>
    <hyperlink ref="N1017" r:id="rId1550" display="https://drive.google.com/open?id=15ot-CeGjI8bSR-3LdO1f5BvLbiQGh92w" xr:uid="{00000000-0004-0000-0100-00000E060000}"/>
    <hyperlink ref="J1018" r:id="rId1551" display="https://www.zillow.com/homedetails/2523-Abbot-Kinney-Blvd-Venice-CA-90291/20445225_zpid/?rtoken=53d8c654-19a9-498d-bbf8-8e5f8253d4dd~X1-ZUs4lk5b6omoeh_8gte6&amp;utm_campaign=emo-instant_home_recs_email_rent&amp;utm_source=email&amp;utm_term=urn:msg:20250115165744d8ac9a0f48e09222&amp;utm_medium=email&amp;utm_content=forrentimage-_rid-ksszT6ZZDDPbkg4vhZQCYo_" xr:uid="{00000000-0004-0000-0100-00000F060000}"/>
    <hyperlink ref="J1019" r:id="rId1552" display="https://www.zillow.com/homedetails/3323-N-Knoll-Dr-Los-Angeles-CA-90068/20805677_zpid/" xr:uid="{00000000-0004-0000-0100-000010060000}"/>
    <hyperlink ref="J1020" r:id="rId1553" display="https://www.zillow.com/homedetails/8590-Hollywood-Blvd-Los-Angeles-CA-90069/20797372_zpid/" xr:uid="{00000000-0004-0000-0100-000011060000}"/>
    <hyperlink ref="J1021" r:id="rId1554" display="https://www.zillow.com/homedetails/114-N-Doheny-Dr-APT-402-West-Hollywood-CA-90048/2103862435_zpid/" xr:uid="{00000000-0004-0000-0100-000012060000}"/>
    <hyperlink ref="J1022" r:id="rId1555" display="https://www.zillow.com/homedetails/3623-Saint-Elizabeth-Rd-Glendale-CA-91206/20841809_zpid/" xr:uid="{00000000-0004-0000-0100-000013060000}"/>
    <hyperlink ref="N1022" r:id="rId1556" display="https://drive.google.com/open?id=1okbG18zF-qhzQlfLlFIajvhbJbmn5rUN" xr:uid="{00000000-0004-0000-0100-000014060000}"/>
    <hyperlink ref="J1023" r:id="rId1557" display="https://www.zillow.com/homedetails/254-S-Detroit-St-Los-Angeles-CA-90036/2086454063_zpid/" xr:uid="{00000000-0004-0000-0100-000015060000}"/>
    <hyperlink ref="N1023" r:id="rId1558" display="https://drive.google.com/open?id=1SOH5KkyJH_bkEiLn_q45T1HDjBsAzA9I" xr:uid="{00000000-0004-0000-0100-000016060000}"/>
    <hyperlink ref="J1024" r:id="rId1559" display="https://www.zillow.com/homedetails/2243-Century-Hl-Los-Angeles-CA-90067/20510481_zpid/" xr:uid="{00000000-0004-0000-0100-000017060000}"/>
    <hyperlink ref="J1025" r:id="rId1560" display="https://www.realtor.com/realestateandhomes-detail/1239-Rossmoyne-Ave_Glendale_CA_91207_M26149-24118" xr:uid="{00000000-0004-0000-0100-000018060000}"/>
    <hyperlink ref="J1026" r:id="rId1561" location="property-history" display="https://www.redfin.com/CA/Los-Angeles/2243-Century-Hl-90067/home/6809489 - property-history" xr:uid="{00000000-0004-0000-0100-000019060000}"/>
    <hyperlink ref="N1026" r:id="rId1562" display="https://drive.google.com/open?id=1RWT_ow_qKPi8ow8GwLfXfvJo4Xa46cQ6" xr:uid="{00000000-0004-0000-0100-00001A060000}"/>
    <hyperlink ref="J1027" r:id="rId1563" display="https://www.compass.com/listing/1038-25th-street-santa-monica-ca-90403/1748792031428379673/" xr:uid="{00000000-0004-0000-0100-00001B060000}"/>
    <hyperlink ref="N1027" r:id="rId1564" display="https://drive.google.com/open?id=1ePbJiapPlUUCa0l7N4iCSkBombGnQE5T" xr:uid="{00000000-0004-0000-0100-00001C060000}"/>
    <hyperlink ref="J1028" r:id="rId1565" display="https://www.zillow.com/homedetails/405-E-Claremont-St-Pasadena-CA-91104/20865548_zpid/" xr:uid="{00000000-0004-0000-0100-00001D060000}"/>
    <hyperlink ref="N1028" r:id="rId1566" display="https://drive.google.com/open?id=1RRPBCfjawiWT38mpmtKbnJ1SreZqfGeW" xr:uid="{00000000-0004-0000-0100-00001E060000}"/>
    <hyperlink ref="J1029" r:id="rId1567" display="https://www.trulia.com/home/10856-plainview-ave-tujunga-ca-91042-2054676045" xr:uid="{00000000-0004-0000-0100-00001F060000}"/>
    <hyperlink ref="N1029" r:id="rId1568" display="https://drive.google.com/open?id=1u6mD0eAYi3PQbTXjz42e9AGTsYfuz-qy" xr:uid="{00000000-0004-0000-0100-000020060000}"/>
    <hyperlink ref="J1030" r:id="rId1569" display="https://www.trulia.com/home/3247b-n-big-dalton-ave-baldwin-park-ca-91706-2062218854" xr:uid="{00000000-0004-0000-0100-000021060000}"/>
    <hyperlink ref="N1030" r:id="rId1570" display="https://drive.google.com/open?id=1kr9rZYXX5IWeNjXuoaGjHWBF8UbvreE1" xr:uid="{00000000-0004-0000-0100-000022060000}"/>
    <hyperlink ref="J1031" r:id="rId1571" display="https://www.zillow.com/homedetails/4800-Zelzah-Ave-Encino-CA-91316/19950258_zpid/" xr:uid="{00000000-0004-0000-0100-000023060000}"/>
    <hyperlink ref="J1032" r:id="rId1572" display="https://www.trulia.com/home/705-w-hollyvale-st-azusa-ca-91702-21629171" xr:uid="{00000000-0004-0000-0100-000024060000}"/>
    <hyperlink ref="N1032" r:id="rId1573" display="https://drive.google.com/open?id=1YB4-d5iKzalu6BY8SQnp_3lrgfBx03Mb" xr:uid="{00000000-0004-0000-0100-000025060000}"/>
    <hyperlink ref="J1033" r:id="rId1574" display="https://www.zillow.com/homedetails/305-Venice-Way-Venice-CA-90291/325799119_zpid/?utm_campaign=iosappmessage&amp;utm_medium=referral&amp;utm_source=txtshare" xr:uid="{00000000-0004-0000-0100-000026060000}"/>
    <hyperlink ref="J1034" r:id="rId1575" display="https://www.trulia.com/home/286-n-madison-ave-3-id1153-pasadena-ca-91101-348506118" xr:uid="{00000000-0004-0000-0100-000027060000}"/>
    <hyperlink ref="N1034" r:id="rId1576" display="https://drive.google.com/open?id=1ZYiZ_02AsnSNoIcSEyx9nfB3GAMmh1_5" xr:uid="{00000000-0004-0000-0100-000028060000}"/>
    <hyperlink ref="J1035" r:id="rId1577" display="https://www.facebook.com/commerce/listing/1618477352367130/?media_id=2&amp;ref=share_attachment" xr:uid="{00000000-0004-0000-0100-000029060000}"/>
    <hyperlink ref="K1035" r:id="rId1578" display="https://www.facebook.com/marketplace/profile/743588758/" xr:uid="{00000000-0004-0000-0100-00002A060000}"/>
    <hyperlink ref="N1035" r:id="rId1579" display="https://drive.google.com/open?id=1NHBaegOvnSuLpyRlzxgY_a2qz7NYnFFe" xr:uid="{00000000-0004-0000-0100-00002B060000}"/>
    <hyperlink ref="J1036" r:id="rId1580" display="https://www.trulia.com/home/267-barthe-dr-14-pasadena-ca-91103-441812912?fbclid=IwZXh0bgNhZW0CMTAAAR3ALF_X7FN5Q17G8XPbYt_2PaaltudkSmyL3wkPqBIH8L2bFRH5Jb_SR18_aem_aRO8OSGcyhP-YoRwoe3g3A" xr:uid="{00000000-0004-0000-0100-00002C060000}"/>
    <hyperlink ref="N1036" r:id="rId1581" display="https://drive.google.com/open?id=1r9IDPodBPKZQaj37Qw706JU3lYf-oQXL" xr:uid="{00000000-0004-0000-0100-00002D060000}"/>
    <hyperlink ref="J1037" r:id="rId1582" display="https://www.trulia.com/home/11141-mcvine-ave-sunland-ca-91040-20092094" xr:uid="{00000000-0004-0000-0100-00002E060000}"/>
    <hyperlink ref="N1037" r:id="rId1583" display="https://drive.google.com/open?id=1Y3-Xq0ypre4qqlWKX6UpToVUmr_9-yHd" xr:uid="{00000000-0004-0000-0100-00002F060000}"/>
    <hyperlink ref="J1038" r:id="rId1584" display="https://www.trulia.com/home/11843-apple-grove-ln-sylmar-ca-91342-95671061" xr:uid="{00000000-0004-0000-0100-000030060000}"/>
    <hyperlink ref="N1038" r:id="rId1585" display="https://drive.google.com/open?id=18NFBcs-YOkQm9tXNGwRnZ2T4idLVIE2F" xr:uid="{00000000-0004-0000-0100-000031060000}"/>
    <hyperlink ref="J1039" r:id="rId1586" display="https://www.zillow.com/homedetails/438-Somerset-Pl-La-Canada-Flintridge-CA-91011/20906715_zpid/" xr:uid="{00000000-0004-0000-0100-000032060000}"/>
    <hyperlink ref="N1039" r:id="rId1587" display="https://drive.google.com/open?id=1ICzn3NVxNIk2rSvieWnVtBlXjx6oHfW4" xr:uid="{00000000-0004-0000-0100-000033060000}"/>
    <hyperlink ref="J1040" r:id="rId1588" display="https://www.trulia.com/home/190-s-marengo-ave-12-pasadena-ca-91101-2055455907" xr:uid="{00000000-0004-0000-0100-000034060000}"/>
    <hyperlink ref="N1040" r:id="rId1589" display="https://drive.google.com/open?id=1saFmXdprS22kpWLigWIJuuGyN6kldKJQ" xr:uid="{00000000-0004-0000-0100-000035060000}"/>
    <hyperlink ref="J1041" r:id="rId1590" display="https://www.trulia.com/home/202-s-raymond-ave-7-id856-pasadena-ca-91105-2061707930" xr:uid="{00000000-0004-0000-0100-000036060000}"/>
    <hyperlink ref="N1041" r:id="rId1591" display="https://drive.google.com/open?id=1oxpAfoI2c-5aELhonShyv43CB7ZcrC7f" xr:uid="{00000000-0004-0000-0100-000037060000}"/>
    <hyperlink ref="J1042" r:id="rId1592" display="https://www.zillow.com/homedetails/3319-Lowry-Rd-Los-Angeles-CA-90027/20812073_zpid/" xr:uid="{00000000-0004-0000-0100-000038060000}"/>
    <hyperlink ref="N1042" r:id="rId1593" display="https://drive.google.com/open?id=1qy3SkBcpCVnTBztnhR4kfxf7CNJsl7Yw" xr:uid="{00000000-0004-0000-0100-000039060000}"/>
    <hyperlink ref="J1043" r:id="rId1594" display="https://www.trulia.com/home/3321-e-colorado-blvd-25-pasadena-ca-91107-353727409" xr:uid="{00000000-0004-0000-0100-00003A060000}"/>
    <hyperlink ref="N1043" r:id="rId1595" display="https://drive.google.com/open?id=1OZH20QhF12HCnNIHU48VBhFAElfNGNOV" xr:uid="{00000000-0004-0000-0100-00003B060000}"/>
    <hyperlink ref="J1044" r:id="rId1596" display="https://www.zillow.com/homedetails/33-Sage-Ln-Bell-Canyon-CA-91307/16497722_zpid/" xr:uid="{00000000-0004-0000-0100-00003C060000}"/>
    <hyperlink ref="J1045" r:id="rId1597" display="https://www.zillow.com/homedetails/1016-Balboa-Blvd-E-Newport-Beach-CA-92661/2054129145_zpid/" xr:uid="{00000000-0004-0000-0100-00003D060000}"/>
    <hyperlink ref="J1046" r:id="rId1598" display="https://www.zillow.com/homedetails/4504-Cedros-Ave-Sherman-Oaks-CA-91403/19983993_zpid/" xr:uid="{00000000-0004-0000-0100-00003E060000}"/>
    <hyperlink ref="N1046" r:id="rId1599" display="https://drive.google.com/open?id=1SI6qP1Fyv4he6-LiUz6MTeeOnxDkiPf8" xr:uid="{00000000-0004-0000-0100-00003F060000}"/>
    <hyperlink ref="J1047" r:id="rId1600" display="https://www.zillow.com/homedetails/Monrovia-CA-91016/21577579_zpid/" xr:uid="{00000000-0004-0000-0100-000040060000}"/>
    <hyperlink ref="N1047" r:id="rId1601" display="https://drive.google.com/open?id=16EFgLyPhwTGdV9J585RCpFcb_aSlRGtP" xr:uid="{00000000-0004-0000-0100-000041060000}"/>
    <hyperlink ref="J1048" r:id="rId1602" display="https://www.zillow.com/homedetails/202-S-Sierra-Vista-St-Monterey-Park-CA-91755/20664584_zpid/" xr:uid="{00000000-0004-0000-0100-000042060000}"/>
    <hyperlink ref="J1049" r:id="rId1603" display="https://www.zillow.com/homedetails/716-Rochedale-Way-Los-Angeles-CA-90049/20560159_zpid/" xr:uid="{00000000-0004-0000-0100-000043060000}"/>
    <hyperlink ref="N1049" r:id="rId1604" display="https://drive.google.com/open?id=12q5BaF0ouf7Zd_N_X1LWJoH0r38Adm4p" xr:uid="{00000000-0004-0000-0100-000044060000}"/>
    <hyperlink ref="J1050" r:id="rId1605" display="https://www.zillow.com/homedetails/4800-Zelzah-Ave-Encino-CA-91316/19950258_zpid/" xr:uid="{00000000-0004-0000-0100-000045060000}"/>
    <hyperlink ref="N1050" r:id="rId1606" display="https://drive.google.com/open?id=1SSkCiF0cYVnwFuj0srSbLzED6d_XV0ja" xr:uid="{00000000-0004-0000-0100-000046060000}"/>
    <hyperlink ref="J1051" r:id="rId1607" display="https://www.zillow.com/homedetails/1829-Coldwater-Canyon-Dr-Beverly-Hills-CA-90210/20522744_zpid/" xr:uid="{00000000-0004-0000-0100-000047060000}"/>
    <hyperlink ref="J1052" r:id="rId1608" display="https://www.zillow.com/homedetails/80-Virginia-Ave-Pasadena-CA-91107/443940697_zpid/" xr:uid="{00000000-0004-0000-0100-000048060000}"/>
    <hyperlink ref="I1053" r:id="rId1609" display="https://livemwlofts.com/floorplans/" xr:uid="{00000000-0004-0000-0100-000049060000}"/>
    <hyperlink ref="J1053" r:id="rId1610" display="https://livemwlofts.com/floorplans/" xr:uid="{00000000-0004-0000-0100-00004A060000}"/>
    <hyperlink ref="J1054" r:id="rId1611" display="https://www.zillow.com/homedetails/3298-Sunset-Hills-Blvd-Thousand-Oaks-CA-91362/52466191_zpid/" xr:uid="{00000000-0004-0000-0100-00004B060000}"/>
    <hyperlink ref="N1054" r:id="rId1612" display="https://drive.google.com/open?id=1T7mfEo8ckGaBgfXy1PjWryDLio8TBdYy" xr:uid="{00000000-0004-0000-0100-00004C060000}"/>
    <hyperlink ref="J1055" r:id="rId1613" display="https://www.zillow.com/homedetails/3420-Manhattan-Ave-Manhattan-Beach-CA-90266/2129343585_zpid/" xr:uid="{00000000-0004-0000-0100-00004D060000}"/>
    <hyperlink ref="N1055" r:id="rId1614" display="https://drive.google.com/open?id=1lnAGfsPVkRVogb4kVOBKD8Hm0HacQFDx" xr:uid="{00000000-0004-0000-0100-00004E060000}"/>
    <hyperlink ref="J1056" r:id="rId1615" display="https://click.mail.zillow.com/f/a/odLqG4NE7X4Cb46In8K9cA~~/AAAAAQA~/RgRpaporP0UvZW1vLWluc3RhbnRfaG9tZV9yZWNzX2VtYWlsX3JlbnQtZm9ycmVudGFkZHJlc3MEVwZ6aWxsb3dCCmd_KxWIZ-sjLYNSEXNhbXBvc2FAZ21haWwuY29tWAQAAAAA?target=https%3A%2F%2Fwww.zillow.com%2Fhomedetails%2F20450263_zpid%2F%3Frtoken%3D660516b1-d98a-4554-a551-af76cd91551e%257EX1-ZU17mgwnrvpqosp_8fetp%26utm_campaign%3Demo-instant_home_recs_email_rent%26utm_source%3Demail%26utm_term%3Durn%3Amsg%3A202501152006016717aa3d998816a2%26utm_medium%3Demail%26utm_content%3Dforrentaddress-_rid-ekjPd6ZndbHWNy3d9oyKg6_" xr:uid="{00000000-0004-0000-0100-00004F060000}"/>
    <hyperlink ref="J1057" r:id="rId1616" display="https://www.zillow.com/homedetails/22548-Pacific-Coast-Hwy-UNIT-408-Malibu-CA-90265/20552514_zpid/" xr:uid="{00000000-0004-0000-0100-000050060000}"/>
    <hyperlink ref="J1058" r:id="rId1617" display="https://www.zillow.com/homedetails/23625-Summit-Dr-Calabasas-CA-91302/19898520_zpid/" xr:uid="{00000000-0004-0000-0100-000051060000}"/>
    <hyperlink ref="J1059" r:id="rId1618" display="https://www.zillow.com/homedetails/222-Evening-Star-Ln-Newport-Beach-CA-92660/25214115_zpid/" xr:uid="{00000000-0004-0000-0100-000052060000}"/>
    <hyperlink ref="J1060" r:id="rId1619" display="https://www.zillow.com/homedetails/1366-Palisades-Beach-Rd-Santa-Monica-CA-90401/20484769_zpid/" xr:uid="{00000000-0004-0000-0100-000053060000}"/>
    <hyperlink ref="J1061" r:id="rId1620" display="https://www.zillow.com/homedetails/3900-Hilton-Head-Way-Tarzana-CA-91356/19951258_zpid/" xr:uid="{00000000-0004-0000-0100-000054060000}"/>
    <hyperlink ref="J1062" r:id="rId1621" display="https://www.zillow.com/homedetails/Calabasas-CA-91302/20553413_zpid/" xr:uid="{00000000-0004-0000-0100-000055060000}"/>
    <hyperlink ref="J1063" r:id="rId1622" display="https://www.zillow.com/homedetails/817-N-Whittier-Dr-Beverly-Hills-CA-90210/20521923_zpid/" xr:uid="{00000000-0004-0000-0100-000056060000}"/>
    <hyperlink ref="N1063" r:id="rId1623" display="https://drive.google.com/open?id=1jK2d6Rcn1SVvpDDjv9nDZ1LVQxaA7Y9k" xr:uid="{00000000-0004-0000-0100-000057060000}"/>
    <hyperlink ref="J1064" r:id="rId1624" display="https://www.zillow.com/homedetails/West-Hills-CA-91304/52467856_zpid/" xr:uid="{00000000-0004-0000-0100-000058060000}"/>
    <hyperlink ref="J1065" r:id="rId1625" display="https://www.zillow.com/homedetails/2243-Century-Hl-Los-Angeles-CA-90067/20510481_zpid/" xr:uid="{00000000-0004-0000-0100-000059060000}"/>
    <hyperlink ref="N1065" r:id="rId1626" display="https://drive.google.com/open?id=10nFyLxmdy9Fqt-dkV5R_3VvWlMjM21h4" xr:uid="{00000000-0004-0000-0100-00005A060000}"/>
    <hyperlink ref="J1066" r:id="rId1627" display="https://www.zillow.com/homedetails/25736-Punto-De-Vista-Dr-Calabasas-CA-91302/20553578_zpid/" xr:uid="{00000000-0004-0000-0100-00005B060000}"/>
    <hyperlink ref="J1067" r:id="rId1628" display="https://www.zillow.com/homedetails/4338-Gayle-Dr-Tarzana-CA-91356/19947698_zpid/" xr:uid="{00000000-0004-0000-0100-00005C060000}"/>
    <hyperlink ref="J1068" r:id="rId1629" display="https://www.zillow.com/homedetails/1879-S-Norma-Ln-Anaheim-CA-92802/25173483_zpid/" xr:uid="{00000000-0004-0000-0100-00005D060000}"/>
    <hyperlink ref="J1069" r:id="rId1630" display="https://www.zillow.com/homedetails/9372-Nantucket-Dr-Huntington-Beach-CA-92646/25277636_zpid/" xr:uid="{00000000-0004-0000-0100-00005E060000}"/>
    <hyperlink ref="J1070" r:id="rId1631" display="https://www.zillow.com/homedetails/5923-Carlton-Way-1B-1BA-Los-Angeles-CA-90028/402166193_zpid/" xr:uid="{00000000-0004-0000-0100-00005F060000}"/>
    <hyperlink ref="N1070" r:id="rId1632" display="https://drive.google.com/open?id=1KTuvRd2ZsRMa7FNvmfbjXEUcCj0S1rB_" xr:uid="{00000000-0004-0000-0100-000060060000}"/>
    <hyperlink ref="J1071" r:id="rId1633" display="https://www.zillow.com/homedetails/17-Northstar-St-105-Marina-Del-Rey-CA-90292/2058141802_zpid/" xr:uid="{00000000-0004-0000-0100-000061060000}"/>
    <hyperlink ref="N1071" r:id="rId1634" display="https://drive.google.com/open?id=1hHHKtHXShrg1BSxumJl-6jsAjR19qZyp" xr:uid="{00000000-0004-0000-0100-000062060000}"/>
    <hyperlink ref="J1072" r:id="rId1635" display="https://www.zillow.com/homedetails/17151-Orange-St-Fountain-Valley-CA-92708/25294525_zpid/" xr:uid="{00000000-0004-0000-0100-000063060000}"/>
    <hyperlink ref="J1073" r:id="rId1636" display="https://www.zillow.com/homedetails/4-Highpoint-Newport-Coast-CA-92657/63113368_zpid/" xr:uid="{00000000-0004-0000-0100-000064060000}"/>
    <hyperlink ref="J1074" r:id="rId1637" display="https://www.redfin.com/CA/Los-Angeles/2438-Riverside-Pl-90039/home/7067705" xr:uid="{00000000-0004-0000-0100-000065060000}"/>
    <hyperlink ref="N1074" r:id="rId1638" display="https://drive.google.com/open?id=1l9XPPaxac-Q809Pn--CrN4IVceVDT_xZ" xr:uid="{00000000-0004-0000-0100-000066060000}"/>
    <hyperlink ref="J1075" r:id="rId1639" display="https://www.trulia.com/home/20305-chapter-dr-woodland-hills-ca-91364-19946171" xr:uid="{00000000-0004-0000-0100-000067060000}"/>
    <hyperlink ref="N1075" r:id="rId1640" display="https://drive.google.com/open?id=1zr1hIsVj2Bpsljn7maT5DSq_pux-KJDi" xr:uid="{00000000-0004-0000-0100-000068060000}"/>
    <hyperlink ref="J1076" r:id="rId1641" display="https://www.zillow.com/homedetails/380-Trousdale-Pl-Beverly-Hills-CA-90210/20534471_zpid/" xr:uid="{00000000-0004-0000-0100-000069060000}"/>
    <hyperlink ref="N1076" r:id="rId1642" display="https://drive.google.com/open?id=1iSXeJt-VLpo3KsqcKRctBxVgfN_f5hjZ" xr:uid="{00000000-0004-0000-0100-00006A060000}"/>
    <hyperlink ref="J1077" r:id="rId1643" display="https://www.zillow.com/homedetails/9982-Beverly-Grove-Dr-Beverly-Hills-CA-90210/250218875_zpid/" xr:uid="{00000000-0004-0000-0100-00006B060000}"/>
    <hyperlink ref="N1077" r:id="rId1644" display="https://drive.google.com/open?id=16NEcVCFACU4RoRKztFijkyzu0aRrpxrv" xr:uid="{00000000-0004-0000-0100-00006C060000}"/>
    <hyperlink ref="J1078" r:id="rId1645" display="https://www.zillow.com/homedetails/1124-Marilyn-Dr-Beverly-Hills-CA-90210/20522013_zpid/" xr:uid="{00000000-0004-0000-0100-00006D060000}"/>
    <hyperlink ref="N1078" r:id="rId1646" display="https://drive.google.com/open?id=1OqVE97wue_Ih3ahuTnzXapbTt1klDBvq" xr:uid="{00000000-0004-0000-0100-00006E060000}"/>
    <hyperlink ref="J1079" r:id="rId1647" display="https://www.trulia.com/home/1104-casiano-rd-los-angeles-ca-90049-20528677" xr:uid="{00000000-0004-0000-0100-00006F060000}"/>
    <hyperlink ref="N1079" r:id="rId1648" display="https://drive.google.com/open?id=1mYHBjyyeMhkIXnoFTs_7cr_BNrjfLcqN" xr:uid="{00000000-0004-0000-0100-000070060000}"/>
    <hyperlink ref="J1080" r:id="rId1649" display="https://www.zillow.com/homedetails/204-N-Woodland-Ct-Montebello-CA-90640/21084634_zpid/" xr:uid="{00000000-0004-0000-0100-000071060000}"/>
    <hyperlink ref="N1080" r:id="rId1650" display="https://drive.google.com/open?id=1k_ma6Gda-nBDFW9vc7UFi3rizsrZDvJw" xr:uid="{00000000-0004-0000-0100-000072060000}"/>
    <hyperlink ref="J1081" r:id="rId1651" display="https://www.zillow.com/homedetails/2189-Sunset-Plaza-Dr-Los-Angeles-CA-90069/20800086_zpid/" xr:uid="{00000000-0004-0000-0100-000073060000}"/>
    <hyperlink ref="N1081" r:id="rId1652" display="https://drive.google.com/open?id=13oGol5JAIYsprYrqsunEo5rg-_06HAM6" xr:uid="{00000000-0004-0000-0100-000074060000}"/>
    <hyperlink ref="J1082" r:id="rId1653" display="https://www.zillow.com/homedetails/16308-Mountain-Ln-Santa-Clarita-CA-91387/63088618_zpid/" xr:uid="{00000000-0004-0000-0100-000075060000}"/>
    <hyperlink ref="J1083" r:id="rId1654" display="https://www.zillow.com/homedetails/813-N-Doheny-Dr-Beverly-Hills-CA-90210/20520038_zpid/" xr:uid="{00000000-0004-0000-0100-000076060000}"/>
    <hyperlink ref="N1083" r:id="rId1655" display="https://drive.google.com/open?id=1Ri-6Ng7o5CFSYNdqxj9_CaAh8p5chmA5" xr:uid="{00000000-0004-0000-0100-000077060000}"/>
    <hyperlink ref="J1084" r:id="rId1656" display="https://www.zillow.com/homedetails/26172-Pacific-Coast-Hwy-Malibu-CA-90265/20554582_zpid/" xr:uid="{00000000-0004-0000-0100-000078060000}"/>
    <hyperlink ref="J1085" r:id="rId1657" display="https://www.zillow.com/homedetails/832-N-Sierra-Bonita-Ave-Los-Angeles-CA-90046/20784976_zpid/" xr:uid="{00000000-0004-0000-0100-000079060000}"/>
    <hyperlink ref="N1085" r:id="rId1658" display="https://drive.google.com/open?id=12r0HV77k6avO5cuH771HrfUp3p1vPbZG" xr:uid="{00000000-0004-0000-0100-00007A060000}"/>
    <hyperlink ref="J1086" r:id="rId1659" display="https://www.zillow.com/homedetails/10660-W-Wilshire-Blvd-309-Los-Angeles-CA-90024/444004097_zpid/?utm_campaign=iosappmessage&amp;utm_medium=referral&amp;utm_source=txtshare" xr:uid="{00000000-0004-0000-0100-00007B060000}"/>
    <hyperlink ref="J1087" r:id="rId1660" display="https://www.zillow.com/homedetails/22008-Gresham-St-Canoga-Park-CA-91304/51576782_zpid/" xr:uid="{00000000-0004-0000-0100-00007C060000}"/>
    <hyperlink ref="J1088" r:id="rId1661" display="https://www.zillow.com/homedetails/1849-N-Coldwater-Canyon-Dr-Beverly-Hills-CA-90210/125270046_zpid/" xr:uid="{00000000-0004-0000-0100-00007D060000}"/>
    <hyperlink ref="N1088" r:id="rId1662" display="https://drive.google.com/open?id=1G29eSZ9CSo7KlAjkIaYIuuqtPxcUUARy" xr:uid="{00000000-0004-0000-0100-00007E060000}"/>
    <hyperlink ref="J1089" r:id="rId1663" display="https://www.zillow.com/homedetails/17025-Labrador-St-Northridge-CA-91325/20152369_zpid/" xr:uid="{00000000-0004-0000-0100-00007F060000}"/>
    <hyperlink ref="J1090" r:id="rId1664" display="https://www.zillow.com/homedetails/5902-Fallbrook-Ave-Woodland-Hills-CA-91367/19877809_zpid/" xr:uid="{00000000-0004-0000-0100-000080060000}"/>
    <hyperlink ref="N1090" r:id="rId1665" display="https://drive.google.com/open?id=1l5zKByWrrDALI0Ej9asPtZx9wvmkG58r" xr:uid="{00000000-0004-0000-0100-000081060000}"/>
    <hyperlink ref="J1091" r:id="rId1666" display="https://www.zillow.com/homedetails/721-N-Spaulding-Ave-Los-Angeles-CA-90046/20785966_zpid/" xr:uid="{00000000-0004-0000-0100-000082060000}"/>
    <hyperlink ref="N1091" r:id="rId1667" display="https://drive.google.com/open?id=1yFxYui4zmb88uFSP3f6Pw7zhXb2cTFok" xr:uid="{00000000-0004-0000-0100-000083060000}"/>
    <hyperlink ref="J1092" r:id="rId1668" display="https://www.zillow.com/homedetails/5450-Oakdale-Ave-Woodland-Hills-CA-91364/2058831328_zpid/" xr:uid="{00000000-0004-0000-0100-000084060000}"/>
    <hyperlink ref="J1093" r:id="rId1669" display="https://www.zillow.com/homedetails/5735-Melvin-Ave-Tarzana-CA-91356/19932747_zpid/" xr:uid="{00000000-0004-0000-0100-000085060000}"/>
    <hyperlink ref="N1093" r:id="rId1670" display="https://drive.google.com/open?id=145XWROO_rCaS3Ath1kNJ9QDywjKF-002" xr:uid="{00000000-0004-0000-0100-000086060000}"/>
    <hyperlink ref="J1094" r:id="rId1671" display="https://www.zillow.com/homedetails/735-N-Ogden-Dr-Los-Angeles-CA-90046/20786003_zpid/" xr:uid="{00000000-0004-0000-0100-000087060000}"/>
    <hyperlink ref="N1094" r:id="rId1672" display="https://drive.google.com/open?id=146-3gPUz6qjsVF3qilEE1Xjr3IOOZPXo" xr:uid="{00000000-0004-0000-0100-000088060000}"/>
    <hyperlink ref="J1095" r:id="rId1673" display="https://www.zillow.com/homedetails/5150-Calvin-Ave-Tarzana-CA-91356/19940339_zpid/?utm_campaign=iosappmessage&amp;utm_medium=referral&amp;utm_source=txtshare" xr:uid="{00000000-0004-0000-0100-000089060000}"/>
    <hyperlink ref="J1096" r:id="rId1674" display="https://www.zillow.com/homedetails/5911-Saturn-St-Los-Angeles-CA-90035/119678788_zpid/" xr:uid="{00000000-0004-0000-0100-00008A060000}"/>
    <hyperlink ref="J1097" r:id="rId1675" display="https://www.zillow.com/homedetails/20111-Glacier-Cir-Huntington-Beach-CA-92646/25274365_zpid/" xr:uid="{00000000-0004-0000-0100-00008B060000}"/>
    <hyperlink ref="J1098" r:id="rId1676" display="https://www.zillow.com/apartments/los-angeles-ca/916-georgia-st/5Xm6Mh/?utm_campaign=iosappmessage&amp;utm_medium=referral&amp;utm_source=txtshare" xr:uid="{00000000-0004-0000-0100-00008C060000}"/>
    <hyperlink ref="N1098" r:id="rId1677" display="https://drive.google.com/open?id=1UQFAVO88yuX-kti1U8S_qiokYwOXDSa5" xr:uid="{00000000-0004-0000-0100-00008D060000}"/>
    <hyperlink ref="J1099" r:id="rId1678" display="https://www.zillow.com/homedetails/20305-Chapter-Dr-Woodland-Hills-CA-91364/19946171_zpid/?utm_campaign=iosappmessage&amp;utm_medium=referral&amp;utm_source=txtshare" xr:uid="{00000000-0004-0000-0100-00008E060000}"/>
    <hyperlink ref="J1100" r:id="rId1679" display="https://www.zillow.com/homedetails/2179-La-Granada-Dr-Thousand-Oaks-CA-91362/16483480_zpid/" xr:uid="{00000000-0004-0000-0100-00008F060000}"/>
    <hyperlink ref="J1101" r:id="rId1680" display="https://www.zillow.com/homedetails/735-N-Ogden-Dr-Los-Angeles-CA-90046/20786003_zpid/" xr:uid="{00000000-0004-0000-0100-000090060000}"/>
    <hyperlink ref="N1101" r:id="rId1681" display="https://drive.google.com/open?id=1RZ605-tR4ge_XJAhdIRP4-17IR8_LIV9" xr:uid="{00000000-0004-0000-0100-000091060000}"/>
    <hyperlink ref="J1102" r:id="rId1682" display="https://www.zillow.com/homedetails/17025-Labrador-St-Northridge-CA-91325/20152369_zpid/" xr:uid="{00000000-0004-0000-0100-000092060000}"/>
    <hyperlink ref="J1103" r:id="rId1683" display="https://www.zillow.com/homedetails/5252-Darro-Rd-Woodland-Hills-CA-91364/19942547_zpid/" xr:uid="{00000000-0004-0000-0100-000093060000}"/>
    <hyperlink ref="N1103" r:id="rId1684" display="https://drive.google.com/open?id=1yoBxo5Qbg7-HbTB3jeG_VcjIiMGtvew0" xr:uid="{00000000-0004-0000-0100-000094060000}"/>
    <hyperlink ref="J1104" r:id="rId1685" display="https://www.zillow.com/homedetails/8875-Cynthia-St-B-West-Hollywood-CA-90069/244500425_zpid/" xr:uid="{00000000-0004-0000-0100-000095060000}"/>
    <hyperlink ref="J1105" r:id="rId1686" display="https://www.zillow.com/homedetails/20552-Bergamo-Way-Porter-Ranch-CA-91326/54663961_zpid/?utm_campaign=iosappmessage&amp;utm_medium=referral&amp;utm_source=txtshare" xr:uid="{00000000-0004-0000-0100-000096060000}"/>
    <hyperlink ref="J1106" r:id="rId1687" display="https://www.zillow.com/homedetails/809-N-Roxbury-Dr-Beverly-Hills-CA-90210/20521388_zpid/" xr:uid="{00000000-0004-0000-0100-000097060000}"/>
    <hyperlink ref="N1106" r:id="rId1688" display="https://drive.google.com/open?id=1fntv9rBiO7SS8ANWeurxInlGim5zSb0B" xr:uid="{00000000-0004-0000-0100-000098060000}"/>
    <hyperlink ref="J1107" r:id="rId1689" display="https://www.zillow.com/homedetails/2290-Gloaming-Way-Beverly-Hills-CA-90210/20533986_zpid/" xr:uid="{00000000-0004-0000-0100-000099060000}"/>
    <hyperlink ref="N1107" r:id="rId1690" display="https://drive.google.com/open?id=10c5S9-ToVfB5JY57Ey5SRAn8i6QBFgzK" xr:uid="{00000000-0004-0000-0100-00009A060000}"/>
    <hyperlink ref="J1108" r:id="rId1691" display="https://www.zillow.com/homedetails/11019-Hartsook-St-North-Hollywood-CA-91601/2128453240_zpid/" xr:uid="{00000000-0004-0000-0100-00009B060000}"/>
    <hyperlink ref="J1109" r:id="rId1692" display="https://www.zillow.com/homedetails/9631-Random-Dr-Anaheim-CA-92804/25220401_zpid/" xr:uid="{00000000-0004-0000-0100-00009C060000}"/>
    <hyperlink ref="J1110" r:id="rId1693" display="https://www.zillow.com/homedetails/1716-N-Sierra-Bonita-Ave-Pasadena-CA-91104/2081043454_zpid/" xr:uid="{00000000-0004-0000-0100-00009D060000}"/>
    <hyperlink ref="N1110" r:id="rId1694" display="https://drive.google.com/open?id=1oQWTO6NuCtgTenPU74YxLrGyD305hxsU" xr:uid="{00000000-0004-0000-0100-00009E060000}"/>
    <hyperlink ref="J1111" r:id="rId1695" display="https://www.zillow.com/homedetails/9962-Pacific-Ave-Anaheim-CA-92804/25222080_zpid/" xr:uid="{00000000-0004-0000-0100-00009F060000}"/>
    <hyperlink ref="J1112" r:id="rId1696" display="https://www.zillow.com/homedetails/1915-Minoru-Dr-APT-1C-Altadena-CA-91001/339995042_zpid/" xr:uid="{00000000-0004-0000-0100-0000A0060000}"/>
    <hyperlink ref="N1112" r:id="rId1697" display="https://drive.google.com/open?id=1jzW9wZ3Aw33KJBd0FkSmUI2AAmXX9jI2" xr:uid="{00000000-0004-0000-0100-0000A1060000}"/>
    <hyperlink ref="J1113" r:id="rId1698" display="https://www.zillow.com/homedetails/5450-Oakdale-Ave-Woodland-Hills-CA-91364/2058831328_zpid/" xr:uid="{00000000-0004-0000-0100-0000A2060000}"/>
    <hyperlink ref="N1113" r:id="rId1699" display="https://drive.google.com/open?id=1usebWRpxxzFkvDgwJ89kv-UGsO39zNNH" xr:uid="{00000000-0004-0000-0100-0000A3060000}"/>
    <hyperlink ref="J1114" r:id="rId1700" display="https://www.zillow.com/homedetails/13-Glorieta-W-Irvine-CA-92620/25517522_zpid/" xr:uid="{00000000-0004-0000-0100-0000A4060000}"/>
    <hyperlink ref="J1115" r:id="rId1701" display="https://www.zillow.com/homedetails/11271-Otsego-St-204-North-Hollywood-CA-91601/2078923251_zpid/" xr:uid="{00000000-0004-0000-0100-0000A5060000}"/>
    <hyperlink ref="J1116" r:id="rId1702" display="https://www.zillow.com/homedetails/5911-Saturn-St-Los-Angeles-CA-90035/119678788_zpid/" xr:uid="{00000000-0004-0000-0100-0000A6060000}"/>
    <hyperlink ref="N1116" r:id="rId1703" display="https://drive.google.com/open?id=1RHuur4182HOEKl9CQ5ZIanOovmrtIHC7" xr:uid="{00000000-0004-0000-0100-0000A7060000}"/>
    <hyperlink ref="J1117" r:id="rId1704" display="https://www.zillow.com/homedetails/8262-Woodshill-Trl-Los-Angeles-CA-90069/20797509_zpid/" xr:uid="{00000000-0004-0000-0100-0000A8060000}"/>
    <hyperlink ref="N1117" r:id="rId1705" display="https://drive.google.com/open?id=1jfgVaEyz-hxOh0DdtfJni14tWnjbKVI0" xr:uid="{00000000-0004-0000-0100-0000A9060000}"/>
    <hyperlink ref="J1118" r:id="rId1706" display="https://www.zillow.com/homedetails/3360-Tyburn-St-Los-Angeles-CA-90039/2087549915_zpid/" xr:uid="{00000000-0004-0000-0100-0000AA060000}"/>
    <hyperlink ref="N1118" r:id="rId1707" display="https://drive.google.com/open?id=1oBrNgJ0AMvdrxP43BI658nUZd8Zn_nVR" xr:uid="{00000000-0004-0000-0100-0000AB060000}"/>
    <hyperlink ref="J1119" r:id="rId1708" display="https://www.zillow.com/homedetails/141-Hollister-Ave-Santa-Monica-CA-90405/2075120739_zpid/" xr:uid="{00000000-0004-0000-0100-0000AC060000}"/>
    <hyperlink ref="N1119" r:id="rId1709" display="https://drive.google.com/open?id=1i_A6l6Kv06ojZ9owYj3rVzD6N2z5gNF-" xr:uid="{00000000-0004-0000-0100-0000AD060000}"/>
    <hyperlink ref="J1120" r:id="rId1710" display="https://www.zillow.com/homedetails/1410-Coronado-Ter-Los-Angeles-CA-90026/20744469_zpid/" xr:uid="{00000000-0004-0000-0100-0000AE060000}"/>
    <hyperlink ref="N1120" r:id="rId1711" display="https://drive.google.com/open?id=1FrrAyZGhDCraHCtlCGKNKcNKAacsjqRm" xr:uid="{00000000-0004-0000-0100-0000AF060000}"/>
    <hyperlink ref="J1121" r:id="rId1712" display="https://www.zillow.com/homedetails/6015-Saturn-St-Los-Angeles-CA-90035/346267631_zpid/" xr:uid="{00000000-0004-0000-0100-0000B0060000}"/>
    <hyperlink ref="J1122" r:id="rId1713" display="https://www.zillow.com/homedetails/Reseda-CA-91335/19906218_zpid/" xr:uid="{00000000-0004-0000-0100-0000B1060000}"/>
    <hyperlink ref="J1123" r:id="rId1714" display="https://www.zillow.com/homedetails/200-N-San-Fernando-Rd-APT-514-Los-Angeles-CA-90031/333364812_zpid/" xr:uid="{00000000-0004-0000-0100-0000B2060000}"/>
    <hyperlink ref="N1123" r:id="rId1715" display="https://drive.google.com/open?id=1kwgTDqJKp8BhwcA8StY3vLhaVAeyddBO" xr:uid="{00000000-0004-0000-0100-0000B3060000}"/>
    <hyperlink ref="J1124" r:id="rId1716" display="https://www.zillow.com/homedetails/280-Cherry-Dr-Pasadena-CA-91105/20857313_zpid/" xr:uid="{00000000-0004-0000-0100-0000B4060000}"/>
    <hyperlink ref="J1125" r:id="rId1717" display="https://www.zillow.com/homedetails/11659-Chandler-Blvd-APT-8-North-Hollywood-CA-91601/2088302513_zpid/" xr:uid="{00000000-0004-0000-0100-0000B5060000}"/>
    <hyperlink ref="J1126" r:id="rId1718" display="https://www.zillow.com/homedetails/11659-Chandler-Blvd-APT-5-North-Hollywood-CA-91601/2082032780_zpid/" xr:uid="{00000000-0004-0000-0100-0000B6060000}"/>
    <hyperlink ref="J1127" r:id="rId1719" display="https://www.zillow.com/homedetails/11659-Chandler-Blvd-APT-4-North-Hollywood-CA-91601/2086789486_zpid/" xr:uid="{00000000-0004-0000-0100-0000B7060000}"/>
    <hyperlink ref="J1128" r:id="rId1720" display="https://www.zillow.com/homedetails/1526-E-1st-St-1-Los-Angeles-CA-90033/2054280766_zpid/" xr:uid="{00000000-0004-0000-0100-0000B8060000}"/>
    <hyperlink ref="N1128" r:id="rId1721" display="https://drive.google.com/open?id=19_CQuJdsrrEq80XIUr7yRk_I4tWE571V" xr:uid="{00000000-0004-0000-0100-0000B9060000}"/>
    <hyperlink ref="J1129" r:id="rId1722" display="https://www.zillow.com/homedetails/4657-Tujunga-Ave-APT-101-North-Hollywood-CA-91602/2101682959_zpid/" xr:uid="{00000000-0004-0000-0100-0000BA060000}"/>
    <hyperlink ref="N1129" r:id="rId1723" display="https://drive.google.com/open?id=1XPUMGAjV2zSNciQFEFG5ZjVshg-qdtV7" xr:uid="{00000000-0004-0000-0100-0000BB060000}"/>
    <hyperlink ref="J1130" r:id="rId1724" display="https://www.zillow.com/homedetails/717-N-Rodeo-Dr-Beverly-Hills-CA-90210/20521466_zpid/" xr:uid="{00000000-0004-0000-0100-0000BC060000}"/>
    <hyperlink ref="N1130" r:id="rId1725" display="https://drive.google.com/open?id=19_L6yL8cthZK0fW4K9VSy1VUkaJrnLXK" xr:uid="{00000000-0004-0000-0100-0000BD060000}"/>
    <hyperlink ref="J1131" r:id="rId1726" display="https://www.zillow.com/homedetails/13341-Cromwell-Dr-Tustin-CA-92780/25197305_zpid/" xr:uid="{00000000-0004-0000-0100-0000BE060000}"/>
    <hyperlink ref="J1132" r:id="rId1727" display="https://www.zillow.com/homedetails/1928-Melwood-Dr-Glendale-CA-91207/20838315_zpid/" xr:uid="{00000000-0004-0000-0100-0000BF060000}"/>
    <hyperlink ref="N1132" r:id="rId1728" display="https://drive.google.com/open?id=1q2xqNDGk1Hksem8BZDmL1rvA8iQyITwJ" xr:uid="{00000000-0004-0000-0100-0000C0060000}"/>
    <hyperlink ref="J1133" r:id="rId1729" display="https://www.zillow.com/homedetails/6817-E-Bacarro-St-Long-Beach-CA-90815/21211228_zpid/" xr:uid="{00000000-0004-0000-0100-0000C1060000}"/>
    <hyperlink ref="J1134" r:id="rId1730" display="https://www.zillow.com/homedetails/Los-Angeles-CA-90019/95587640_zpid/" xr:uid="{00000000-0004-0000-0100-0000C2060000}"/>
    <hyperlink ref="J1135" r:id="rId1731" display="https://www.zillow.com/homedetails/800-W-1st-St-APT-1609-Los-Angeles-CA-90012/20625889_zpid/" xr:uid="{00000000-0004-0000-0100-0000C3060000}"/>
    <hyperlink ref="N1135" r:id="rId1732" display="https://drive.google.com/open?id=1zQYqWu7NULAriTI89D43PqT82ML_dZE0" xr:uid="{00000000-0004-0000-0100-0000C4060000}"/>
    <hyperlink ref="J1136" r:id="rId1733" display="https://www.zillow.com/homedetails/6445-Deep-Dell-Pl-Los-Angeles-CA-90068/20804921_zpid/" xr:uid="{00000000-0004-0000-0100-0000C5060000}"/>
    <hyperlink ref="N1136" r:id="rId1734" display="https://drive.google.com/open?id=1GU6y4vX5_jU9ZkVAKsLnKa3VCCfCts0D" xr:uid="{00000000-0004-0000-0100-0000C6060000}"/>
    <hyperlink ref="J1137" r:id="rId1735" display="https://www.zillow.com/homedetails/613-Westmount-Dr-West-Hollywood-CA-90069/20516808_zpid/" xr:uid="{00000000-0004-0000-0100-0000C7060000}"/>
    <hyperlink ref="N1137" r:id="rId1736" display="https://drive.google.com/open?id=1AlXYijPRuPrW-q0dyfCS5mrQx06P4aH9" xr:uid="{00000000-0004-0000-0100-0000C8060000}"/>
    <hyperlink ref="J1138" r:id="rId1737" display="https://www.zillow.com/homedetails/10910-Hesby-St-B-North-Hollywood-CA-91601/2072759498_zpid/" xr:uid="{00000000-0004-0000-0100-0000C9060000}"/>
    <hyperlink ref="J1139" r:id="rId1738" display="https://www.zillow.com/homedetails/11410-Dona-Pegita-Dr-Studio-City-CA-91604/20031183_zpid/" xr:uid="{00000000-0004-0000-0100-0000CA060000}"/>
    <hyperlink ref="N1139" r:id="rId1739" display="https://drive.google.com/open?id=1dx8dNxfJCDyLuj2HMPcW8BzowzSGsnAq" xr:uid="{00000000-0004-0000-0100-0000CB060000}"/>
    <hyperlink ref="J1140" r:id="rId1740" display="https://www.zillow.com/homedetails/5902-Lemp-Ave-North-Hollywood-CA-91601/20012347_zpid/" xr:uid="{00000000-0004-0000-0100-0000CC060000}"/>
    <hyperlink ref="J1141" r:id="rId1741" display="https://www.zillow.com/homedetails/11259-Otsego-St-APT-1-North-Hollywood-CA-91601/2092207915_zpid/" xr:uid="{00000000-0004-0000-0100-0000CD060000}"/>
    <hyperlink ref="I1142" r:id="rId1742" display="http://rent.com/" xr:uid="{00000000-0004-0000-0100-0000CE060000}"/>
    <hyperlink ref="J1142" r:id="rId1743" display="https://www.rent.com/california/los-angeles-condos/1128-s-shenandoah-st-4-lv1887069272" xr:uid="{00000000-0004-0000-0100-0000CF060000}"/>
    <hyperlink ref="J1143" r:id="rId1744" display="https://www.zillow.com/homedetails/2112-E-4th-St-2112-Los-Angeles-CA-90033/443812015_zpid/" xr:uid="{00000000-0004-0000-0100-0000D0060000}"/>
    <hyperlink ref="N1143" r:id="rId1745" display="https://drive.google.com/open?id=1zUcA0PpQXYVakHtC5YACjkaOsqLyQZMv" xr:uid="{00000000-0004-0000-0100-0000D1060000}"/>
    <hyperlink ref="J1144" r:id="rId1746" display="https://www.zillow.com/homedetails/1517-Estuary-Way-Oxnard-CA-93035/69045884_zpid/" xr:uid="{00000000-0004-0000-0100-0000D2060000}"/>
    <hyperlink ref="N1144" r:id="rId1747" display="https://drive.google.com/open?id=11JiP5B432Awk5U_1mjtJ_ftcKb9n4KOE" xr:uid="{00000000-0004-0000-0100-0000D3060000}"/>
    <hyperlink ref="J1145" r:id="rId1748" display="https://www.zillow.com/homedetails/11431-Tiara-St-2-North-Hollywood-CA-91601/2075429500_zpid/" xr:uid="{00000000-0004-0000-0100-0000D4060000}"/>
    <hyperlink ref="J1146" r:id="rId1749" display="https://www.zillow.com/homedetails/5107-11th-Ave-Los-Angeles-CA-90043/20567993_zpid/" xr:uid="{00000000-0004-0000-0100-0000D5060000}"/>
    <hyperlink ref="J1147" r:id="rId1750" display="https://www.zillow.com/homedetails/1141-Summit-Dr-Beverly-Hills-CA-90210/135433958_zpid/" xr:uid="{00000000-0004-0000-0100-0000D6060000}"/>
    <hyperlink ref="N1147" r:id="rId1751" display="https://drive.google.com/open?id=1lSAFc3BOTomX_DVn27wrX7H9AnOsrHw1" xr:uid="{00000000-0004-0000-0100-0000D7060000}"/>
    <hyperlink ref="J1148" r:id="rId1752" display="https://www.zillow.com/homedetails/5010-Tujunga-Ave-APT-1-North-Hollywood-CA-91601/439714116_zpid/" xr:uid="{00000000-0004-0000-0100-0000D8060000}"/>
    <hyperlink ref="J1149" r:id="rId1753" display="https://www.zillow.com/homedetails/1735-Taft-Ave-Los-Angeles-CA-90028/20807936_zpid/" xr:uid="{00000000-0004-0000-0100-0000D9060000}"/>
    <hyperlink ref="N1149" r:id="rId1754" display="https://drive.google.com/open?id=10QSOD_4oSwFrkZxoonF7kjiVRaPiaph0" xr:uid="{00000000-0004-0000-0100-0000DA060000}"/>
    <hyperlink ref="J1150" r:id="rId1755" display="https://www.zillow.com/homedetails/1104-Exposition-Blvd-UNIT-2-Los-Angeles-CA-90007/2064322675_zpid/" xr:uid="{00000000-0004-0000-0100-0000DB060000}"/>
    <hyperlink ref="N1150" r:id="rId1756" display="https://drive.google.com/open?id=1TdtGnaXUSnCeWM_TA8CSMrBENy-Aa_nw" xr:uid="{00000000-0004-0000-0100-0000DC060000}"/>
    <hyperlink ref="J1151" r:id="rId1757" display="https://www.zillow.com/homedetails/106-N-Citrus-Ave-Los-Angeles-CA-90036/20778143_zpid/" xr:uid="{00000000-0004-0000-0100-0000DD060000}"/>
    <hyperlink ref="N1151" r:id="rId1758" display="https://drive.google.com/open?id=1u1nWxHQispHxe5TGSV5CJ2EpCRabqF45" xr:uid="{00000000-0004-0000-0100-0000DE060000}"/>
    <hyperlink ref="J1152" r:id="rId1759" display="https://www.zillow.com/homedetails/1355-N-Gardner-St-APT-203-Los-Angeles-CA-90046/2110245015_zpid/" xr:uid="{00000000-0004-0000-0100-0000DF060000}"/>
    <hyperlink ref="J1153" r:id="rId1760" display="https://www.zillow.com/homedetails/1012-Keniston-Ave-Los-Angeles-CA-90019/20606367_zpid/" xr:uid="{00000000-0004-0000-0100-0000E0060000}"/>
    <hyperlink ref="N1153" r:id="rId1761" display="https://drive.google.com/open?id=1ph2e8J0TJLbcwtf-0lQRgD8CWw89xqCc" xr:uid="{00000000-0004-0000-0100-0000E1060000}"/>
    <hyperlink ref="J1154" r:id="rId1762" display="https://www.zillow.com/homedetails/822-S-Plymouth-Blvd-2-Los-Angeles-CA-90005/339398724_zpid/" xr:uid="{00000000-0004-0000-0100-0000E2060000}"/>
    <hyperlink ref="J1155" r:id="rId1763" display="https://www.zillow.com/homedetails/2928-Las-Alturas-St-Los-Angeles-CA-90068/20045443_zpid/" xr:uid="{00000000-0004-0000-0100-0000E3060000}"/>
    <hyperlink ref="J1156" r:id="rId1764" display="https://www.zillow.com/homedetails/6858-Fountain-Ave-Los-Angeles-CA-90038/444002102_zpid/" xr:uid="{00000000-0004-0000-0100-0000E4060000}"/>
    <hyperlink ref="N1156" r:id="rId1765" display="https://drive.google.com/open?id=1FJfy-qQEhk8z7_Rl5uCtitYalY0DDkr6" xr:uid="{00000000-0004-0000-0100-0000E5060000}"/>
    <hyperlink ref="J1157" r:id="rId1766" display="https://www.zillow.com/homedetails/8634-Hillside-Ave-Los-Angeles-CA-90069/20798460_zpid/" xr:uid="{00000000-0004-0000-0100-0000E6060000}"/>
    <hyperlink ref="N1157" r:id="rId1767" display="https://drive.google.com/open?id=1PsxeceZQUmsLIkb15u03CnB9MX-M5h4H" xr:uid="{00000000-0004-0000-0100-0000E7060000}"/>
    <hyperlink ref="J1158" r:id="rId1768" display="https://www.zillow.com/homedetails/9907-National-Blvd-Los-Angeles-CA-90034/402290876_zpid/" xr:uid="{00000000-0004-0000-0100-0000E8060000}"/>
    <hyperlink ref="N1158" r:id="rId1769" display="https://drive.google.com/open?id=1dXq6WhVtLv02YzpbU4Y2Yk3X-VPS5ifZ" xr:uid="{00000000-0004-0000-0100-0000E9060000}"/>
    <hyperlink ref="J1159" r:id="rId1770" display="https://www.zillow.com/homedetails/1735-Taft-Ave-Los-Angeles-CA-90028/20807936_zpid/" xr:uid="{00000000-0004-0000-0100-0000EA060000}"/>
    <hyperlink ref="N1159" r:id="rId1771" display="https://drive.google.com/open?id=1UHemVUpdAbXWciTatA60Cigr_YyP4v0j" xr:uid="{00000000-0004-0000-0100-0000EB060000}"/>
    <hyperlink ref="J1160" r:id="rId1772" display="https://www.zillow.com/homedetails/7015-Wrightcrest-Dr-Culver-City-CA-90232/20430909_zpid/" xr:uid="{00000000-0004-0000-0100-0000EC060000}"/>
    <hyperlink ref="N1160" r:id="rId1773" display="https://drive.google.com/open?id=1d5d7aBpKpTsua0JHgmsRmBNOJfzVuY-e" xr:uid="{00000000-0004-0000-0100-0000ED060000}"/>
    <hyperlink ref="J1161" r:id="rId1774" display="https://www.zillow.com/homedetails/7015-Wrightcrest-Dr-Culver-City-CA-90232/20430909_zpid/" xr:uid="{00000000-0004-0000-0100-0000EE060000}"/>
    <hyperlink ref="J1162" r:id="rId1775" display="https://www.zillow.com/homedetails/170-N-Crescent-Dr-APT-204-Beverly-Hills-CA-90210/2082461854_zpid/" xr:uid="{00000000-0004-0000-0100-0000EF060000}"/>
    <hyperlink ref="N1162" r:id="rId1776" display="https://drive.google.com/open?id=1IalZMxBK7_GIdIZcZY7umua4RfhI2ztd" xr:uid="{00000000-0004-0000-0100-0000F0060000}"/>
    <hyperlink ref="J1163" r:id="rId1777" display="https://www.zillow.com/homedetails/1800-N-Allen-Ave-Pasadena-CA-91104/442462723_zpid/" xr:uid="{00000000-0004-0000-0100-0000F1060000}"/>
    <hyperlink ref="N1163" r:id="rId1778" display="https://drive.google.com/open?id=11CN6yZib1N-lkVKo_1gWiuyCOM_4M0jn" xr:uid="{00000000-0004-0000-0100-0000F2060000}"/>
    <hyperlink ref="J1164" r:id="rId1779" display="https://www.zillow.com/homedetails/3180-Casitas-Ave-Los-Angeles-CA-90039/20750713_zpid/" xr:uid="{00000000-0004-0000-0100-0000F3060000}"/>
    <hyperlink ref="J1165" r:id="rId1780" display="https://www.zillow.com/homedetails/3319-Wrightwood-Dr-Studio-City-CA-91604/20031064_zpid/" xr:uid="{00000000-0004-0000-0100-0000F4060000}"/>
    <hyperlink ref="N1165" r:id="rId1781" display="https://drive.google.com/open?id=13U5U7zUsoYQ6mzoflGcPiBigJLhVPC5s" xr:uid="{00000000-0004-0000-0100-0000F5060000}"/>
    <hyperlink ref="J1166" r:id="rId1782" display="https://www.zillow.com/homedetails/9243-Cordell-Dr-Los-Angeles-CA-90069/20534852_zpid/" xr:uid="{00000000-0004-0000-0100-0000F6060000}"/>
    <hyperlink ref="N1166" r:id="rId1783" display="https://drive.google.com/open?id=1mQ_fSiNTydHuinl-gZesNcNgl3NpMnRI" xr:uid="{00000000-0004-0000-0100-0000F7060000}"/>
    <hyperlink ref="J1167" r:id="rId1784" display="https://www.zillow.com/homedetails/600-N-Soto-St-APT-101-Los-Angeles-CA-90033/2095350496_zpid/" xr:uid="{00000000-0004-0000-0100-0000F8060000}"/>
    <hyperlink ref="N1167" r:id="rId1785" display="https://drive.google.com/open?id=1-9-xK1z0KdJXtah9XQcQW3ocGbRcURRf" xr:uid="{00000000-0004-0000-0100-0000F9060000}"/>
    <hyperlink ref="J1168" r:id="rId1786" display="https://www.zillow.com/homedetails/2766-Ellison-Dr-Beverly-Hills-CA-90210/20533335_zpid/" xr:uid="{00000000-0004-0000-0100-0000FA060000}"/>
    <hyperlink ref="J1169" r:id="rId1787" display="https://www.zillow.com/homedetails/691-S-Marengo-Ave-APT-4-Pasadena-CA-91106/20860879_zpid/" xr:uid="{00000000-0004-0000-0100-0000FB060000}"/>
    <hyperlink ref="N1169" r:id="rId1788" display="https://drive.google.com/open?id=1WUxbRI2Z78OvAqE9GeLZHvALdlXES_Ru" xr:uid="{00000000-0004-0000-0100-0000FC060000}"/>
    <hyperlink ref="J1170" r:id="rId1789" display="https://www.zillow.com/homedetails/965-E-Del-Mar-Blvd-APT-5-Pasadena-CA-91106/20868749_zpid/" xr:uid="{00000000-0004-0000-0100-0000FD060000}"/>
    <hyperlink ref="N1170" r:id="rId1790" display="https://drive.google.com/open?id=1xx5niDLtCsyVXa6czw2Z-RFQx9ltmX9S" xr:uid="{00000000-0004-0000-0100-0000FE060000}"/>
    <hyperlink ref="J1171" r:id="rId1791" display="https://www.zillow.com/homedetails/3639-Shady-Oak-Rd-Studio-City-CA-91604/20029790_zpid/" xr:uid="{00000000-0004-0000-0100-0000FF060000}"/>
    <hyperlink ref="N1171" r:id="rId1792" display="https://drive.google.com/open?id=1NXPSaJ_G1cvhkdk7zjBc7IS6W763hUHl" xr:uid="{00000000-0004-0000-0100-000000070000}"/>
    <hyperlink ref="J1172" r:id="rId1793" display="https://www.zillow.com/homedetails/1156-N-Lake-Ave-Pasadena-CA-91104/2083166974_zpid/" xr:uid="{00000000-0004-0000-0100-000001070000}"/>
    <hyperlink ref="N1172" r:id="rId1794" display="https://drive.google.com/open?id=1QvV47_xoVDH9lXkUnN9x_7yC6uvKHlGn" xr:uid="{00000000-0004-0000-0100-000002070000}"/>
    <hyperlink ref="J1173" r:id="rId1795" display="https://www.zillow.com/homedetails/6268-N-San-Gabriel-Blvd-APT-3-San-Gabriel-CA-91775/2086807997_zpid/" xr:uid="{00000000-0004-0000-0100-000003070000}"/>
    <hyperlink ref="N1173" r:id="rId1796" display="https://drive.google.com/open?id=1uE2XfX2TyN-0KDWSKMVSG47HVtGd5A6L" xr:uid="{00000000-0004-0000-0100-000004070000}"/>
    <hyperlink ref="J1174" r:id="rId1797" display="https://www.zillow.com/homedetails/4504-Cedros-Ave-Sherman-Oaks-CA-91403/19983993_zpid/" xr:uid="{00000000-0004-0000-0100-000005070000}"/>
    <hyperlink ref="J1175" r:id="rId1798" display="https://www.redfin.com/CA/Beverly-Hills/9982-Beverly-Grove-Dr-90210/home/64460234" xr:uid="{00000000-0004-0000-0100-000006070000}"/>
    <hyperlink ref="J1176" r:id="rId1799" display="https://www.zillow.com/homedetails/10824-Chalon-Rd-Los-Angeles-CA-90077/20529073_zpid/" xr:uid="{00000000-0004-0000-0100-000007070000}"/>
    <hyperlink ref="N1176" r:id="rId1800" display="https://drive.google.com/open?id=1eK-xJJEYE2F9lniwb3_iSVGC1Y9nqt2Y" xr:uid="{00000000-0004-0000-0100-000008070000}"/>
    <hyperlink ref="J1177" r:id="rId1801" display="https://www.zillow.com/homedetails/6830-Alta-Loma-Ter-Los-Angeles-CA-90068/20793971_zpid/" xr:uid="{00000000-0004-0000-0100-000009070000}"/>
    <hyperlink ref="N1177" r:id="rId1802" display="https://drive.google.com/open?id=1FT8pI2dp5EKVBzy6lw5S2btsiOqSHzBn" xr:uid="{00000000-0004-0000-0100-00000A070000}"/>
    <hyperlink ref="J1178" r:id="rId1803" display="https://www.redfin.com/CA/Beverly-Hills/9722-Royce-Ct-90210/home/6833711" xr:uid="{00000000-0004-0000-0100-00000B070000}"/>
    <hyperlink ref="J1179" r:id="rId1804" display="https://www.zillow.com/homedetails/220-E-Live-Oak-St-APT-15-San-Gabriel-CA-91776/2093359195_zpid/" xr:uid="{00000000-0004-0000-0100-00000C070000}"/>
    <hyperlink ref="N1179" r:id="rId1805" display="https://drive.google.com/open?id=1hn3pg8YzZeO_nsUttqVwqSe3KzAqrQBN" xr:uid="{00000000-0004-0000-0100-00000D070000}"/>
    <hyperlink ref="J1180" r:id="rId1806" display="https://www.zillow.com/homedetails/1245-Buena-Vista-St-Ventura-CA-93001/69037464_zpid/" xr:uid="{00000000-0004-0000-0100-00000E070000}"/>
    <hyperlink ref="N1180" r:id="rId1807" display="https://drive.google.com/open?id=19aimCbC5WGBAmEHknnpqsgqn9TwULCIm" xr:uid="{00000000-0004-0000-0100-00000F070000}"/>
    <hyperlink ref="J1181" r:id="rId1808" display="https://www.zillow.com/homedetails/400-E-Live-Oak-St-APT-12-San-Gabriel-CA-91776/2112247538_zpid/" xr:uid="{00000000-0004-0000-0100-000010070000}"/>
    <hyperlink ref="N1181" r:id="rId1809" display="https://drive.google.com/open?id=1nQsJDgFIK7-01xB_Y3j7XfgMMAAgs0r_" xr:uid="{00000000-0004-0000-0100-000011070000}"/>
    <hyperlink ref="J1182" r:id="rId1810" display="https://www.zillow.com/homedetails/2712-Cameron-Walk-Ventura-CA-93001/250068193_zpid/" xr:uid="{00000000-0004-0000-0100-000012070000}"/>
    <hyperlink ref="N1182" r:id="rId1811" display="https://drive.google.com/open?id=1lzj_Vfj38C50gch2DKVxrFLox5CHxruG" xr:uid="{00000000-0004-0000-0100-000013070000}"/>
    <hyperlink ref="J1183" r:id="rId1812" display="https://www.redfin.com/CA/Beverly-Hills/3182-Abington-Dr-90210/home/6834008" xr:uid="{00000000-0004-0000-0100-000014070000}"/>
    <hyperlink ref="J1184" r:id="rId1813" display="https://www.redfin.com/CA/Encino/4141-Hayvenhurst-Ave-91436/home/4942231" xr:uid="{00000000-0004-0000-0100-000015070000}"/>
    <hyperlink ref="J1185" r:id="rId1814" display="https://www.redfin.com/CA/Los-Angeles/8744-Skyline-Dr-90046/home/7123091" xr:uid="{00000000-0004-0000-0100-000016070000}"/>
    <hyperlink ref="J1186" r:id="rId1815" display="https://www.zillow.com/homedetails/1456-Newport-Ave-Long-Beach-CA-90804/21226664_zpid/" xr:uid="{00000000-0004-0000-0100-000017070000}"/>
    <hyperlink ref="J1187" r:id="rId1816" display="https://www.zillow.com/homedetails/5237-Leghorn-Ave-Van-Nuys-CA-91401/20015833_zpid/?utm_campaign=iosappmessage&amp;utm_medium=referral&amp;utm_source=txtshare" xr:uid="{00000000-0004-0000-0100-000018070000}"/>
    <hyperlink ref="N1187" r:id="rId1817" display="https://drive.google.com/open?id=1cHAANbw2gcr6SH5qR2aTgl60D82FbJKX" xr:uid="{00000000-0004-0000-0100-000019070000}"/>
    <hyperlink ref="J1188" r:id="rId1818" display="https://www.zillow.com/homedetails/213-17th-St-APT-A-Huntington-Beach-CA-92648/2062460252_zpid/" xr:uid="{00000000-0004-0000-0100-00001A070000}"/>
    <hyperlink ref="J1189" r:id="rId1819" display="https://primewestmanagement.appfolio.com/listings/detail/0bec5fc5-cb0e-46d4-aa75-d2179b307429" xr:uid="{00000000-0004-0000-0100-00001B070000}"/>
    <hyperlink ref="J1190" r:id="rId1820" display="https://www.zillow.com/homedetails/8262-Woodshill-Trl-Los-Angeles-CA-90069/20797509_zpid/?utm_campaign=iosappmessage&amp;utm_medium=referral&amp;utm_source=txtshare" xr:uid="{00000000-0004-0000-0100-00001C070000}"/>
    <hyperlink ref="J1191" r:id="rId1821" display="https://www.zillow.com/homedetails/817-N-Whittier-Dr-Beverly-Hills-CA-90210/20521923_zpid/?utm_campaign=iosappmessage&amp;utm_medium=referral&amp;utm_source=txtshare" xr:uid="{00000000-0004-0000-0100-00001D070000}"/>
    <hyperlink ref="J1192" r:id="rId1822" display="https://www.zillow.com/homedetails/12311-Deana-St-El-Monte-CA-91732/21598789_zpid/" xr:uid="{00000000-0004-0000-0100-00001E070000}"/>
    <hyperlink ref="N1192" r:id="rId1823" display="https://drive.google.com/open?id=1QldayyfhKdFxGjFiwrbSxyRBSnLSSlJ9" xr:uid="{00000000-0004-0000-0100-00001F070000}"/>
    <hyperlink ref="J1193" r:id="rId1824" display="https://www.zillow.com/homedetails/4661-Bedel-St-Woodland-Hills-CA-91364/19944813_zpid/?utm_campaign=iosappmessage&amp;utm_medium=referral&amp;utm_source=txtshare" xr:uid="{00000000-0004-0000-0100-000020070000}"/>
    <hyperlink ref="J1194" r:id="rId1825" display="https://www.compass.com/listing/137-south-wilson-avenue-unit-209-pasadena-ca-91106/1221120925965769353/" xr:uid="{00000000-0004-0000-0100-000021070000}"/>
    <hyperlink ref="N1194" r:id="rId1826" display="https://drive.google.com/open?id=1KVX094PPRAmC_HXJq2E2gsQhMTeCUYQh" xr:uid="{00000000-0004-0000-0100-000022070000}"/>
    <hyperlink ref="J1195" r:id="rId1827" display="https://www.zillow.com/homedetails/137-S-Wilson-Ave-UNIT-301-Pasadena-CA-91106/325797670_zpid/" xr:uid="{00000000-0004-0000-0100-000023070000}"/>
    <hyperlink ref="N1195" r:id="rId1828" display="https://drive.google.com/open?id=1NxzsuG-9CBbhiKm_DVPAredkrcWGGCl2" xr:uid="{00000000-0004-0000-0100-000024070000}"/>
    <hyperlink ref="J1196" r:id="rId1829" display="https://www.zillow.com/homedetails/Los-Angeles-CA-90004/2089738197_zpid/" xr:uid="{00000000-0004-0000-0100-000025070000}"/>
    <hyperlink ref="J1197" r:id="rId1830" display="https://www.zillow.com/homedetails/3321-E-Colorado-Blvd-25-Pasadena-CA-91107/353727409_zpid/" xr:uid="{00000000-0004-0000-0100-000026070000}"/>
    <hyperlink ref="J1198" r:id="rId1831" display="https://www.realtor.com/realestateandhomes-detail/141-Hollister-Ave_Santa-Monica_CA_90405_M90293-37928" xr:uid="{00000000-0004-0000-0100-000027070000}"/>
    <hyperlink ref="N1198" r:id="rId1832" display="https://drive.google.com/open?id=1IC6udXZ-Ieynnht1WcMLPyrpj4MsL8E8" xr:uid="{00000000-0004-0000-0100-000028070000}"/>
    <hyperlink ref="J1199" r:id="rId1833" display="https://www.zillow.com/homedetails/10780-Andora-Ave-Chatsworth-CA-91311/2068802822_zpid/" xr:uid="{00000000-0004-0000-0100-000029070000}"/>
    <hyperlink ref="J1200" r:id="rId1834" display="https://www.zillow.com/homedetails/6160-San-Vicente-Blvd-Los-Angeles-CA-90048/20609742_zpid/" xr:uid="{00000000-0004-0000-0100-00002A070000}"/>
    <hyperlink ref="N1200" r:id="rId1835" display="https://drive.google.com/open?id=1bMHneq-CtEqEaBIaxu44cT-nmSWzHygN" xr:uid="{00000000-0004-0000-0100-00002B070000}"/>
    <hyperlink ref="J1201" r:id="rId1836" display="https://www.zillow.com/homedetails/6446-Deep-Dell-Pl-Los-Angeles-CA-90068/68978731_zpid/" xr:uid="{00000000-0004-0000-0100-00002C070000}"/>
    <hyperlink ref="N1201" r:id="rId1837" display="https://drive.google.com/open?id=1n682evfJ0ztpvU7MOVN9_uHbwiso1Ssu" xr:uid="{00000000-0004-0000-0100-00002D070000}"/>
    <hyperlink ref="J1202" r:id="rId1838" display="https://www.zillow.com/homedetails/801-S-Grand-Ave-APT-2010-Los-Angeles-CA-90017/67420686_zpid/" xr:uid="{00000000-0004-0000-0100-00002E070000}"/>
    <hyperlink ref="J1203" r:id="rId1839" display="https://www.zillow.com/homedetails/1210-N-Country-Hollow-Dr-Walnut-CA-91789/21672332_zpid/" xr:uid="{00000000-0004-0000-0100-00002F070000}"/>
    <hyperlink ref="N1203" r:id="rId1840" display="https://drive.google.com/open?id=1G79jxYF_3OPFQNPXXdd7y9sJ4kQvFXET" xr:uid="{00000000-0004-0000-0100-000030070000}"/>
    <hyperlink ref="J1204" r:id="rId1841" display="https://www.zillow.com/homedetails/126-Donati-Irvine-CA-92602/325861553_zpid/" xr:uid="{00000000-0004-0000-0100-000031070000}"/>
    <hyperlink ref="N1204" r:id="rId1842" display="https://drive.google.com/open?id=1umf8eLy_7nJDanVSlbpSHv2WdQuaFmL4" xr:uid="{00000000-0004-0000-0100-000032070000}"/>
    <hyperlink ref="J1205" r:id="rId1843" display="https://www.zillow.com/homedetails/21-Lakefront-Irvine-CA-92604/2126557441_zpid/" xr:uid="{00000000-0004-0000-0100-000033070000}"/>
    <hyperlink ref="N1205" r:id="rId1844" display="https://drive.google.com/open?id=1DQ4uQNz32ojUh6ej8qhmkFtOlMb9wxz4" xr:uid="{00000000-0004-0000-0100-000034070000}"/>
    <hyperlink ref="J1206" r:id="rId1845" display="https://www.zillow.com/homedetails/10660-W-Wilshire-Blvd-309-Los-Angeles-CA-90024/444004097_zpid/" xr:uid="{00000000-0004-0000-0100-000035070000}"/>
    <hyperlink ref="J1207" r:id="rId1846" display="https://www.zillow.com/homedetails/3298-Sunset-Hills-Blvd-Thousand-Oaks-CA-91362/52466191_zpid/" xr:uid="{00000000-0004-0000-0100-000036070000}"/>
    <hyperlink ref="N1207" r:id="rId1847" display="https://drive.google.com/open?id=1BkB_9yvdxXUW2E98oAs-1Jn2uGk3pjrq" xr:uid="{00000000-0004-0000-0100-000037070000}"/>
    <hyperlink ref="J1208" r:id="rId1848" display="https://www.zillow.com/homedetails/9243-Cordell-Dr-Los-Angeles-CA-90069/20534852_zpid/" xr:uid="{00000000-0004-0000-0100-000038070000}"/>
    <hyperlink ref="J1209" r:id="rId1849" display="https://www.zillow.com/homedetails/8875-Cynthia-St-B-West-Hollywood-CA-90069/244500425_zpid/" xr:uid="{00000000-0004-0000-0100-000039070000}"/>
    <hyperlink ref="J1210" r:id="rId1850" display="https://www.zillow.com/homedetails/2398-Leeward-Cir-Westlake-Village-CA-91361/16493568_zpid/" xr:uid="{00000000-0004-0000-0100-00003A070000}"/>
    <hyperlink ref="N1210" r:id="rId1851" display="https://drive.google.com/open?id=1YJ9iNjd2jqgBhTMWO0MaET0eSm_iY3sV" xr:uid="{00000000-0004-0000-0100-00003B070000}"/>
    <hyperlink ref="J1211" r:id="rId1852" display="https://www.zillow.com/homedetails/6447-Surfside-Way-Malibu-CA-90265/20557273_zpid/" xr:uid="{00000000-0004-0000-0100-00003C070000}"/>
    <hyperlink ref="N1211" r:id="rId1853" display="https://drive.google.com/open?id=1GeTxm_cLGD3yDaRjUm4Hicz8Hsot9cqo" xr:uid="{00000000-0004-0000-0100-00003D070000}"/>
    <hyperlink ref="J1212" r:id="rId1854" display="https://www.zillow.com/homedetails/636-N-Juanita-Ave-403-Los-Angeles-CA-90004/2057680065_zpid/?rtoken=4410dfb7-5713-4eac-b85f-6427b5ecb6ea~X1-ZU14plpe7gk4kjt_uwi3&amp;utm_campaign=emo-propertyalertnew&amp;utm_source=email&amp;utm_term=urn:msg:20250116011407f52da3683e0bc485&amp;utm_medium=email&amp;utm_content=forrentaddress" xr:uid="{00000000-0004-0000-0100-00003E070000}"/>
    <hyperlink ref="J1213" r:id="rId1855" display="https://www.zillow.com/homedetails/6241-W-6th-St-Los-Angeles-CA-90048/20776463_zpid/?utm_campaign=iosappmessage&amp;utm_medium=referral&amp;utm_source=txtshare" xr:uid="{00000000-0004-0000-0100-00003F070000}"/>
    <hyperlink ref="N1213" r:id="rId1856" display="https://drive.google.com/open?id=1O4hukGAbYepv5E9wkJake0gzmfBH4qxJ" xr:uid="{00000000-0004-0000-0100-000040070000}"/>
    <hyperlink ref="J1214" r:id="rId1857" display="https://www.zillow.com/homedetails/6369-Orange-St-6369-Los-Angeles-CA-90048/443464708_zpid/?utm_campaign=iosappmessage&amp;utm_medium=referral&amp;utm_source=txtshare" xr:uid="{00000000-0004-0000-0100-000041070000}"/>
    <hyperlink ref="N1214" r:id="rId1858" display="https://drive.google.com/open?id=1yAEl3WDQxfQbeFrvBUHYc6FwGkzHiw4F" xr:uid="{00000000-0004-0000-0100-000042070000}"/>
    <hyperlink ref="J1215" r:id="rId1859" display="https://www.zillow.com/homedetails/29712-Zuma-Bay-Way-Malibu-CA-90265/20556841_zpid/" xr:uid="{00000000-0004-0000-0100-000043070000}"/>
    <hyperlink ref="N1215" r:id="rId1860" display="https://drive.google.com/open?id=1Eabb__P4ztp-qWv06AT8ngLda3afOCtn" xr:uid="{00000000-0004-0000-0100-000044070000}"/>
    <hyperlink ref="J1216" r:id="rId1861" display="https://www.zillow.com/homedetails/2243-Century-Hl-Los-Angeles-CA-90067/20510481_zpid/" xr:uid="{00000000-0004-0000-0100-000045070000}"/>
    <hyperlink ref="N1216" r:id="rId1862" display="https://drive.google.com/open?id=1h4M8X_6o5IQbQzdj15uH-hyvzTTn3ZMG" xr:uid="{00000000-0004-0000-0100-000046070000}"/>
    <hyperlink ref="J1217" r:id="rId1863" display="https://www.zillow.com/homedetails/4450-Hayvenhurst-Ave-Encino-CA-91436/19991832_zpid/" xr:uid="{00000000-0004-0000-0100-000047070000}"/>
    <hyperlink ref="N1217" r:id="rId1864" display="https://drive.google.com/open?id=15djCDg66BmipuKOms9d8G8gJSk7W72He" xr:uid="{00000000-0004-0000-0100-000048070000}"/>
    <hyperlink ref="J1218" r:id="rId1865" display="https://www.zillow.com/homedetails/1859-Bel-Air-Rd-Los-Angeles-CA-90077/95660959_zpid/" xr:uid="{00000000-0004-0000-0100-000049070000}"/>
    <hyperlink ref="J1219" r:id="rId1866" display="https://www.zillow.com/homedetails/3548-Poppy-Dr-Calabasas-CA-91302/63086404_zpid/" xr:uid="{00000000-0004-0000-0100-00004A070000}"/>
    <hyperlink ref="N1219" r:id="rId1867" display="https://drive.google.com/open?id=1OcdmPB655eGCAnCdLQuN9mxRTCXLK6yk" xr:uid="{00000000-0004-0000-0100-00004B070000}"/>
    <hyperlink ref="J1220" r:id="rId1868" display="https://www.zillow.com/homedetails/500-St-Cloud-Rd-Los-Angeles-CA-90077/2116907957_zpid/" xr:uid="{00000000-0004-0000-0100-00004C070000}"/>
    <hyperlink ref="J1221" r:id="rId1869" display="https://www.zillow.com/homedetails/1369-Londonderry-Pl-Los-Angeles-CA-90069/20798985_zpid/" xr:uid="{00000000-0004-0000-0100-00004D070000}"/>
    <hyperlink ref="J1222" r:id="rId1870" display="https://www.zillow.com/homedetails/3534-Weslin-Ave-Sherman-Oaks-CA-91423/20033259_zpid/" xr:uid="{00000000-0004-0000-0100-00004E070000}"/>
    <hyperlink ref="N1222" r:id="rId1871" display="https://drive.google.com/open?id=1pkZpf8y6i00bkyiFlj3TBXgSJvLtRM7C" xr:uid="{00000000-0004-0000-0100-00004F070000}"/>
    <hyperlink ref="J1223" r:id="rId1872" display="https://www.zillow.com/homedetails/1531-Summitridge-Dr-Beverly-Hills-CA-90210/20523085_zpid/" xr:uid="{00000000-0004-0000-0100-000050070000}"/>
    <hyperlink ref="J1224" r:id="rId1873" display="https://www.zillow.com/homedetails/923-20th-St-APT-A-Santa-Monica-CA-90403/2123889522_zpid/" xr:uid="{00000000-0004-0000-0100-000051070000}"/>
    <hyperlink ref="N1224" r:id="rId1874" display="https://drive.google.com/open?id=1NjHwKyX1CIZvOIl4fg07vpSSiPVkl9RY" xr:uid="{00000000-0004-0000-0100-000052070000}"/>
    <hyperlink ref="J1225" r:id="rId1875" display="https://www.zillow.com/homedetails/30556-Rainbow-View-Dr-Agoura-Hills-CA-91301/19889303_zpid/" xr:uid="{00000000-0004-0000-0100-000053070000}"/>
    <hyperlink ref="N1225" r:id="rId1876" display="https://drive.google.com/open?id=1FDZP_WQ00pWgpndyZjrIFKIG1862CBu2" xr:uid="{00000000-0004-0000-0100-000054070000}"/>
    <hyperlink ref="J1226" r:id="rId1877" display="https://www.zillow.com/homedetails/1288-Angelo-Dr-Beverly-Hills-CA-90210/20523794_zpid/" xr:uid="{00000000-0004-0000-0100-000055070000}"/>
    <hyperlink ref="J1227" r:id="rId1878" display="https://www.zillow.com/homedetails/6740-Colgate-Ave-Los-Angeles-CA-90048/20776032_zpid/" xr:uid="{00000000-0004-0000-0100-000056070000}"/>
    <hyperlink ref="N1227" r:id="rId1879" display="https://drive.google.com/open?id=10GkFmLi2BJ6nr81aJjepqYZM_XbyTE7G" xr:uid="{00000000-0004-0000-0100-000057070000}"/>
    <hyperlink ref="J1228" r:id="rId1880" display="https://www.zillow.com/homedetails/18730-Hatteras-St-UNIT-49-Tarzana-CA-91356/19933668_zpid/" xr:uid="{00000000-0004-0000-0100-000058070000}"/>
    <hyperlink ref="N1228" r:id="rId1881" display="https://drive.google.com/open?id=1a5-qqq8477KGNtQL35U1oFPI8Q6-Zq09" xr:uid="{00000000-0004-0000-0100-000059070000}"/>
    <hyperlink ref="J1229" r:id="rId1882" display="https://www.zillow.com/homedetails/111-Waterview-St-Playa-Del-Rey-CA-90293/20386625_zpid/" xr:uid="{00000000-0004-0000-0100-00005A070000}"/>
    <hyperlink ref="N1229" r:id="rId1883" display="https://drive.google.com/open?id=1u1xZXmFDraMzHslTPiYMW7YViWa5Zwzt" xr:uid="{00000000-0004-0000-0100-00005B070000}"/>
    <hyperlink ref="J1230" r:id="rId1884" display="https://www.zillow.com/homedetails/449-29th-St-Hermosa-Beach-CA-90254/20423433_zpid/" xr:uid="{00000000-0004-0000-0100-00005C070000}"/>
    <hyperlink ref="N1230" r:id="rId1885" display="https://drive.google.com/open?id=13lRpiiSfa790k5dxiANGm0DWA5QHrsnH" xr:uid="{00000000-0004-0000-0100-00005D070000}"/>
    <hyperlink ref="J1231" r:id="rId1886" display="https://www.zillow.com/homedetails/920-N-Beverly-Glen-Blvd-Los-Angeles-CA-90077/20529879_zpid/" xr:uid="{00000000-0004-0000-0100-00005E070000}"/>
    <hyperlink ref="N1231" r:id="rId1887" display="https://drive.google.com/open?id=1B30SRMYzxQ6r-oFd6pEVSqj5qu-WHFJg" xr:uid="{00000000-0004-0000-0100-00005F070000}"/>
    <hyperlink ref="J1232" r:id="rId1888" display="https://www.zillow.com/homedetails/5829-E-2nd-St-Long-Beach-CA-90803/21215596_zpid/" xr:uid="{00000000-0004-0000-0100-000060070000}"/>
    <hyperlink ref="N1232" r:id="rId1889" display="https://drive.google.com/open?id=1juywM-kym7nVdk0LY0cLItTI0eYA1WdR" xr:uid="{00000000-0004-0000-0100-000061070000}"/>
    <hyperlink ref="J1233" r:id="rId1890" display="https://www.zillow.com/homedetails/2027-1-2-N-Vermont-Ave-Los-Angeles-CA-90027/2085028200_zpid/" xr:uid="{00000000-0004-0000-0100-000062070000}"/>
    <hyperlink ref="J1234" r:id="rId1891" display="https://www.zillow.com/homedetails/2006-N-Commonwealth-Ave-Los-Angeles-CA-90027/20811028_zpid/" xr:uid="{00000000-0004-0000-0100-000063070000}"/>
    <hyperlink ref="J1235" r:id="rId1892" location="property-history" display="https://www.redfin.com/CA/Tarzana/6258-Shirley-Ave-91335/home/3903305 - property-history" xr:uid="{00000000-0004-0000-0100-000064070000}"/>
    <hyperlink ref="N1235" r:id="rId1893" display="https://drive.google.com/open?id=1kzJYnURAxN5I0_P90YA1Ha1bO_qyGxS4" xr:uid="{00000000-0004-0000-0100-000065070000}"/>
    <hyperlink ref="J1236" r:id="rId1894" display="https://www.zillow.com/homedetails/13730-Community-St-Panorama-City-CA-91402/20123762_zpid/?rtoken=49f8339d-934a-4351-b21f-b989aedbf4f8~X1-ZUzfpzrsig6x3d_4234t&amp;utm_campaign=emo-propertyalertnew&amp;utm_source=email&amp;utm_term=urn:msg:20250116175322a1e75d2448cb4d8b&amp;utm_medium=email&amp;utm_content=forrentimage" xr:uid="{00000000-0004-0000-0100-000066070000}"/>
    <hyperlink ref="N1236" r:id="rId1895" display="https://drive.google.com/open?id=1MPlixm_zmXjtr8DgaZZXLBChJ0iO8H68" xr:uid="{00000000-0004-0000-0100-000067070000}"/>
    <hyperlink ref="J1237" r:id="rId1896" location="property-history" display="https://www.redfin.com/CA/Tarzana/4001-Clarinda-Dr-91356/home/4261210 - property-history" xr:uid="{00000000-0004-0000-0100-000068070000}"/>
    <hyperlink ref="N1237" r:id="rId1897" display="https://drive.google.com/open?id=1pF3aKQru8lHcK-TEJ_soKD-_Yc7noi_g" xr:uid="{00000000-0004-0000-0100-000069070000}"/>
    <hyperlink ref="J1238" r:id="rId1898" display="https://www.zillow.com/homedetails/2324-N-Vermont-Ave-Los-Angeles-CA-90027/20809114_zpid/" xr:uid="{00000000-0004-0000-0100-00006A070000}"/>
    <hyperlink ref="J1239" r:id="rId1899" display="https://www.zillow.com/homedetails/625-S-Burnside-Ave-625-5-Los-Angeles-CA-90036/2077200389_zpid/" xr:uid="{00000000-0004-0000-0100-00006B070000}"/>
    <hyperlink ref="J1240" r:id="rId1900" display="https://www.redfin.com/CA/Los-Angeles/8107-Loyola-Blvd-90045/home/6620001" xr:uid="{00000000-0004-0000-0100-00006C070000}"/>
    <hyperlink ref="J1241" r:id="rId1901" display="https://www.zillow.com/homedetails/6370-E-Tamarind-St-Oak-Park-CA-91377/2056151679_zpid/" xr:uid="{00000000-0004-0000-0100-00006D070000}"/>
    <hyperlink ref="N1241" r:id="rId1902" display="https://drive.google.com/open?id=1PGfhoTfpe7r5FeUTaj2DDYi20FY-fxta" xr:uid="{00000000-0004-0000-0100-00006E070000}"/>
    <hyperlink ref="J1242" r:id="rId1903" location="property-history" display="https://www.redfin.com/CA/Los-Angeles/1850-Industrial-St-90021/home/194276793 - property-history" xr:uid="{00000000-0004-0000-0100-00006F070000}"/>
    <hyperlink ref="N1242" r:id="rId1904" display="https://drive.google.com/open?id=1jful6JWBXQ3jPKA-QreKrR6Q-X2Bys-5" xr:uid="{00000000-0004-0000-0100-000070070000}"/>
    <hyperlink ref="J1243" r:id="rId1905" display="https://www.zillow.com/homedetails/15316-Del-Gado-Dr-Sherman-Oaks-CA-91403/19990949_zpid/" xr:uid="{00000000-0004-0000-0100-000071070000}"/>
    <hyperlink ref="J1244" r:id="rId1906" display="https://www.zillow.com/homedetails/5467-Clermont-Ct-Westlake-Village-CA-91362/19888355_zpid/" xr:uid="{00000000-0004-0000-0100-000072070000}"/>
    <hyperlink ref="N1244" r:id="rId1907" display="https://drive.google.com/open?id=1QX2RVllJKIS0G3G-ScWXJK7oyN0ULOsO" xr:uid="{00000000-0004-0000-0100-000073070000}"/>
    <hyperlink ref="J1245" r:id="rId1908" display="https://www.zillow.com/homedetails/109-N-Lima-St-Sierra-Madre-CA-91024/20885611_zpid/" xr:uid="{00000000-0004-0000-0100-000074070000}"/>
    <hyperlink ref="J1246" r:id="rId1909" display="https://www.zillow.com/homedetails/8660-Edwin-Dr-Los-Angeles-CA-90046/20800482_zpid/" xr:uid="{00000000-0004-0000-0100-000075070000}"/>
    <hyperlink ref="N1246" r:id="rId1910" display="https://drive.google.com/open?id=1yGA-2paV3GpPe0xT2xiWI2PzrNk1zZY4" xr:uid="{00000000-0004-0000-0100-000076070000}"/>
    <hyperlink ref="J1247" r:id="rId1911" display="https://www.zillow.com/homedetails/921-Georgina-Ave-Santa-Monica-CA-90402/20477436_zpid/" xr:uid="{00000000-0004-0000-0100-000077070000}"/>
    <hyperlink ref="N1247" r:id="rId1912" display="https://drive.google.com/open?id=1HghB2n4gRNFJs2eSwiURfSggeFvKicMp" xr:uid="{00000000-0004-0000-0100-000078070000}"/>
    <hyperlink ref="J1248" r:id="rId1913" display="https://www.zillow.com/homedetails/7400-Hollywood-Blvd-APT-717-Los-Angeles-CA-90046/2082573438_zpid/" xr:uid="{00000000-0004-0000-0100-000079070000}"/>
    <hyperlink ref="J1249" r:id="rId1914" display="https://www.zillow.com/homedetails/5903-Tellefson-Rd-Culver-City-CA-90230/20430281_zpid/" xr:uid="{00000000-0004-0000-0100-00007A070000}"/>
    <hyperlink ref="N1249" r:id="rId1915" display="https://drive.google.com/open?id=1lYjc3Uo1xzRPiF45aC9YHNclpvTiVGrQ" xr:uid="{00000000-0004-0000-0100-00007B070000}"/>
    <hyperlink ref="J1250" r:id="rId1916" display="https://www.zillow.com/homedetails/10740-Moorpark-St-APT-205-North-Hollywood-CA-91602/68991353_zpid/?rtoken=00cbf238-4ba5-45ca-8065-422e12a01cb4~X1-ZUwzmpmyjxdatl_4n5nw&amp;utm_campaign=emo-propertyalertnew&amp;utm_source=email&amp;utm_term=urn:msg:2025011620411523e9a75ddc52494d&amp;utm_medium=email&amp;utm_content=forrentimage" xr:uid="{00000000-0004-0000-0100-00007C070000}"/>
    <hyperlink ref="N1250" r:id="rId1917" display="https://drive.google.com/open?id=1slpkaUYvSoHB05-MA3dWQKT1FKHOKBah" xr:uid="{00000000-0004-0000-0100-00007D070000}"/>
    <hyperlink ref="J1251" r:id="rId1918" display="https://www.zillow.com/homedetails/4653-12-Lincoln-Ave-Los-Angeles-CA-90041/2067550115_zpid/?utm_campaign=iosappmessage&amp;utm_medium=referral&amp;utm_source=txtshare" xr:uid="{00000000-0004-0000-0100-00007E070000}"/>
    <hyperlink ref="J1252" r:id="rId1919" display="https://www.zillow.com/homedetails/2567-S-Sepulveda-Blvd-Los-Angeles-CA-90064/20462191_zpid/?utm_campaign=iosappmessage&amp;utm_medium=referral&amp;utm_source=txtshare" xr:uid="{00000000-0004-0000-0100-00007F070000}"/>
    <hyperlink ref="J1253" r:id="rId1920" display="https://www.zillow.com/homedetails/2490-Cheremoya-Ave-Los-Angeles-CA-90068/20805787_zpid/" xr:uid="{00000000-0004-0000-0100-000080070000}"/>
    <hyperlink ref="N1253" r:id="rId1921" display="https://drive.google.com/open?id=1heGGIUFBw0w8Va2u1_AmqF1zXZLC3kgu" xr:uid="{00000000-0004-0000-0100-000081070000}"/>
    <hyperlink ref="J1254" r:id="rId1922" display="https://www.zillow.com/homedetails/759-S-Beverly-Glen-Blvd-Los-Angeles-CA-90024/20526213_zpid/" xr:uid="{00000000-0004-0000-0100-000082070000}"/>
    <hyperlink ref="J1255" r:id="rId1923" display="https://www.zillow.com/homedetails/14808-Huston-St-Sherman-Oaks-CA-91403/19982244_zpid/" xr:uid="{00000000-0004-0000-0100-000083070000}"/>
    <hyperlink ref="K1255" r:id="rId1924" display="https://www.zillow.com/homedetails/14808-Huston-St-Sherman-Oaks-CA-91403/19982244_zpid/" xr:uid="{00000000-0004-0000-0100-000084070000}"/>
    <hyperlink ref="J1256" r:id="rId1925" display="https://www.zillow.com/homedetails/454-E-Washington-Blvd-Pasadena-CA-91104/20865663_zpid/" xr:uid="{00000000-0004-0000-0100-000085070000}"/>
    <hyperlink ref="N1256" r:id="rId1926" display="https://drive.google.com/open?id=1J7ugfR93WEJeP-ZVaCDTWM3hfF_2Mlvg" xr:uid="{00000000-0004-0000-0100-000086070000}"/>
    <hyperlink ref="J1257" r:id="rId1927" display="https://www.zillow.com/homedetails/432-N-Oakhurst-Dr-407-Beverly-Hills-CA-90210/119677448_zpid/?utm_campaign=iosappmessage&amp;utm_medium=referral&amp;utm_source=txtshare" xr:uid="{00000000-0004-0000-0100-000087070000}"/>
    <hyperlink ref="J1258" r:id="rId1928" display="https://www.zillow.com/homedetails/608-N-Alpine-Dr-Beverly-Hills-CA-90210/20519739_zpid/?utm_campaign=iosappmessage&amp;utm_medium=referral&amp;utm_source=txtshare" xr:uid="{00000000-0004-0000-0100-000088070000}"/>
    <hyperlink ref="J1259" r:id="rId1929" display="https://www.zillow.com/homedetails/2939-W-Leeward-Ave-UNIT-515-Los-Angeles-CA-90005/2061111287_zpid/" xr:uid="{00000000-0004-0000-0100-000089070000}"/>
    <hyperlink ref="J1260" r:id="rId1930" display="https://www.zillow.com/homedetails/Los-Angeles-CA-90005/443872022_zpid/" xr:uid="{00000000-0004-0000-0100-00008A070000}"/>
    <hyperlink ref="J1261" r:id="rId1931" display="https://www.zillow.com/homedetails/1248-Elden-Ave-APT-201-Los-Angeles-CA-90006/2092286364_zpid/" xr:uid="{00000000-0004-0000-0100-00008B070000}"/>
    <hyperlink ref="N1261" r:id="rId1932" display="https://drive.google.com/open?id=1IBLJjh89YEcLXvvquDAtdf04LJ1T428t" xr:uid="{00000000-0004-0000-0100-00008C070000}"/>
    <hyperlink ref="J1262" r:id="rId1933" display="https://www.zillow.com/homedetails/6249-Tapia-Dr-Malibu-CA-90265/20557432_zpid/" xr:uid="{00000000-0004-0000-0100-00008D070000}"/>
    <hyperlink ref="N1262" r:id="rId1934" display="https://drive.google.com/open?id=1GSZB4hHnv2Tn6-LfsIPMMiW7rQx_QLO_" xr:uid="{00000000-0004-0000-0100-00008E070000}"/>
    <hyperlink ref="J1263" r:id="rId1935" display="https://www.zillow.com/homedetails/149-Buckskin-Rd-Bell-Canyon-CA-91307/16497518_zpid/" xr:uid="{00000000-0004-0000-0100-00008F070000}"/>
    <hyperlink ref="N1263" r:id="rId1936" display="https://drive.google.com/open?id=1F22R-XkiF258OmtkYEcm6ZSMG7LlGOOS" xr:uid="{00000000-0004-0000-0100-000090070000}"/>
    <hyperlink ref="J1264" r:id="rId1937" display="https://www.zillow.com/homedetails/2506-Sapra-St-Thousand-Oaks-CA-91362/16483365_zpid/" xr:uid="{00000000-0004-0000-0100-000091070000}"/>
    <hyperlink ref="N1264" r:id="rId1938" display="https://drive.google.com/open?id=1h96UzWVH25Q_gMCfT36ouX3gxRQ519Xv" xr:uid="{00000000-0004-0000-0100-000092070000}"/>
    <hyperlink ref="J1265" r:id="rId1939" display="https://www.zillow.com/homedetails/2112-Century-Park-Ln-UNIT-408-Los-Angeles-CA-90067/20510711_zpid/?utm_campaign=iosappmessage&amp;utm_medium=referral&amp;utm_source=txtshare" xr:uid="{00000000-0004-0000-0100-000093070000}"/>
    <hyperlink ref="N1265" r:id="rId1940" display="https://drive.google.com/open?id=1UTbmVr-Nata3kl2h5A4V-Q7EUFz6L2-k" xr:uid="{00000000-0004-0000-0100-000094070000}"/>
    <hyperlink ref="J1266" r:id="rId1941" display="https://www.zillow.com/homedetails/5206-Topeka-Dr-Tarzana-CA-91356/19937475_zpid/" xr:uid="{00000000-0004-0000-0100-000095070000}"/>
    <hyperlink ref="N1266" r:id="rId1942" display="https://drive.google.com/open?id=14OhzGbxEvBFN3nJb0kX87jzHPC6lLcdZ" xr:uid="{00000000-0004-0000-0100-000096070000}"/>
    <hyperlink ref="J1267" r:id="rId1943" display="https://www.zillow.com/homedetails/1127-Angelo-Dr-Beverly-Hills-CA-90210/20524011_zpid/" xr:uid="{00000000-0004-0000-0100-000097070000}"/>
    <hyperlink ref="N1267" r:id="rId1944" display="https://drive.google.com/open?id=1HosYjaAGCv8DAcYBHdPlQgGPxcuFuoaD" xr:uid="{00000000-0004-0000-0100-000098070000}"/>
    <hyperlink ref="J1268" r:id="rId1945" display="https://www.zillow.com/homedetails/10552-Andasol-Ave-Granada-Hills-CA-91344/20169028_zpid/" xr:uid="{00000000-0004-0000-0100-000099070000}"/>
    <hyperlink ref="N1268" r:id="rId1946" display="https://drive.google.com/open?id=1t1_bKwIb8MjE5hHbsCASw7MKJZSs8wh6" xr:uid="{00000000-0004-0000-0100-00009A070000}"/>
    <hyperlink ref="J1269" r:id="rId1947" display="https://www.zillow.com/homedetails/4653-1-2-Lincoln-Ave-Los-Angeles-CA-90041/2067550115_zpid/" xr:uid="{00000000-0004-0000-0100-00009B070000}"/>
    <hyperlink ref="N1269" r:id="rId1948" display="https://drive.google.com/open?id=1xqqFlJjdxezZYig1oqGk0pj-ouD4t4iE" xr:uid="{00000000-0004-0000-0100-00009C070000}"/>
    <hyperlink ref="J1270" r:id="rId1949" display="https://www.zillow.com/homedetails/1025-S-Berendo-St-402-Los-Angeles-CA-90006/2078084718_zpid/" xr:uid="{00000000-0004-0000-0100-00009D070000}"/>
    <hyperlink ref="N1270" r:id="rId1950" display="https://drive.google.com/open?id=1QZFaF5bhgnFjiLPXAHz2p9xk_xWI9IyP" xr:uid="{00000000-0004-0000-0100-00009E070000}"/>
    <hyperlink ref="J1271" r:id="rId1951" location="overview" display="https://www.redfin.com/CA/West-Hollywood/1255-Hilldale-Ave-90069/home/7121595 - overview" xr:uid="{00000000-0004-0000-0100-00009F070000}"/>
    <hyperlink ref="N1271" r:id="rId1952" display="https://drive.google.com/open?id=1afFbyx7a-LYjIto1A52DVf7ivAfnOlnY" xr:uid="{00000000-0004-0000-0100-0000A0070000}"/>
    <hyperlink ref="I1272" r:id="rId1953" display="http://compass.com/" xr:uid="{00000000-0004-0000-0100-0000A1070000}"/>
    <hyperlink ref="J1272" r:id="rId1954" display="https://www.compass.com/app/listing/2222-canalda-drive-la-canada-flintridge-ca-91011/1722841017790625713" xr:uid="{00000000-0004-0000-0100-0000A2070000}"/>
    <hyperlink ref="N1272" r:id="rId1955" display="https://drive.google.com/open?id=1uBHI8XlmI-AmzXNoGWOKrr3xCJ8GxC5r" xr:uid="{00000000-0004-0000-0100-0000A3070000}"/>
    <hyperlink ref="P1272" r:id="rId1956" display="https://www.compass.com/app/listing/2222-canalda-drive-la-canada-flintridge-ca-91011/1722841017790625713" xr:uid="{00000000-0004-0000-0100-0000A4070000}"/>
    <hyperlink ref="J1273" r:id="rId1957" display="https://www.zillow.com/homedetails/11906-Gorham-Ave-APT-8-Los-Angeles-CA-90049/79804545_zpid/" xr:uid="{00000000-0004-0000-0100-0000A5070000}"/>
    <hyperlink ref="N1273" r:id="rId1958" display="https://drive.google.com/open?id=13qXPLOZ4BLBAg5d61mMp1Bu_TxcV4ieV" xr:uid="{00000000-0004-0000-0100-0000A6070000}"/>
    <hyperlink ref="J1274" r:id="rId1959" display="https://www.zillow.com/homedetails/14614-Deervale-Pl-Sherman-Oaks-CA-91403/19987926_zpid/" xr:uid="{00000000-0004-0000-0100-0000A7070000}"/>
    <hyperlink ref="N1274" r:id="rId1960" display="https://drive.google.com/open?id=19aIia90l2mZ0FlNG12s4FeFiDYs25OLl" xr:uid="{00000000-0004-0000-0100-0000A8070000}"/>
    <hyperlink ref="J1275" r:id="rId1961" display="https://www.zillow.com/homedetails/5938-E-Echo-St-Los-Angeles-CA-90042/20772488_zpid/" xr:uid="{00000000-0004-0000-0100-0000A9070000}"/>
    <hyperlink ref="N1275" r:id="rId1962" display="https://drive.google.com/open?id=1DA7i4Vy24eMm4NyvDiHQWs5RMu1MZ6bp" xr:uid="{00000000-0004-0000-0100-0000AA070000}"/>
    <hyperlink ref="J1276" r:id="rId1963" display="https://www.zillow.com/homedetails/5902-Fallbrook-Ave-Woodland-Hills-CA-91367/19877809_zpid/" xr:uid="{00000000-0004-0000-0100-0000AB070000}"/>
    <hyperlink ref="N1276" r:id="rId1964" display="https://drive.google.com/open?id=10NUhcb1fxst7pv-NrH4E4VoleCxKJPap" xr:uid="{00000000-0004-0000-0100-0000AC070000}"/>
    <hyperlink ref="J1277" r:id="rId1965" display="https://www.zillow.com/homedetails/5623-Denny-Ave-North-Hollywood-CA-91601/20040601_zpid/" xr:uid="{00000000-0004-0000-0100-0000AD070000}"/>
    <hyperlink ref="N1277" r:id="rId1966" display="https://drive.google.com/open?id=1UX8zjvID7gba4coXqrctwXPBzNfZ4D2n" xr:uid="{00000000-0004-0000-0100-0000AE070000}"/>
    <hyperlink ref="J1278" r:id="rId1967" display="https://www.zillow.com/homedetails/530-W-Knoll-Dr-APT-E-Los-Angeles-CA-90048/442348777_zpid/?utm_campaign=iosappmessage&amp;utm_medium=referral&amp;utm_source=txtshare" xr:uid="{00000000-0004-0000-0100-0000AF070000}"/>
    <hyperlink ref="J1279" r:id="rId1968" display="https://www.compass.com/listing/404-south-westgate-avenue-los-angeles-ca-90049/1754535184085322921/?origin=listing_page&amp;origin_type=copy_url&amp;agent_id=668c3fcf1e6b880001a264b7" xr:uid="{00000000-0004-0000-0100-0000B0070000}"/>
    <hyperlink ref="I1280" r:id="rId1969" display="https://www.avaloncommunities.com/california/los-angeles-apartments/ava-toluca-hills/" xr:uid="{00000000-0004-0000-0100-0000B1070000}"/>
    <hyperlink ref="J1280" r:id="rId1970" display="https://www.avaloncommunities.com/california/los-angeles-apartments/ava-toluca-hills/apartment/CA573-CA573-00B-110/?furnished=false&amp;moveInDate=01%2F18%2F2025&amp;leaseTerm=13" xr:uid="{00000000-0004-0000-0100-0000B2070000}"/>
    <hyperlink ref="N1280" r:id="rId1971" display="https://drive.google.com/open?id=1ttc2VbP_MIbnh69Iq6u248kNXKmN1x56" xr:uid="{00000000-0004-0000-0100-0000B3070000}"/>
    <hyperlink ref="J1281" r:id="rId1972" display="https://www.zillow.com/homedetails/7250-Franklin-Ave-UNIT-116-Los-Angeles-CA-90046/20793103_zpid/" xr:uid="{00000000-0004-0000-0100-0000B4070000}"/>
    <hyperlink ref="N1281" r:id="rId1973" display="https://drive.google.com/open?id=1GINjviS5hs3GFfapNZWpJ8HCHaLbX8wl" xr:uid="{00000000-0004-0000-0100-0000B5070000}"/>
    <hyperlink ref="J1282" r:id="rId1974" display="https://www.zillow.com/homedetails/4418-S-Slauson-Ave-302-Culver-City-CA-90230/442863515_zpid/" xr:uid="{00000000-0004-0000-0100-0000B6070000}"/>
    <hyperlink ref="J1283" r:id="rId1975" display="https://www.zillow.com/homedetails/280-Cherry-Dr-Pasadena-CA-91105/20857313_zpid/" xr:uid="{00000000-0004-0000-0100-0000B7070000}"/>
    <hyperlink ref="J1284" r:id="rId1976" display="https://www.zillow.com/homedetails/2002-S-Corning-St-Los-Angeles-CA-90034/20491459_zpid/" xr:uid="{00000000-0004-0000-0100-0000B8070000}"/>
    <hyperlink ref="J1285" r:id="rId1977" display="https://www.zillow.com/homedetails/2714-Hollister-Ter-Glendale-CA-91206/20844682_zpid/?utm_campaign=iosappmessage&amp;utm_medium=referral&amp;utm_source=txtshare" xr:uid="{00000000-0004-0000-0100-0000B9070000}"/>
    <hyperlink ref="J1286" r:id="rId1978" display="https://www.zillow.com/homedetails/13535-Bessemer-St-Van-Nuys-CA-91401/20007895_zpid/" xr:uid="{00000000-0004-0000-0100-0000BA070000}"/>
    <hyperlink ref="N1286" r:id="rId1979" display="https://drive.google.com/open?id=10WoRfFUbrThlnLnDVtMl_hODivS4zkDH" xr:uid="{00000000-0004-0000-0100-0000BB070000}"/>
    <hyperlink ref="J1287" r:id="rId1980" display="https://www.zillow.com/homedetails/11177-Valley-Spring-Pl-Studio-City-CA-91602/20025421_zpid/" xr:uid="{00000000-0004-0000-0100-0000BC070000}"/>
    <hyperlink ref="N1287" r:id="rId1981" display="https://drive.google.com/open?id=1D137Uq03l-Wc0h52-D_ndnZYhBQThRuF" xr:uid="{00000000-0004-0000-0100-0000BD070000}"/>
    <hyperlink ref="J1288" r:id="rId1982" display="https://www.zillow.com/homedetails/3835-1-2-Bluff-Pl-San-Pedro-CA-90731/2070242843_zpid/" xr:uid="{00000000-0004-0000-0100-0000BE070000}"/>
    <hyperlink ref="N1288" r:id="rId1983" display="https://drive.google.com/open?id=1ygYFk3SmHLCGKvFGs5exg2wAj5hRVpvu" xr:uid="{00000000-0004-0000-0100-0000BF070000}"/>
    <hyperlink ref="J1289" r:id="rId1984" display="https://www.zillow.com/homedetails/13106-S-Vermont-Ave-APT-06-Gardena-CA-90247/2087578781_zpid/" xr:uid="{00000000-0004-0000-0100-0000C0070000}"/>
    <hyperlink ref="N1289" r:id="rId1985" display="https://drive.google.com/open?id=17Tzdfj2hfznYgVLVJCZ8ee7xzsals12k" xr:uid="{00000000-0004-0000-0100-0000C1070000}"/>
    <hyperlink ref="J1290" r:id="rId1986" display="https://www.zillow.com/homedetails/1020-Davis-Ave-APT-205-Glendale-CA-91201/20824592_zpid/" xr:uid="{00000000-0004-0000-0100-0000C2070000}"/>
    <hyperlink ref="N1290" r:id="rId1987" display="https://drive.google.com/open?id=1ZUwbx7u5CtQ5S3puLycQdc3AOeurcOUo" xr:uid="{00000000-0004-0000-0100-0000C3070000}"/>
    <hyperlink ref="J1291" r:id="rId1988" location="property-history" display="https://www.redfin.com/CA/Los-Angeles/2549-N-Beachwood-Dr-90068/home/7130462 - property-history" xr:uid="{00000000-0004-0000-0100-0000C4070000}"/>
    <hyperlink ref="N1291" r:id="rId1989" display="https://drive.google.com/open?id=1uLr8JWapWr51UaomNycpFa-jVrpTsUOc" xr:uid="{00000000-0004-0000-0100-0000C5070000}"/>
    <hyperlink ref="J1292" r:id="rId1990" location="property-history" display="https://www.redfin.com/CA/Encino/5041-Noeline-Ave-91436/home/4791587 - property-history" xr:uid="{00000000-0004-0000-0100-0000C6070000}"/>
    <hyperlink ref="N1292" r:id="rId1991" display="https://drive.google.com/open?id=1pn0kwfZkL2-WngdNe1-LVyVVNrDpU54s" xr:uid="{00000000-0004-0000-0100-0000C7070000}"/>
    <hyperlink ref="J1293" r:id="rId1992" display="https://www.zillow.com/homedetails/3124-Rowena-Ave-Los-Angeles-CA-90027/2083030097_zpid/" xr:uid="{00000000-0004-0000-0100-0000C8070000}"/>
    <hyperlink ref="N1293" r:id="rId1993" display="https://drive.google.com/open?id=1QPHx2vLdRAem-YuCJFFIAhBuwcpzkhzd" xr:uid="{00000000-0004-0000-0100-0000C9070000}"/>
    <hyperlink ref="J1294" r:id="rId1994" display="https://www.apartments.com/leimert-park-village-los-angeles-ca/spy8607?utm_source=shared_listing&amp;utm_medium=direct" xr:uid="{00000000-0004-0000-0100-0000CA070000}"/>
    <hyperlink ref="J1295" r:id="rId1995" display="https://www.zillow.com/homedetails/10780-Andora-Ave-Chatsworth-CA-91311/2068802822_zpid/" xr:uid="{00000000-0004-0000-0100-0000CB070000}"/>
    <hyperlink ref="N1295" r:id="rId1996" display="https://drive.google.com/open?id=16_nrz7u_geX58Q5KlmlAOrXmcS1ASXPB" xr:uid="{00000000-0004-0000-0100-0000CC070000}"/>
    <hyperlink ref="J1296" r:id="rId1997" display="https://www.zillow.com/homedetails/16754-Armstead-St-Granada-Hills-CA-91344/20110441_zpid/" xr:uid="{00000000-0004-0000-0100-0000CD070000}"/>
    <hyperlink ref="N1296" r:id="rId1998" display="https://drive.google.com/open?id=1AixtOUF865tX_vQvQPXkXGH8gcsPlFRQ" xr:uid="{00000000-0004-0000-0100-0000CE070000}"/>
    <hyperlink ref="J1297" r:id="rId1999" display="https://www.zillow.com/homedetails/9742-Wendover-Dr-Beverly-Hills-CA-90210/20533273_zpid/" xr:uid="{00000000-0004-0000-0100-0000CF070000}"/>
    <hyperlink ref="N1297" r:id="rId2000" display="https://drive.google.com/open?id=1BlMAlx97NxPHEUw75RN3NNIamIYXdIKB" xr:uid="{00000000-0004-0000-0100-0000D0070000}"/>
    <hyperlink ref="J1298" r:id="rId2001" display="https://www.zillow.com/homedetails/14550-Round-Valley-Dr-Sherman-Oaks-CA-91403/19987851_zpid/" xr:uid="{00000000-0004-0000-0100-0000D1070000}"/>
    <hyperlink ref="N1298" r:id="rId2002" display="https://drive.google.com/open?id=1G7YHpyObLDWlBXYDmYW_Pn4UdLIuoaEc" xr:uid="{00000000-0004-0000-0100-0000D2070000}"/>
    <hyperlink ref="J1299" r:id="rId2003" display="https://www.zillow.com/homedetails/1902-Granville-Ave-Los-Angeles-CA-90025/20466278_zpid/" xr:uid="{00000000-0004-0000-0100-0000D3070000}"/>
    <hyperlink ref="N1299" r:id="rId2004" display="https://drive.google.com/open?id=17fSuSUVjPZSWLOTJG9-RavTkXcx2eAUn" xr:uid="{00000000-0004-0000-0100-0000D4070000}"/>
    <hyperlink ref="J1300" r:id="rId2005" display="https://www.zillow.com/homedetails/6871-Pacific-View-Dr-Los-Angeles-CA-90068/20045524_zpid/" xr:uid="{00000000-0004-0000-0100-0000D5070000}"/>
    <hyperlink ref="N1300" r:id="rId2006" display="https://drive.google.com/open?id=1uRHDlOWucO9DIBcSQzLwwfhGzn2xBu6G" xr:uid="{00000000-0004-0000-0100-0000D6070000}"/>
    <hyperlink ref="J1301" r:id="rId2007" display="https://www.zillow.com/homedetails/5506-W-Olympic-Blvd-Los-Angeles-CA-90036/336478518_zpid/" xr:uid="{00000000-0004-0000-0100-0000D7070000}"/>
    <hyperlink ref="N1301" r:id="rId2008" display="https://drive.google.com/open?id=1avqW6HhDrdhBa1_ODWwYO2JAuC9CydbE" xr:uid="{00000000-0004-0000-0100-0000D8070000}"/>
    <hyperlink ref="J1302" r:id="rId2009" display="https://www.zillow.com/homedetails/19226-Northfleet-Way-Tarzana-CA-91356/19948310_zpid/" xr:uid="{00000000-0004-0000-0100-0000D9070000}"/>
    <hyperlink ref="N1302" r:id="rId2010" display="https://drive.google.com/open?id=1Jrab3qxiXd5vmfGsuvWlptEvT1k_fypS" xr:uid="{00000000-0004-0000-0100-0000DA070000}"/>
    <hyperlink ref="J1303" r:id="rId2011" display="https://www.zillow.com/homedetails/17517-Tuscan-Dr-Granada-Hills-CA-91344/20104229_zpid/" xr:uid="{00000000-0004-0000-0100-0000DB070000}"/>
    <hyperlink ref="N1303" r:id="rId2012" display="https://drive.google.com/open?id=1S7xzkbE56m-3DJnuCg-R-0Qjri1pgZb0" xr:uid="{00000000-0004-0000-0100-0000DC070000}"/>
    <hyperlink ref="J1304" r:id="rId2013" display="https://www.zillow.com/homedetails/513-Archwood-Pl-1-Altadena-CA-91001/2057990907_zpid/" xr:uid="{00000000-0004-0000-0100-0000DD070000}"/>
    <hyperlink ref="N1304" r:id="rId2014" display="https://drive.google.com/open?id=1fj76vUPI-MxDinL_0L_3EOhezslsYCi8" xr:uid="{00000000-0004-0000-0100-0000DE070000}"/>
    <hyperlink ref="J1305" r:id="rId2015" display="https://www.zillow.com/homedetails/902-Manzanita-St-Los-Angeles-CA-90029/2066630147_zpid/" xr:uid="{00000000-0004-0000-0100-0000DF070000}"/>
    <hyperlink ref="J1306" r:id="rId2016" display="https://www.zillow.com/homedetails/18730-Hatteras-St-UNIT-49-Tarzana-CA-91356/19933668_zpid/" xr:uid="{00000000-0004-0000-0100-0000E0070000}"/>
    <hyperlink ref="N1306" r:id="rId2017" display="https://drive.google.com/open?id=1j20CIdz9dnmDtietKL-kS5PoascQJYkX" xr:uid="{00000000-0004-0000-0100-0000E1070000}"/>
    <hyperlink ref="J1307" r:id="rId2018" display="https://www.zillow.com/homedetails/1235-Highland-Oaks-Dr-Arcadia-CA-91006/20887520_zpid/" xr:uid="{00000000-0004-0000-0100-0000E2070000}"/>
    <hyperlink ref="J1308" r:id="rId2019" display="https://www.zillow.com/homedetails/1740-Cielito-Dr-Glendale-CA-91207/20837929_zpid/" xr:uid="{00000000-0004-0000-0100-0000E3070000}"/>
    <hyperlink ref="J1309" r:id="rId2020" display="https://www.zillow.com/homedetails/1632-Micheltorena-St-Los-Angeles-CA-90026/345388614_zpid/" xr:uid="{00000000-0004-0000-0100-0000E4070000}"/>
    <hyperlink ref="N1309" r:id="rId2021" display="https://drive.google.com/open?id=1J3YzOiaeV9EzOuKY03gJWnBhV2MMFYx3" xr:uid="{00000000-0004-0000-0100-0000E5070000}"/>
    <hyperlink ref="J1310" r:id="rId2022" display="https://www.zillow.com/homedetails/120-12-Galleon-St-Los-Angeles-CA-90292/50894476_zpid/?utm_campaign=iosappmessage&amp;utm_medium=referral&amp;utm_source=txtshare" xr:uid="{00000000-0004-0000-0100-0000E6070000}"/>
    <hyperlink ref="N1310" r:id="rId2023" display="https://drive.google.com/open?id=1hQIObzVVvU1ZHb5KpTUVQ6uurP8EN2_r" xr:uid="{00000000-0004-0000-0100-0000E7070000}"/>
    <hyperlink ref="J1311" r:id="rId2024" display="https://www.zillow.com/homedetails/1822-W-Silver-Lake-Dr-APT-2-Los-Angeles-CA-90026/443943394_zpid/" xr:uid="{00000000-0004-0000-0100-0000E8070000}"/>
    <hyperlink ref="J1312" r:id="rId2025" display="https://www.zillow.com/homedetails/4267-Marina-City-Dr-UNIT-102-Marina-Del-Rey-CA-90292/302687068_zpid/" xr:uid="{00000000-0004-0000-0100-0000E9070000}"/>
    <hyperlink ref="N1312" r:id="rId2026" display="https://drive.google.com/open?id=1IFPIV5YoKWDnFW6fowvbcuhLoZWw4mzm" xr:uid="{00000000-0004-0000-0100-0000EA070000}"/>
    <hyperlink ref="J1313" r:id="rId2027" display="https://www.zillow.com/homedetails/982-Hyperion-Ave-Los-Angeles-CA-90029/20745684_zpid/?utm_campaign=iosappmessage&amp;utm_medium=referral&amp;utm_source=txtshare" xr:uid="{00000000-0004-0000-0100-0000EB070000}"/>
    <hyperlink ref="J1314" r:id="rId2028" display="https://www.zillow.com/homedetails/1653-Micheltorena-St-APT-1-Los-Angeles-CA-90026/20746455_zpid/" xr:uid="{00000000-0004-0000-0100-0000EC070000}"/>
    <hyperlink ref="J1315" r:id="rId2029" display="https://www.zillow.com/homedetails/814-S-Orange-Dr-Los-Angeles-CA-90036/2062165316_zpid/?rtoken=c6f30df5-de33-42d1-a998-4f9e6c4b74b0~X1-ZU171nahsec7qbt_1k6ql&amp;utm_campaign=emo-homerecs-email-rental&amp;utm_source=email&amp;utm_term=urn:msg:2025011807540571e55c045b80b55e&amp;utm_medium=email&amp;utm_content=forrentimage-_rid-A8hsKRRqfSGfmaqiYhqc3H_" xr:uid="{00000000-0004-0000-0100-0000ED070000}"/>
    <hyperlink ref="J1316" r:id="rId2030" display="https://www.trulia.com/home/3650-shadow-grove-rd-pasadena-ca-91107-20879961?ecampaign=eml%7Cfrb%7Ccon_day_newlistingforrent_instant%7Css_only&amp;eurl=www.trulia.com/home/3650-shadow-grove-rd-pasadena-ca-91107-20879961&amp;guid=9bc85659bbd7430d99bb830f6c2594281737234224175" xr:uid="{00000000-0004-0000-0100-0000EE070000}"/>
    <hyperlink ref="N1316" r:id="rId2031" display="https://drive.google.com/open?id=1XpTqZeSDO1J5MIazw4tY8hrHsiZtZ1X4" xr:uid="{00000000-0004-0000-0100-0000EF070000}"/>
    <hyperlink ref="J1317" r:id="rId2032" display="https://www.zillow.com/homedetails/1960-Walcott-Way-A-Los-Angeles-CA-90039/444386802_zpid/" xr:uid="{00000000-0004-0000-0100-0000F0070000}"/>
    <hyperlink ref="J1318" r:id="rId2033" display="https://www.zillow.com/homedetails/2642-Queen-St-Los-Angeles-CA-90039/20753265_zpid/" xr:uid="{00000000-0004-0000-0100-0000F1070000}"/>
    <hyperlink ref="J1319" r:id="rId2034" display="https://www.zillow.com/homedetails/17250-Sunset-Blvd-FLOOR-2-ID1109-Pacific-Palisades-CA-90272/443103852_zpid/" xr:uid="{00000000-0004-0000-0100-0000F2070000}"/>
    <hyperlink ref="N1319" r:id="rId2035" display="https://drive.google.com/open?id=1Bb1y8B5KW3I2mkc6GxoLdyWT7xO3OASM" xr:uid="{00000000-0004-0000-0100-0000F3070000}"/>
    <hyperlink ref="J1320" r:id="rId2036" display="https://www.zillow.com/homedetails/354-S-Spring-St-FLOOR-9-ID1206-Los-Angeles-CA-90013/442340821_zpid/" xr:uid="{00000000-0004-0000-0100-0000F4070000}"/>
    <hyperlink ref="N1320" r:id="rId2037" display="https://drive.google.com/open?id=1cjZ0eWa51yo7Syfq0GAAXVyRmVem_eQI" xr:uid="{00000000-0004-0000-0100-0000F5070000}"/>
    <hyperlink ref="J1321" r:id="rId2038" display="https://www.zillow.com/homedetails/1223-Federal-Ave-212-Los-Angeles-CA-90025/2077049077_zpid/" xr:uid="{00000000-0004-0000-0100-0000F6070000}"/>
    <hyperlink ref="N1321" r:id="rId2039" display="https://drive.google.com/open?id=1-8ZPQZHGT9tR7gXc817Pj-25TnosEr1_" xr:uid="{00000000-0004-0000-0100-0000F7070000}"/>
    <hyperlink ref="J1322" r:id="rId2040" display="https://www.zillow.com/homedetails/3649-Cazador-St-Los-Angeles-CA-90065/443934582_zpid/" xr:uid="{00000000-0004-0000-0100-0000F8070000}"/>
    <hyperlink ref="J1323" r:id="rId2041" display="https://www.zillow.com/homedetails/706-N-Hoover-St-708-Los-Angeles-CA-90029/442445475_zpid/?utm_campaign=iosappmessage&amp;utm_medium=referral&amp;utm_source=txtshare" xr:uid="{00000000-0004-0000-0100-0000F9070000}"/>
    <hyperlink ref="J1324" r:id="rId2042" display="https://www.zillow.com/homedetails/3731-Toland-Way-Los-Angeles-CA-90065/20758980_zpid/" xr:uid="{00000000-0004-0000-0100-0000FA070000}"/>
    <hyperlink ref="J1325" r:id="rId2043" display="https://www.zillow.com/homedetails/1044-Manzanita-St-Los-Angeles-CA-90029/20745537_zpid/" xr:uid="{00000000-0004-0000-0100-0000FB070000}"/>
    <hyperlink ref="I1326" r:id="rId2044" display="http://apartments.com/" xr:uid="{00000000-0004-0000-0100-0000FC070000}"/>
    <hyperlink ref="J1326" r:id="rId2045" location="vjh55cd-2-unit" display="https://www.apartments.com/the-park-santa-monica-santa-monica-ca/cv7s2xd/ - vjh55cd-2-unit" xr:uid="{00000000-0004-0000-0100-0000FD070000}"/>
    <hyperlink ref="J1327" r:id="rId2046" display="https://www.zillow.com/homedetails/11177-Valley-Spring-Pl-Studio-City-CA-91602/20025421_zpid/" xr:uid="{00000000-0004-0000-0100-0000FE070000}"/>
    <hyperlink ref="N1327" r:id="rId2047" display="https://drive.google.com/open?id=1V318bBA4MGUVaaGxsBaxoLGO5epRb9ay" xr:uid="{00000000-0004-0000-0100-0000FF070000}"/>
    <hyperlink ref="J1328" r:id="rId2048" display="https://www.zillow.com/homedetails/13050-Blairwood-Dr-Studio-City-CA-91604/20032882_zpid/" xr:uid="{00000000-0004-0000-0100-000000080000}"/>
    <hyperlink ref="N1328" r:id="rId2049" display="https://drive.google.com/open?id=1Vrs8lpZ6jHhn1uUVY6_cmv9oM3Ld9RYs" xr:uid="{00000000-0004-0000-0100-000001080000}"/>
    <hyperlink ref="J1329" r:id="rId2050" display="https://www.zillow.com/homedetails/351-Mount-Washington-Dr-Los-Angeles-CA-90065/20760776_zpid/" xr:uid="{00000000-0004-0000-0100-000002080000}"/>
    <hyperlink ref="N1329" r:id="rId2051" display="https://drive.google.com/open?id=1qwhffyYIsJ1d_AtxxwvLfbrCA8_xJvSt" xr:uid="{00000000-0004-0000-0100-000003080000}"/>
    <hyperlink ref="J1330" r:id="rId2052" display="https://www.zillow.com/homedetails/4267-Marina-City-Dr-UNIT-102-Marina-Del-Rey-CA-90292/302687068_zpid/" xr:uid="{00000000-0004-0000-0100-000004080000}"/>
    <hyperlink ref="J1331" r:id="rId2053" display="https://www.zillow.com/homedetails/651-Westminster-Ave-APT-1-Venice-CA-90291/20451042_zpid/" xr:uid="{00000000-0004-0000-0100-000005080000}"/>
    <hyperlink ref="J1332" r:id="rId2054" display="https://www.zillow.com/homedetails/114-Pacific-Ave-Venice-CA-90291/20482017_zpid/" xr:uid="{00000000-0004-0000-0100-000006080000}"/>
    <hyperlink ref="J1333" r:id="rId2055" display="https://www.zillow.com/homedetails/4265-Marina-City-Dr-Marina-Del-Rey-CA-90292/20442244_zpid/" xr:uid="{00000000-0004-0000-0100-000007080000}"/>
    <hyperlink ref="J1334" r:id="rId2056" display="https://www.zillow.com/homedetails/Santa-Monica-CA-90403/20478774_zpid/" xr:uid="{00000000-0004-0000-0100-000008080000}"/>
    <hyperlink ref="J1335" r:id="rId2057" display="https://www.zillow.com/homedetails/818-7th-St-APT-1-Santa-Monica-CA-90403/2080795373_zpid/" xr:uid="{00000000-0004-0000-0100-000009080000}"/>
    <hyperlink ref="J1336" r:id="rId2058" display="https://www.zillow.com/homedetails/4631-Westchester-Dr-Woodland-Hills-CA-91364/19945923_zpid/" xr:uid="{00000000-0004-0000-0100-00000A080000}"/>
    <hyperlink ref="N1336" r:id="rId2059" display="https://drive.google.com/open?id=1mAHaKxEJKeRJiskvMKTVZb26racobUde" xr:uid="{00000000-0004-0000-0100-00000B080000}"/>
    <hyperlink ref="J1337" r:id="rId2060" display="https://www.zillow.com/homedetails/4707-Libbit-Ave-Encino-CA-91436/19991540_zpid/?utm_campaign=iosappmessage&amp;utm_medium=referral&amp;utm_source=txtshare" xr:uid="{00000000-0004-0000-0100-00000C080000}"/>
    <hyperlink ref="J1338" r:id="rId2061" display="https://www.zillow.com/homedetails/902-Manzanita-St-Los-Angeles-CA-90029/2066630147_zpid/" xr:uid="{00000000-0004-0000-0100-00000D080000}"/>
    <hyperlink ref="J1339" r:id="rId2062" display="https://www.zillow.com/homedetails/8737-Rosewood-Ave-101-West-Hollywood-CA-90048/20516261_zpid/" xr:uid="{00000000-0004-0000-0100-00000E080000}"/>
    <hyperlink ref="N1339" r:id="rId2063" display="https://drive.google.com/open?id=11kpx7kjglhipvGhzlsiTv20uAneyCeCF" xr:uid="{00000000-0004-0000-0100-00000F080000}"/>
    <hyperlink ref="J1340" r:id="rId2064" display="https://www.zillow.com/homedetails/1029-N-Vista-St-APT-102-West-Hollywood-CA-90046/87792989_zpid/" xr:uid="{00000000-0004-0000-0100-000010080000}"/>
    <hyperlink ref="N1340" r:id="rId2065" display="https://drive.google.com/open?id=1M5LpjsMAueozU-N5iFsN8d2T06NPynea" xr:uid="{00000000-0004-0000-0100-000011080000}"/>
    <hyperlink ref="J1341" r:id="rId2066" display="https://www.zillow.com/homedetails/4707-Libbit-Ave-Encino-CA-91436/19991540_zpid/" xr:uid="{00000000-0004-0000-0100-000012080000}"/>
    <hyperlink ref="N1341" r:id="rId2067" display="https://drive.google.com/open?id=14QGdTp41R5gUXFZRqelM6kz6jzhmWiLq" xr:uid="{00000000-0004-0000-0100-000013080000}"/>
    <hyperlink ref="J1342" r:id="rId2068" display="https://www.zillow.com/homedetails/2330-28th-St-APT-B-Santa-Monica-CA-90405/2055205097_zpid/" xr:uid="{00000000-0004-0000-0100-000014080000}"/>
    <hyperlink ref="J1343" r:id="rId2069" display="https://www.zillow.com/homedetails/24801-Calle-Cedro-Calabasas-CA-91302/19897048_zpid/" xr:uid="{00000000-0004-0000-0100-000015080000}"/>
    <hyperlink ref="N1343" r:id="rId2070" display="https://drive.google.com/open?id=1bXa94MDN2uGJr0O7eAMKwi6QDpW0qCgo" xr:uid="{00000000-0004-0000-0100-000016080000}"/>
    <hyperlink ref="J1344" r:id="rId2071" display="https://www.zillow.com/homedetails/26088-Adamor-Rd-Calabasas-CA-91302/19885212_zpid/" xr:uid="{00000000-0004-0000-0100-000017080000}"/>
    <hyperlink ref="N1344" r:id="rId2072" display="https://drive.google.com/open?id=1r9zzhvLWuxZ0-igJyVEQ6tSQAvSczC0M" xr:uid="{00000000-0004-0000-0100-000018080000}"/>
    <hyperlink ref="J1345" r:id="rId2073" display="https://www.zillow.com/homedetails/Los-Angeles-CA-90068/20806187_zpid/?rtoken=82d1b3e6-a093-4731-a0df-a10e27720a8a~X1-ZU14fpvedl0k0sp_3z9zv&amp;utm_campaign=emo-instantsavedsearch-rental&amp;utm_source=email&amp;utm_term=urn:msg:20250119074254b5833f5c85f56087&amp;utm_medium=email&amp;utm_content=forrentimage&amp;sse=X1-SSdufno93ti9j31000000000_3qukl&amp;srp=H4sIAAAAAAAAAI2TTVPDIBCGf02O2iyQkBwcR6sHj9qL46VDCTTRAJGPqv9eLFrTGTvCCXYf3nd3dnbRGyXcQhq7tkL7xaUTzPL+Pgj7sfLMi4uCXhcIKTZdm6A7F+8FvkpBbazvUwCTc8AVYFrHgyqE6gItY0ow5xNxBtCcIwIloaRt6wYoSYgzYaZS0gqqigJtGtRAlZA3caSC8ZdJ09Q1ITUu6E2iYo1PxqgEAk5BOYxe2H0r89InO/CjgGLv6YkoRjXAQXUjjptWg/4GfxHm+/8YbvSc2LExfPtLNjpx4OIkRBbIJpbFqenPNgGVZfkr1p/Q8jbMLAPPstR5mLQ5pt685am5jckCuXJ5o2ATz1OM1nmzcHFhToBfszHOW8HjGvKe6e0+EX8e6g7OG/UgtoPRd93hF5Ud4TXhWD7C2fIBNh92J6S1789tvwb+KpNl8mc70a32G36rrRlHFc1mWlFhteqC1KbFfmifMZQ/Z41fw8uYSvoEyARaCzUEAAA=" xr:uid="{00000000-0004-0000-0100-000019080000}"/>
    <hyperlink ref="N1345" r:id="rId2074" display="https://drive.google.com/open?id=19hmQBM3SzM7jKN7A8bMahP8jcDZoY4lI" xr:uid="{00000000-0004-0000-0100-00001A080000}"/>
    <hyperlink ref="J1346" r:id="rId2075" display="https://www.zillow.com/homedetails/3900-Hilton-Head-Way-Tarzana-CA-91356/19951258_zpid/" xr:uid="{00000000-0004-0000-0100-00001B080000}"/>
    <hyperlink ref="J1347" r:id="rId2076" display="https://www.zillow.com/homedetails/3358-Red-Rose-Dr-Encino-CA-91436/19995256_zpid/" xr:uid="{00000000-0004-0000-0100-00001C080000}"/>
    <hyperlink ref="J1348" r:id="rId2077" display="https://www.zillow.com/homedetails/5041-Noeline-Ave-Encino-CA-91436/19980566_zpid/?utm_campaign=iosappmessage&amp;utm_medium=referral&amp;utm_source=txtshare" xr:uid="{00000000-0004-0000-0100-00001D080000}"/>
    <hyperlink ref="N1348" r:id="rId2078" display="https://drive.google.com/open?id=1SEbWddSaORn4EufjVFFS7IxaBkIiqQkL" xr:uid="{00000000-0004-0000-0100-00001E080000}"/>
    <hyperlink ref="J1349" r:id="rId2079" display="https://www.zillow.com/homedetails/4355-Camero-Ave-Los-Angeles-CA-90027/2063186324_zpid/" xr:uid="{00000000-0004-0000-0100-00001F080000}"/>
    <hyperlink ref="N1349" r:id="rId2080" display="https://drive.google.com/open?id=1KVp6KZaVecbjZAoqD7hWjVTy4XKFX3aK" xr:uid="{00000000-0004-0000-0100-000020080000}"/>
    <hyperlink ref="J1350" r:id="rId2081" display="https://www.zillow.com/homedetails/658-California-Ave-Venice-CA-90291/2075403474_zpid/" xr:uid="{00000000-0004-0000-0100-000021080000}"/>
    <hyperlink ref="J1351" r:id="rId2082" display="https://www.zillow.com/homedetails/6738-Andover-Ln-Los-Angeles-CA-90045/122235551_zpid/" xr:uid="{00000000-0004-0000-0100-000022080000}"/>
    <hyperlink ref="J1352" r:id="rId2083" display="https://www.zillow.com/homedetails/3730-Midvale-Ave-20-Los-Angeles-CA-90034/2071541159_zpid/" xr:uid="{00000000-0004-0000-0100-000023080000}"/>
    <hyperlink ref="J1353" r:id="rId2084" display="https://www.zillow.com/homedetails/1825-Thayer-Ave-Los-Angeles-CA-90025/20498309_zpid/" xr:uid="{00000000-0004-0000-0100-000024080000}"/>
    <hyperlink ref="J1354" r:id="rId2085" display="https://www.zillow.com/homedetails/11298-Tavener-Ave-Culver-City-CA-90230/20437725_zpid/" xr:uid="{00000000-0004-0000-0100-000025080000}"/>
    <hyperlink ref="J1355" r:id="rId2086" display="https://www.zillow.com/homedetails/5907-Saturn-St-Los-Angeles-CA-90035/119680048_zpid/" xr:uid="{00000000-0004-0000-0100-000026080000}"/>
    <hyperlink ref="J1356" r:id="rId2087" display="https://www.zillow.com/homedetails/11677-Montana-Ave-APT-14-Los-Angeles-CA-90049/2110470339_zpid/" xr:uid="{00000000-0004-0000-0100-000027080000}"/>
    <hyperlink ref="J1357" r:id="rId2088" display="https://www.zillow.com/homedetails/1711-Granville-Ave-APT-9-Los-Angeles-CA-90025/2105670558_zpid/" xr:uid="{00000000-0004-0000-0100-000028080000}"/>
    <hyperlink ref="J1358" r:id="rId2089" display="https://www.zillow.com/homedetails/10633-Eastborne-Ave-APT-402-Los-Angeles-CA-90024/2099810656_zpid/" xr:uid="{00000000-0004-0000-0100-000029080000}"/>
    <hyperlink ref="J1359" r:id="rId2090" display="https://www.zillow.com/homedetails/1947-S-Sherbourne-Dr-APT-6-Los-Angeles-CA-90034/2091331364_zpid/" xr:uid="{00000000-0004-0000-0100-00002A080000}"/>
    <hyperlink ref="J1360" r:id="rId2091" display="https://www.zillow.com/homedetails/906-S-Wooster-St-APT-301-Los-Angeles-CA-90035/2078903979_zpid/" xr:uid="{00000000-0004-0000-0100-00002B080000}"/>
    <hyperlink ref="J1361" r:id="rId2092" display="https://www.zillow.com/homedetails/5541-Bellaire-Ave-Valley-Village-CA-91607/20016625_zpid/" xr:uid="{00000000-0004-0000-0100-00002C080000}"/>
    <hyperlink ref="J1362" r:id="rId2093" display="https://www.zillow.com/homedetails/2585-Windsor-Ave-Altadena-CA-91001/20907140_zpid/" xr:uid="{00000000-0004-0000-0100-00002D080000}"/>
    <hyperlink ref="N1362" r:id="rId2094" display="https://drive.google.com/open?id=1yNtw4ccKsDj35Kxo0o9qV-u_E2Zz7aSg" xr:uid="{00000000-0004-0000-0100-00002E080000}"/>
    <hyperlink ref="J1363" r:id="rId2095" display="https://www.trulia.com/home/address-not-disclosed-los-angeles-ca-90026-2081258869?cid=shr%7Capp_ios_main_phone%7Crent%7Cpdp_share" xr:uid="{00000000-0004-0000-0100-00002F080000}"/>
    <hyperlink ref="N1363" r:id="rId2096" display="https://drive.google.com/open?id=19zshL4biZGBF-606JXVNbMFxIcOVmeJ2" xr:uid="{00000000-0004-0000-0100-000030080000}"/>
    <hyperlink ref="J1364" r:id="rId2097" display="https://www.zillow.com/homedetails/7661-Atron-Ave-Canoga-Park-CA-91304/19869515_zpid/" xr:uid="{00000000-0004-0000-0100-000031080000}"/>
    <hyperlink ref="J1365" r:id="rId2098" display="https://www.zillow.com/homedetails/10757-Palms-Blvd-9-Los-Angeles-CA-90034/401748346_zpid/" xr:uid="{00000000-0004-0000-0100-000032080000}"/>
    <hyperlink ref="J1366" r:id="rId2099" display="https://www.zillow.com/homedetails/5541-Bellaire-Ave-Valley-Village-CA-91607/20016625_zpid/" xr:uid="{00000000-0004-0000-0100-000033080000}"/>
    <hyperlink ref="J1367" r:id="rId2100" display="https://www.zillow.com/homedetails/1630-S-Gramercy-Pl-APT-2-Los-Angeles-CA-90019/2087232826_zpid/" xr:uid="{00000000-0004-0000-0100-000034080000}"/>
    <hyperlink ref="J1368" r:id="rId2101" display="https://www.zillow.com/homedetails/836-Pacific-St-Santa-Monica-CA-90405/20480195_zpid/" xr:uid="{00000000-0004-0000-0100-000035080000}"/>
    <hyperlink ref="J1369" r:id="rId2102" display="https://www.zillow.com/homedetails/6429-Rhodes-Ave-North-Hollywood-CA-91606/20009479_zpid/" xr:uid="{00000000-0004-0000-0100-000036080000}"/>
    <hyperlink ref="J1370" r:id="rId2103" display="https://www.zillow.com/homedetails/1125-N-Clark-St-D-West-Hollywood-CA-90069/2077783119_zpid/" xr:uid="{00000000-0004-0000-0100-000037080000}"/>
    <hyperlink ref="J1371" r:id="rId2104" display="https://www.zillow.com/homedetails/11921-Manor-Dr-APT-E-Hawthorne-CA-90250/2105073160_zpid/" xr:uid="{00000000-0004-0000-0100-000038080000}"/>
    <hyperlink ref="J1372" r:id="rId2105" display="https://www.zillow.com/homedetails/627-Deep-Valley-Dr-P617-Rolling-Hills-Estates-CA-90274/325800245_zpid/" xr:uid="{00000000-0004-0000-0100-000039080000}"/>
    <hyperlink ref="J1373" r:id="rId2106" location="property-history" display="https://www.redfin.com/CA/Encino/4434-Grimes-Pl-91316/home/4299068 - property-history" xr:uid="{00000000-0004-0000-0100-00003A080000}"/>
    <hyperlink ref="J1374" r:id="rId2107" display="https://www.zillow.com/homedetails/330-Brockmont-Dr-Glendale-CA-91202/20827935_zpid/" xr:uid="{00000000-0004-0000-0100-00003B080000}"/>
    <hyperlink ref="J1375" r:id="rId2108" display="https://www.zillow.com/homedetails/6148-W-85th-Pl-Los-Angeles-CA-90045/20380867_zpid/" xr:uid="{00000000-0004-0000-0100-00003C080000}"/>
    <hyperlink ref="J1376" r:id="rId2109" location="property-history" display="https://www.redfin.com/CA/Studio-City/3639-Shady-Oak-Rd-91604/home/5249090 - property-history" xr:uid="{00000000-0004-0000-0100-00003D080000}"/>
    <hyperlink ref="J1377" r:id="rId2110" display="https://www.zillow.com/homedetails/1915-Lemoyne-St-Los-Angeles-CA-90026/20742370_zpid/" xr:uid="{00000000-0004-0000-0100-00003E080000}"/>
    <hyperlink ref="J1378" r:id="rId2111" display="https://www.zillow.com/homedetails/15376-Valley-Vista-Blvd-Sherman-Oaks-CA-91403/95634250_zpid/" xr:uid="{00000000-0004-0000-0100-00003F080000}"/>
    <hyperlink ref="J1379" r:id="rId2112" display="https://www.zillow.com/homedetails/10448-Hebron-Ln-Los-Angeles-CA-90077/20529691_zpid/" xr:uid="{00000000-0004-0000-0100-000040080000}"/>
    <hyperlink ref="J1380" r:id="rId2113" display="https://www.zillow.com/apartments/los-angeles-ca/madison-hancock-park/5XqKhY/?utm_campaign=iosappmessage&amp;utm_medium=referral&amp;utm_source=txtshare" xr:uid="{00000000-0004-0000-0100-000041080000}"/>
    <hyperlink ref="N1380" r:id="rId2114" display="https://drive.google.com/open?id=1B1lp06jT89d_3YplUKhvCrI6Wxtth8nr" xr:uid="{00000000-0004-0000-0100-000042080000}"/>
    <hyperlink ref="J1381" r:id="rId2115" display="https://www.zillow.com/homedetails/1218-E-Tujunga-Ave-Burbank-CA-91501/20816771_zpid/" xr:uid="{00000000-0004-0000-0100-000043080000}"/>
    <hyperlink ref="J1382" r:id="rId2116" display="https://www.zillow.com/homedetails/Topanga-CA-90290/2056259711_zpid/" xr:uid="{00000000-0004-0000-0100-000044080000}"/>
    <hyperlink ref="N1382" r:id="rId2117" display="https://drive.google.com/open?id=1UUS1CCuv6yDuqkWjllfIzNDOaToUdsla" xr:uid="{00000000-0004-0000-0100-000045080000}"/>
    <hyperlink ref="J1383" r:id="rId2118" display="https://www.zillow.com/homedetails/444-N-Catalina-Ave-Pasadena-CA-91106/20867128_zpid/" xr:uid="{00000000-0004-0000-0100-000046080000}"/>
    <hyperlink ref="N1383" r:id="rId2119" display="https://drive.google.com/open?id=1kwTx9wwd9hd_5iqXRle6dBfcI-MeRc2k" xr:uid="{00000000-0004-0000-0100-000047080000}"/>
    <hyperlink ref="J1384" r:id="rId2120" display="https://www.zillow.com/homedetails/333-S-Wilton-Pl-APT-4-Los-Angeles-CA-90020/89145531_zpid/" xr:uid="{00000000-0004-0000-0100-000048080000}"/>
    <hyperlink ref="N1384" r:id="rId2121" display="https://drive.google.com/open?id=1LriUuyoAnAqiqZGaxPhlolBJZ3hKghqx" xr:uid="{00000000-0004-0000-0100-000049080000}"/>
    <hyperlink ref="J1385" r:id="rId2122" display="https://www.zillow.com/homedetails/5959-Franklin-Ave-APT-410-Los-Angeles-CA-90028/2089645455_zpid/" xr:uid="{00000000-0004-0000-0100-00004A080000}"/>
    <hyperlink ref="N1385" r:id="rId2123" display="https://drive.google.com/open?id=1_NuodRg3Lyg5gGt3hW7bqc0u1oNBVp6A" xr:uid="{00000000-0004-0000-0100-00004B080000}"/>
    <hyperlink ref="J1386" r:id="rId2124" display="https://www.zillow.com/homedetails/5959-Franklin-Ave-408-Los-Angeles-CA-90028/2066621801_zpid/" xr:uid="{00000000-0004-0000-0100-00004C080000}"/>
    <hyperlink ref="N1386" r:id="rId2125" display="https://drive.google.com/open?id=1QXYKv7BCpuvizyCJeWdDhvY_ySHxdj8f" xr:uid="{00000000-0004-0000-0100-00004D080000}"/>
    <hyperlink ref="J1387" r:id="rId2126" display="https://www.zillow.com/homedetails/5959-Franklin-Ave-APT-409-Los-Angeles-CA-90028/2089645452_zpid/" xr:uid="{00000000-0004-0000-0100-00004E080000}"/>
    <hyperlink ref="N1387" r:id="rId2127" display="https://drive.google.com/open?id=1jJIO4sap71UDmL-43UjBnjzoCWCbYH4k" xr:uid="{00000000-0004-0000-0100-00004F080000}"/>
    <hyperlink ref="J1388" r:id="rId2128" display="https://www.zillow.com/homedetails/1984-N-Orchid-Ave-Los-Angeles-CA-90068/443984392_zpid/" xr:uid="{00000000-0004-0000-0100-000050080000}"/>
    <hyperlink ref="N1388" r:id="rId2129" display="https://drive.google.com/open?id=1wlAhDqasN1mxDd8IbitffDGWIzKsCuhj" xr:uid="{00000000-0004-0000-0100-000051080000}"/>
    <hyperlink ref="J1389" r:id="rId2130" display="https://www.zillow.com/homedetails/7077-Willoughby-Ave-502-Los-Angeles-CA-90038/442766047_zpid/" xr:uid="{00000000-0004-0000-0100-000052080000}"/>
    <hyperlink ref="J1390" r:id="rId2131" display="https://www.zillow.com/homedetails/3100-Thatcher-Ave-Marina-Del-Rey-CA-90292/20445098_zpid/?utm_campaign=iosappmessage&amp;utm_medium=referral&amp;utm_source=txtshare" xr:uid="{00000000-0004-0000-0100-000053080000}"/>
    <hyperlink ref="N1390" r:id="rId2132" display="https://drive.google.com/open?id=1I3TiqkOsbNN6P1xDqgA8rh11Tp41tmAF" xr:uid="{00000000-0004-0000-0100-000054080000}"/>
    <hyperlink ref="J1391" r:id="rId2133" display="https://www.zillow.com/homedetails/11957-Darlington-Ave-Los-Angeles-CA-90049/2071774414_zpid/?utm_campaign=iosappmessage&amp;utm_medium=referral&amp;utm_source=txtshare" xr:uid="{00000000-0004-0000-0100-000055080000}"/>
    <hyperlink ref="N1391" r:id="rId2134" display="https://drive.google.com/open?id=14Z8FdRLcqPkVn_Sh1-6UaGz4F3PsiMde" xr:uid="{00000000-0004-0000-0100-000056080000}"/>
    <hyperlink ref="J1392" r:id="rId2135" display="https://www.zillow.com/homedetails/168-S-Sierra-Madre-Blvd-UNIT-201-Pasadena-CA-91107/302796216_zpid/" xr:uid="{00000000-0004-0000-0100-000057080000}"/>
    <hyperlink ref="N1392" r:id="rId2136" display="https://drive.google.com/open?id=1o5fEEAc0-5ai1PZTg-DZZ6KCjhpKgkY_" xr:uid="{00000000-0004-0000-0100-000058080000}"/>
    <hyperlink ref="J1393" r:id="rId2137" display="https://www.redfin.com/CA/North-Hollywood/10910-Hesby-St-91601/unit-B/apartment/180887414" xr:uid="{00000000-0004-0000-0100-000059080000}"/>
    <hyperlink ref="J1394" r:id="rId2138" display="https://www.zillow.com/homedetails/2371-Midvale-Ave-Los-Angeles-CA-90064/20501925_zpid/" xr:uid="{00000000-0004-0000-0100-00005A080000}"/>
    <hyperlink ref="J1395" r:id="rId2139" display="https://www.zillow.com/homedetails/24508-Park-Granada-Calabasas-CA-91302/19896727_zpid/" xr:uid="{00000000-0004-0000-0100-00005B080000}"/>
    <hyperlink ref="J1396" r:id="rId2140" display="http://google.com/" xr:uid="{00000000-0004-0000-0100-00005C080000}"/>
    <hyperlink ref="N1396" r:id="rId2141" display="https://drive.google.com/open?id=1cKvTA6nlpqKkZ3aSQRv8dpQ_-NCgD-pX" xr:uid="{00000000-0004-0000-0100-00005D080000}"/>
    <hyperlink ref="I1397" r:id="rId2142" display="http://pinnacleestate.com/" xr:uid="{00000000-0004-0000-0100-00005E080000}"/>
    <hyperlink ref="J1397" r:id="rId2143" display="https://pinnacleestate.com/listing/SR25004024/1317-n-brand-boulevard-7-glendale-ca-91202/" xr:uid="{00000000-0004-0000-0100-00005F080000}"/>
    <hyperlink ref="N1397" r:id="rId2144" display="https://drive.google.com/open?id=1_-4wDXJ2AeawEXkd9w8Nn6R1X0SGvOMF" xr:uid="{00000000-0004-0000-0100-000060080000}"/>
    <hyperlink ref="J1398" r:id="rId2145" display="https://www.zillow.com/homedetails/823-S-Sierra-Bonita-Ave-Los-Angeles-CA-90036/20610339_zpid/" xr:uid="{00000000-0004-0000-0100-000061080000}"/>
    <hyperlink ref="N1398" r:id="rId2146" display="https://drive.google.com/open?id=11i3sye6qTezDj4cms0xUyow4aLRHpad0" xr:uid="{00000000-0004-0000-0100-000062080000}"/>
    <hyperlink ref="J1399" r:id="rId2147" display="https://www.zillow.com/homedetails/1205-E-Oak-Ave-El-Segundo-CA-90245/20397741_zpid/" xr:uid="{00000000-0004-0000-0100-000063080000}"/>
    <hyperlink ref="J1400" r:id="rId2148" display="https://www.zillow.com/homedetails/3005-Haven-Way-Burbank-CA-91504/20060244_zpid/" xr:uid="{00000000-0004-0000-0100-000064080000}"/>
    <hyperlink ref="J1402" r:id="rId2149" display="https://www.zillow.com/homedetails/1511-Reeves-St-Los-Angeles-CA-90035/20493174_zpid/" xr:uid="{00000000-0004-0000-0100-000065080000}"/>
    <hyperlink ref="J1403" r:id="rId2150" display="https://www.zillow.com/homedetails/15440-Dickens-St-Sherman-Oaks-CA-91403/19991381_zpid/" xr:uid="{00000000-0004-0000-0100-000066080000}"/>
    <hyperlink ref="J1404" r:id="rId2151" display="https://www.zillow.com/homedetails/19715-Linda-Dr-Torrance-CA-90503/21330436_zpid/" xr:uid="{00000000-0004-0000-0100-000067080000}"/>
    <hyperlink ref="J1405" r:id="rId2152" display="https://www.zillow.com/homedetails/18025-Welby-Way-Reseda-CA-91335/19917656_zpid/" xr:uid="{00000000-0004-0000-0100-000068080000}"/>
    <hyperlink ref="J1406" r:id="rId2153" display="https://www.zillow.com/homedetails/1980-Hillcrest-Rd-Los-Angeles-CA-90068/20793792_zpid/" xr:uid="{00000000-0004-0000-0100-000069080000}"/>
    <hyperlink ref="J1407" r:id="rId2154" display="https://www.zillow.com/homedetails/7826-W-80th-St-Playa-Del-Rey-CA-90293/20385173_zpid/" xr:uid="{00000000-0004-0000-0100-00006A080000}"/>
    <hyperlink ref="J1408" r:id="rId2155" display="https://www.zillow.com/homedetails/1541-Ellsmere-Ave-Los-Angeles-CA-90019/20600494_zpid/" xr:uid="{00000000-0004-0000-0100-00006B080000}"/>
    <hyperlink ref="J1409" r:id="rId2156" display="https://www.zillow.com/homedetails/4152-Arlington-Ave-Los-Angeles-CA-90008/20574562_zpid/" xr:uid="{00000000-0004-0000-0100-00006C080000}"/>
    <hyperlink ref="J1410" r:id="rId2157" display="https://www.zillow.com/homedetails/348-30th-Pl-Hermosa-Beach-CA-90254/2091678115_zpid/" xr:uid="{00000000-0004-0000-0100-00006D080000}"/>
    <hyperlink ref="J1411" r:id="rId2158" display="https://www.zillow.com/homedetails/(undisclosed-Address)-Glendale-CA-91207/20838315_zpid/?utm_campaign=iosappmessage&amp;utm_medium=referral&amp;utm_source=txtshare" xr:uid="{00000000-0004-0000-0100-00006E080000}"/>
    <hyperlink ref="J1412" r:id="rId2159" display="https://www.redfin.com/CA/Los-Angeles/3300-Craig-Dr-90068/home/7128523" xr:uid="{00000000-0004-0000-0100-00006F080000}"/>
    <hyperlink ref="J1413" r:id="rId2160" display="https://www.trulia.com/home/6601-saloma-ave-van-nuys-ca-91405-19968847?cid=shr%7Capp_ios_main_phone%7Crent%7Csrp_table_card_share" xr:uid="{00000000-0004-0000-0100-000070080000}"/>
    <hyperlink ref="J1414" r:id="rId2161" display="https://www.zillow.com/homedetails/6137-Thicket-Way-San-Jose-CA-95119/19841831_zpid/" xr:uid="{00000000-0004-0000-0100-000071080000}"/>
    <hyperlink ref="J1415" r:id="rId2162" display="https://www.zillow.com/homedetails/Los-Angeles-CA-90039/20812529_zpid/?utm_campaign=iosappmessage&amp;utm_medium=referral&amp;utm_source=txtshare" xr:uid="{00000000-0004-0000-0100-000072080000}"/>
    <hyperlink ref="J1416" r:id="rId2163" display="https://app.box.com/s/xb6ddzw7djfcl2e640xt5ic1s5xub02i" xr:uid="{00000000-0004-0000-0100-000073080000}"/>
    <hyperlink ref="N1416" r:id="rId2164" display="https://drive.google.com/open?id=1oMdRJTQ0jEBUSzsCjyPm_Rm2hdAoEdm_" xr:uid="{00000000-0004-0000-0100-000074080000}"/>
    <hyperlink ref="J1417" r:id="rId2165" display="https://www.zillow.com/homedetails/18948-Pacific-Coast-Hwy-Malibu-CA-90265/89149270_zpid/" xr:uid="{00000000-0004-0000-0100-000075080000}"/>
    <hyperlink ref="N1417" r:id="rId2166" display="https://drive.google.com/open?id=1LCExxb9za-YE9oWU2q-7V26BRGIU-MWf" xr:uid="{00000000-0004-0000-0100-000076080000}"/>
    <hyperlink ref="J1418" r:id="rId2167" display="https://www.zillow.com/homedetails/10802-Wilkins-Ave-Los-Angeles-CA-90024/2053179796_zpid/" xr:uid="{00000000-0004-0000-0100-000077080000}"/>
    <hyperlink ref="N1418" r:id="rId2168" display="https://drive.google.com/open?id=1czfPG1w6me5kfAnBCgqsEa-vAEfu2kLv" xr:uid="{00000000-0004-0000-0100-000078080000}"/>
    <hyperlink ref="J1419" r:id="rId2169" display="https://www.zillow.com/homedetails/17288-Falcon-Pl-Granada-Hills-CA-91344/20109205_zpid/" xr:uid="{00000000-0004-0000-0100-000079080000}"/>
    <hyperlink ref="J1420" r:id="rId2170" display="https://www.zillow.com/homedetails/5042-Laurel-Canyon-Blvd-2-Valley-Village-CA-91607/446243273_zpid/" xr:uid="{00000000-0004-0000-0100-00007A080000}"/>
    <hyperlink ref="J1421" r:id="rId2171" display="https://www.zillow.com/homedetails/2616-Glendale-Blvd-0-Los-Angeles-CA-90039/2061183865_zpid/?utm_campaign=iosappmessage&amp;utm_medium=referral&amp;utm_source=txtshare" xr:uid="{00000000-0004-0000-0100-00007B080000}"/>
    <hyperlink ref="N1421" r:id="rId2172" display="https://drive.google.com/open?id=1m66NDH5o7GCsZHEKLS7R_OqXBtNftmzN" xr:uid="{00000000-0004-0000-0100-00007C080000}"/>
    <hyperlink ref="J1422" r:id="rId2173" display="https://www.zillow.com/homedetails/432-N-Oakhurst-Dr-407-Beverly-Hills-CA-90210/119677448_zpid/?utm_campaign=iosappmessage&amp;utm_medium=referral&amp;utm_source=txtshare" xr:uid="{00000000-0004-0000-0100-00007D080000}"/>
    <hyperlink ref="J1423" r:id="rId2174" display="https://www.zillow.com/homedetails/5908-Wish-Ave-Encino-CA-91316/19977848_zpid/" xr:uid="{00000000-0004-0000-0100-00007E080000}"/>
    <hyperlink ref="N1423" r:id="rId2175" display="https://drive.google.com/open?id=1SwIqrUwrXeYpqCbbId71Xo36zFuNPBhF" xr:uid="{00000000-0004-0000-0100-00007F080000}"/>
    <hyperlink ref="J1424" r:id="rId2176" display="https://www.zillow.com/apartments/west-hollywood-ca/via-at-sunset-plaza/5hqz9Q/" xr:uid="{00000000-0004-0000-0100-000080080000}"/>
    <hyperlink ref="J1425" r:id="rId2177" display="https://www.redfin.com/CA/Sherman-Oaks/3833-Beverly-Ridge-Dr-91423/home/4867740" xr:uid="{00000000-0004-0000-0100-000081080000}"/>
    <hyperlink ref="J1426" r:id="rId2178" display="https://www.zillow.com/homedetails/4321-Glenalbyn-Dr-Los-Angeles-CA-90065/20760611_zpid/" xr:uid="{00000000-0004-0000-0100-000082080000}"/>
    <hyperlink ref="J1427" r:id="rId2179" location="property-history" display="https://www.redfin.com/CA/Woodland-Hills/21908-Providencia-St-91364/home/4205476 - property-history" xr:uid="{00000000-0004-0000-0100-000083080000}"/>
    <hyperlink ref="J1428" r:id="rId2180" display="https://www.zillow.com/homedetails/27589-Pacific-Coast-Hwy-Malibu-CA-90265/20554627_zpid/" xr:uid="{00000000-0004-0000-0100-000084080000}"/>
    <hyperlink ref="J1429" r:id="rId2181" display="https://www.redfin.com/CA/Los-Angeles/800-N-Hobart-Blvd-90029/home/7109110" xr:uid="{00000000-0004-0000-0100-000085080000}"/>
    <hyperlink ref="N1429" r:id="rId2182" display="https://drive.google.com/open?id=1Ft_q84PkOlBaZUNDPck4VrJ4LG9FDdF5" xr:uid="{00000000-0004-0000-0100-000086080000}"/>
    <hyperlink ref="J1430" r:id="rId2183" display="https://www.zillow.com/homedetails/5153-W-Maplewood-Ave-101-Los-Angeles-CA-90004/443923576_zpid/" xr:uid="{00000000-0004-0000-0100-000087080000}"/>
    <hyperlink ref="K1430" r:id="rId2184" display="https://www.redfin.com/CA/Los-Angeles/5153-W-Maplewood-Ave-90004/unit-101/home/194166375" xr:uid="{00000000-0004-0000-0100-000088080000}"/>
    <hyperlink ref="J1431" r:id="rId2185" display="https://www.zillow.com/homedetails/11516-Victory-Blvd-North-Hollywood-CA-91606/20010764_zpid/" xr:uid="{00000000-0004-0000-0100-000089080000}"/>
    <hyperlink ref="J1432" r:id="rId2186" display="https://www.zillow.com/homedetails/11556-Burbank-Blvd-APT-408-North-Hollywood-CA-91601/89150365_zpid/" xr:uid="{00000000-0004-0000-0100-00008A080000}"/>
    <hyperlink ref="J1433" r:id="rId2187" display="https://www.zillow.com/homedetails/14818-Round-Valley-Dr-Sherman-Oaks-CA-91403/19987890_zpid/?" xr:uid="{00000000-0004-0000-0100-00008B080000}"/>
    <hyperlink ref="N1433" r:id="rId2188" display="https://drive.google.com/open?id=1XTV6ufUZHZKR5DxbwjcIBshfm7CdV9W4" xr:uid="{00000000-0004-0000-0100-00008C080000}"/>
    <hyperlink ref="J1434" r:id="rId2189" display="https://www.zillow.com/homedetails/1544-Ard-Eevin-Ave-Glendale-CA-91202/20827167_zpid/" xr:uid="{00000000-0004-0000-0100-00008D080000}"/>
    <hyperlink ref="J1435" r:id="rId2190" display="https://www.zillow.com/homedetails/3249-Beaudry-Ter-Glendale-CA-91208/20820486_zpid/" xr:uid="{00000000-0004-0000-0100-00008E080000}"/>
    <hyperlink ref="N1435" r:id="rId2191" display="https://drive.google.com/open?id=1iuv43QqQUHCy5joFrVfdrr9UHT7A11vG" xr:uid="{00000000-0004-0000-0100-00008F080000}"/>
    <hyperlink ref="J1436" r:id="rId2192" display="https://www.zillow.com/homedetails/Los-Angeles-CA-90046/20801224_zpid/" xr:uid="{00000000-0004-0000-0100-000090080000}"/>
    <hyperlink ref="J1437" r:id="rId2193" display="https://www.zillow.com/homedetails/3319-Lowry-Rd-Los-Angeles-CA-90027/20812073_zpid/?rtoken=9db7a4fd-48ca-4c28-ba61-2af3c71103fd~X1-ZU14fpvedl0k0sp_3z9zv&amp;utm_campaign=emo-instantsavedsearch-rental&amp;utm_source=email&amp;utm_term=urn:msg:20250127185117aa77945f185927e8&amp;utm_medium=email&amp;utm_content=forrentimage&amp;sse=X1-SShhczic9znkri0000000000_4dbo5&amp;srp=H4sIAAAAAAAAAI2US4+bMBCAfw3HTTzgF4eq6m576LGbHqpeImNMoMU29WNfv740Rt5E2lXNwYKZj49hBrMfrVZ+P1h3dMqE/UevhJPjt6jc8yGIoD5U7Laqay2WWxtN79fzqvmUgsa6MKZAg3fASY0I8KbhmNGqvlszSviQgBsAvgMKBBPEOG1bRBLibbyQIIpbTjACymizSR7VlQQDboHVDBAHTiv2OVFrhT+t1QmEOgWjV84fzq/0Xbkt+W+tN0BGH6y+V6fJmq99znM5kJ6Smg4/4Obu/skwYL8Q+D+6P0KH4+mUDcM0B+XOvbrsTaeue6Unky7rXHEnwvg2AzuSqcVN8sqsxdNmYkAb3GRSWnPJPYg5bjcOYvYqc+uwVREoFlHE6eXN+oAghF5l4zuu4OKryq+f1Dvcuvbi+dyw7IyyqEBThg2upMRgH8tsvrNFoNS+bHBikWXG9dH/nVzuuHhQfdoiX4yz86zX/8DFVlg3wOEwjvJlku2L+e0mlI8j7jtL0kD+AvvjLCdJBAAA" xr:uid="{00000000-0004-0000-0100-000091080000}"/>
    <hyperlink ref="N1437" r:id="rId2194" display="https://drive.google.com/open?id=17gh9zj3NOEysz2F36D7gjyTzwDDxylS5" xr:uid="{00000000-0004-0000-0100-000092080000}"/>
    <hyperlink ref="J1438" r:id="rId2195" display="https://www.redfin.com/CA/Venice/546-Broadway-St-90291/home/28904051" xr:uid="{00000000-0004-0000-0100-000093080000}"/>
    <hyperlink ref="J1439" r:id="rId2196" display="https://www.zillow.com/homedetails/12340-Moorpark-St-Studio-City-CA-91604/20026068_zpid/" xr:uid="{00000000-0004-0000-0100-000094080000}"/>
    <hyperlink ref="J1440" r:id="rId2197" display="https://www.redfin.com/CA/Arcadia/1410-Rancho-Rd-91006/home/7229637" xr:uid="{00000000-0004-0000-0100-000095080000}"/>
    <hyperlink ref="J1441" r:id="rId2198" display="https://www.zillow.com/homedetails/1905-Paseo-Del-Sol-Palos-Verdes-Estates-CA-90274/21342846_zpid/" xr:uid="{00000000-0004-0000-0100-000096080000}"/>
    <hyperlink ref="J1442" r:id="rId2199" display="https://www.zillow.com/homedetails/315-S-Highland-Ave-Los-Angeles-CA-90036/20775403_zpid/" xr:uid="{00000000-0004-0000-0100-000097080000}"/>
    <hyperlink ref="N1442" r:id="rId2200" display="https://drive.google.com/open?id=10_7aqsaYFls4A3Y-Ty9clJ03cVHUkgr8" xr:uid="{00000000-0004-0000-0100-000098080000}"/>
    <hyperlink ref="J1443" r:id="rId2201" display="https://www.redfin.com/CA/Los-Angeles/1140-Lemoyne-St-90026/unit-4/apartment/193530951" xr:uid="{00000000-0004-0000-0100-000099080000}"/>
    <hyperlink ref="N1443" r:id="rId2202" display="https://drive.google.com/open?id=1BRBgStbfAiXKWWWJ_3PoOOTGnShpqbML" xr:uid="{00000000-0004-0000-0100-00009A080000}"/>
    <hyperlink ref="I1444" r:id="rId2203" display="http://forrent.com/" xr:uid="{00000000-0004-0000-0100-00009B080000}"/>
    <hyperlink ref="J1444" r:id="rId2204" display="https://www.forrent.com/ca/los-angeles/818-s-orange-grove-ave/dktrd3j" xr:uid="{00000000-0004-0000-0100-00009C080000}"/>
    <hyperlink ref="N1444" r:id="rId2205" display="https://drive.google.com/open?id=1lsl9UArWXtrHschz8WHWj1I7KHMTE3cg" xr:uid="{00000000-0004-0000-0100-00009D080000}"/>
    <hyperlink ref="J1445" r:id="rId2206" display="https://www.redfin.com/CA/Los-Angeles/2335-1-2-Mayberry-St-90026/home/191197931" xr:uid="{00000000-0004-0000-0100-00009E080000}"/>
    <hyperlink ref="N1445" r:id="rId2207" display="https://drive.google.com/open?id=10VFoBYEy1DRBQZumpXkkekvnjevOcs-v" xr:uid="{00000000-0004-0000-0100-00009F080000}"/>
    <hyperlink ref="J1446" r:id="rId2208" display="https://www.zillow.com/homedetails/822-S-Plymouth-Blvd-2-Los-Angeles-CA-90005/339398724_zpid/" xr:uid="{00000000-0004-0000-0100-0000A0080000}"/>
    <hyperlink ref="N1446" r:id="rId2209" display="https://drive.google.com/open?id=1OEP5Ftb_oOApxHh8nhQPZNlkXoi3M07l" xr:uid="{00000000-0004-0000-0100-0000A1080000}"/>
    <hyperlink ref="J1447" r:id="rId2210" display="https://www.redfin.com/CA/Los-Angeles/235-N-Hoover-St-90004/home/182324328" xr:uid="{00000000-0004-0000-0100-0000A2080000}"/>
    <hyperlink ref="J1448" r:id="rId2211" display="https://www.redfin.com/CA/Los-Angeles/Inspire-Echo-Park/apartment/191903567" xr:uid="{00000000-0004-0000-0100-0000A3080000}"/>
    <hyperlink ref="J1449" r:id="rId2212" display="https://www.redfin.com/CA/Los-Angeles/1485-Westerly-Ter-90026/home/194389457" xr:uid="{00000000-0004-0000-0100-0000A4080000}"/>
    <hyperlink ref="J1450" r:id="rId2213" display="https://www.zillow.com/homedetails/Los-Angeles-CA-90046/2088760040_zpid/" xr:uid="{00000000-0004-0000-0100-0000A5080000}"/>
    <hyperlink ref="N1450" r:id="rId2214" display="https://drive.google.com/open?id=1AlZDurmsEK-AqBNylmndyqOsmE1SeiGo" xr:uid="{00000000-0004-0000-0100-0000A6080000}"/>
    <hyperlink ref="J1451" r:id="rId2215" display="https://www.zillow.com/homedetails/7744-Mary-Ellen-Ave-North-Hollywood-CA-91605/19996211_zpid/" xr:uid="{00000000-0004-0000-0100-0000A7080000}"/>
    <hyperlink ref="J1452" r:id="rId2216" display="https://www.zillow.com/homedetails/740-N-Kings-Rd-APT-103-Los-Angeles-CA-90069/20786497_zpid/" xr:uid="{00000000-0004-0000-0100-0000A8080000}"/>
    <hyperlink ref="J1453" r:id="rId2217" display="https://www.zillow.com/homedetails/6564-Kelvin-Ave-Winnetka-CA-91306/19930987_zpid/" xr:uid="{00000000-0004-0000-0100-0000A9080000}"/>
    <hyperlink ref="J1454" r:id="rId2218" display="https://www.zillow.com/homedetails/3047-12th-Ave-APT-B-Los-Angeles-CA-90018/445906016_zpid/" xr:uid="{00000000-0004-0000-0100-0000AA080000}"/>
    <hyperlink ref="J1455" r:id="rId2219" display="https://www.zillow.com/homedetails/601-Bohlig-Rd-Glendale-CA-91207/82878976_zpid/" xr:uid="{00000000-0004-0000-0100-0000AB080000}"/>
    <hyperlink ref="N1455" r:id="rId2220" display="https://drive.google.com/open?id=18T0bW4gyqZKZAhzvq7nST_NTiYPw7N0E" xr:uid="{00000000-0004-0000-0100-0000AC080000}"/>
    <hyperlink ref="J1456" r:id="rId2221" display="https://www.zillow.com/homedetails/12337-Gorham-Ave-Los-Angeles-CA-90049/20467762_zpid/" xr:uid="{00000000-0004-0000-0100-0000AD080000}"/>
    <hyperlink ref="N1456" r:id="rId2222" display="https://drive.google.com/open?id=1kRPNk5QCHZzqhVoRBFGiVOT8Sb20tf5O" xr:uid="{00000000-0004-0000-0100-0000AE080000}"/>
    <hyperlink ref="J1457" r:id="rId2223" display="https://www.zillow.com/homedetails/1445-S-Sherbourne-Dr-A-Los-Angeles-CA-90035/421015404_zpid/" xr:uid="{00000000-0004-0000-0100-0000AF080000}"/>
    <hyperlink ref="J1458" r:id="rId2224" display="https://www.zillow.com/homedetails/1101-S-Bundy-Dr-Los-Angeles-CA-90049/20468041_zpid/?utm_campaign=iosappmessage&amp;utm_medium=referral&amp;utm_source=txtshare" xr:uid="{00000000-0004-0000-0100-0000B0080000}"/>
    <hyperlink ref="J1459" r:id="rId2225" display="https://www.zillow.com/apartments/beverly-hills-ca/gardenhouse-beverly-hills/9MNYSn/" xr:uid="{00000000-0004-0000-0100-0000B1080000}"/>
    <hyperlink ref="N1459" r:id="rId2226" display="https://drive.google.com/open?id=11S6SgzPBefvvnPdjvBr_Zbkiaer2tHDS" xr:uid="{00000000-0004-0000-0100-0000B2080000}"/>
    <hyperlink ref="J1460" r:id="rId2227" display="https://www.zillow.com/homedetails/6216-Acadia-Ave-Agoura-Hills-CA-91301/19883802_zpid/?rtoken=d6ebb56f-63c7-4267-bc1d-c2146bdb0fe7~X1-ZUtjknhst6klqh_5cfwe&amp;utm_campaign=emo-instant_home_recs_email&amp;utm_source=email&amp;utm_term=urn:msg:20250109175333108919053300b629&amp;utm_medium=email&amp;utm_content=forsaleimage-_rid-fg6emvuxXzhMjdwdmpWUyD_" xr:uid="{00000000-0004-0000-0100-0000B3080000}"/>
    <hyperlink ref="N1460" r:id="rId2228" display="https://drive.google.com/open?id=1Le_pBRL_Y5lGbHN75KgkkROJhnLOU8TD" xr:uid="{00000000-0004-0000-0100-0000B4080000}"/>
    <hyperlink ref="J1461" r:id="rId2229" display="https://www.zillow.com/homedetails/5353-Del-Moreno-Dr-Woodland-Hills-CA-91364/19941545_zpid/" xr:uid="{00000000-0004-0000-0100-0000B5080000}"/>
    <hyperlink ref="J1462" r:id="rId2230" display="https://www.zillow.com/homedetails/4740-Sunnyslope-Ave-Sherman-Oaks-CA-91423/20022323_zpid/?utm_campaign=iosappmessage&amp;utm_medium=referral&amp;utm_source=txtshare" xr:uid="{00000000-0004-0000-0100-0000B6080000}"/>
    <hyperlink ref="K1462" r:id="rId2231" display="https://www.zillow.com/homedetails/4740-Sunnyslope-Ave-Sherman-Oaks-CA-91423/20022323_zpid/?utm_campaign=iosappmessage&amp;utm_medium=referral&amp;utm_source=txtshare" xr:uid="{00000000-0004-0000-0100-0000B7080000}"/>
    <hyperlink ref="N1462" r:id="rId2232" display="https://drive.google.com/open?id=1s73MGgaYy9OPLAJrKaneXZgQubClS9b_" xr:uid="{00000000-0004-0000-0100-0000B8080000}"/>
    <hyperlink ref="J1463" r:id="rId2233" display="https://www.zillow.com/homedetails/5051-Arundel-Dr-Woodland-Hills-CA-91364/19946455_zpid/" xr:uid="{00000000-0004-0000-0100-0000B9080000}"/>
    <hyperlink ref="N1463" r:id="rId2234" display="https://drive.google.com/open?id=1Y6VUJvtHp5CeZ_-_bRaybKbphdmnsZmB" xr:uid="{00000000-0004-0000-0100-0000BA080000}"/>
    <hyperlink ref="J1464" r:id="rId2235" display="https://www.zillow.com/homedetails/711-Pepper-Tree-Ln-Long-Beach-CA-90815/21212112_zpid/" xr:uid="{00000000-0004-0000-0100-0000BB080000}"/>
    <hyperlink ref="N1464" r:id="rId2236" display="https://drive.google.com/open?id=1EeBalKQkXL4HZxKuCeLjd9umy_HQtqW4" xr:uid="{00000000-0004-0000-0100-0000BC080000}"/>
    <hyperlink ref="J1465" r:id="rId2237" display="https://www.zillow.com/homedetails/31-Breeze-Ave-A-Venice-CA-90291/446741294_zpid/" xr:uid="{00000000-0004-0000-0100-0000BD080000}"/>
    <hyperlink ref="N1465" r:id="rId2238" display="https://drive.google.com/open?id=1NaSPvO4e_haleuOjlN_T_yObxVQdnLTw" xr:uid="{00000000-0004-0000-0100-0000BE080000}"/>
    <hyperlink ref="J1466" r:id="rId2239" display="https://www.zillow.com/homedetails/201-Avenue-E-Redondo-Beach-CA-90277/446741345_zpid/" xr:uid="{00000000-0004-0000-0100-0000BF080000}"/>
    <hyperlink ref="N1466" r:id="rId2240" display="https://drive.google.com/open?id=1v5YbLxEiuEHe9EPwgvwK3-fq_Q7ckyrU" xr:uid="{00000000-0004-0000-0100-0000C0080000}"/>
    <hyperlink ref="J1467" r:id="rId2241" display="https://www.zillow.com/homedetails/829-E-Camino-Real-Ave-Arcadia-CA-91006/20892517_zpid/" xr:uid="{00000000-0004-0000-0100-0000C1080000}"/>
    <hyperlink ref="N1467" r:id="rId2242" display="https://drive.google.com/open?id=1abzIKvbzBMsqalGucuDjtuk34yv7JlcJ" xr:uid="{00000000-0004-0000-0100-0000C2080000}"/>
    <hyperlink ref="J1468" r:id="rId2243" display="https://www.zillow.com/homedetails/967-Maltman-Ave-967-Los-Angeles-CA-90026/446740935_zpid/" xr:uid="{00000000-0004-0000-0100-0000C3080000}"/>
    <hyperlink ref="N1468" r:id="rId2244" display="https://drive.google.com/open?id=1rpoVzu5-CqXzWJWkOYoh13LP3G49WVD0" xr:uid="{00000000-0004-0000-0100-0000C4080000}"/>
    <hyperlink ref="J1469" r:id="rId2245" display="https://www.zillow.com/homedetails/1500-Fairfield-St-Glendale-CA-91201/20825768_zpid/" xr:uid="{00000000-0004-0000-0100-0000C5080000}"/>
    <hyperlink ref="N1469" r:id="rId2246" display="https://drive.google.com/open?id=1xAvlnku_N_UETf63C4w2eMx-tCwjYjmd" xr:uid="{00000000-0004-0000-0100-0000C6080000}"/>
    <hyperlink ref="J1470" r:id="rId2247" display="https://www.zillow.com/homedetails/3025-E-Corto-Pl-Long-Beach-CA-90803/21230067_zpid/" xr:uid="{00000000-0004-0000-0100-0000C7080000}"/>
    <hyperlink ref="N1470" r:id="rId2248" display="https://drive.google.com/open?id=16siES5D4re8bLFGBEyfK2eMx-M2s1nKZ" xr:uid="{00000000-0004-0000-0100-0000C8080000}"/>
    <hyperlink ref="J1471" r:id="rId2249" display="https://www.zillow.com/homedetails/8160-Mannix-Dr-Los-Angeles-CA-90046/20797616_zpid/" xr:uid="{00000000-0004-0000-0100-0000C9080000}"/>
    <hyperlink ref="N1471" r:id="rId2250" display="https://drive.google.com/open?id=1UsxWfi1AZJfrV2Q59IjPTTRd7I1Aioab" xr:uid="{00000000-0004-0000-0100-0000CA080000}"/>
    <hyperlink ref="J1472" r:id="rId2251" display="https://www.zillow.com/homedetails/2521-Alma-Ave-Manhattan-Beach-CA-90266/20421440_zpid/" xr:uid="{00000000-0004-0000-0100-0000CB080000}"/>
    <hyperlink ref="N1472" r:id="rId2252" display="https://drive.google.com/open?id=18JRzYr-QJaYargq-ei0vZneeRWFIWslb" xr:uid="{00000000-0004-0000-0100-0000CC080000}"/>
    <hyperlink ref="J1473" r:id="rId2253" display="https://www.zillow.com/homedetails/2890-Eider-St-La-Verne-CA-91750/51602754_zpid/" xr:uid="{00000000-0004-0000-0100-0000CD080000}"/>
    <hyperlink ref="N1473" r:id="rId2254" display="https://drive.google.com/open?id=1SOQhMkB4tAOzBYExiDY_O5mffAI2QFXr" xr:uid="{00000000-0004-0000-0100-0000CE080000}"/>
    <hyperlink ref="J1474" r:id="rId2255" display="https://www.zillow.com/homedetails/1277-Via-Esperanza-San-Dimas-CA-91773/21533522_zpid/" xr:uid="{00000000-0004-0000-0100-0000CF080000}"/>
    <hyperlink ref="N1474" r:id="rId2256" display="https://drive.google.com/open?id=1c6Sydm4-gMhMndgiC83egOxF0gnDXgx1" xr:uid="{00000000-0004-0000-0100-0000D0080000}"/>
    <hyperlink ref="J1475" r:id="rId2257" display="https://www.zillow.com/homedetails/8-Rancho-Laguna-Dr-Pomona-CA-91766/21662573_zpid/" xr:uid="{00000000-0004-0000-0100-0000D1080000}"/>
    <hyperlink ref="N1475" r:id="rId2258" display="https://drive.google.com/open?id=1ZYodMFoHDKAARoBVdxz_kO0vJX6joR1j" xr:uid="{00000000-0004-0000-0100-0000D2080000}"/>
    <hyperlink ref="J1476" r:id="rId2259" display="https://www.zillow.com/homedetails/1714-Kanola-Rd-La-Habra-Heights-CA-90631/21480664_zpid/" xr:uid="{00000000-0004-0000-0100-0000D3080000}"/>
    <hyperlink ref="N1476" r:id="rId2260" display="https://drive.google.com/open?id=11FqYL67IIl99BVRazO5sKDPOA0Pu_Yn1" xr:uid="{00000000-0004-0000-0100-0000D4080000}"/>
    <hyperlink ref="J1477" r:id="rId2261" display="https://www.zillow.com/homedetails/Rosemead-CA-91770/20682798_zpid/" xr:uid="{00000000-0004-0000-0100-0000D5080000}"/>
    <hyperlink ref="N1477" r:id="rId2262" display="https://drive.google.com/open?id=1CrCZuUMYgaBxT6GgROjIkdQQ40ikdLj5" xr:uid="{00000000-0004-0000-0100-0000D6080000}"/>
    <hyperlink ref="J1478" r:id="rId2263" display="https://www.zillow.com/homedetails/477-N-Baldwin-Ave-Sierra-Madre-CA-91024/20882270_zpid/" xr:uid="{00000000-0004-0000-0100-0000D7080000}"/>
    <hyperlink ref="N1478" r:id="rId2264" display="https://drive.google.com/open?id=1bRCQFCAkf-HhBF99jAfm6n9G7TQgEuWu" xr:uid="{00000000-0004-0000-0100-0000D8080000}"/>
    <hyperlink ref="J1479" r:id="rId2265" display="https://www.zillow.com/homedetails/Monterey-Park-CA-91754/20659701_zpid/" xr:uid="{00000000-0004-0000-0100-0000D9080000}"/>
    <hyperlink ref="N1479" r:id="rId2266" display="https://drive.google.com/open?id=1utN8_9HkVtTb6U9qtJpoV6RVyqHIqO8i" xr:uid="{00000000-0004-0000-0100-0000DA080000}"/>
    <hyperlink ref="J1480" r:id="rId2267" display="https://www.zillow.com/homedetails/245-S-Allen-Ave-Pasadena-CA-91106/250338832_zpid/" xr:uid="{00000000-0004-0000-0100-0000DB080000}"/>
    <hyperlink ref="J1481" r:id="rId2268" display="https://www.zillow.com/homedetails/525-E-Seaside-Way-UNIT-806-Long-Beach-CA-90802/21238743_zpid/" xr:uid="{00000000-0004-0000-0100-0000DC080000}"/>
    <hyperlink ref="N1481" r:id="rId2269" display="https://drive.google.com/open?id=1S0q24nx2xiJELrOuGsGcKT-dpDFhNxwQ" xr:uid="{00000000-0004-0000-0100-0000DD080000}"/>
    <hyperlink ref="J1482" r:id="rId2270" display="https://www.zillow.com/b/moorpark-north-hollywood-ca-5XkmrC/" xr:uid="{00000000-0004-0000-0100-0000DE080000}"/>
    <hyperlink ref="J1483" r:id="rId2271" display="https://www.zillow.com/homedetails/19246-Liam-Ln-Tarzana-CA-91356/119639050_zpid/" xr:uid="{00000000-0004-0000-0100-0000DF080000}"/>
    <hyperlink ref="J1484" r:id="rId2272" display="https://www.zillow.com/homedetails/1280-S-Barrington-Ave-APT-18-Los-Angeles-CA-90025/2081689347_zpid/" xr:uid="{00000000-0004-0000-0100-0000E0080000}"/>
    <hyperlink ref="J1485" r:id="rId2273" display="https://guests.themls.com/Listings.aspx" xr:uid="{00000000-0004-0000-0100-0000E1080000}"/>
    <hyperlink ref="N1485" r:id="rId2274" display="https://drive.google.com/open?id=1371QNG3j-1KX8YRxJFy9VLIhmVjpAzWa" xr:uid="{00000000-0004-0000-0100-0000E2080000}"/>
    <hyperlink ref="J1486" r:id="rId2275" display="https://www.zillow.com/homedetails/1287-W-37th-Pl-APT-6-Los-Angeles-CA-90007/2112831084_zpid/" xr:uid="{00000000-0004-0000-0100-0000E3080000}"/>
    <hyperlink ref="J1487" r:id="rId2276" display="https://www.zillow.com/homedetails/1238-W-Adams-Blvd-APT-2-Los-Angeles-CA-90007/2115053245_zpid/" xr:uid="{00000000-0004-0000-0100-0000E4080000}"/>
    <hyperlink ref="J1488" r:id="rId2277" location="back=%2Fapartments%2Fsan-marino-ca%2Fsan-marino%2Fl-60110320%3Fbox%3D-118.14555%2C34.10104%2C-118.10561%2C34.15574" display="https://www.padmapper.com/apartments/24610679p/3-bedroom-3-bath-apartment-at-800-canon-dr-pasadena-ca-91106 - back=%2Fapartments%2Fsan-marino-ca%2Fsan-marino%2Fl-60110320%3Fbox%3D-118.14555%2C34.10104%2C-118.10561%2C34.15574" xr:uid="{00000000-0004-0000-0100-0000E5080000}"/>
    <hyperlink ref="J1489" r:id="rId2278" display="https://www.zillow.com/homedetails/1587-La-Loma-Rd-Pasadena-CA-91105/20857360_zpid/" xr:uid="{00000000-0004-0000-0100-0000E6080000}"/>
    <hyperlink ref="N1489" r:id="rId2279" display="https://drive.google.com/open?id=17A_cZsv5l7m76BH4ujD0Lqk_gLqszBc6" xr:uid="{00000000-0004-0000-0100-0000E7080000}"/>
    <hyperlink ref="J1490" r:id="rId2280" display="https://www.zillow.com/homedetails/2739-Midvale-Ave-Los-Angeles-CA-90064/20462578_zpid/" xr:uid="{00000000-0004-0000-0100-0000E8080000}"/>
    <hyperlink ref="N1490" r:id="rId2281" display="https://drive.google.com/open?id=1peUhpwv3g7JbzcxxCxVAUju9tJqLizPB" xr:uid="{00000000-0004-0000-0100-0000E9080000}"/>
    <hyperlink ref="J1491" r:id="rId2282" display="https://www.zillow.com/homedetails/8417-Harold-Way-Los-Angeles-CA-90069/243013044_zpid/" xr:uid="{00000000-0004-0000-0100-0000EA080000}"/>
    <hyperlink ref="N1491" r:id="rId2283" display="https://drive.google.com/open?id=1yZCtv9TvBxPD4d3-PILxHWWTD7HU9gFE" xr:uid="{00000000-0004-0000-0100-0000EB080000}"/>
    <hyperlink ref="J1492" r:id="rId2284" display="https://www.zillow.com/homedetails/201-S-Bristol-Ave-Los-Angeles-CA-90049/20538485_zpid/" xr:uid="{00000000-0004-0000-0100-0000EC080000}"/>
    <hyperlink ref="N1492" r:id="rId2285" display="https://drive.google.com/open?id=1rg-HaIMrocF7lOHUateHSFwxbG7mCwjc" xr:uid="{00000000-0004-0000-0100-0000ED080000}"/>
    <hyperlink ref="J1493" r:id="rId2286" display="https://www.zillow.com/homedetails/6316-Frondosa-Dr-Malibu-CA-90265/20557322_zpid/" xr:uid="{00000000-0004-0000-0100-0000EE080000}"/>
    <hyperlink ref="N1493" r:id="rId2287" display="https://drive.google.com/open?id=17f-QYKh45D7eK6C3kQ4pOLTzi3NYOZQ8" xr:uid="{00000000-0004-0000-0100-0000EF080000}"/>
    <hyperlink ref="J1494" r:id="rId2288" display="https://www.zillow.com/homedetails/5120-S-Garth-Ave-Los-Angeles-CA-90056/20429241_zpid/" xr:uid="{00000000-0004-0000-0100-0000F0080000}"/>
    <hyperlink ref="N1494" r:id="rId2289" display="https://drive.google.com/open?id=1hidgUQZ5zlV1aWTpM1btFVJI9T7Tz7p4" xr:uid="{00000000-0004-0000-0100-0000F1080000}"/>
    <hyperlink ref="J1495" r:id="rId2290" display="https://www.redfin.com/CA/Newport-Beach/14-Beacon-Bay-92660/home/28455522" xr:uid="{00000000-0004-0000-0100-0000F2080000}"/>
    <hyperlink ref="N1495" r:id="rId2291" display="https://drive.google.com/open?id=1ZD3LcPGuI9lTefuoZTyE0PS2-H8SkPmZ" xr:uid="{00000000-0004-0000-0100-0000F3080000}"/>
    <hyperlink ref="J1496" r:id="rId2292" display="https://www.zillow.com/homedetails/1722-N-Vista-St-Los-Angeles-CA-90046/2054575992_zpid/" xr:uid="{00000000-0004-0000-0100-0000F4080000}"/>
    <hyperlink ref="N1496" r:id="rId2293" display="https://drive.google.com/open?id=1cFEP2YtbxwlUmb0y1XY77lRRhpuPNad1" xr:uid="{00000000-0004-0000-0100-0000F5080000}"/>
    <hyperlink ref="J1497" r:id="rId2294" display="https://www.zillow.com/homedetails/2228-Holly-Dr-Los-Angeles-CA-90068/20804384_zpid/" xr:uid="{00000000-0004-0000-0100-0000F6080000}"/>
    <hyperlink ref="N1497" r:id="rId2295" display="https://drive.google.com/open?id=1e45oeWjzU4SosRtvYeAOOp1YtTkiUGMZ" xr:uid="{00000000-0004-0000-0100-0000F7080000}"/>
    <hyperlink ref="J1498" r:id="rId2296" display="https://www.zillow.com/homedetails/1701-Virginia-Rd-San-Marino-CA-91108/20704993_zpid/" xr:uid="{00000000-0004-0000-0100-0000F8080000}"/>
    <hyperlink ref="N1498" r:id="rId2297" display="https://drive.google.com/open?id=1GKwbCkGpBsCI68-EnZcamyrszUsLDQ5D" xr:uid="{00000000-0004-0000-0100-0000F9080000}"/>
    <hyperlink ref="J1499" r:id="rId2298" display="https://www.zillow.com/homedetails/2450-Glencoe-Ave-Venice-CA-90291/111919381_zpid/?rtoken=9f90b7ad-9955-4483-a880-9ce99996658d~X1-ZUw262ebtplte1_4kciy&amp;utm_campaign=emo-instantsavedsearch-rental&amp;utm_source=email&amp;utm_term=urn:msg:20250206123602395ff60a8a18db3d&amp;utm_medium=email&amp;utm_content=forrentimage&amp;sse=X1-SStmcgo8ejuwwb1000000000_6sexf&amp;srp=H4sIAAAAAAAAAI2Ty27CMBBFvyZLILYTPxZVVaCLLks2VTfISRxC5Qf1g9C/b4QDBalI9mrGc+b6akZe9EYJt+iM3Vqh/eLZCW6b/j0I+1N57sVTRpYZhIoflibo1o1xhl7i5SCcj/kMADovMKEY0ZxhBhHL4GqsCX6P5BQXOUYFLlCJI+JM8H1kEJozUlJKEAIAoIuINvZKFPMcFBgzRjAFo06ZkXWkur30wp5N35rs7G125DJMZW/H6Nrsav6A67h0d6BJAnWThDXK6SSQhzTBcZUiCazF/TbVfjICY13xU8x1kPLapbokccl1mwQqrkMS6L47/69dAMv8geO/Rw6fxqiJL6bJB+eN2ojd3ui3i1kIMatbjAmj4APMVpuGWy8bLDAKWwD6AZ3dRkf8KNrq/F9etTVSqvEH3SiN/VXlVbMzVHyFYahBfjlb7MTpPEmy/gWSR5DygwMAAA==" xr:uid="{00000000-0004-0000-0100-0000FA080000}"/>
    <hyperlink ref="J1500" r:id="rId2299" display="https://www.zillow.com/homedetails/1912-Laurel-Canyon-Blvd-Los-Angeles-CA-90046/446950428_zpid/?utm_campaign=iosappmessage&amp;utm_medium=referral&amp;utm_source=txtshare" xr:uid="{00000000-0004-0000-0100-0000FB080000}"/>
    <hyperlink ref="J1501" r:id="rId2300" display="https://www.zillow.com/homedetails/8545-Franklin-Ave-Los-Angeles-CA-90069/20798381_zpid/?utm_campaign=iosappmessage&amp;utm_medium=referral&amp;utm_source=txtshare" xr:uid="{00000000-0004-0000-0100-0000FC080000}"/>
    <hyperlink ref="J1502" r:id="rId2301" display="https://www.zillow.com/homedetails/16221-Elisa-Pl-Encino-CA-91436/19991926_zpid/?utm_campaign=iosappmessage&amp;utm_medium=referral&amp;utm_source=txtshare" xr:uid="{00000000-0004-0000-0100-0000FD080000}"/>
    <hyperlink ref="J1503" r:id="rId2302" display="https://www.zillow.com/homedetails/1530-Camden-Ave-APT-304-Los-Angeles-CA-90025/79796845_zpid/" xr:uid="{00000000-0004-0000-0100-0000FE080000}"/>
    <hyperlink ref="N1503" r:id="rId2303" display="https://drive.google.com/open?id=1-tHemzLD5-EOWmT_ei2biwERhhYG0SNC" xr:uid="{00000000-0004-0000-0100-0000FF080000}"/>
    <hyperlink ref="J1504" r:id="rId2304" display="https://www.zillow.com/homedetails/1973-Carmen-Ave-Los-Angeles-CA-90068/336331480_zpid/" xr:uid="{00000000-0004-0000-0100-000000090000}"/>
    <hyperlink ref="N1504" r:id="rId2305" display="https://drive.google.com/open?id=1kVTPjggWg7Tnb2RjK1hg1Nr8NkO9iiDq" xr:uid="{00000000-0004-0000-0100-000001090000}"/>
    <hyperlink ref="J1505" r:id="rId2306" display="https://www.zillow.com/homedetails/3987-Denker-Ave-6-Los-Angeles-CA-90062/2070819084_zpid/" xr:uid="{00000000-0004-0000-0100-000002090000}"/>
    <hyperlink ref="J1506" r:id="rId2307" display="https://www.zillow.com/homedetails/Santa-Monica-CA-90402/20539296_zpid/" xr:uid="{00000000-0004-0000-0100-000003090000}"/>
    <hyperlink ref="J1507" r:id="rId2308" display="https://www.zillow.com/homedetails/4819-W-137th-St-B-Hawthorne-CA-90250/344063916_zpid/" xr:uid="{00000000-0004-0000-0100-000004090000}"/>
    <hyperlink ref="J1508" r:id="rId2309" display="https://www.zillow.com/homedetails/13106-S-Vermont-Ave-APT-06-Gardena-CA-90247/2087578781_zpid/" xr:uid="{00000000-0004-0000-0100-000005090000}"/>
    <hyperlink ref="J1509" r:id="rId2310" display="https://www.zillow.com/homedetails/1240-N-Doheny-Dr-Los-Angeles-CA-90069/20799490_zpid/" xr:uid="{00000000-0004-0000-0100-000006090000}"/>
    <hyperlink ref="J1510" r:id="rId2311" display="https://www.zillow.com/homedetails/3946-S-Hill-St-1-Los-Angeles-CA-90037/2053041649_zpid/" xr:uid="{00000000-0004-0000-0100-000007090000}"/>
    <hyperlink ref="J1511" r:id="rId2312" display="https://www.zillow.com/homedetails/6149-S-Harvard-Blvd-Los-Angeles-CA-90047/20927563_zpid/" xr:uid="{00000000-0004-0000-0100-000008090000}"/>
    <hyperlink ref="J1512" r:id="rId2313" display="https://www.zillow.com/homedetails/1618-E-Vernon-Ave-Los-Angeles-CA-90011/250334355_zpid/" xr:uid="{00000000-0004-0000-0100-000009090000}"/>
    <hyperlink ref="J1513" r:id="rId2314" display="https://www.zillow.com/homedetails/1731-W-57th-St-1-Los-Angeles-CA-90062/2057454756_zpid/" xr:uid="{00000000-0004-0000-0100-00000A090000}"/>
    <hyperlink ref="N1513" r:id="rId2315" display="https://drive.google.com/open?id=1J3WqloYEUBSwSfIw5L0f9iHHGc8dccb8" xr:uid="{00000000-0004-0000-0100-00000B090000}"/>
    <hyperlink ref="J1514" r:id="rId2316" display="https://www.zillow.com/homedetails/2264-Duane-St-Los-Angeles-CA-90039/250336729_zpid/" xr:uid="{00000000-0004-0000-0100-00000C090000}"/>
    <hyperlink ref="N1514" r:id="rId2317" display="https://drive.google.com/open?id=1b-0KwK2SJdzEUEprWLwpk3WLSnnD7mZT" xr:uid="{00000000-0004-0000-0100-00000D090000}"/>
    <hyperlink ref="J1515" r:id="rId2318" display="https://www.zillow.com/homedetails/261-S-Reeves-Dr-UNIT-104-Beverly-Hills-CA-90212/82880170_zpid/" xr:uid="{00000000-0004-0000-0100-00000E090000}"/>
    <hyperlink ref="J1516" r:id="rId2319" display="https://www.zillow.com/apartments/alhambra-ca/south-olive-apartments/5Xt8ZM/?utm_campaign=iosappmessage&amp;utm_medium=referral&amp;utm_source=txtshare" xr:uid="{00000000-0004-0000-0100-00000F090000}"/>
    <hyperlink ref="N1516" r:id="rId2320" display="https://drive.google.com/open?id=1FxaBDqNXaPvgeWvPGgjgFunxNaeIXs2_" xr:uid="{00000000-0004-0000-0100-000010090000}"/>
    <hyperlink ref="J1517" r:id="rId2321" display="https://www.zillow.com/homedetails/7820-Mulholland-Dr-Los-Angeles-CA-90046/20802716_zpid/?utm_campaign=iosappmessage&amp;utm_medium=referral&amp;utm_source=txtshare" xr:uid="{00000000-0004-0000-0100-000011090000}"/>
    <hyperlink ref="N1517" r:id="rId2322" display="https://drive.google.com/open?id=1YiFPiHKNLcVjTcsoNGOqDzf80YBVAA4W" xr:uid="{00000000-0004-0000-0100-000012090000}"/>
    <hyperlink ref="J1518" r:id="rId2323" display="https://www.zillow.com/homedetails/2245-S-Beverly-Glen-Blvd-203-Los-Angeles-CA-90064/2053363955_zpid/" xr:uid="{00000000-0004-0000-0100-000013090000}"/>
    <hyperlink ref="N1518" r:id="rId2324" display="https://drive.google.com/open?id=1Qmcn1uiveYRdGB12BjHdDfQgYFPrHRCO" xr:uid="{00000000-0004-0000-0100-000014090000}"/>
    <hyperlink ref="J1519" r:id="rId2325" display="https://www.zillow.com/homedetails/49-Sunset-Ave-B-Venice-CA-90291/2053165104_zpid/" xr:uid="{00000000-0004-0000-0100-000015090000}"/>
    <hyperlink ref="N1519" r:id="rId2326" display="https://drive.google.com/open?id=1dHWMfJ12D3RwzZNukVlJMh-2YQQv4GPJ" xr:uid="{00000000-0004-0000-0100-000016090000}"/>
    <hyperlink ref="J1520" r:id="rId2327" display="https://www.zillow.com/homedetails/1917-Clinton-St-APT-2-Los-Angeles-CA-90026/440020112_zpid/" xr:uid="{00000000-0004-0000-0100-000017090000}"/>
    <hyperlink ref="N1520" r:id="rId2328" display="https://drive.google.com/open?id=1uBikfWMQ4IBEiPfJmUFnUQUTm_8GgEiB" xr:uid="{00000000-0004-0000-0100-000018090000}"/>
    <hyperlink ref="J1521" r:id="rId2329" display="https://www.zillow.com/homedetails/975-Schumacher-Dr-Los-Angeles-CA-90048/20609649_zpid/" xr:uid="{00000000-0004-0000-0100-000019090000}"/>
    <hyperlink ref="N1521" r:id="rId2330" display="https://drive.google.com/open?id=1jshdvKtA70EvNpsHViX6Zbk3eS09q9-Y" xr:uid="{00000000-0004-0000-0100-00001A090000}"/>
    <hyperlink ref="J1522" r:id="rId2331" display="https://www.zillow.com/homedetails/915-N-Wilton-Pl-Los-Angeles-CA-90038/2070476461_zpid/" xr:uid="{00000000-0004-0000-0100-00001B090000}"/>
    <hyperlink ref="N1522" r:id="rId2332" display="https://drive.google.com/open?id=1zf2dwYPa2vgmJ2R_eAHpY8IOIpHlAVuF" xr:uid="{00000000-0004-0000-0100-00001C090000}"/>
    <hyperlink ref="J1523" r:id="rId2333" display="https://www.zillow.com/homedetails/4243-Rhodes-Ave-Studio-City-CA-91604/20026363_zpid/" xr:uid="{00000000-0004-0000-0100-00001D090000}"/>
    <hyperlink ref="N1523" r:id="rId2334" display="https://drive.google.com/open?id=1-qg6xWy5GGRWduc3H2M4JIguryxNz4ys" xr:uid="{00000000-0004-0000-0100-00001E090000}"/>
    <hyperlink ref="J1524" r:id="rId2335" display="https://www.zillow.com/homedetails/12125-W-Sunset-Blvd-Los-Angeles-CA-90049/20536618_zpid/?utm_campaign=iosappmessage&amp;utm_medium=referral&amp;utm_source=txtshare" xr:uid="{00000000-0004-0000-0100-00001F090000}"/>
    <hyperlink ref="N1524" r:id="rId2336" display="https://drive.google.com/open?id=15P1NaZHM8OtW5PjXqyD0CoEpcesNnEnJ" xr:uid="{00000000-0004-0000-0100-000020090000}"/>
    <hyperlink ref="J1525" r:id="rId2337" location="property-history" display="https://www.redfin.com/CA/Playa-del-Rey/123-Waterview-St-90293/home/6626383 - property-history" xr:uid="{00000000-0004-0000-0100-000021090000}"/>
    <hyperlink ref="N1525" r:id="rId2338" display="https://drive.google.com/open?id=1gqTBWpNlUWdinI0IjDH9ajn6IOIrQ9nF" xr:uid="{00000000-0004-0000-0100-000022090000}"/>
    <hyperlink ref="J1526" r:id="rId2339" location="property-history" display="https://www.redfin.com/CA/Los-Angeles/2309-Hollyridge-Dr-90068/home/7131424 - property-history" xr:uid="{00000000-0004-0000-0100-000023090000}"/>
    <hyperlink ref="N1526" r:id="rId2340" display="https://drive.google.com/open?id=1K5Nv78EEQxHT97fBcqQvYuGDvmhb24Qv" xr:uid="{00000000-0004-0000-0100-000024090000}"/>
    <hyperlink ref="J1527" r:id="rId2341" display="https://www.zillow.com/homedetails/1030-4th-St-D-Santa-Monica-CA-90403/447260839_zpid/" xr:uid="{00000000-0004-0000-0100-000025090000}"/>
    <hyperlink ref="N1527" r:id="rId2342" display="https://drive.google.com/open?id=19wRLm6gFJfof-xdumPcqA9dNMF6IEwz1" xr:uid="{00000000-0004-0000-0100-000026090000}"/>
    <hyperlink ref="J1528" r:id="rId2343" display="https://www.zillow.com/homedetails/834-Lincoln-Blvd-APT-5-Santa-Monica-CA-90403/2093836699_zpid/?utm_campaign=iosappmessage&amp;utm_medium=referral&amp;utm_source=txtshare" xr:uid="{00000000-0004-0000-0100-000027090000}"/>
    <hyperlink ref="J1529" r:id="rId2344" display="https://www.zillow.com/homedetails/22100-Burbank-Blvd-UNIT-232D-Woodland-Hills-CA-91367/19930047_zpid/?utm_campaign=androidappmessage&amp;utm_medium=referral&amp;utm_source=txtshare" xr:uid="{00000000-0004-0000-0100-000028090000}"/>
    <hyperlink ref="N1529" r:id="rId2345" display="https://drive.google.com/open?id=12IhI1WA0aMWIZd-E31yMmaHvEPWtqnWY" xr:uid="{00000000-0004-0000-0100-000029090000}"/>
    <hyperlink ref="J1530" r:id="rId2346" display="https://www.zillow.com/homedetails/81-Plateau-Aliso-Viejo-CA-92656/25549782_zpid/?utm_campaign=iosappmessage&amp;utm_medium=referral&amp;utm_source=txtshare" xr:uid="{00000000-0004-0000-0100-00002A090000}"/>
    <hyperlink ref="N1530" r:id="rId2347" display="https://drive.google.com/open?id=1vuYlezPLEWFzfgkqnzdmnCg6hZWNVbvZ" xr:uid="{00000000-0004-0000-0100-00002B090000}"/>
    <hyperlink ref="J1531" r:id="rId2348" display="https://www.zillow.com/homedetails/12537-Admiral-Ave-Los-Angeles-CA-90066/20442011_zpid/" xr:uid="{00000000-0004-0000-0100-00002C090000}"/>
    <hyperlink ref="N1531" r:id="rId2349" display="https://drive.google.com/open?id=1qwWqmoUrhSr6BXdZtD7qEGkMglmR9mF0" xr:uid="{00000000-0004-0000-0100-00002D090000}"/>
    <hyperlink ref="J1532" r:id="rId2350" display="https://www.zillow.com/homedetails/4434-Lowell-Ave-Los-Angeles-CA-90032/2068058298_zpid/" xr:uid="{00000000-0004-0000-0100-00002E090000}"/>
    <hyperlink ref="J1533" r:id="rId2351" display="https://www.zillow.com/homedetails/24098-Stone-Creek-Dr-Valencia-CA-91354/63088203_zpid/" xr:uid="{00000000-0004-0000-0100-00002F090000}"/>
    <hyperlink ref="N1533" r:id="rId2352" display="https://drive.google.com/open?id=1SNgygrE-8VCnrRhMmJTyulvk8ttf7Ay5" xr:uid="{00000000-0004-0000-0100-000030090000}"/>
    <hyperlink ref="J1534" r:id="rId2353" display="https://www.zillow.com/homedetails/11914-Ocean-Park-Blvd-1-2-Los-Angeles-CA-90064/349792620_zpid/" xr:uid="{00000000-0004-0000-0100-000031090000}"/>
    <hyperlink ref="N1534" r:id="rId2354" display="https://drive.google.com/open?id=1i5TFYm5no28TqyU9WwP889G9YZit7o2K" xr:uid="{00000000-0004-0000-0100-000032090000}"/>
    <hyperlink ref="J1535" r:id="rId2355" display="https://www.zillow.com/homedetails/10445-Eastborne-Ave-APT-105-Los-Angeles-CA-90024/20507030_zpid/" xr:uid="{00000000-0004-0000-0100-000033090000}"/>
    <hyperlink ref="N1535" r:id="rId2356" display="https://drive.google.com/open?id=1KxwYOclVvRNWKZNiYnuZkjQI4craV5UY" xr:uid="{00000000-0004-0000-0100-000034090000}"/>
    <hyperlink ref="J1536" r:id="rId2357" display="https://www.zillow.com/homedetails/854-Brooks-Ave-854-Venice-CA-90291/439982066_zpid/" xr:uid="{00000000-0004-0000-0100-000035090000}"/>
    <hyperlink ref="N1536" r:id="rId2358" display="https://drive.google.com/open?id=1ITE9TrF_QfdqccybK46jAsKOsWYgbLHv" xr:uid="{00000000-0004-0000-0100-000036090000}"/>
    <hyperlink ref="J1537" r:id="rId2359" display="https://www.zillow.com/homedetails/201-N-Normandie-Ave-1A-Los-Angeles-CA-90004/447526960_zpid/" xr:uid="{00000000-0004-0000-0100-000037090000}"/>
    <hyperlink ref="N1537" r:id="rId2360" display="https://drive.google.com/open?id=1DjgrNag1A0fSiAlj9gyEPC5Z1LqhBeLT" xr:uid="{00000000-0004-0000-0100-000038090000}"/>
    <hyperlink ref="J1538" r:id="rId2361" display="https://www.zillow.com/homedetails/11810-Ohio-Ave-C-Los-Angeles-CA-90025/2053384132_zpid/" xr:uid="{00000000-0004-0000-0100-000039090000}"/>
    <hyperlink ref="N1538" r:id="rId2362" display="https://drive.google.com/open?id=1svWwdXQEvoW0bDTUU8l8Fq8Fp07d1Sy4" xr:uid="{00000000-0004-0000-0100-00003A090000}"/>
    <hyperlink ref="I1539" r:id="rId2363" display="https://www.bizprofile.net/ca/paramount/elijah-park-llc" xr:uid="{00000000-0004-0000-0100-00003B090000}"/>
    <hyperlink ref="J1539" r:id="rId2364" display="https://www.bizprofile.net/ca/paramount/elijah-park-llc" xr:uid="{00000000-0004-0000-0100-00003C090000}"/>
    <hyperlink ref="J1540" r:id="rId2365" display="https://www.zillow.com/homedetails/3359-Bennett-Dr-Los-Angeles-CA-90068/20045727_zpid/" xr:uid="{00000000-0004-0000-0100-00003D090000}"/>
    <hyperlink ref="N1540" r:id="rId2366" display="https://drive.google.com/open?id=1whO85T8TLP5TqVm6B5gPdT5wazC8gYil" xr:uid="{00000000-0004-0000-0100-00003E090000}"/>
    <hyperlink ref="J1541" r:id="rId2367" display="https://www.zillow.com/homedetails/3252-Oakshire-Dr-Los-Angeles-CA-90068/20045742_zpid/" xr:uid="{00000000-0004-0000-0100-00003F090000}"/>
    <hyperlink ref="N1541" r:id="rId2368" display="https://drive.google.com/open?id=12FM0zGn_9mWKUTaJmvWOzmV8_7XzOmn8" xr:uid="{00000000-0004-0000-0100-000040090000}"/>
    <hyperlink ref="J1542" r:id="rId2369" display="https://www.zillow.com/homedetails/3268-Dos-Palos-Dr-Los-Angeles-CA-90068/20045750_zpid/" xr:uid="{00000000-0004-0000-0100-000041090000}"/>
    <hyperlink ref="N1542" r:id="rId2370" display="https://drive.google.com/open?id=1ySB9dIGpzFxopsVpXCRidQc4sqYI62z8" xr:uid="{00000000-0004-0000-0100-000042090000}"/>
    <hyperlink ref="J1543" r:id="rId2371" display="https://www.zillow.com/homedetails/3352-Oak-Glen-Dr-Los-Angeles-CA-90068/20045062_zpid/?" xr:uid="{00000000-0004-0000-0100-000043090000}"/>
    <hyperlink ref="N1543" r:id="rId2372" display="https://drive.google.com/open?id=1P1kG9gQpzcVwWycv2rrMYT-mY0UMRzc-" xr:uid="{00000000-0004-0000-0100-000044090000}"/>
    <hyperlink ref="J1544" r:id="rId2373" display="https://www.zillow.com/homedetails/2822-Oak-Point-Dr-Los-Angeles-CA-90068/20045383_zpid/" xr:uid="{00000000-0004-0000-0100-000045090000}"/>
    <hyperlink ref="N1544" r:id="rId2374" display="https://drive.google.com/open?id=1EP-QrkeUER7xQAwi7xD8gfgWZn_kacDO" xr:uid="{00000000-0004-0000-0100-000046090000}"/>
    <hyperlink ref="J1545" r:id="rId2375" display="https://www.zillow.com/homedetails/3351-N-Knoll-Dr-Los-Angeles-CA-90068/68994023_zpid/" xr:uid="{00000000-0004-0000-0100-000047090000}"/>
    <hyperlink ref="N1545" r:id="rId2376" display="https://drive.google.com/open?id=1E1XBQdMEqQY6ASPqZ_lC0oKLP7z6gaM6" xr:uid="{00000000-0004-0000-0100-000048090000}"/>
    <hyperlink ref="J1547" r:id="rId2377" display="https://www.nbclosangeles.com/news/local/paramount-mobile-home-park/3170642/" xr:uid="{00000000-0004-0000-0100-000049090000}"/>
    <hyperlink ref="N1547" r:id="rId2378" display="https://drive.google.com/open?id=1hTj3VhUJXstMJXq0uXzt9jtjKGkoWLP8" xr:uid="{00000000-0004-0000-0100-00004A090000}"/>
    <hyperlink ref="J1548" r:id="rId2379" display="https://www.zillow.com/homedetails/7841-W-83rd-St-Playa-Del-Rey-CA-90293/20385772_zpid/" xr:uid="{00000000-0004-0000-0100-00004B090000}"/>
    <hyperlink ref="J1549" r:id="rId2380" display="https://www.zillow.com/homedetails/955-W-Avenue-37-Los-Angeles-CA-90065/20760139_zpid/" xr:uid="{00000000-0004-0000-0100-00004C090000}"/>
    <hyperlink ref="N1549" r:id="rId2381" display="https://drive.google.com/open?id=1gxhyQJxUCavRtLuZaAtPAP7qx6kEO8WB" xr:uid="{00000000-0004-0000-0100-00004D090000}"/>
    <hyperlink ref="J1550" r:id="rId2382" display="https://www.zillow.com/homes/40492_rid/?category=RECENT_SEARCH" xr:uid="{00000000-0004-0000-0100-00004E090000}"/>
    <hyperlink ref="N1550" r:id="rId2383" display="https://drive.google.com/open?id=1-BPWK1NumwCOHx9EAme4lAswc5nxedSL" xr:uid="{00000000-0004-0000-0100-00004F090000}"/>
    <hyperlink ref="J1551" r:id="rId2384" display="https://www.zillow.com/homedetails/1072-Laguna-Ave-APT-9-Los-Angeles-CA-90026/2073592799_zpid/" xr:uid="{00000000-0004-0000-0100-000050090000}"/>
    <hyperlink ref="J1552" r:id="rId2385" display="https://www.zillow.com/homedetails/1740-Casa-Grande-St-Pasadena-CA-91104/20872281_zpid/?view=public" xr:uid="{00000000-0004-0000-0100-00005109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B15"/>
  <sheetViews>
    <sheetView workbookViewId="0"/>
  </sheetViews>
  <sheetFormatPr defaultColWidth="12.5703125" defaultRowHeight="15.75" customHeight="1"/>
  <cols>
    <col min="1" max="1" width="61.140625" customWidth="1"/>
    <col min="2" max="2" width="41" customWidth="1"/>
  </cols>
  <sheetData>
    <row r="1" spans="1:2" ht="12.75">
      <c r="A1" s="28">
        <v>1</v>
      </c>
      <c r="B1" s="28"/>
    </row>
    <row r="2" spans="1:2" ht="16.5" customHeight="1">
      <c r="A2" s="28"/>
      <c r="B2" s="28"/>
    </row>
    <row r="3" spans="1:2" ht="5.25" customHeight="1">
      <c r="A3" s="28"/>
      <c r="B3" s="28"/>
    </row>
    <row r="4" spans="1:2" ht="12.75">
      <c r="A4" s="28" t="s">
        <v>2712</v>
      </c>
      <c r="B4" s="29" t="s">
        <v>0</v>
      </c>
    </row>
    <row r="5" spans="1:2" ht="4.5" customHeight="1">
      <c r="A5" s="28"/>
      <c r="B5" s="28"/>
    </row>
    <row r="6" spans="1:2" ht="12.75">
      <c r="A6" s="28" t="s">
        <v>2713</v>
      </c>
      <c r="B6" s="30" t="s">
        <v>2714</v>
      </c>
    </row>
    <row r="7" spans="1:2" ht="4.5" customHeight="1">
      <c r="A7" s="28"/>
      <c r="B7" s="28"/>
    </row>
    <row r="8" spans="1:2" ht="27.75" customHeight="1">
      <c r="A8" s="31" t="s">
        <v>2715</v>
      </c>
      <c r="B8" s="32" t="s">
        <v>2716</v>
      </c>
    </row>
    <row r="9" spans="1:2" ht="3.75" customHeight="1">
      <c r="A9" s="28"/>
      <c r="B9" s="28"/>
    </row>
    <row r="10" spans="1:2" ht="12.75">
      <c r="A10" s="28" t="s">
        <v>2717</v>
      </c>
      <c r="B10" s="28" t="s">
        <v>2718</v>
      </c>
    </row>
    <row r="11" spans="1:2" ht="12.75">
      <c r="A11" s="5" t="s">
        <v>2719</v>
      </c>
      <c r="B11" s="16" t="s">
        <v>2720</v>
      </c>
    </row>
    <row r="13" spans="1:2" ht="12.75">
      <c r="B13" s="5" t="s">
        <v>2721</v>
      </c>
    </row>
    <row r="14" spans="1:2" ht="16.5">
      <c r="A14" s="111" t="s">
        <v>2722</v>
      </c>
      <c r="B14" s="112"/>
    </row>
    <row r="15" spans="1:2" ht="12.75">
      <c r="A15" s="113" t="s">
        <v>2723</v>
      </c>
      <c r="B15" s="112"/>
    </row>
  </sheetData>
  <mergeCells count="2">
    <mergeCell ref="A14:B14"/>
    <mergeCell ref="A15:B15"/>
  </mergeCells>
  <hyperlinks>
    <hyperlink ref="B4" r:id="rId1" xr:uid="{00000000-0004-0000-0200-000000000000}"/>
    <hyperlink ref="B6" r:id="rId2" xr:uid="{00000000-0004-0000-0200-000001000000}"/>
    <hyperlink ref="B8" r:id="rId3" xr:uid="{00000000-0004-0000-0200-000002000000}"/>
    <hyperlink ref="B11" r:id="rId4" xr:uid="{00000000-0004-0000-0200-000003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K997"/>
  <sheetViews>
    <sheetView workbookViewId="0">
      <pane ySplit="2" topLeftCell="A3" activePane="bottomLeft" state="frozen"/>
      <selection pane="bottomLeft" activeCell="B4" sqref="B4"/>
    </sheetView>
  </sheetViews>
  <sheetFormatPr defaultColWidth="12.5703125" defaultRowHeight="15.75" customHeight="1"/>
  <cols>
    <col min="1" max="1" width="13" customWidth="1"/>
    <col min="2" max="2" width="26.42578125" customWidth="1"/>
    <col min="5" max="5" width="9.5703125" customWidth="1"/>
    <col min="6" max="6" width="14.5703125" customWidth="1"/>
    <col min="7" max="7" width="13.140625" customWidth="1"/>
    <col min="8" max="9" width="14.42578125" customWidth="1"/>
    <col min="11" max="11" width="20.140625" customWidth="1"/>
    <col min="12" max="12" width="15.85546875" customWidth="1"/>
    <col min="13" max="17" width="15.42578125" customWidth="1"/>
    <col min="18" max="18" width="67.28515625" customWidth="1"/>
    <col min="19" max="20" width="50" customWidth="1"/>
    <col min="22" max="22" width="37.28515625" customWidth="1"/>
  </cols>
  <sheetData>
    <row r="1" spans="1:37" ht="27.75" customHeight="1">
      <c r="A1" s="114" t="s">
        <v>2724</v>
      </c>
      <c r="B1" s="112"/>
      <c r="C1" s="112"/>
      <c r="D1" s="112"/>
      <c r="E1" s="112"/>
      <c r="F1" s="33" t="s">
        <v>2725</v>
      </c>
      <c r="G1" s="34"/>
      <c r="H1" s="1"/>
      <c r="I1" s="35"/>
      <c r="J1" s="36"/>
      <c r="K1" s="36"/>
      <c r="L1" s="36"/>
      <c r="M1" s="36"/>
      <c r="N1" s="36"/>
      <c r="O1" s="36"/>
      <c r="P1" s="36"/>
      <c r="Q1" s="36"/>
      <c r="R1" s="37"/>
      <c r="S1" s="38"/>
      <c r="T1" s="38"/>
      <c r="U1" s="37"/>
      <c r="V1" s="39"/>
      <c r="W1" s="37"/>
      <c r="X1" s="37"/>
      <c r="Y1" s="37"/>
      <c r="Z1" s="37"/>
      <c r="AA1" s="37"/>
      <c r="AB1" s="37"/>
      <c r="AC1" s="37"/>
      <c r="AD1" s="37"/>
      <c r="AE1" s="37"/>
      <c r="AF1" s="37"/>
      <c r="AG1" s="37"/>
      <c r="AH1" s="37"/>
      <c r="AI1" s="37"/>
      <c r="AJ1" s="37"/>
      <c r="AK1" s="37"/>
    </row>
    <row r="2" spans="1:37" ht="42" customHeight="1">
      <c r="A2" s="40" t="s">
        <v>2726</v>
      </c>
      <c r="B2" s="39" t="s">
        <v>2727</v>
      </c>
      <c r="C2" s="39" t="s">
        <v>2728</v>
      </c>
      <c r="D2" s="39" t="s">
        <v>2729</v>
      </c>
      <c r="E2" s="39" t="s">
        <v>2730</v>
      </c>
      <c r="F2" s="40" t="s">
        <v>2731</v>
      </c>
      <c r="G2" s="40" t="s">
        <v>2732</v>
      </c>
      <c r="H2" s="41" t="s">
        <v>2733</v>
      </c>
      <c r="I2" s="40" t="s">
        <v>2734</v>
      </c>
      <c r="J2" s="39" t="s">
        <v>12</v>
      </c>
      <c r="K2" s="39" t="s">
        <v>2735</v>
      </c>
      <c r="L2" s="39"/>
      <c r="M2" s="39" t="s">
        <v>2736</v>
      </c>
      <c r="N2" s="39" t="s">
        <v>2737</v>
      </c>
      <c r="O2" s="39" t="s">
        <v>2738</v>
      </c>
      <c r="P2" s="39" t="s">
        <v>2739</v>
      </c>
      <c r="Q2" s="39" t="s">
        <v>2738</v>
      </c>
      <c r="R2" s="38" t="s">
        <v>2740</v>
      </c>
      <c r="S2" s="38" t="s">
        <v>2741</v>
      </c>
      <c r="T2" s="38" t="s">
        <v>2742</v>
      </c>
      <c r="U2" s="38"/>
      <c r="V2" s="39"/>
      <c r="W2" s="38"/>
      <c r="X2" s="38"/>
      <c r="Y2" s="38"/>
      <c r="Z2" s="38"/>
      <c r="AA2" s="38"/>
      <c r="AB2" s="38"/>
      <c r="AC2" s="38"/>
      <c r="AD2" s="38"/>
      <c r="AE2" s="38"/>
      <c r="AF2" s="38"/>
      <c r="AG2" s="38"/>
      <c r="AH2" s="38"/>
      <c r="AI2" s="38"/>
      <c r="AJ2" s="38"/>
      <c r="AK2" s="38"/>
    </row>
    <row r="3" spans="1:37" ht="14.25">
      <c r="A3" s="42">
        <v>45668</v>
      </c>
      <c r="B3" s="37" t="s">
        <v>845</v>
      </c>
      <c r="C3" s="37" t="s">
        <v>25</v>
      </c>
      <c r="D3" s="37">
        <v>11</v>
      </c>
      <c r="E3" s="37">
        <v>90049</v>
      </c>
      <c r="F3" s="43">
        <v>34.055436</v>
      </c>
      <c r="G3" s="43">
        <v>-118.4833557</v>
      </c>
      <c r="H3" s="44" t="s">
        <v>844</v>
      </c>
      <c r="I3" s="42">
        <v>45665</v>
      </c>
      <c r="J3" s="37" t="s">
        <v>27</v>
      </c>
      <c r="K3" s="45" t="s">
        <v>846</v>
      </c>
      <c r="L3" s="37"/>
      <c r="M3" s="46">
        <v>0.10299999999999999</v>
      </c>
      <c r="N3" s="46"/>
      <c r="O3" s="46"/>
      <c r="P3" s="46"/>
      <c r="Q3" s="37" t="s">
        <v>2721</v>
      </c>
      <c r="R3" s="37" t="s">
        <v>2743</v>
      </c>
      <c r="S3" s="47">
        <v>45668</v>
      </c>
      <c r="T3" s="37"/>
      <c r="U3" s="37"/>
      <c r="V3" s="37"/>
      <c r="W3" s="37"/>
      <c r="X3" s="37"/>
      <c r="Y3" s="37"/>
      <c r="Z3" s="37"/>
      <c r="AA3" s="37"/>
      <c r="AB3" s="37"/>
      <c r="AC3" s="37"/>
      <c r="AD3" s="37"/>
      <c r="AE3" s="37"/>
      <c r="AF3" s="37"/>
      <c r="AG3" s="37"/>
      <c r="AH3" s="37"/>
      <c r="AI3" s="37"/>
      <c r="AJ3" s="37"/>
      <c r="AK3" s="37"/>
    </row>
    <row r="4" spans="1:37" ht="14.25">
      <c r="A4" s="42">
        <v>45668</v>
      </c>
      <c r="B4" s="37" t="s">
        <v>901</v>
      </c>
      <c r="C4" s="37" t="s">
        <v>380</v>
      </c>
      <c r="D4" s="37">
        <v>11</v>
      </c>
      <c r="E4" s="37">
        <v>90291</v>
      </c>
      <c r="F4" s="43"/>
      <c r="G4" s="43"/>
      <c r="H4" s="44">
        <v>4229011016</v>
      </c>
      <c r="I4" s="42">
        <v>45667</v>
      </c>
      <c r="J4" s="37" t="s">
        <v>27</v>
      </c>
      <c r="K4" s="48" t="s">
        <v>903</v>
      </c>
      <c r="L4" s="37"/>
      <c r="M4" s="46">
        <v>0.10299999999999999</v>
      </c>
      <c r="N4" s="46"/>
      <c r="O4" s="46"/>
      <c r="P4" s="46"/>
      <c r="Q4" s="46"/>
      <c r="R4" s="37" t="s">
        <v>2744</v>
      </c>
      <c r="S4" s="37"/>
      <c r="T4" s="37"/>
      <c r="U4" s="37"/>
      <c r="V4" s="37"/>
      <c r="W4" s="37"/>
      <c r="X4" s="37"/>
      <c r="Y4" s="37"/>
      <c r="Z4" s="37"/>
      <c r="AA4" s="37"/>
      <c r="AB4" s="37"/>
      <c r="AC4" s="37"/>
      <c r="AD4" s="37"/>
      <c r="AE4" s="37"/>
      <c r="AF4" s="37"/>
      <c r="AG4" s="37"/>
      <c r="AH4" s="37"/>
      <c r="AI4" s="37"/>
      <c r="AJ4" s="37"/>
      <c r="AK4" s="37"/>
    </row>
    <row r="5" spans="1:37" ht="14.25">
      <c r="A5" s="42">
        <v>45668</v>
      </c>
      <c r="B5" s="37" t="s">
        <v>921</v>
      </c>
      <c r="C5" s="37" t="s">
        <v>25</v>
      </c>
      <c r="D5" s="37">
        <v>11</v>
      </c>
      <c r="E5" s="37">
        <v>90066</v>
      </c>
      <c r="F5" s="43"/>
      <c r="G5" s="43"/>
      <c r="H5" s="49"/>
      <c r="I5" s="42">
        <v>45667</v>
      </c>
      <c r="J5" s="37" t="s">
        <v>27</v>
      </c>
      <c r="K5" s="48" t="s">
        <v>922</v>
      </c>
      <c r="L5" s="37"/>
      <c r="M5" s="46">
        <v>0.10299999999999999</v>
      </c>
      <c r="N5" s="46"/>
      <c r="O5" s="46"/>
      <c r="P5" s="46"/>
      <c r="Q5" s="46"/>
      <c r="R5" s="37" t="s">
        <v>2745</v>
      </c>
      <c r="S5" s="37"/>
      <c r="T5" s="37"/>
      <c r="U5" s="37"/>
      <c r="V5" s="37"/>
      <c r="W5" s="37"/>
      <c r="X5" s="37"/>
      <c r="Y5" s="37"/>
      <c r="Z5" s="37"/>
      <c r="AA5" s="37"/>
      <c r="AB5" s="37"/>
      <c r="AC5" s="37"/>
      <c r="AD5" s="37"/>
      <c r="AE5" s="37"/>
      <c r="AF5" s="37"/>
      <c r="AG5" s="37"/>
      <c r="AH5" s="37"/>
      <c r="AI5" s="37"/>
      <c r="AJ5" s="37"/>
      <c r="AK5" s="37"/>
    </row>
    <row r="6" spans="1:37" ht="15">
      <c r="A6" s="50">
        <v>45668</v>
      </c>
      <c r="B6" s="37" t="s">
        <v>927</v>
      </c>
      <c r="C6" s="37" t="s">
        <v>25</v>
      </c>
      <c r="D6" s="37">
        <v>13</v>
      </c>
      <c r="E6" s="37">
        <v>90026</v>
      </c>
      <c r="F6" s="51"/>
      <c r="G6" s="51"/>
      <c r="H6" s="52">
        <v>5420002024</v>
      </c>
      <c r="I6" s="53">
        <v>45668</v>
      </c>
      <c r="J6" s="37" t="s">
        <v>27</v>
      </c>
      <c r="K6" s="54" t="s">
        <v>929</v>
      </c>
      <c r="L6" s="37"/>
      <c r="M6" s="46">
        <v>0.111</v>
      </c>
      <c r="N6" s="46"/>
      <c r="O6" s="46"/>
      <c r="P6" s="46"/>
      <c r="Q6" s="46"/>
      <c r="R6" s="37" t="s">
        <v>2746</v>
      </c>
      <c r="S6" s="37"/>
      <c r="T6" s="37"/>
      <c r="U6" s="37"/>
      <c r="V6" s="37"/>
      <c r="W6" s="37"/>
      <c r="X6" s="37"/>
      <c r="Y6" s="37"/>
      <c r="Z6" s="37"/>
      <c r="AA6" s="37"/>
      <c r="AB6" s="37"/>
      <c r="AC6" s="37"/>
      <c r="AD6" s="37"/>
      <c r="AE6" s="37"/>
      <c r="AF6" s="37"/>
      <c r="AG6" s="37"/>
      <c r="AH6" s="37"/>
      <c r="AI6" s="37"/>
      <c r="AJ6" s="37"/>
      <c r="AK6" s="37"/>
    </row>
    <row r="7" spans="1:37" ht="14.25">
      <c r="A7" s="42">
        <v>45668</v>
      </c>
      <c r="B7" s="37" t="s">
        <v>801</v>
      </c>
      <c r="C7" s="37" t="s">
        <v>25</v>
      </c>
      <c r="D7" s="37">
        <v>11</v>
      </c>
      <c r="E7" s="37">
        <v>90045</v>
      </c>
      <c r="F7" s="43"/>
      <c r="G7" s="43"/>
      <c r="H7" s="44">
        <v>4107020007</v>
      </c>
      <c r="I7" s="42">
        <v>45667</v>
      </c>
      <c r="J7" s="37" t="s">
        <v>27</v>
      </c>
      <c r="K7" s="48" t="s">
        <v>945</v>
      </c>
      <c r="L7" s="37"/>
      <c r="M7" s="46">
        <v>0.111</v>
      </c>
      <c r="N7" s="46"/>
      <c r="O7" s="46"/>
      <c r="P7" s="46"/>
      <c r="Q7" s="46"/>
      <c r="R7" s="37" t="s">
        <v>2747</v>
      </c>
      <c r="S7" s="37"/>
      <c r="T7" s="37"/>
      <c r="U7" s="37"/>
      <c r="V7" s="37"/>
      <c r="W7" s="37"/>
      <c r="X7" s="37"/>
      <c r="Y7" s="37"/>
      <c r="Z7" s="37"/>
      <c r="AA7" s="37"/>
      <c r="AB7" s="37"/>
      <c r="AC7" s="37"/>
      <c r="AD7" s="37"/>
      <c r="AE7" s="37"/>
      <c r="AF7" s="37"/>
      <c r="AG7" s="37"/>
      <c r="AH7" s="37"/>
      <c r="AI7" s="37"/>
      <c r="AJ7" s="37"/>
      <c r="AK7" s="37"/>
    </row>
    <row r="8" spans="1:37" ht="14.25">
      <c r="A8" s="42">
        <v>45667</v>
      </c>
      <c r="B8" s="37" t="s">
        <v>1305</v>
      </c>
      <c r="C8" s="37" t="s">
        <v>25</v>
      </c>
      <c r="D8" s="37">
        <v>5</v>
      </c>
      <c r="E8" s="37">
        <v>90049</v>
      </c>
      <c r="F8" s="43">
        <v>34.080951300000002</v>
      </c>
      <c r="G8" s="43">
        <v>-118.4717888</v>
      </c>
      <c r="H8" s="44" t="s">
        <v>1304</v>
      </c>
      <c r="I8" s="42">
        <v>45667</v>
      </c>
      <c r="J8" s="37" t="s">
        <v>27</v>
      </c>
      <c r="K8" s="48" t="s">
        <v>1722</v>
      </c>
      <c r="L8" s="37"/>
      <c r="M8" s="46">
        <v>0.112</v>
      </c>
      <c r="N8" s="46"/>
      <c r="O8" s="46"/>
      <c r="P8" s="46"/>
      <c r="Q8" s="46"/>
      <c r="R8" s="37"/>
      <c r="S8" s="47">
        <v>45668</v>
      </c>
      <c r="T8" s="37"/>
      <c r="U8" s="37"/>
      <c r="V8" s="37"/>
      <c r="W8" s="37"/>
      <c r="X8" s="37"/>
      <c r="Y8" s="37"/>
      <c r="Z8" s="37"/>
      <c r="AA8" s="37"/>
      <c r="AB8" s="37"/>
      <c r="AC8" s="37"/>
      <c r="AD8" s="37"/>
      <c r="AE8" s="37"/>
      <c r="AF8" s="37"/>
      <c r="AG8" s="37"/>
      <c r="AH8" s="37"/>
      <c r="AI8" s="37"/>
      <c r="AJ8" s="37"/>
      <c r="AK8" s="37"/>
    </row>
    <row r="9" spans="1:37" ht="14.25">
      <c r="A9" s="42">
        <v>45668</v>
      </c>
      <c r="B9" s="37" t="s">
        <v>1318</v>
      </c>
      <c r="C9" s="37" t="s">
        <v>1181</v>
      </c>
      <c r="D9" s="37"/>
      <c r="E9" s="37">
        <v>90230</v>
      </c>
      <c r="F9" s="43"/>
      <c r="G9" s="43"/>
      <c r="H9" s="44">
        <v>4216022014</v>
      </c>
      <c r="I9" s="42">
        <v>45668</v>
      </c>
      <c r="J9" s="37" t="s">
        <v>27</v>
      </c>
      <c r="K9" s="45" t="s">
        <v>1319</v>
      </c>
      <c r="L9" s="37"/>
      <c r="M9" s="46">
        <v>0.114</v>
      </c>
      <c r="N9" s="46"/>
      <c r="O9" s="46"/>
      <c r="P9" s="46"/>
      <c r="Q9" s="46"/>
      <c r="R9" s="37" t="s">
        <v>2748</v>
      </c>
      <c r="S9" s="37"/>
      <c r="T9" s="37"/>
      <c r="U9" s="37"/>
      <c r="V9" s="37"/>
      <c r="W9" s="37"/>
      <c r="X9" s="37"/>
      <c r="Y9" s="37"/>
      <c r="Z9" s="37"/>
      <c r="AA9" s="37"/>
      <c r="AB9" s="37"/>
      <c r="AC9" s="37"/>
      <c r="AD9" s="37"/>
      <c r="AE9" s="37"/>
      <c r="AF9" s="37"/>
      <c r="AG9" s="37"/>
      <c r="AH9" s="37"/>
      <c r="AI9" s="37"/>
      <c r="AJ9" s="37"/>
      <c r="AK9" s="37"/>
    </row>
    <row r="10" spans="1:37" ht="14.25">
      <c r="A10" s="50">
        <v>45668</v>
      </c>
      <c r="B10" s="37" t="s">
        <v>1344</v>
      </c>
      <c r="C10" s="37" t="s">
        <v>25</v>
      </c>
      <c r="D10" s="37">
        <v>14</v>
      </c>
      <c r="E10" s="37">
        <v>90032</v>
      </c>
      <c r="F10" s="43"/>
      <c r="G10" s="43"/>
      <c r="H10" s="44"/>
      <c r="I10" s="53">
        <v>45664</v>
      </c>
      <c r="J10" s="37" t="s">
        <v>27</v>
      </c>
      <c r="K10" s="54" t="s">
        <v>1346</v>
      </c>
      <c r="L10" s="37"/>
      <c r="M10" s="46">
        <v>0.11899999999999999</v>
      </c>
      <c r="N10" s="46"/>
      <c r="O10" s="46"/>
      <c r="P10" s="46"/>
      <c r="Q10" s="46"/>
      <c r="R10" s="37" t="s">
        <v>2749</v>
      </c>
      <c r="S10" s="37"/>
      <c r="T10" s="37"/>
      <c r="U10" s="37"/>
      <c r="V10" s="37"/>
      <c r="W10" s="37"/>
      <c r="X10" s="37"/>
      <c r="Y10" s="37"/>
      <c r="Z10" s="37"/>
      <c r="AA10" s="37"/>
      <c r="AB10" s="37"/>
      <c r="AC10" s="37"/>
      <c r="AD10" s="37"/>
      <c r="AE10" s="37"/>
      <c r="AF10" s="37"/>
      <c r="AG10" s="37"/>
      <c r="AH10" s="37"/>
      <c r="AI10" s="37"/>
      <c r="AJ10" s="37"/>
      <c r="AK10" s="37"/>
    </row>
    <row r="11" spans="1:37" ht="14.25">
      <c r="A11" s="42">
        <v>45668</v>
      </c>
      <c r="B11" s="37" t="s">
        <v>1351</v>
      </c>
      <c r="C11" s="37" t="s">
        <v>380</v>
      </c>
      <c r="D11" s="37">
        <v>11</v>
      </c>
      <c r="E11" s="37">
        <v>90291</v>
      </c>
      <c r="F11" s="43"/>
      <c r="G11" s="43"/>
      <c r="H11" s="44"/>
      <c r="I11" s="42">
        <v>45667</v>
      </c>
      <c r="J11" s="37" t="s">
        <v>27</v>
      </c>
      <c r="K11" s="48" t="s">
        <v>1352</v>
      </c>
      <c r="L11" s="37"/>
      <c r="M11" s="46">
        <v>0.123</v>
      </c>
      <c r="N11" s="46"/>
      <c r="O11" s="46"/>
      <c r="P11" s="46"/>
      <c r="Q11" s="46"/>
      <c r="R11" s="37" t="s">
        <v>2750</v>
      </c>
      <c r="S11" s="37"/>
      <c r="T11" s="37"/>
      <c r="U11" s="37"/>
      <c r="V11" s="37"/>
      <c r="W11" s="37"/>
      <c r="X11" s="37"/>
      <c r="Y11" s="37"/>
      <c r="Z11" s="37"/>
      <c r="AA11" s="37"/>
      <c r="AB11" s="37"/>
      <c r="AC11" s="37"/>
      <c r="AD11" s="37"/>
      <c r="AE11" s="37"/>
      <c r="AF11" s="37"/>
      <c r="AG11" s="37"/>
      <c r="AH11" s="37"/>
      <c r="AI11" s="37"/>
      <c r="AJ11" s="37"/>
      <c r="AK11" s="37"/>
    </row>
    <row r="12" spans="1:37" ht="14.25">
      <c r="A12" s="42">
        <v>45667</v>
      </c>
      <c r="B12" s="37" t="s">
        <v>2751</v>
      </c>
      <c r="C12" s="37" t="s">
        <v>25</v>
      </c>
      <c r="D12" s="37">
        <v>13</v>
      </c>
      <c r="E12" s="37">
        <v>90039</v>
      </c>
      <c r="F12" s="43">
        <v>34.124277999999997</v>
      </c>
      <c r="G12" s="43"/>
      <c r="H12" s="44">
        <v>5435014021</v>
      </c>
      <c r="I12" s="42">
        <v>45666</v>
      </c>
      <c r="J12" s="37" t="s">
        <v>27</v>
      </c>
      <c r="K12" s="45" t="s">
        <v>213</v>
      </c>
      <c r="L12" s="37"/>
      <c r="M12" s="46">
        <v>0.125</v>
      </c>
      <c r="N12" s="46"/>
      <c r="O12" s="46"/>
      <c r="P12" s="46"/>
      <c r="Q12" s="46"/>
      <c r="R12" s="37"/>
      <c r="S12" s="37"/>
      <c r="T12" s="37"/>
      <c r="U12" s="37"/>
      <c r="V12" s="37"/>
      <c r="W12" s="37"/>
      <c r="X12" s="37"/>
      <c r="Y12" s="37"/>
      <c r="Z12" s="37"/>
      <c r="AA12" s="37"/>
      <c r="AB12" s="37"/>
      <c r="AC12" s="37"/>
      <c r="AD12" s="37"/>
      <c r="AE12" s="37"/>
      <c r="AF12" s="37"/>
      <c r="AG12" s="37"/>
      <c r="AH12" s="37"/>
      <c r="AI12" s="37"/>
      <c r="AJ12" s="37"/>
      <c r="AK12" s="37"/>
    </row>
    <row r="13" spans="1:37" ht="14.25">
      <c r="A13" s="42">
        <v>45668</v>
      </c>
      <c r="B13" s="37" t="s">
        <v>1379</v>
      </c>
      <c r="C13" s="37" t="s">
        <v>25</v>
      </c>
      <c r="D13" s="37">
        <v>11</v>
      </c>
      <c r="E13" s="37">
        <v>90066</v>
      </c>
      <c r="F13" s="43"/>
      <c r="G13" s="43"/>
      <c r="H13" s="44"/>
      <c r="I13" s="42">
        <v>45664</v>
      </c>
      <c r="J13" s="37" t="s">
        <v>27</v>
      </c>
      <c r="K13" s="48" t="s">
        <v>1380</v>
      </c>
      <c r="L13" s="37"/>
      <c r="M13" s="46">
        <v>0.125</v>
      </c>
      <c r="N13" s="46"/>
      <c r="O13" s="46"/>
      <c r="P13" s="46"/>
      <c r="Q13" s="46"/>
      <c r="R13" s="37" t="s">
        <v>2752</v>
      </c>
      <c r="S13" s="37"/>
      <c r="T13" s="37"/>
      <c r="U13" s="37"/>
      <c r="V13" s="37"/>
      <c r="W13" s="37"/>
      <c r="X13" s="37"/>
      <c r="Y13" s="37"/>
      <c r="Z13" s="37"/>
      <c r="AA13" s="37"/>
      <c r="AB13" s="37"/>
      <c r="AC13" s="37"/>
      <c r="AD13" s="37"/>
      <c r="AE13" s="37"/>
      <c r="AF13" s="37"/>
      <c r="AG13" s="37"/>
      <c r="AH13" s="37"/>
      <c r="AI13" s="37"/>
      <c r="AJ13" s="37"/>
      <c r="AK13" s="37"/>
    </row>
    <row r="14" spans="1:37" ht="14.25">
      <c r="A14" s="42">
        <v>45668</v>
      </c>
      <c r="B14" s="37" t="s">
        <v>1391</v>
      </c>
      <c r="C14" s="37" t="s">
        <v>25</v>
      </c>
      <c r="D14" s="37">
        <v>4</v>
      </c>
      <c r="E14" s="37">
        <v>91403</v>
      </c>
      <c r="F14" s="55"/>
      <c r="G14" s="55"/>
      <c r="H14" s="56">
        <v>2265011027</v>
      </c>
      <c r="I14" s="42">
        <v>45667</v>
      </c>
      <c r="J14" s="37" t="s">
        <v>27</v>
      </c>
      <c r="K14" s="48" t="s">
        <v>1392</v>
      </c>
      <c r="L14" s="37"/>
      <c r="M14" s="46">
        <v>0.129</v>
      </c>
      <c r="N14" s="46"/>
      <c r="O14" s="46"/>
      <c r="P14" s="46"/>
      <c r="Q14" s="46"/>
      <c r="R14" s="38" t="s">
        <v>2753</v>
      </c>
      <c r="S14" s="37"/>
      <c r="T14" s="37"/>
      <c r="U14" s="37"/>
      <c r="V14" s="37"/>
      <c r="W14" s="37"/>
      <c r="X14" s="37"/>
      <c r="Y14" s="37"/>
      <c r="Z14" s="37"/>
      <c r="AA14" s="37"/>
      <c r="AB14" s="37"/>
      <c r="AC14" s="37"/>
      <c r="AD14" s="37"/>
      <c r="AE14" s="37"/>
      <c r="AF14" s="37"/>
      <c r="AG14" s="37"/>
      <c r="AH14" s="37"/>
      <c r="AI14" s="37"/>
      <c r="AJ14" s="37"/>
      <c r="AK14" s="37"/>
    </row>
    <row r="15" spans="1:37" ht="14.25">
      <c r="A15" s="42">
        <v>45668</v>
      </c>
      <c r="B15" s="37" t="s">
        <v>1424</v>
      </c>
      <c r="C15" s="37" t="s">
        <v>380</v>
      </c>
      <c r="D15" s="37">
        <v>11</v>
      </c>
      <c r="E15" s="37">
        <v>90291</v>
      </c>
      <c r="F15" s="57"/>
      <c r="G15" s="57"/>
      <c r="H15" s="56">
        <v>4238016019</v>
      </c>
      <c r="I15" s="53">
        <v>45667</v>
      </c>
      <c r="J15" s="37" t="s">
        <v>27</v>
      </c>
      <c r="K15" s="54" t="s">
        <v>1425</v>
      </c>
      <c r="L15" s="37"/>
      <c r="M15" s="46">
        <v>0.13300000000000001</v>
      </c>
      <c r="N15" s="46"/>
      <c r="O15" s="46"/>
      <c r="P15" s="46"/>
      <c r="Q15" s="46"/>
      <c r="R15" s="37" t="s">
        <v>2754</v>
      </c>
      <c r="S15" s="37"/>
      <c r="T15" s="37"/>
      <c r="U15" s="37"/>
      <c r="V15" s="37"/>
      <c r="W15" s="37"/>
      <c r="X15" s="37"/>
      <c r="Y15" s="37"/>
      <c r="Z15" s="37"/>
      <c r="AA15" s="37"/>
      <c r="AB15" s="37"/>
      <c r="AC15" s="37"/>
      <c r="AD15" s="37"/>
      <c r="AE15" s="37"/>
      <c r="AF15" s="37"/>
      <c r="AG15" s="37"/>
      <c r="AH15" s="37"/>
      <c r="AI15" s="37"/>
      <c r="AJ15" s="37"/>
      <c r="AK15" s="37"/>
    </row>
    <row r="16" spans="1:37" ht="28.5">
      <c r="A16" s="42">
        <v>45668</v>
      </c>
      <c r="B16" s="37" t="s">
        <v>2755</v>
      </c>
      <c r="C16" s="37" t="s">
        <v>380</v>
      </c>
      <c r="D16" s="37">
        <v>11</v>
      </c>
      <c r="E16" s="37">
        <v>90291</v>
      </c>
      <c r="F16" s="55"/>
      <c r="G16" s="55"/>
      <c r="H16" s="56">
        <v>4238016019</v>
      </c>
      <c r="I16" s="53">
        <v>45667</v>
      </c>
      <c r="J16" s="37" t="s">
        <v>27</v>
      </c>
      <c r="K16" s="54" t="s">
        <v>2756</v>
      </c>
      <c r="L16" s="37"/>
      <c r="M16" s="46">
        <v>0.13300000000000001</v>
      </c>
      <c r="N16" s="46"/>
      <c r="O16" s="46"/>
      <c r="P16" s="46"/>
      <c r="Q16" s="46"/>
      <c r="R16" s="38" t="s">
        <v>2757</v>
      </c>
      <c r="S16" s="37"/>
      <c r="T16" s="37"/>
      <c r="U16" s="37"/>
      <c r="V16" s="37"/>
      <c r="W16" s="37"/>
      <c r="X16" s="37"/>
      <c r="Y16" s="37"/>
      <c r="Z16" s="37"/>
      <c r="AA16" s="37"/>
      <c r="AB16" s="37"/>
      <c r="AC16" s="37"/>
      <c r="AD16" s="37"/>
      <c r="AE16" s="37"/>
      <c r="AF16" s="37"/>
      <c r="AG16" s="37"/>
      <c r="AH16" s="37"/>
      <c r="AI16" s="37"/>
      <c r="AJ16" s="37"/>
      <c r="AK16" s="37"/>
    </row>
    <row r="17" spans="1:37" ht="14.25">
      <c r="A17" s="42">
        <v>45668</v>
      </c>
      <c r="B17" s="37" t="s">
        <v>2758</v>
      </c>
      <c r="C17" s="37" t="s">
        <v>25</v>
      </c>
      <c r="D17" s="37">
        <v>11</v>
      </c>
      <c r="E17" s="37">
        <v>90045</v>
      </c>
      <c r="F17" s="43"/>
      <c r="G17" s="43"/>
      <c r="H17" s="44"/>
      <c r="I17" s="42">
        <v>45668</v>
      </c>
      <c r="J17" s="37" t="s">
        <v>27</v>
      </c>
      <c r="K17" s="48" t="s">
        <v>2759</v>
      </c>
      <c r="L17" s="37"/>
      <c r="M17" s="46">
        <v>0.13500000000000001</v>
      </c>
      <c r="N17" s="46"/>
      <c r="O17" s="46"/>
      <c r="P17" s="46"/>
      <c r="Q17" s="46"/>
      <c r="R17" s="37" t="s">
        <v>2760</v>
      </c>
      <c r="S17" s="37"/>
      <c r="T17" s="37"/>
      <c r="U17" s="37"/>
      <c r="V17" s="37"/>
      <c r="W17" s="37"/>
      <c r="X17" s="37"/>
      <c r="Y17" s="37"/>
      <c r="Z17" s="37"/>
      <c r="AA17" s="37"/>
      <c r="AB17" s="37"/>
      <c r="AC17" s="37"/>
      <c r="AD17" s="37"/>
      <c r="AE17" s="37"/>
      <c r="AF17" s="37"/>
      <c r="AG17" s="37"/>
      <c r="AH17" s="37"/>
      <c r="AI17" s="37"/>
      <c r="AJ17" s="37"/>
      <c r="AK17" s="37"/>
    </row>
    <row r="18" spans="1:37" ht="14.25">
      <c r="A18" s="42">
        <v>45668</v>
      </c>
      <c r="B18" s="37" t="s">
        <v>2761</v>
      </c>
      <c r="C18" s="37" t="s">
        <v>1181</v>
      </c>
      <c r="D18" s="37"/>
      <c r="E18" s="37">
        <v>90230</v>
      </c>
      <c r="F18" s="43"/>
      <c r="G18" s="43"/>
      <c r="H18" s="44"/>
      <c r="I18" s="42">
        <v>45668</v>
      </c>
      <c r="J18" s="37" t="s">
        <v>27</v>
      </c>
      <c r="K18" s="48" t="s">
        <v>2762</v>
      </c>
      <c r="L18" s="37"/>
      <c r="M18" s="46">
        <v>0.13800000000000001</v>
      </c>
      <c r="N18" s="46"/>
      <c r="O18" s="46"/>
      <c r="P18" s="46"/>
      <c r="Q18" s="46"/>
      <c r="R18" s="37" t="s">
        <v>2763</v>
      </c>
      <c r="S18" s="37"/>
      <c r="T18" s="37"/>
      <c r="U18" s="37"/>
      <c r="V18" s="37"/>
      <c r="W18" s="37"/>
      <c r="X18" s="37"/>
      <c r="Y18" s="37"/>
      <c r="Z18" s="37"/>
      <c r="AA18" s="37"/>
      <c r="AB18" s="37"/>
      <c r="AC18" s="37"/>
      <c r="AD18" s="37"/>
      <c r="AE18" s="37"/>
      <c r="AF18" s="37"/>
      <c r="AG18" s="37"/>
      <c r="AH18" s="37"/>
      <c r="AI18" s="37"/>
      <c r="AJ18" s="37"/>
      <c r="AK18" s="37"/>
    </row>
    <row r="19" spans="1:37" ht="14.25">
      <c r="A19" s="42">
        <v>45668</v>
      </c>
      <c r="B19" s="37" t="s">
        <v>2764</v>
      </c>
      <c r="C19" s="37" t="s">
        <v>25</v>
      </c>
      <c r="D19" s="37">
        <v>3</v>
      </c>
      <c r="E19" s="37">
        <v>91364</v>
      </c>
      <c r="F19" s="43"/>
      <c r="G19" s="43"/>
      <c r="H19" s="44" t="s">
        <v>2765</v>
      </c>
      <c r="I19" s="42">
        <v>45665</v>
      </c>
      <c r="J19" s="37" t="s">
        <v>27</v>
      </c>
      <c r="K19" s="48" t="s">
        <v>2766</v>
      </c>
      <c r="L19" s="37"/>
      <c r="M19" s="46">
        <v>0.14299999999999999</v>
      </c>
      <c r="N19" s="46"/>
      <c r="O19" s="46"/>
      <c r="P19" s="46"/>
      <c r="Q19" s="46"/>
      <c r="R19" s="37" t="s">
        <v>2767</v>
      </c>
      <c r="S19" s="37"/>
      <c r="T19" s="37"/>
      <c r="U19" s="37"/>
      <c r="V19" s="37"/>
      <c r="W19" s="37"/>
      <c r="X19" s="37"/>
      <c r="Y19" s="37"/>
      <c r="Z19" s="37"/>
      <c r="AA19" s="37"/>
      <c r="AB19" s="37"/>
      <c r="AC19" s="37"/>
      <c r="AD19" s="37"/>
      <c r="AE19" s="37"/>
      <c r="AF19" s="37"/>
      <c r="AG19" s="37"/>
      <c r="AH19" s="37"/>
      <c r="AI19" s="37"/>
      <c r="AJ19" s="37"/>
      <c r="AK19" s="37"/>
    </row>
    <row r="20" spans="1:37" ht="14.25">
      <c r="A20" s="42">
        <v>45668</v>
      </c>
      <c r="B20" s="37" t="s">
        <v>2768</v>
      </c>
      <c r="C20" s="37" t="s">
        <v>380</v>
      </c>
      <c r="D20" s="37">
        <v>11</v>
      </c>
      <c r="E20" s="37">
        <v>90291</v>
      </c>
      <c r="F20" s="55"/>
      <c r="G20" s="55"/>
      <c r="H20" s="56">
        <v>4226021026</v>
      </c>
      <c r="I20" s="42">
        <v>45667</v>
      </c>
      <c r="J20" s="37" t="s">
        <v>27</v>
      </c>
      <c r="K20" s="54" t="s">
        <v>1441</v>
      </c>
      <c r="L20" s="37"/>
      <c r="M20" s="46">
        <v>0.14299999999999999</v>
      </c>
      <c r="N20" s="46"/>
      <c r="O20" s="46"/>
      <c r="P20" s="46"/>
      <c r="Q20" s="46"/>
      <c r="R20" s="37" t="s">
        <v>2769</v>
      </c>
      <c r="S20" s="37"/>
      <c r="T20" s="37"/>
      <c r="U20" s="37"/>
      <c r="V20" s="37"/>
      <c r="W20" s="37"/>
      <c r="X20" s="37"/>
      <c r="Y20" s="37"/>
      <c r="Z20" s="37"/>
      <c r="AA20" s="37"/>
      <c r="AB20" s="37"/>
      <c r="AC20" s="37"/>
      <c r="AD20" s="37"/>
      <c r="AE20" s="37"/>
      <c r="AF20" s="37"/>
      <c r="AG20" s="37"/>
      <c r="AH20" s="37"/>
      <c r="AI20" s="37"/>
      <c r="AJ20" s="37"/>
      <c r="AK20" s="37"/>
    </row>
    <row r="21" spans="1:37" ht="14.25">
      <c r="A21" s="42">
        <v>45667</v>
      </c>
      <c r="B21" s="37" t="s">
        <v>1459</v>
      </c>
      <c r="C21" s="37" t="s">
        <v>25</v>
      </c>
      <c r="D21" s="37">
        <v>5</v>
      </c>
      <c r="E21" s="37">
        <v>90049</v>
      </c>
      <c r="F21" s="43"/>
      <c r="G21" s="43"/>
      <c r="H21" s="44" t="s">
        <v>1458</v>
      </c>
      <c r="I21" s="42">
        <v>45667</v>
      </c>
      <c r="J21" s="37" t="s">
        <v>27</v>
      </c>
      <c r="K21" s="48" t="s">
        <v>1460</v>
      </c>
      <c r="L21" s="37"/>
      <c r="M21" s="46">
        <v>0.161</v>
      </c>
      <c r="N21" s="46"/>
      <c r="O21" s="46"/>
      <c r="P21" s="46"/>
      <c r="Q21" s="46"/>
      <c r="R21" s="37" t="s">
        <v>2770</v>
      </c>
      <c r="S21" s="37"/>
      <c r="T21" s="37"/>
      <c r="U21" s="37"/>
      <c r="V21" s="37"/>
      <c r="W21" s="37"/>
      <c r="X21" s="37"/>
      <c r="Y21" s="37"/>
      <c r="Z21" s="37"/>
      <c r="AA21" s="37"/>
      <c r="AB21" s="37"/>
      <c r="AC21" s="37"/>
      <c r="AD21" s="37"/>
      <c r="AE21" s="37"/>
      <c r="AF21" s="37"/>
      <c r="AG21" s="37"/>
      <c r="AH21" s="37"/>
      <c r="AI21" s="37"/>
      <c r="AJ21" s="37"/>
      <c r="AK21" s="37"/>
    </row>
    <row r="22" spans="1:37" ht="14.25">
      <c r="A22" s="42">
        <v>45668</v>
      </c>
      <c r="B22" s="37" t="s">
        <v>1472</v>
      </c>
      <c r="C22" s="37" t="s">
        <v>25</v>
      </c>
      <c r="D22" s="37">
        <v>3</v>
      </c>
      <c r="E22" s="37">
        <v>91367</v>
      </c>
      <c r="F22" s="43"/>
      <c r="G22" s="43"/>
      <c r="H22" s="58" t="s">
        <v>1471</v>
      </c>
      <c r="I22" s="42">
        <v>45668</v>
      </c>
      <c r="J22" s="37" t="s">
        <v>27</v>
      </c>
      <c r="K22" s="48" t="s">
        <v>1473</v>
      </c>
      <c r="L22" s="37"/>
      <c r="M22" s="46">
        <v>0.16600000000000001</v>
      </c>
      <c r="N22" s="46"/>
      <c r="O22" s="46"/>
      <c r="P22" s="46"/>
      <c r="Q22" s="46"/>
      <c r="R22" s="37" t="s">
        <v>2771</v>
      </c>
      <c r="S22" s="37"/>
      <c r="T22" s="37"/>
      <c r="U22" s="37"/>
      <c r="V22" s="37"/>
      <c r="W22" s="37"/>
      <c r="X22" s="37"/>
      <c r="Y22" s="37"/>
      <c r="Z22" s="37"/>
      <c r="AA22" s="37"/>
      <c r="AB22" s="37"/>
      <c r="AC22" s="37"/>
      <c r="AD22" s="37"/>
      <c r="AE22" s="37"/>
      <c r="AF22" s="37"/>
      <c r="AG22" s="37"/>
      <c r="AH22" s="37"/>
      <c r="AI22" s="37"/>
      <c r="AJ22" s="37"/>
      <c r="AK22" s="37"/>
    </row>
    <row r="23" spans="1:37" ht="14.25">
      <c r="A23" s="42">
        <v>45668</v>
      </c>
      <c r="B23" s="37" t="s">
        <v>2772</v>
      </c>
      <c r="C23" s="37" t="s">
        <v>1181</v>
      </c>
      <c r="D23" s="37"/>
      <c r="E23" s="37">
        <v>90232</v>
      </c>
      <c r="F23" s="43"/>
      <c r="G23" s="43"/>
      <c r="H23" s="44"/>
      <c r="I23" s="42">
        <v>45668</v>
      </c>
      <c r="J23" s="37" t="s">
        <v>27</v>
      </c>
      <c r="K23" s="48" t="s">
        <v>2773</v>
      </c>
      <c r="L23" s="37"/>
      <c r="M23" s="46">
        <v>0.16800000000000001</v>
      </c>
      <c r="N23" s="46"/>
      <c r="O23" s="46"/>
      <c r="P23" s="46"/>
      <c r="Q23" s="46"/>
      <c r="R23" s="37" t="s">
        <v>2774</v>
      </c>
      <c r="S23" s="37"/>
      <c r="T23" s="37"/>
      <c r="U23" s="37"/>
      <c r="V23" s="37"/>
      <c r="W23" s="37"/>
      <c r="X23" s="37"/>
      <c r="Y23" s="37"/>
      <c r="Z23" s="37"/>
      <c r="AA23" s="37"/>
      <c r="AB23" s="37"/>
      <c r="AC23" s="37"/>
      <c r="AD23" s="37"/>
      <c r="AE23" s="37"/>
      <c r="AF23" s="37"/>
      <c r="AG23" s="37"/>
      <c r="AH23" s="37"/>
      <c r="AI23" s="37"/>
      <c r="AJ23" s="37"/>
      <c r="AK23" s="37"/>
    </row>
    <row r="24" spans="1:37" ht="14.25">
      <c r="A24" s="42">
        <v>45668</v>
      </c>
      <c r="B24" s="37" t="s">
        <v>2775</v>
      </c>
      <c r="C24" s="37" t="s">
        <v>25</v>
      </c>
      <c r="D24" s="37">
        <v>3</v>
      </c>
      <c r="E24" s="37">
        <v>91364</v>
      </c>
      <c r="F24" s="43"/>
      <c r="G24" s="43"/>
      <c r="H24" s="58" t="s">
        <v>2776</v>
      </c>
      <c r="I24" s="42">
        <v>45667</v>
      </c>
      <c r="J24" s="37" t="s">
        <v>27</v>
      </c>
      <c r="K24" s="48" t="s">
        <v>2777</v>
      </c>
      <c r="L24" s="37"/>
      <c r="M24" s="46">
        <v>0.17699999999999999</v>
      </c>
      <c r="N24" s="46"/>
      <c r="O24" s="46"/>
      <c r="P24" s="46"/>
      <c r="Q24" s="46"/>
      <c r="R24" s="37"/>
      <c r="S24" s="37"/>
      <c r="T24" s="37"/>
      <c r="U24" s="37"/>
      <c r="V24" s="37"/>
      <c r="W24" s="37"/>
      <c r="X24" s="37"/>
      <c r="Y24" s="37"/>
      <c r="Z24" s="37"/>
      <c r="AA24" s="37"/>
      <c r="AB24" s="37"/>
      <c r="AC24" s="37"/>
      <c r="AD24" s="37"/>
      <c r="AE24" s="37"/>
      <c r="AF24" s="37"/>
      <c r="AG24" s="37"/>
      <c r="AH24" s="37"/>
      <c r="AI24" s="37"/>
      <c r="AJ24" s="37"/>
      <c r="AK24" s="37"/>
    </row>
    <row r="25" spans="1:37" ht="14.25">
      <c r="A25" s="42">
        <v>45668</v>
      </c>
      <c r="B25" s="37" t="s">
        <v>2778</v>
      </c>
      <c r="C25" s="37" t="s">
        <v>25</v>
      </c>
      <c r="D25" s="37">
        <v>3</v>
      </c>
      <c r="E25" s="37">
        <v>91364</v>
      </c>
      <c r="F25" s="43"/>
      <c r="G25" s="43"/>
      <c r="H25" s="58" t="s">
        <v>2779</v>
      </c>
      <c r="I25" s="42">
        <v>45667</v>
      </c>
      <c r="J25" s="37" t="s">
        <v>27</v>
      </c>
      <c r="K25" s="48" t="s">
        <v>1446</v>
      </c>
      <c r="L25" s="37"/>
      <c r="M25" s="46">
        <v>0.17799999999999999</v>
      </c>
      <c r="N25" s="46"/>
      <c r="O25" s="46"/>
      <c r="P25" s="46"/>
      <c r="Q25" s="46"/>
      <c r="R25" s="37" t="s">
        <v>2780</v>
      </c>
      <c r="S25" s="37"/>
      <c r="T25" s="37"/>
      <c r="U25" s="37"/>
      <c r="V25" s="37"/>
      <c r="W25" s="37"/>
      <c r="X25" s="37"/>
      <c r="Y25" s="37"/>
      <c r="Z25" s="37"/>
      <c r="AA25" s="37"/>
      <c r="AB25" s="37"/>
      <c r="AC25" s="37"/>
      <c r="AD25" s="37"/>
      <c r="AE25" s="37"/>
      <c r="AF25" s="37"/>
      <c r="AG25" s="37"/>
      <c r="AH25" s="37"/>
      <c r="AI25" s="37"/>
      <c r="AJ25" s="37"/>
      <c r="AK25" s="37"/>
    </row>
    <row r="26" spans="1:37" ht="14.25">
      <c r="A26" s="42">
        <v>45668</v>
      </c>
      <c r="B26" s="37" t="s">
        <v>2781</v>
      </c>
      <c r="C26" s="37" t="s">
        <v>25</v>
      </c>
      <c r="D26" s="37">
        <v>11</v>
      </c>
      <c r="E26" s="37">
        <v>90049</v>
      </c>
      <c r="F26" s="43"/>
      <c r="G26" s="43"/>
      <c r="H26" s="44" t="s">
        <v>2782</v>
      </c>
      <c r="I26" s="42">
        <v>45667</v>
      </c>
      <c r="J26" s="37" t="s">
        <v>27</v>
      </c>
      <c r="K26" s="48" t="s">
        <v>2783</v>
      </c>
      <c r="L26" s="37"/>
      <c r="M26" s="46">
        <v>0.186</v>
      </c>
      <c r="N26" s="46"/>
      <c r="O26" s="46"/>
      <c r="P26" s="46"/>
      <c r="Q26" s="46"/>
      <c r="R26" s="37" t="s">
        <v>2784</v>
      </c>
      <c r="S26" s="37"/>
      <c r="T26" s="37"/>
      <c r="U26" s="37"/>
      <c r="V26" s="37"/>
      <c r="W26" s="37"/>
      <c r="X26" s="37"/>
      <c r="Y26" s="37"/>
      <c r="Z26" s="37"/>
      <c r="AA26" s="37"/>
      <c r="AB26" s="37"/>
      <c r="AC26" s="37"/>
      <c r="AD26" s="37"/>
      <c r="AE26" s="37"/>
      <c r="AF26" s="37"/>
      <c r="AG26" s="37"/>
      <c r="AH26" s="37"/>
      <c r="AI26" s="37"/>
      <c r="AJ26" s="37"/>
      <c r="AK26" s="37"/>
    </row>
    <row r="27" spans="1:37" ht="14.25">
      <c r="A27" s="42">
        <v>45668</v>
      </c>
      <c r="B27" s="37" t="s">
        <v>2785</v>
      </c>
      <c r="C27" s="37" t="s">
        <v>25</v>
      </c>
      <c r="D27" s="37">
        <v>11</v>
      </c>
      <c r="E27" s="37">
        <v>90272</v>
      </c>
      <c r="F27" s="43"/>
      <c r="G27" s="43"/>
      <c r="H27" s="44" t="s">
        <v>2786</v>
      </c>
      <c r="I27" s="42">
        <v>45667</v>
      </c>
      <c r="J27" s="37" t="s">
        <v>27</v>
      </c>
      <c r="K27" s="48" t="s">
        <v>2787</v>
      </c>
      <c r="L27" s="37"/>
      <c r="M27" s="46">
        <v>0.186</v>
      </c>
      <c r="N27" s="46"/>
      <c r="O27" s="46"/>
      <c r="P27" s="46"/>
      <c r="Q27" s="46"/>
      <c r="R27" s="37" t="s">
        <v>2788</v>
      </c>
      <c r="S27" s="37"/>
      <c r="T27" s="37"/>
      <c r="U27" s="37"/>
      <c r="V27" s="37"/>
      <c r="W27" s="37"/>
      <c r="X27" s="37"/>
      <c r="Y27" s="37"/>
      <c r="Z27" s="37"/>
      <c r="AA27" s="37"/>
      <c r="AB27" s="37"/>
      <c r="AC27" s="37"/>
      <c r="AD27" s="37"/>
      <c r="AE27" s="37"/>
      <c r="AF27" s="37"/>
      <c r="AG27" s="37"/>
      <c r="AH27" s="37"/>
      <c r="AI27" s="37"/>
      <c r="AJ27" s="37"/>
      <c r="AK27" s="37"/>
    </row>
    <row r="28" spans="1:37" ht="14.25">
      <c r="A28" s="42">
        <v>45667</v>
      </c>
      <c r="B28" s="37" t="s">
        <v>2789</v>
      </c>
      <c r="C28" s="37" t="s">
        <v>25</v>
      </c>
      <c r="D28" s="37">
        <v>5</v>
      </c>
      <c r="E28" s="37">
        <v>90049</v>
      </c>
      <c r="F28" s="43"/>
      <c r="G28" s="43"/>
      <c r="H28" s="58" t="s">
        <v>2790</v>
      </c>
      <c r="I28" s="42">
        <v>45667</v>
      </c>
      <c r="J28" s="37" t="s">
        <v>27</v>
      </c>
      <c r="K28" s="45" t="s">
        <v>402</v>
      </c>
      <c r="L28" s="37"/>
      <c r="M28" s="46">
        <v>0.192</v>
      </c>
      <c r="N28" s="46"/>
      <c r="O28" s="46"/>
      <c r="P28" s="46"/>
      <c r="Q28" s="46"/>
      <c r="R28" s="37"/>
      <c r="S28" s="37"/>
      <c r="T28" s="37"/>
      <c r="U28" s="37"/>
      <c r="V28" s="37"/>
      <c r="W28" s="37"/>
      <c r="X28" s="37"/>
      <c r="Y28" s="37"/>
      <c r="Z28" s="37"/>
      <c r="AA28" s="37"/>
      <c r="AB28" s="37"/>
      <c r="AC28" s="37"/>
      <c r="AD28" s="37"/>
      <c r="AE28" s="37"/>
      <c r="AF28" s="37"/>
      <c r="AG28" s="37"/>
      <c r="AH28" s="37"/>
      <c r="AI28" s="37"/>
      <c r="AJ28" s="37"/>
      <c r="AK28" s="37"/>
    </row>
    <row r="29" spans="1:37" ht="14.25">
      <c r="A29" s="42">
        <v>45667</v>
      </c>
      <c r="B29" s="37" t="s">
        <v>458</v>
      </c>
      <c r="C29" s="37" t="s">
        <v>25</v>
      </c>
      <c r="D29" s="37">
        <v>1</v>
      </c>
      <c r="E29" s="37">
        <v>90042</v>
      </c>
      <c r="F29" s="59"/>
      <c r="G29" s="59"/>
      <c r="H29" s="52">
        <v>5471017058</v>
      </c>
      <c r="I29" s="59"/>
      <c r="J29" s="37" t="s">
        <v>27</v>
      </c>
      <c r="K29" s="60" t="s">
        <v>2791</v>
      </c>
      <c r="L29" s="61"/>
      <c r="M29" s="62">
        <v>0.2</v>
      </c>
      <c r="N29" s="62"/>
      <c r="O29" s="62"/>
      <c r="P29" s="62"/>
      <c r="Q29" s="62"/>
      <c r="R29" s="37"/>
      <c r="S29" s="37"/>
      <c r="T29" s="37"/>
      <c r="U29" s="37"/>
      <c r="V29" s="37"/>
      <c r="W29" s="37"/>
      <c r="X29" s="37"/>
      <c r="Y29" s="37"/>
      <c r="Z29" s="37"/>
      <c r="AA29" s="37"/>
      <c r="AB29" s="37"/>
      <c r="AC29" s="37"/>
      <c r="AD29" s="37"/>
      <c r="AE29" s="37"/>
      <c r="AF29" s="37"/>
      <c r="AG29" s="37"/>
      <c r="AH29" s="37"/>
      <c r="AI29" s="37"/>
      <c r="AJ29" s="37"/>
      <c r="AK29" s="37"/>
    </row>
    <row r="30" spans="1:37" ht="14.25">
      <c r="A30" s="47">
        <v>45668</v>
      </c>
      <c r="B30" s="37" t="s">
        <v>483</v>
      </c>
      <c r="C30" s="37" t="s">
        <v>25</v>
      </c>
      <c r="D30" s="37">
        <v>2</v>
      </c>
      <c r="E30" s="37">
        <v>91607</v>
      </c>
      <c r="F30" s="56"/>
      <c r="G30" s="56"/>
      <c r="H30" s="63">
        <v>2346017007</v>
      </c>
      <c r="I30" s="47">
        <v>45666</v>
      </c>
      <c r="J30" s="37" t="s">
        <v>27</v>
      </c>
      <c r="K30" s="64" t="s">
        <v>484</v>
      </c>
      <c r="L30" s="37"/>
      <c r="M30" s="46">
        <v>0.2</v>
      </c>
      <c r="N30" s="46"/>
      <c r="O30" s="46"/>
      <c r="P30" s="46"/>
      <c r="Q30" s="46"/>
      <c r="R30" s="37" t="s">
        <v>2792</v>
      </c>
      <c r="S30" s="37"/>
      <c r="T30" s="37"/>
      <c r="U30" s="37"/>
      <c r="V30" s="37"/>
      <c r="W30" s="37"/>
      <c r="X30" s="37"/>
      <c r="Y30" s="37"/>
      <c r="Z30" s="37"/>
      <c r="AA30" s="37"/>
      <c r="AB30" s="37"/>
      <c r="AC30" s="37"/>
      <c r="AD30" s="37"/>
      <c r="AE30" s="37"/>
      <c r="AF30" s="37"/>
      <c r="AG30" s="37"/>
      <c r="AH30" s="37"/>
      <c r="AI30" s="37"/>
      <c r="AJ30" s="37"/>
      <c r="AK30" s="37"/>
    </row>
    <row r="31" spans="1:37" ht="14.25">
      <c r="A31" s="65">
        <v>45668</v>
      </c>
      <c r="B31" s="37" t="s">
        <v>522</v>
      </c>
      <c r="C31" s="37" t="s">
        <v>25</v>
      </c>
      <c r="D31" s="37">
        <v>10</v>
      </c>
      <c r="E31" s="37">
        <v>90034</v>
      </c>
      <c r="F31" s="55"/>
      <c r="G31" s="55"/>
      <c r="H31" s="56">
        <v>5065003042</v>
      </c>
      <c r="I31" s="42">
        <v>45667</v>
      </c>
      <c r="J31" s="37" t="s">
        <v>27</v>
      </c>
      <c r="K31" s="48" t="s">
        <v>523</v>
      </c>
      <c r="L31" s="37"/>
      <c r="M31" s="62">
        <v>0.2</v>
      </c>
      <c r="N31" s="62"/>
      <c r="O31" s="62"/>
      <c r="P31" s="62"/>
      <c r="Q31" s="62"/>
      <c r="R31" s="37" t="s">
        <v>2793</v>
      </c>
      <c r="S31" s="37"/>
      <c r="T31" s="37"/>
      <c r="U31" s="37"/>
      <c r="V31" s="37"/>
      <c r="W31" s="37"/>
      <c r="X31" s="37"/>
      <c r="Y31" s="37"/>
      <c r="Z31" s="37"/>
      <c r="AA31" s="37"/>
      <c r="AB31" s="37"/>
      <c r="AC31" s="37"/>
      <c r="AD31" s="37"/>
      <c r="AE31" s="37"/>
      <c r="AF31" s="37"/>
      <c r="AG31" s="37"/>
      <c r="AH31" s="37"/>
      <c r="AI31" s="37"/>
      <c r="AJ31" s="37"/>
      <c r="AK31" s="37"/>
    </row>
    <row r="32" spans="1:37" ht="14.25">
      <c r="A32" s="42">
        <v>45668</v>
      </c>
      <c r="B32" s="37" t="s">
        <v>596</v>
      </c>
      <c r="C32" s="37" t="s">
        <v>25</v>
      </c>
      <c r="D32" s="37">
        <v>11</v>
      </c>
      <c r="E32" s="37">
        <v>90025</v>
      </c>
      <c r="F32" s="43"/>
      <c r="G32" s="43"/>
      <c r="H32" s="44"/>
      <c r="I32" s="53">
        <v>45667</v>
      </c>
      <c r="J32" s="37" t="s">
        <v>27</v>
      </c>
      <c r="K32" s="45" t="s">
        <v>597</v>
      </c>
      <c r="L32" s="37"/>
      <c r="M32" s="46">
        <v>0.21299999999999999</v>
      </c>
      <c r="N32" s="46"/>
      <c r="O32" s="46"/>
      <c r="P32" s="46"/>
      <c r="Q32" s="46"/>
      <c r="R32" s="37" t="s">
        <v>2794</v>
      </c>
      <c r="S32" s="37"/>
      <c r="T32" s="37"/>
      <c r="U32" s="37"/>
      <c r="V32" s="37"/>
      <c r="W32" s="37"/>
      <c r="X32" s="37"/>
      <c r="Y32" s="37"/>
      <c r="Z32" s="37"/>
      <c r="AA32" s="37"/>
      <c r="AB32" s="37"/>
      <c r="AC32" s="37"/>
      <c r="AD32" s="37"/>
      <c r="AE32" s="37"/>
      <c r="AF32" s="37"/>
      <c r="AG32" s="37"/>
      <c r="AH32" s="37"/>
      <c r="AI32" s="37"/>
      <c r="AJ32" s="37"/>
      <c r="AK32" s="37"/>
    </row>
    <row r="33" spans="1:37" ht="14.25">
      <c r="A33" s="42">
        <v>45668</v>
      </c>
      <c r="B33" s="37" t="s">
        <v>2795</v>
      </c>
      <c r="C33" s="37" t="s">
        <v>25</v>
      </c>
      <c r="D33" s="37">
        <v>5</v>
      </c>
      <c r="E33" s="37">
        <v>90034</v>
      </c>
      <c r="F33" s="43"/>
      <c r="G33" s="43"/>
      <c r="H33" s="44"/>
      <c r="I33" s="42">
        <v>45668</v>
      </c>
      <c r="J33" s="37" t="s">
        <v>27</v>
      </c>
      <c r="K33" s="48" t="s">
        <v>103</v>
      </c>
      <c r="L33" s="37"/>
      <c r="M33" s="46">
        <v>0.218</v>
      </c>
      <c r="N33" s="46"/>
      <c r="O33" s="46"/>
      <c r="P33" s="46"/>
      <c r="Q33" s="46"/>
      <c r="R33" s="37" t="s">
        <v>2796</v>
      </c>
      <c r="S33" s="37"/>
      <c r="T33" s="37"/>
      <c r="U33" s="37"/>
      <c r="V33" s="37"/>
      <c r="W33" s="37"/>
      <c r="X33" s="37"/>
      <c r="Y33" s="37"/>
      <c r="Z33" s="37"/>
      <c r="AA33" s="37"/>
      <c r="AB33" s="37"/>
      <c r="AC33" s="37"/>
      <c r="AD33" s="37"/>
      <c r="AE33" s="37"/>
      <c r="AF33" s="37"/>
      <c r="AG33" s="37"/>
      <c r="AH33" s="37"/>
      <c r="AI33" s="37"/>
      <c r="AJ33" s="37"/>
      <c r="AK33" s="37"/>
    </row>
    <row r="34" spans="1:37" ht="15">
      <c r="A34" s="42">
        <v>45668</v>
      </c>
      <c r="B34" s="37" t="s">
        <v>647</v>
      </c>
      <c r="C34" s="37" t="s">
        <v>380</v>
      </c>
      <c r="D34" s="37">
        <v>11</v>
      </c>
      <c r="E34" s="37">
        <v>90291</v>
      </c>
      <c r="F34" s="51"/>
      <c r="G34" s="51"/>
      <c r="H34" s="52">
        <v>4238006015</v>
      </c>
      <c r="I34" s="42">
        <v>45667</v>
      </c>
      <c r="J34" s="37" t="s">
        <v>27</v>
      </c>
      <c r="K34" s="48" t="s">
        <v>2797</v>
      </c>
      <c r="L34" s="37"/>
      <c r="M34" s="46">
        <v>0.222</v>
      </c>
      <c r="N34" s="46"/>
      <c r="O34" s="46"/>
      <c r="P34" s="46"/>
      <c r="Q34" s="46"/>
      <c r="R34" s="37" t="s">
        <v>2798</v>
      </c>
      <c r="S34" s="37"/>
      <c r="T34" s="37"/>
      <c r="U34" s="37"/>
      <c r="V34" s="37"/>
      <c r="W34" s="37"/>
      <c r="X34" s="37"/>
      <c r="Y34" s="37"/>
      <c r="Z34" s="37"/>
      <c r="AA34" s="37"/>
      <c r="AB34" s="37"/>
      <c r="AC34" s="37"/>
      <c r="AD34" s="37"/>
      <c r="AE34" s="37"/>
      <c r="AF34" s="37"/>
      <c r="AG34" s="37"/>
      <c r="AH34" s="37"/>
      <c r="AI34" s="37"/>
      <c r="AJ34" s="37"/>
      <c r="AK34" s="37"/>
    </row>
    <row r="35" spans="1:37" ht="14.25">
      <c r="A35" s="42">
        <v>45667</v>
      </c>
      <c r="B35" s="37" t="s">
        <v>667</v>
      </c>
      <c r="C35" s="37" t="s">
        <v>25</v>
      </c>
      <c r="D35" s="37">
        <v>11</v>
      </c>
      <c r="E35" s="37">
        <v>90049</v>
      </c>
      <c r="F35" s="43"/>
      <c r="G35" s="43"/>
      <c r="H35" s="44" t="s">
        <v>2799</v>
      </c>
      <c r="I35" s="42">
        <v>45665</v>
      </c>
      <c r="J35" s="37" t="s">
        <v>27</v>
      </c>
      <c r="K35" s="48" t="s">
        <v>668</v>
      </c>
      <c r="L35" s="37"/>
      <c r="M35" s="46">
        <v>0.23699999999999999</v>
      </c>
      <c r="N35" s="46"/>
      <c r="O35" s="46"/>
      <c r="P35" s="46"/>
      <c r="Q35" s="46"/>
      <c r="R35" s="37" t="s">
        <v>2800</v>
      </c>
      <c r="S35" s="37"/>
      <c r="T35" s="37"/>
      <c r="U35" s="37"/>
      <c r="V35" s="37"/>
      <c r="W35" s="37"/>
      <c r="X35" s="37"/>
      <c r="Y35" s="37"/>
      <c r="Z35" s="37"/>
      <c r="AA35" s="37"/>
      <c r="AB35" s="37"/>
      <c r="AC35" s="37"/>
      <c r="AD35" s="37"/>
      <c r="AE35" s="37"/>
      <c r="AF35" s="37"/>
      <c r="AG35" s="37"/>
      <c r="AH35" s="37"/>
      <c r="AI35" s="37"/>
      <c r="AJ35" s="37"/>
      <c r="AK35" s="37"/>
    </row>
    <row r="36" spans="1:37" ht="14.25">
      <c r="A36" s="42">
        <v>45667</v>
      </c>
      <c r="B36" s="37" t="s">
        <v>694</v>
      </c>
      <c r="C36" s="37" t="s">
        <v>25</v>
      </c>
      <c r="D36" s="37">
        <v>11</v>
      </c>
      <c r="E36" s="37">
        <v>90049</v>
      </c>
      <c r="F36" s="43"/>
      <c r="G36" s="43"/>
      <c r="H36" s="58" t="s">
        <v>2801</v>
      </c>
      <c r="I36" s="42">
        <v>45667</v>
      </c>
      <c r="J36" s="37" t="s">
        <v>27</v>
      </c>
      <c r="K36" s="45" t="s">
        <v>695</v>
      </c>
      <c r="L36" s="37"/>
      <c r="M36" s="62">
        <v>0.25</v>
      </c>
      <c r="N36" s="62"/>
      <c r="O36" s="62"/>
      <c r="P36" s="62"/>
      <c r="Q36" s="62"/>
      <c r="R36" s="37"/>
      <c r="S36" s="37"/>
      <c r="T36" s="37"/>
      <c r="U36" s="37"/>
      <c r="V36" s="37"/>
      <c r="W36" s="37"/>
      <c r="X36" s="37"/>
      <c r="Y36" s="37"/>
      <c r="Z36" s="37"/>
      <c r="AA36" s="37"/>
      <c r="AB36" s="37"/>
      <c r="AC36" s="37"/>
      <c r="AD36" s="37"/>
      <c r="AE36" s="37"/>
      <c r="AF36" s="37"/>
      <c r="AG36" s="37"/>
      <c r="AH36" s="37"/>
      <c r="AI36" s="37"/>
      <c r="AJ36" s="37"/>
      <c r="AK36" s="37"/>
    </row>
    <row r="37" spans="1:37" ht="14.25">
      <c r="A37" s="53">
        <v>45668</v>
      </c>
      <c r="B37" s="37" t="s">
        <v>62</v>
      </c>
      <c r="C37" s="37" t="s">
        <v>25</v>
      </c>
      <c r="D37" s="37"/>
      <c r="E37" s="37">
        <v>90291</v>
      </c>
      <c r="F37" s="43"/>
      <c r="G37" s="43"/>
      <c r="H37" s="44"/>
      <c r="I37" s="42">
        <v>45666</v>
      </c>
      <c r="J37" s="37" t="s">
        <v>27</v>
      </c>
      <c r="K37" s="48" t="s">
        <v>993</v>
      </c>
      <c r="L37" s="37"/>
      <c r="M37" s="62">
        <v>0.28000000000000003</v>
      </c>
      <c r="N37" s="62"/>
      <c r="O37" s="62"/>
      <c r="P37" s="62"/>
      <c r="Q37" s="62"/>
      <c r="R37" s="37" t="s">
        <v>2802</v>
      </c>
      <c r="S37" s="37"/>
      <c r="T37" s="37"/>
      <c r="U37" s="37"/>
      <c r="V37" s="37"/>
      <c r="W37" s="37"/>
      <c r="X37" s="37"/>
      <c r="Y37" s="37"/>
      <c r="Z37" s="37"/>
      <c r="AA37" s="37"/>
      <c r="AB37" s="37"/>
      <c r="AC37" s="37"/>
      <c r="AD37" s="37"/>
      <c r="AE37" s="37"/>
      <c r="AF37" s="37"/>
      <c r="AG37" s="37"/>
      <c r="AH37" s="37"/>
      <c r="AI37" s="37"/>
      <c r="AJ37" s="37"/>
      <c r="AK37" s="37"/>
    </row>
    <row r="38" spans="1:37" ht="14.25">
      <c r="A38" s="42">
        <v>45668</v>
      </c>
      <c r="B38" s="37" t="s">
        <v>1005</v>
      </c>
      <c r="C38" s="37" t="s">
        <v>320</v>
      </c>
      <c r="D38" s="37"/>
      <c r="E38" s="37">
        <v>91505</v>
      </c>
      <c r="F38" s="43"/>
      <c r="G38" s="43"/>
      <c r="H38" s="44" t="s">
        <v>2803</v>
      </c>
      <c r="I38" s="42">
        <v>45665</v>
      </c>
      <c r="J38" s="37" t="s">
        <v>27</v>
      </c>
      <c r="K38" s="48" t="s">
        <v>2804</v>
      </c>
      <c r="L38" s="37"/>
      <c r="M38" s="46">
        <v>0.32100000000000001</v>
      </c>
      <c r="N38" s="46"/>
      <c r="O38" s="46"/>
      <c r="P38" s="46"/>
      <c r="Q38" s="46"/>
      <c r="R38" s="37" t="s">
        <v>2805</v>
      </c>
      <c r="S38" s="37"/>
      <c r="T38" s="37"/>
      <c r="U38" s="37"/>
      <c r="V38" s="37"/>
      <c r="W38" s="37"/>
      <c r="X38" s="37"/>
      <c r="Y38" s="37"/>
      <c r="Z38" s="37"/>
      <c r="AA38" s="37"/>
      <c r="AB38" s="37"/>
      <c r="AC38" s="37"/>
      <c r="AD38" s="37"/>
      <c r="AE38" s="37"/>
      <c r="AF38" s="37"/>
      <c r="AG38" s="37"/>
      <c r="AH38" s="37"/>
      <c r="AI38" s="37"/>
      <c r="AJ38" s="37"/>
      <c r="AK38" s="37"/>
    </row>
    <row r="39" spans="1:37" ht="14.25">
      <c r="A39" s="42">
        <v>45668</v>
      </c>
      <c r="B39" s="37" t="s">
        <v>1010</v>
      </c>
      <c r="C39" s="37" t="s">
        <v>380</v>
      </c>
      <c r="D39" s="37">
        <v>11</v>
      </c>
      <c r="E39" s="37">
        <v>90291</v>
      </c>
      <c r="F39" s="43"/>
      <c r="G39" s="43"/>
      <c r="H39" s="44"/>
      <c r="I39" s="42">
        <v>45666</v>
      </c>
      <c r="J39" s="37" t="s">
        <v>27</v>
      </c>
      <c r="K39" s="45" t="s">
        <v>1011</v>
      </c>
      <c r="L39" s="37"/>
      <c r="M39" s="62">
        <v>0.33</v>
      </c>
      <c r="N39" s="62"/>
      <c r="O39" s="62"/>
      <c r="P39" s="62"/>
      <c r="Q39" s="62"/>
      <c r="R39" s="37" t="s">
        <v>2806</v>
      </c>
      <c r="S39" s="37"/>
      <c r="T39" s="37"/>
      <c r="U39" s="37"/>
      <c r="V39" s="37"/>
      <c r="W39" s="37"/>
      <c r="X39" s="37"/>
      <c r="Y39" s="37"/>
      <c r="Z39" s="37"/>
      <c r="AA39" s="37"/>
      <c r="AB39" s="37"/>
      <c r="AC39" s="37"/>
      <c r="AD39" s="37"/>
      <c r="AE39" s="37"/>
      <c r="AF39" s="37"/>
      <c r="AG39" s="37"/>
      <c r="AH39" s="37"/>
      <c r="AI39" s="37"/>
      <c r="AJ39" s="37"/>
      <c r="AK39" s="37"/>
    </row>
    <row r="40" spans="1:37" ht="15">
      <c r="A40" s="42">
        <v>45668</v>
      </c>
      <c r="B40" s="37" t="s">
        <v>2124</v>
      </c>
      <c r="C40" s="37" t="s">
        <v>25</v>
      </c>
      <c r="D40" s="37">
        <v>13</v>
      </c>
      <c r="E40" s="37">
        <v>90026</v>
      </c>
      <c r="F40" s="51"/>
      <c r="G40" s="51"/>
      <c r="H40" s="52">
        <v>5431021002</v>
      </c>
      <c r="I40" s="42">
        <v>45668</v>
      </c>
      <c r="J40" s="37" t="s">
        <v>27</v>
      </c>
      <c r="K40" s="54" t="s">
        <v>2807</v>
      </c>
      <c r="L40" s="37"/>
      <c r="M40" s="46">
        <v>0.33300000000000002</v>
      </c>
      <c r="N40" s="46"/>
      <c r="O40" s="46"/>
      <c r="P40" s="46"/>
      <c r="Q40" s="46"/>
      <c r="R40" s="37" t="s">
        <v>2808</v>
      </c>
      <c r="S40" s="37"/>
      <c r="T40" s="37"/>
      <c r="U40" s="37"/>
      <c r="V40" s="37"/>
      <c r="W40" s="37"/>
      <c r="X40" s="37"/>
      <c r="Y40" s="37"/>
      <c r="Z40" s="37"/>
      <c r="AA40" s="37"/>
      <c r="AB40" s="37"/>
      <c r="AC40" s="37"/>
      <c r="AD40" s="37"/>
      <c r="AE40" s="37"/>
      <c r="AF40" s="37"/>
      <c r="AG40" s="37"/>
      <c r="AH40" s="37"/>
      <c r="AI40" s="37"/>
      <c r="AJ40" s="37"/>
      <c r="AK40" s="37"/>
    </row>
    <row r="41" spans="1:37" ht="14.25">
      <c r="A41" s="42">
        <v>45668</v>
      </c>
      <c r="B41" s="37" t="s">
        <v>470</v>
      </c>
      <c r="C41" s="37" t="s">
        <v>380</v>
      </c>
      <c r="D41" s="37">
        <v>11</v>
      </c>
      <c r="E41" s="37">
        <v>90291</v>
      </c>
      <c r="F41" s="43"/>
      <c r="G41" s="43"/>
      <c r="H41" s="44"/>
      <c r="I41" s="42">
        <v>45666</v>
      </c>
      <c r="J41" s="37" t="s">
        <v>27</v>
      </c>
      <c r="K41" s="48" t="s">
        <v>471</v>
      </c>
      <c r="L41" s="37"/>
      <c r="M41" s="46">
        <v>0.36399999999999999</v>
      </c>
      <c r="N41" s="46"/>
      <c r="O41" s="46"/>
      <c r="P41" s="46"/>
      <c r="Q41" s="46"/>
      <c r="R41" s="37" t="s">
        <v>2809</v>
      </c>
      <c r="S41" s="37"/>
      <c r="T41" s="37"/>
      <c r="U41" s="37"/>
      <c r="V41" s="37"/>
      <c r="W41" s="37"/>
      <c r="X41" s="37"/>
      <c r="Y41" s="37"/>
      <c r="Z41" s="37"/>
      <c r="AA41" s="37"/>
      <c r="AB41" s="37"/>
      <c r="AC41" s="37"/>
      <c r="AD41" s="37"/>
      <c r="AE41" s="37"/>
      <c r="AF41" s="37"/>
      <c r="AG41" s="37"/>
      <c r="AH41" s="37"/>
      <c r="AI41" s="37"/>
      <c r="AJ41" s="37"/>
      <c r="AK41" s="37"/>
    </row>
    <row r="42" spans="1:37" ht="14.25">
      <c r="A42" s="42">
        <v>45668</v>
      </c>
      <c r="B42" s="37" t="s">
        <v>2810</v>
      </c>
      <c r="C42" s="37" t="s">
        <v>380</v>
      </c>
      <c r="D42" s="37">
        <v>11</v>
      </c>
      <c r="E42" s="37">
        <v>90291</v>
      </c>
      <c r="F42" s="43"/>
      <c r="G42" s="43"/>
      <c r="H42" s="44">
        <v>4286009124</v>
      </c>
      <c r="I42" s="43" t="s">
        <v>2811</v>
      </c>
      <c r="J42" s="37" t="s">
        <v>27</v>
      </c>
      <c r="K42" s="48" t="s">
        <v>1404</v>
      </c>
      <c r="L42" s="37"/>
      <c r="M42" s="46">
        <v>0.36399999999999999</v>
      </c>
      <c r="N42" s="46"/>
      <c r="O42" s="46"/>
      <c r="P42" s="46"/>
      <c r="Q42" s="46"/>
      <c r="R42" s="37" t="s">
        <v>2812</v>
      </c>
      <c r="S42" s="37"/>
      <c r="T42" s="37"/>
      <c r="U42" s="37"/>
      <c r="V42" s="37"/>
      <c r="W42" s="37"/>
      <c r="X42" s="37"/>
      <c r="Y42" s="37"/>
      <c r="Z42" s="37"/>
      <c r="AA42" s="37"/>
      <c r="AB42" s="37"/>
      <c r="AC42" s="37"/>
      <c r="AD42" s="37"/>
      <c r="AE42" s="37"/>
      <c r="AF42" s="37"/>
      <c r="AG42" s="37"/>
      <c r="AH42" s="37"/>
      <c r="AI42" s="37"/>
      <c r="AJ42" s="37"/>
      <c r="AK42" s="37"/>
    </row>
    <row r="43" spans="1:37" ht="14.25">
      <c r="A43" s="53">
        <v>45668</v>
      </c>
      <c r="B43" s="37" t="s">
        <v>159</v>
      </c>
      <c r="C43" s="37" t="s">
        <v>25</v>
      </c>
      <c r="D43" s="37">
        <v>13</v>
      </c>
      <c r="E43" s="37">
        <v>90026</v>
      </c>
      <c r="F43" s="43"/>
      <c r="G43" s="43"/>
      <c r="H43" s="44">
        <v>5157027044</v>
      </c>
      <c r="I43" s="42">
        <v>45669</v>
      </c>
      <c r="J43" s="37" t="s">
        <v>27</v>
      </c>
      <c r="K43" s="45" t="s">
        <v>160</v>
      </c>
      <c r="L43" s="37"/>
      <c r="M43" s="46">
        <v>0.45100000000000001</v>
      </c>
      <c r="N43" s="46"/>
      <c r="O43" s="46"/>
      <c r="P43" s="46"/>
      <c r="Q43" s="46"/>
      <c r="R43" s="37" t="s">
        <v>2813</v>
      </c>
      <c r="S43" s="37"/>
      <c r="T43" s="37"/>
      <c r="U43" s="37"/>
      <c r="V43" s="37"/>
      <c r="W43" s="37"/>
      <c r="X43" s="37"/>
      <c r="Y43" s="37"/>
      <c r="Z43" s="37"/>
      <c r="AA43" s="37"/>
      <c r="AB43" s="37"/>
      <c r="AC43" s="37"/>
      <c r="AD43" s="37"/>
      <c r="AE43" s="37"/>
      <c r="AF43" s="37"/>
      <c r="AG43" s="37"/>
      <c r="AH43" s="37"/>
      <c r="AI43" s="37"/>
      <c r="AJ43" s="37"/>
      <c r="AK43" s="37"/>
    </row>
    <row r="44" spans="1:37" ht="14.25">
      <c r="A44" s="42">
        <v>45668</v>
      </c>
      <c r="B44" s="37" t="s">
        <v>1384</v>
      </c>
      <c r="C44" s="37" t="s">
        <v>25</v>
      </c>
      <c r="D44" s="37">
        <v>11</v>
      </c>
      <c r="E44" s="37">
        <v>90066</v>
      </c>
      <c r="F44" s="59"/>
      <c r="G44" s="59"/>
      <c r="H44" s="52">
        <v>4233014037</v>
      </c>
      <c r="I44" s="42">
        <v>45667</v>
      </c>
      <c r="J44" s="37" t="s">
        <v>27</v>
      </c>
      <c r="K44" s="66" t="s">
        <v>1385</v>
      </c>
      <c r="L44" s="37"/>
      <c r="M44" s="46">
        <v>0.51800000000000002</v>
      </c>
      <c r="N44" s="46"/>
      <c r="O44" s="46"/>
      <c r="P44" s="46"/>
      <c r="Q44" s="46"/>
      <c r="R44" s="37" t="s">
        <v>2814</v>
      </c>
      <c r="S44" s="37"/>
      <c r="T44" s="37"/>
      <c r="U44" s="37"/>
      <c r="V44" s="37"/>
      <c r="W44" s="37"/>
      <c r="X44" s="37"/>
      <c r="Y44" s="37"/>
      <c r="Z44" s="37"/>
      <c r="AA44" s="37"/>
      <c r="AB44" s="37"/>
      <c r="AC44" s="37"/>
      <c r="AD44" s="37"/>
      <c r="AE44" s="37"/>
      <c r="AF44" s="37"/>
      <c r="AG44" s="37"/>
      <c r="AH44" s="37"/>
      <c r="AI44" s="37"/>
      <c r="AJ44" s="37"/>
      <c r="AK44" s="37"/>
    </row>
    <row r="45" spans="1:37" ht="14.25">
      <c r="A45" s="67">
        <v>45668</v>
      </c>
      <c r="B45" s="37" t="s">
        <v>527</v>
      </c>
      <c r="C45" s="37" t="s">
        <v>25</v>
      </c>
      <c r="D45" s="37">
        <v>13</v>
      </c>
      <c r="E45" s="37">
        <v>90026</v>
      </c>
      <c r="F45" s="43"/>
      <c r="G45" s="43"/>
      <c r="H45" s="44"/>
      <c r="I45" s="53">
        <v>45668</v>
      </c>
      <c r="J45" s="37" t="s">
        <v>27</v>
      </c>
      <c r="K45" s="48" t="s">
        <v>528</v>
      </c>
      <c r="L45" s="37"/>
      <c r="M45" s="46">
        <v>0.57899999999999996</v>
      </c>
      <c r="N45" s="46"/>
      <c r="O45" s="46"/>
      <c r="P45" s="46"/>
      <c r="Q45" s="46"/>
      <c r="R45" s="37" t="s">
        <v>2815</v>
      </c>
      <c r="S45" s="37"/>
      <c r="T45" s="37"/>
      <c r="U45" s="37"/>
      <c r="V45" s="37"/>
      <c r="W45" s="37"/>
      <c r="X45" s="37"/>
      <c r="Y45" s="37"/>
      <c r="Z45" s="37"/>
      <c r="AA45" s="37"/>
      <c r="AB45" s="37"/>
      <c r="AC45" s="37"/>
      <c r="AD45" s="37"/>
      <c r="AE45" s="37"/>
      <c r="AF45" s="37"/>
      <c r="AG45" s="37"/>
      <c r="AH45" s="37"/>
      <c r="AI45" s="37"/>
      <c r="AJ45" s="37"/>
      <c r="AK45" s="37"/>
    </row>
    <row r="46" spans="1:37" ht="14.25">
      <c r="A46" s="42">
        <v>45668</v>
      </c>
      <c r="B46" s="37" t="s">
        <v>534</v>
      </c>
      <c r="C46" s="37" t="s">
        <v>380</v>
      </c>
      <c r="D46" s="37">
        <v>11</v>
      </c>
      <c r="E46" s="37">
        <v>90291</v>
      </c>
      <c r="F46" s="59"/>
      <c r="G46" s="59"/>
      <c r="H46" s="52">
        <v>4244003028</v>
      </c>
      <c r="I46" s="68">
        <v>45665</v>
      </c>
      <c r="J46" s="37" t="s">
        <v>27</v>
      </c>
      <c r="K46" s="45" t="s">
        <v>536</v>
      </c>
      <c r="L46" s="37"/>
      <c r="M46" s="46">
        <v>0.58799999999999997</v>
      </c>
      <c r="N46" s="46"/>
      <c r="O46" s="46"/>
      <c r="P46" s="46"/>
      <c r="Q46" s="46"/>
      <c r="R46" s="37"/>
      <c r="S46" s="37"/>
      <c r="T46" s="37"/>
      <c r="U46" s="37"/>
      <c r="V46" s="37"/>
      <c r="W46" s="37"/>
      <c r="X46" s="37"/>
      <c r="Y46" s="37"/>
      <c r="Z46" s="37"/>
      <c r="AA46" s="37"/>
      <c r="AB46" s="37"/>
      <c r="AC46" s="37"/>
      <c r="AD46" s="37"/>
      <c r="AE46" s="37"/>
      <c r="AF46" s="37"/>
      <c r="AG46" s="37"/>
      <c r="AH46" s="37"/>
      <c r="AI46" s="37"/>
      <c r="AJ46" s="37"/>
      <c r="AK46" s="37"/>
    </row>
    <row r="47" spans="1:37" ht="14.25">
      <c r="A47" s="42">
        <v>45668</v>
      </c>
      <c r="B47" s="37" t="s">
        <v>2816</v>
      </c>
      <c r="C47" s="37" t="s">
        <v>320</v>
      </c>
      <c r="D47" s="37"/>
      <c r="E47" s="37">
        <v>91505</v>
      </c>
      <c r="F47" s="43"/>
      <c r="G47" s="43"/>
      <c r="H47" s="44" t="s">
        <v>2817</v>
      </c>
      <c r="I47" s="42">
        <v>45667</v>
      </c>
      <c r="J47" s="37" t="s">
        <v>27</v>
      </c>
      <c r="K47" s="48" t="s">
        <v>2818</v>
      </c>
      <c r="L47" s="37"/>
      <c r="M47" s="46">
        <v>0.61199999999999999</v>
      </c>
      <c r="N47" s="46"/>
      <c r="O47" s="46"/>
      <c r="P47" s="46"/>
      <c r="Q47" s="46"/>
      <c r="R47" s="37" t="s">
        <v>2819</v>
      </c>
      <c r="S47" s="37"/>
      <c r="T47" s="37"/>
      <c r="U47" s="37"/>
      <c r="V47" s="37"/>
      <c r="W47" s="37"/>
      <c r="X47" s="37"/>
      <c r="Y47" s="37"/>
      <c r="Z47" s="37"/>
      <c r="AA47" s="37"/>
      <c r="AB47" s="37"/>
      <c r="AC47" s="37"/>
      <c r="AD47" s="37"/>
      <c r="AE47" s="37"/>
      <c r="AF47" s="37"/>
      <c r="AG47" s="37"/>
      <c r="AH47" s="37"/>
      <c r="AI47" s="37"/>
      <c r="AJ47" s="37"/>
      <c r="AK47" s="37"/>
    </row>
    <row r="48" spans="1:37" ht="14.25">
      <c r="A48" s="42">
        <v>45668</v>
      </c>
      <c r="B48" s="37" t="s">
        <v>582</v>
      </c>
      <c r="C48" s="37" t="s">
        <v>25</v>
      </c>
      <c r="D48" s="37">
        <v>11</v>
      </c>
      <c r="E48" s="37">
        <v>90025</v>
      </c>
      <c r="F48" s="43"/>
      <c r="G48" s="43"/>
      <c r="H48" s="44">
        <v>4259009026</v>
      </c>
      <c r="I48" s="42">
        <v>45666</v>
      </c>
      <c r="J48" s="37" t="s">
        <v>27</v>
      </c>
      <c r="K48" s="60" t="s">
        <v>2820</v>
      </c>
      <c r="L48" s="61"/>
      <c r="M48" s="46">
        <v>0.76500000000000001</v>
      </c>
      <c r="N48" s="46"/>
      <c r="O48" s="46"/>
      <c r="P48" s="46"/>
      <c r="Q48" s="46"/>
      <c r="R48" s="37"/>
      <c r="S48" s="37"/>
      <c r="T48" s="37"/>
      <c r="U48" s="37"/>
      <c r="V48" s="37"/>
      <c r="W48" s="37"/>
      <c r="X48" s="37"/>
      <c r="Y48" s="37"/>
      <c r="Z48" s="37"/>
      <c r="AA48" s="37"/>
      <c r="AB48" s="37"/>
      <c r="AC48" s="37"/>
      <c r="AD48" s="37"/>
      <c r="AE48" s="37"/>
      <c r="AF48" s="37"/>
      <c r="AG48" s="37"/>
      <c r="AH48" s="37"/>
      <c r="AI48" s="37"/>
      <c r="AJ48" s="37"/>
      <c r="AK48" s="37"/>
    </row>
    <row r="49" spans="1:37" ht="14.25">
      <c r="A49" s="42">
        <v>45668</v>
      </c>
      <c r="B49" s="37" t="s">
        <v>620</v>
      </c>
      <c r="C49" s="37" t="s">
        <v>25</v>
      </c>
      <c r="D49" s="37">
        <v>13</v>
      </c>
      <c r="E49" s="37">
        <v>90026</v>
      </c>
      <c r="F49" s="43"/>
      <c r="G49" s="43"/>
      <c r="H49" s="44"/>
      <c r="I49" s="53">
        <v>45668</v>
      </c>
      <c r="J49" s="37" t="s">
        <v>27</v>
      </c>
      <c r="K49" s="48" t="s">
        <v>621</v>
      </c>
      <c r="L49" s="37"/>
      <c r="M49" s="62">
        <v>0.8</v>
      </c>
      <c r="N49" s="62"/>
      <c r="O49" s="62"/>
      <c r="P49" s="62"/>
      <c r="Q49" s="62"/>
      <c r="R49" s="37" t="s">
        <v>2821</v>
      </c>
      <c r="S49" s="37"/>
      <c r="T49" s="37"/>
      <c r="U49" s="37"/>
      <c r="V49" s="37"/>
      <c r="W49" s="37"/>
      <c r="X49" s="37"/>
      <c r="Y49" s="37"/>
      <c r="Z49" s="37"/>
      <c r="AA49" s="37"/>
      <c r="AB49" s="37"/>
      <c r="AC49" s="37"/>
      <c r="AD49" s="37"/>
      <c r="AE49" s="37"/>
      <c r="AF49" s="37"/>
      <c r="AG49" s="37"/>
      <c r="AH49" s="37"/>
      <c r="AI49" s="37"/>
      <c r="AJ49" s="37"/>
      <c r="AK49" s="37"/>
    </row>
    <row r="50" spans="1:37" ht="14.25">
      <c r="A50" s="42">
        <v>45668</v>
      </c>
      <c r="B50" s="37" t="s">
        <v>626</v>
      </c>
      <c r="C50" s="37" t="s">
        <v>25</v>
      </c>
      <c r="D50" s="37">
        <v>4</v>
      </c>
      <c r="E50" s="37">
        <v>90027</v>
      </c>
      <c r="F50" s="43"/>
      <c r="G50" s="43"/>
      <c r="H50" s="52">
        <v>5589018015</v>
      </c>
      <c r="I50" s="42">
        <v>45667</v>
      </c>
      <c r="J50" s="37" t="s">
        <v>27</v>
      </c>
      <c r="K50" s="54" t="s">
        <v>627</v>
      </c>
      <c r="L50" s="37"/>
      <c r="M50" s="46">
        <v>1.167</v>
      </c>
      <c r="N50" s="46"/>
      <c r="O50" s="46"/>
      <c r="P50" s="46"/>
      <c r="Q50" s="46"/>
      <c r="R50" s="37" t="s">
        <v>2822</v>
      </c>
      <c r="S50" s="37"/>
      <c r="T50" s="37"/>
      <c r="U50" s="37"/>
      <c r="V50" s="37"/>
      <c r="W50" s="37"/>
      <c r="X50" s="37"/>
      <c r="Y50" s="37"/>
      <c r="Z50" s="37"/>
      <c r="AA50" s="37"/>
      <c r="AB50" s="37"/>
      <c r="AC50" s="37"/>
      <c r="AD50" s="37"/>
      <c r="AE50" s="37"/>
      <c r="AF50" s="37"/>
      <c r="AG50" s="37"/>
      <c r="AH50" s="37"/>
      <c r="AI50" s="37"/>
      <c r="AJ50" s="37"/>
      <c r="AK50" s="37"/>
    </row>
    <row r="51" spans="1:37" ht="15">
      <c r="A51" s="42">
        <v>45668</v>
      </c>
      <c r="B51" s="37" t="s">
        <v>654</v>
      </c>
      <c r="C51" s="37" t="s">
        <v>25</v>
      </c>
      <c r="D51" s="37">
        <v>13</v>
      </c>
      <c r="E51" s="5">
        <v>90039</v>
      </c>
      <c r="F51" s="43"/>
      <c r="G51" s="43"/>
      <c r="H51" s="51">
        <v>5435014021</v>
      </c>
      <c r="I51" s="67">
        <v>45666</v>
      </c>
      <c r="J51" s="37" t="s">
        <v>27</v>
      </c>
      <c r="K51" s="54" t="s">
        <v>213</v>
      </c>
      <c r="L51" s="37"/>
      <c r="M51" s="46">
        <v>0.125</v>
      </c>
      <c r="N51" s="46"/>
      <c r="O51" s="46"/>
      <c r="P51" s="46"/>
      <c r="Q51" s="46"/>
      <c r="R51" s="37" t="s">
        <v>2823</v>
      </c>
      <c r="S51" s="37"/>
      <c r="T51" s="37"/>
      <c r="U51" s="37"/>
      <c r="V51" s="37"/>
      <c r="W51" s="37"/>
      <c r="X51" s="37"/>
      <c r="Y51" s="37"/>
      <c r="Z51" s="37"/>
      <c r="AA51" s="37"/>
      <c r="AB51" s="37"/>
      <c r="AC51" s="37"/>
      <c r="AD51" s="37"/>
      <c r="AE51" s="37"/>
      <c r="AF51" s="37"/>
      <c r="AG51" s="37"/>
      <c r="AH51" s="37"/>
      <c r="AI51" s="37"/>
      <c r="AJ51" s="37"/>
      <c r="AK51" s="37"/>
    </row>
    <row r="52" spans="1:37" ht="14.25">
      <c r="A52" s="67">
        <v>45668</v>
      </c>
      <c r="B52" s="5" t="s">
        <v>2824</v>
      </c>
      <c r="C52" s="37" t="s">
        <v>25</v>
      </c>
      <c r="D52" s="5">
        <v>13</v>
      </c>
      <c r="E52" s="5">
        <v>90039</v>
      </c>
      <c r="H52" s="69">
        <v>5436013011</v>
      </c>
      <c r="I52" s="67">
        <v>45666</v>
      </c>
      <c r="J52" s="37" t="s">
        <v>27</v>
      </c>
      <c r="K52" s="70" t="s">
        <v>655</v>
      </c>
      <c r="M52" s="21">
        <v>0.73299999999999998</v>
      </c>
      <c r="N52" s="21"/>
      <c r="O52" s="21"/>
      <c r="P52" s="21"/>
      <c r="Q52" s="21"/>
      <c r="R52" s="37" t="s">
        <v>2825</v>
      </c>
    </row>
    <row r="53" spans="1:37" ht="14.25">
      <c r="A53" s="42">
        <v>45668</v>
      </c>
      <c r="B53" s="37" t="s">
        <v>674</v>
      </c>
      <c r="C53" s="37" t="s">
        <v>25</v>
      </c>
      <c r="D53" s="37">
        <v>5</v>
      </c>
      <c r="E53" s="37">
        <v>90034</v>
      </c>
      <c r="F53" s="43"/>
      <c r="G53" s="43"/>
      <c r="H53" s="44"/>
      <c r="I53" s="42">
        <v>45667</v>
      </c>
      <c r="J53" s="37" t="s">
        <v>27</v>
      </c>
      <c r="K53" s="48" t="s">
        <v>675</v>
      </c>
      <c r="L53" s="37"/>
      <c r="M53" s="46">
        <v>0.20100000000000001</v>
      </c>
      <c r="N53" s="46"/>
      <c r="O53" s="46"/>
      <c r="P53" s="46"/>
      <c r="Q53" s="46"/>
      <c r="R53" s="37" t="s">
        <v>2826</v>
      </c>
      <c r="S53" s="37"/>
      <c r="T53" s="37"/>
      <c r="U53" s="37"/>
      <c r="V53" s="37"/>
      <c r="W53" s="37"/>
      <c r="X53" s="37"/>
      <c r="Y53" s="37"/>
      <c r="Z53" s="37"/>
      <c r="AA53" s="37"/>
      <c r="AB53" s="37"/>
      <c r="AC53" s="37"/>
      <c r="AD53" s="37"/>
      <c r="AE53" s="37"/>
      <c r="AF53" s="37"/>
      <c r="AG53" s="37"/>
      <c r="AH53" s="37"/>
      <c r="AI53" s="37"/>
      <c r="AJ53" s="37"/>
      <c r="AK53" s="37"/>
    </row>
    <row r="54" spans="1:37" ht="14.25">
      <c r="A54" s="42">
        <v>45668</v>
      </c>
      <c r="B54" s="37" t="s">
        <v>687</v>
      </c>
      <c r="C54" s="37" t="s">
        <v>25</v>
      </c>
      <c r="D54" s="37">
        <v>5</v>
      </c>
      <c r="E54" s="37">
        <v>90048</v>
      </c>
      <c r="F54" s="43"/>
      <c r="G54" s="43"/>
      <c r="H54" s="44"/>
      <c r="I54" s="42">
        <v>45668</v>
      </c>
      <c r="J54" s="37" t="s">
        <v>27</v>
      </c>
      <c r="K54" s="48" t="s">
        <v>688</v>
      </c>
      <c r="L54" s="37"/>
      <c r="M54" s="46">
        <v>0.10100000000000001</v>
      </c>
      <c r="N54" s="46"/>
      <c r="O54" s="46"/>
      <c r="P54" s="46"/>
      <c r="Q54" s="46"/>
      <c r="R54" s="37" t="s">
        <v>2827</v>
      </c>
      <c r="S54" s="37"/>
      <c r="T54" s="37"/>
      <c r="U54" s="37"/>
      <c r="V54" s="37"/>
      <c r="W54" s="37"/>
      <c r="X54" s="37"/>
      <c r="Y54" s="37"/>
      <c r="Z54" s="37"/>
      <c r="AA54" s="37"/>
      <c r="AB54" s="37"/>
      <c r="AC54" s="37"/>
      <c r="AD54" s="37"/>
      <c r="AE54" s="37"/>
      <c r="AF54" s="37"/>
      <c r="AG54" s="37"/>
      <c r="AH54" s="37"/>
      <c r="AI54" s="37"/>
      <c r="AJ54" s="37"/>
      <c r="AK54" s="37"/>
    </row>
    <row r="55" spans="1:37" ht="14.25">
      <c r="A55" s="42">
        <v>45668</v>
      </c>
      <c r="B55" s="37" t="s">
        <v>711</v>
      </c>
      <c r="C55" s="37" t="s">
        <v>25</v>
      </c>
      <c r="D55" s="37">
        <v>5</v>
      </c>
      <c r="E55" s="37">
        <v>90035</v>
      </c>
      <c r="F55" s="43"/>
      <c r="G55" s="43"/>
      <c r="H55" s="44"/>
      <c r="I55" s="42">
        <v>45667</v>
      </c>
      <c r="J55" s="37" t="s">
        <v>27</v>
      </c>
      <c r="K55" s="48" t="s">
        <v>712</v>
      </c>
      <c r="L55" s="37"/>
      <c r="M55" s="46">
        <v>0.122</v>
      </c>
      <c r="N55" s="46"/>
      <c r="O55" s="46"/>
      <c r="P55" s="46"/>
      <c r="Q55" s="46"/>
      <c r="R55" s="37" t="s">
        <v>2828</v>
      </c>
      <c r="S55" s="37"/>
      <c r="T55" s="37"/>
      <c r="U55" s="37"/>
      <c r="V55" s="37"/>
      <c r="W55" s="37"/>
      <c r="X55" s="37"/>
      <c r="Y55" s="37"/>
      <c r="Z55" s="37"/>
      <c r="AA55" s="37"/>
      <c r="AB55" s="37"/>
      <c r="AC55" s="37"/>
      <c r="AD55" s="37"/>
      <c r="AE55" s="37"/>
      <c r="AF55" s="37"/>
      <c r="AG55" s="37"/>
      <c r="AH55" s="37"/>
      <c r="AI55" s="37"/>
      <c r="AJ55" s="37"/>
      <c r="AK55" s="37"/>
    </row>
    <row r="56" spans="1:37" ht="14.25">
      <c r="A56" s="42">
        <v>45668</v>
      </c>
      <c r="B56" s="37" t="s">
        <v>739</v>
      </c>
      <c r="C56" s="37" t="s">
        <v>25</v>
      </c>
      <c r="D56" s="37">
        <v>11</v>
      </c>
      <c r="E56" s="37">
        <v>90049</v>
      </c>
      <c r="F56" s="43"/>
      <c r="G56" s="43"/>
      <c r="H56" s="44"/>
      <c r="I56" s="43" t="s">
        <v>2811</v>
      </c>
      <c r="J56" s="37" t="s">
        <v>27</v>
      </c>
      <c r="K56" s="45" t="s">
        <v>740</v>
      </c>
      <c r="L56" s="37"/>
      <c r="M56" s="46">
        <v>0.52849999999999997</v>
      </c>
      <c r="N56" s="46"/>
      <c r="O56" s="46"/>
      <c r="P56" s="46"/>
      <c r="Q56" s="46"/>
      <c r="R56" s="37" t="s">
        <v>2829</v>
      </c>
      <c r="S56" s="37"/>
      <c r="T56" s="37"/>
      <c r="U56" s="37"/>
      <c r="V56" s="37"/>
      <c r="W56" s="37"/>
      <c r="X56" s="37"/>
      <c r="Y56" s="37"/>
      <c r="Z56" s="37"/>
      <c r="AA56" s="37"/>
      <c r="AB56" s="37"/>
      <c r="AC56" s="37"/>
      <c r="AD56" s="37"/>
      <c r="AE56" s="37"/>
      <c r="AF56" s="37"/>
      <c r="AG56" s="37"/>
      <c r="AH56" s="37"/>
      <c r="AI56" s="37"/>
      <c r="AJ56" s="37"/>
      <c r="AK56" s="37"/>
    </row>
    <row r="57" spans="1:37" ht="14.25">
      <c r="A57" s="42">
        <v>45668</v>
      </c>
      <c r="B57" s="37" t="s">
        <v>757</v>
      </c>
      <c r="C57" s="37" t="s">
        <v>25</v>
      </c>
      <c r="D57" s="37">
        <v>4</v>
      </c>
      <c r="E57" s="37">
        <v>90046</v>
      </c>
      <c r="F57" s="43"/>
      <c r="G57" s="43"/>
      <c r="H57" s="44">
        <v>5556004007</v>
      </c>
      <c r="I57" s="42">
        <v>45666</v>
      </c>
      <c r="J57" s="37" t="s">
        <v>27</v>
      </c>
      <c r="K57" s="48" t="s">
        <v>758</v>
      </c>
      <c r="L57" s="37"/>
      <c r="M57" s="46">
        <v>0.105</v>
      </c>
      <c r="N57" s="46"/>
      <c r="O57" s="46"/>
      <c r="P57" s="46"/>
      <c r="Q57" s="46"/>
      <c r="R57" s="37" t="s">
        <v>2830</v>
      </c>
      <c r="S57" s="37"/>
      <c r="T57" s="37"/>
      <c r="U57" s="37"/>
      <c r="V57" s="37"/>
      <c r="W57" s="37"/>
      <c r="X57" s="37"/>
      <c r="Y57" s="37"/>
      <c r="Z57" s="37"/>
      <c r="AA57" s="37"/>
      <c r="AB57" s="37"/>
      <c r="AC57" s="37"/>
      <c r="AD57" s="37"/>
      <c r="AE57" s="37"/>
      <c r="AF57" s="37"/>
      <c r="AG57" s="37"/>
      <c r="AH57" s="37"/>
      <c r="AI57" s="37"/>
      <c r="AJ57" s="37"/>
      <c r="AK57" s="37"/>
    </row>
    <row r="58" spans="1:37" ht="14.25">
      <c r="A58" s="42">
        <v>45668</v>
      </c>
      <c r="B58" s="37" t="s">
        <v>2831</v>
      </c>
      <c r="C58" s="37" t="s">
        <v>25</v>
      </c>
      <c r="D58" s="37">
        <v>4</v>
      </c>
      <c r="E58" s="37">
        <v>90068</v>
      </c>
      <c r="F58" s="43"/>
      <c r="G58" s="43"/>
      <c r="H58" s="44">
        <v>5579038006</v>
      </c>
      <c r="I58" s="42">
        <v>45666</v>
      </c>
      <c r="J58" s="37" t="s">
        <v>27</v>
      </c>
      <c r="K58" s="45" t="s">
        <v>2832</v>
      </c>
      <c r="L58" s="37"/>
      <c r="M58" s="46">
        <v>0.84799999999999998</v>
      </c>
      <c r="N58" s="46"/>
      <c r="O58" s="46"/>
      <c r="P58" s="46"/>
      <c r="Q58" s="46"/>
      <c r="R58" s="5" t="s">
        <v>2833</v>
      </c>
      <c r="S58" s="37"/>
      <c r="T58" s="37"/>
      <c r="U58" s="37"/>
      <c r="V58" s="37"/>
      <c r="W58" s="37"/>
      <c r="X58" s="37"/>
      <c r="Y58" s="37"/>
      <c r="Z58" s="37"/>
      <c r="AA58" s="37"/>
      <c r="AB58" s="37"/>
      <c r="AC58" s="37"/>
      <c r="AD58" s="37"/>
      <c r="AE58" s="37"/>
      <c r="AF58" s="37"/>
      <c r="AG58" s="37"/>
      <c r="AH58" s="37"/>
      <c r="AI58" s="37"/>
      <c r="AJ58" s="37"/>
      <c r="AK58" s="37"/>
    </row>
    <row r="59" spans="1:37" ht="14.25">
      <c r="A59" s="42">
        <v>45668</v>
      </c>
      <c r="B59" s="37" t="s">
        <v>776</v>
      </c>
      <c r="C59" s="37" t="s">
        <v>25</v>
      </c>
      <c r="D59" s="37">
        <v>10</v>
      </c>
      <c r="E59" s="37">
        <v>90016</v>
      </c>
      <c r="F59" s="43"/>
      <c r="G59" s="43"/>
      <c r="H59" s="44">
        <v>5062021005</v>
      </c>
      <c r="I59" s="43" t="s">
        <v>2834</v>
      </c>
      <c r="J59" s="37" t="s">
        <v>27</v>
      </c>
      <c r="K59" s="48" t="s">
        <v>777</v>
      </c>
      <c r="L59" s="37"/>
      <c r="M59" s="62">
        <v>0.6</v>
      </c>
      <c r="N59" s="62"/>
      <c r="O59" s="62"/>
      <c r="P59" s="62"/>
      <c r="Q59" s="62"/>
      <c r="R59" s="37" t="s">
        <v>2835</v>
      </c>
      <c r="S59" s="37"/>
      <c r="T59" s="37"/>
      <c r="U59" s="37"/>
      <c r="V59" s="37"/>
      <c r="W59" s="37"/>
      <c r="X59" s="37"/>
      <c r="Y59" s="37"/>
      <c r="Z59" s="37"/>
      <c r="AA59" s="37"/>
      <c r="AB59" s="37"/>
      <c r="AC59" s="37"/>
      <c r="AD59" s="37"/>
      <c r="AE59" s="37"/>
      <c r="AF59" s="37"/>
      <c r="AG59" s="37"/>
      <c r="AH59" s="37"/>
      <c r="AI59" s="37"/>
      <c r="AJ59" s="37"/>
      <c r="AK59" s="37"/>
    </row>
    <row r="60" spans="1:37" ht="14.25">
      <c r="A60" s="42">
        <v>45668</v>
      </c>
      <c r="B60" s="37" t="s">
        <v>811</v>
      </c>
      <c r="C60" s="37" t="s">
        <v>353</v>
      </c>
      <c r="D60" s="37">
        <v>11</v>
      </c>
      <c r="E60" s="37">
        <v>90067</v>
      </c>
      <c r="F60" s="43"/>
      <c r="G60" s="43"/>
      <c r="H60" s="44"/>
      <c r="I60" s="42">
        <v>45668</v>
      </c>
      <c r="J60" s="37" t="s">
        <v>27</v>
      </c>
      <c r="K60" s="48" t="s">
        <v>812</v>
      </c>
      <c r="L60" s="37"/>
      <c r="M60" s="62">
        <v>0.25</v>
      </c>
      <c r="N60" s="62"/>
      <c r="O60" s="62"/>
      <c r="P60" s="62"/>
      <c r="Q60" s="62"/>
      <c r="R60" s="37" t="s">
        <v>2836</v>
      </c>
      <c r="S60" s="37"/>
      <c r="T60" s="37"/>
      <c r="U60" s="37"/>
      <c r="V60" s="37"/>
      <c r="W60" s="37"/>
      <c r="X60" s="37"/>
      <c r="Y60" s="37"/>
      <c r="Z60" s="37"/>
      <c r="AA60" s="37"/>
      <c r="AB60" s="37"/>
      <c r="AC60" s="37"/>
      <c r="AD60" s="37"/>
      <c r="AE60" s="37"/>
      <c r="AF60" s="37"/>
      <c r="AG60" s="37"/>
      <c r="AH60" s="37"/>
      <c r="AI60" s="37"/>
      <c r="AJ60" s="37"/>
      <c r="AK60" s="37"/>
    </row>
    <row r="61" spans="1:37" ht="14.25">
      <c r="A61" s="42">
        <v>45658</v>
      </c>
      <c r="B61" s="37" t="s">
        <v>830</v>
      </c>
      <c r="C61" s="37" t="s">
        <v>127</v>
      </c>
      <c r="D61" s="37"/>
      <c r="E61" s="37">
        <v>91604</v>
      </c>
      <c r="F61" s="43"/>
      <c r="G61" s="43"/>
      <c r="H61" s="44"/>
      <c r="I61" s="42">
        <v>45667</v>
      </c>
      <c r="J61" s="37" t="s">
        <v>27</v>
      </c>
      <c r="K61" s="48" t="s">
        <v>832</v>
      </c>
      <c r="L61" s="37"/>
      <c r="M61" s="37"/>
      <c r="N61" s="37"/>
      <c r="O61" s="37"/>
      <c r="P61" s="37"/>
      <c r="Q61" s="37"/>
      <c r="R61" s="37"/>
      <c r="S61" s="37"/>
      <c r="T61" s="37"/>
      <c r="U61" s="37"/>
      <c r="V61" s="37"/>
      <c r="W61" s="37"/>
      <c r="X61" s="37"/>
      <c r="Y61" s="37"/>
      <c r="Z61" s="37"/>
      <c r="AA61" s="37"/>
      <c r="AB61" s="37"/>
      <c r="AC61" s="37"/>
      <c r="AD61" s="37"/>
      <c r="AE61" s="37"/>
      <c r="AF61" s="37"/>
      <c r="AG61" s="37"/>
      <c r="AH61" s="37"/>
      <c r="AI61" s="37"/>
      <c r="AJ61" s="37"/>
      <c r="AK61" s="37"/>
    </row>
    <row r="62" spans="1:37" ht="14.25">
      <c r="A62" s="42">
        <v>45667</v>
      </c>
      <c r="B62" s="37" t="s">
        <v>878</v>
      </c>
      <c r="C62" s="37" t="s">
        <v>25</v>
      </c>
      <c r="D62" s="37">
        <v>10</v>
      </c>
      <c r="E62" s="37">
        <v>90035</v>
      </c>
      <c r="F62" s="43"/>
      <c r="G62" s="43"/>
      <c r="H62" s="44">
        <v>5066008031</v>
      </c>
      <c r="I62" s="42">
        <v>45667</v>
      </c>
      <c r="J62" s="37" t="s">
        <v>27</v>
      </c>
      <c r="K62" s="48" t="s">
        <v>879</v>
      </c>
      <c r="L62" s="37"/>
      <c r="M62" s="37"/>
      <c r="N62" s="37"/>
      <c r="O62" s="37"/>
      <c r="P62" s="37"/>
      <c r="Q62" s="37"/>
      <c r="R62" s="37"/>
      <c r="S62" s="37"/>
      <c r="T62" s="37"/>
      <c r="U62" s="37"/>
      <c r="V62" s="37"/>
      <c r="W62" s="37"/>
      <c r="X62" s="37"/>
      <c r="Y62" s="37"/>
      <c r="Z62" s="37"/>
      <c r="AA62" s="37"/>
      <c r="AB62" s="37"/>
      <c r="AC62" s="37"/>
      <c r="AD62" s="37"/>
      <c r="AE62" s="37"/>
      <c r="AF62" s="37"/>
      <c r="AG62" s="37"/>
      <c r="AH62" s="37"/>
      <c r="AI62" s="37"/>
      <c r="AJ62" s="37"/>
      <c r="AK62" s="37"/>
    </row>
    <row r="63" spans="1:37" ht="14.25">
      <c r="A63" s="71">
        <v>45668.939317280092</v>
      </c>
      <c r="B63" s="72" t="s">
        <v>2837</v>
      </c>
      <c r="C63" s="72" t="s">
        <v>359</v>
      </c>
      <c r="D63" s="73"/>
      <c r="E63" s="74">
        <v>90045</v>
      </c>
      <c r="F63" s="43"/>
      <c r="G63" s="43"/>
      <c r="H63" s="75">
        <v>4272007003</v>
      </c>
      <c r="I63" s="76">
        <v>45667</v>
      </c>
      <c r="J63" s="37" t="s">
        <v>27</v>
      </c>
      <c r="K63" s="77" t="s">
        <v>2838</v>
      </c>
      <c r="L63" s="37"/>
      <c r="M63" s="37"/>
      <c r="N63" s="22"/>
      <c r="O63" s="22"/>
      <c r="P63" s="22"/>
      <c r="Q63" s="22"/>
      <c r="R63" s="37"/>
      <c r="S63" s="37"/>
      <c r="T63" s="37"/>
      <c r="U63" s="37"/>
      <c r="V63" s="37"/>
      <c r="W63" s="37"/>
      <c r="X63" s="37"/>
      <c r="Y63" s="37"/>
      <c r="Z63" s="37"/>
      <c r="AA63" s="37"/>
      <c r="AB63" s="37"/>
      <c r="AC63" s="37"/>
      <c r="AD63" s="37"/>
      <c r="AE63" s="37"/>
      <c r="AF63" s="37"/>
      <c r="AG63" s="37"/>
      <c r="AH63" s="37"/>
      <c r="AI63" s="37"/>
      <c r="AJ63" s="37"/>
      <c r="AK63" s="37"/>
    </row>
    <row r="64" spans="1:37" ht="14.25">
      <c r="A64" s="78">
        <v>45668.96669966435</v>
      </c>
      <c r="B64" s="79" t="s">
        <v>2839</v>
      </c>
      <c r="C64" s="79" t="s">
        <v>353</v>
      </c>
      <c r="D64" s="80">
        <v>11</v>
      </c>
      <c r="E64" s="81">
        <v>90064</v>
      </c>
      <c r="F64" s="43"/>
      <c r="G64" s="43"/>
      <c r="H64" s="75" t="s">
        <v>2840</v>
      </c>
      <c r="I64" s="76">
        <v>45668</v>
      </c>
      <c r="J64" s="37" t="s">
        <v>27</v>
      </c>
      <c r="K64" s="82" t="s">
        <v>2841</v>
      </c>
      <c r="L64" s="37"/>
      <c r="M64" s="62">
        <v>0.4</v>
      </c>
      <c r="N64" s="22"/>
      <c r="O64" s="22"/>
      <c r="P64" s="22" t="s">
        <v>2842</v>
      </c>
      <c r="Q64" s="22"/>
      <c r="R64" s="37"/>
      <c r="S64" s="37"/>
      <c r="T64" s="37"/>
      <c r="U64" s="37"/>
      <c r="V64" s="37"/>
      <c r="W64" s="37"/>
      <c r="X64" s="37"/>
      <c r="Y64" s="37"/>
      <c r="Z64" s="37"/>
      <c r="AA64" s="37"/>
      <c r="AB64" s="37"/>
      <c r="AC64" s="37"/>
      <c r="AD64" s="37"/>
      <c r="AE64" s="37"/>
      <c r="AF64" s="37"/>
      <c r="AG64" s="37"/>
      <c r="AH64" s="37"/>
      <c r="AI64" s="37"/>
      <c r="AJ64" s="37"/>
      <c r="AK64" s="37"/>
    </row>
    <row r="65" spans="1:37" ht="14.25">
      <c r="A65" s="71">
        <v>45668.97135673611</v>
      </c>
      <c r="B65" s="72" t="s">
        <v>24</v>
      </c>
      <c r="C65" s="72" t="s">
        <v>25</v>
      </c>
      <c r="D65" s="73">
        <v>11</v>
      </c>
      <c r="E65" s="74">
        <v>90049</v>
      </c>
      <c r="F65" s="43"/>
      <c r="G65" s="43"/>
      <c r="H65" s="75">
        <v>4494010023</v>
      </c>
      <c r="I65" s="76">
        <v>45667</v>
      </c>
      <c r="J65" s="37" t="s">
        <v>27</v>
      </c>
      <c r="K65" s="77" t="s">
        <v>28</v>
      </c>
      <c r="L65" s="37"/>
      <c r="M65" s="46">
        <v>0.33400000000000002</v>
      </c>
      <c r="N65" s="22"/>
      <c r="O65" s="22"/>
      <c r="P65" s="22" t="s">
        <v>29</v>
      </c>
      <c r="Q65" s="22"/>
      <c r="R65" s="37"/>
      <c r="S65" s="37"/>
      <c r="T65" s="37"/>
      <c r="U65" s="37"/>
      <c r="V65" s="37"/>
      <c r="W65" s="37"/>
      <c r="X65" s="37"/>
      <c r="Y65" s="37"/>
      <c r="Z65" s="37"/>
      <c r="AA65" s="37"/>
      <c r="AB65" s="37"/>
      <c r="AC65" s="37"/>
      <c r="AD65" s="37"/>
      <c r="AE65" s="37"/>
      <c r="AF65" s="37"/>
      <c r="AG65" s="37"/>
      <c r="AH65" s="37"/>
      <c r="AI65" s="37"/>
      <c r="AJ65" s="37"/>
      <c r="AK65" s="37"/>
    </row>
    <row r="66" spans="1:37" ht="14.25">
      <c r="A66" s="78">
        <v>45668.974831307874</v>
      </c>
      <c r="B66" s="79" t="s">
        <v>36</v>
      </c>
      <c r="C66" s="79" t="s">
        <v>25</v>
      </c>
      <c r="D66" s="80">
        <v>13</v>
      </c>
      <c r="E66" s="81">
        <v>90026</v>
      </c>
      <c r="F66" s="43"/>
      <c r="G66" s="43"/>
      <c r="H66" s="75">
        <v>5429020022</v>
      </c>
      <c r="I66" s="76">
        <v>45668</v>
      </c>
      <c r="J66" s="37" t="s">
        <v>27</v>
      </c>
      <c r="K66" s="82" t="s">
        <v>37</v>
      </c>
      <c r="L66" s="37"/>
      <c r="M66" s="46">
        <v>0.222</v>
      </c>
      <c r="N66" s="22"/>
      <c r="O66" s="22"/>
      <c r="P66" s="22" t="s">
        <v>2843</v>
      </c>
      <c r="Q66" s="22"/>
      <c r="R66" s="37"/>
      <c r="S66" s="37"/>
      <c r="T66" s="37"/>
      <c r="U66" s="37"/>
      <c r="V66" s="37"/>
      <c r="W66" s="37"/>
      <c r="X66" s="37"/>
      <c r="Y66" s="37"/>
      <c r="Z66" s="37"/>
      <c r="AA66" s="37"/>
      <c r="AB66" s="37"/>
      <c r="AC66" s="37"/>
      <c r="AD66" s="37"/>
      <c r="AE66" s="37"/>
      <c r="AF66" s="37"/>
      <c r="AG66" s="37"/>
      <c r="AH66" s="37"/>
      <c r="AI66" s="37"/>
      <c r="AJ66" s="37"/>
      <c r="AK66" s="37"/>
    </row>
    <row r="67" spans="1:37" ht="14.25">
      <c r="A67" s="71">
        <v>45668.979238796295</v>
      </c>
      <c r="B67" s="72" t="s">
        <v>45</v>
      </c>
      <c r="C67" s="72" t="s">
        <v>25</v>
      </c>
      <c r="D67" s="73">
        <v>4</v>
      </c>
      <c r="E67" s="74">
        <v>90069</v>
      </c>
      <c r="F67" s="43"/>
      <c r="G67" s="43"/>
      <c r="H67" s="75">
        <v>5560025007</v>
      </c>
      <c r="I67" s="76">
        <v>45666</v>
      </c>
      <c r="J67" s="37" t="s">
        <v>27</v>
      </c>
      <c r="K67" s="77" t="s">
        <v>46</v>
      </c>
      <c r="L67" s="37"/>
      <c r="M67" s="46">
        <v>0.35299999999999998</v>
      </c>
      <c r="N67" s="22" t="s">
        <v>2844</v>
      </c>
      <c r="O67" s="22"/>
      <c r="P67" s="22"/>
      <c r="Q67" s="22"/>
      <c r="R67" s="37"/>
      <c r="S67" s="37"/>
      <c r="T67" s="37"/>
      <c r="U67" s="37"/>
      <c r="V67" s="37"/>
      <c r="W67" s="37"/>
      <c r="X67" s="37"/>
      <c r="Y67" s="37"/>
      <c r="Z67" s="37"/>
      <c r="AA67" s="37"/>
      <c r="AB67" s="37"/>
      <c r="AC67" s="37"/>
      <c r="AD67" s="37"/>
      <c r="AE67" s="37"/>
      <c r="AF67" s="37"/>
      <c r="AG67" s="37"/>
      <c r="AH67" s="37"/>
      <c r="AI67" s="37"/>
      <c r="AJ67" s="37"/>
      <c r="AK67" s="37"/>
    </row>
    <row r="68" spans="1:37" ht="14.25">
      <c r="A68" s="78">
        <v>45668.989492893517</v>
      </c>
      <c r="B68" s="79" t="s">
        <v>53</v>
      </c>
      <c r="C68" s="79" t="s">
        <v>25</v>
      </c>
      <c r="D68" s="80">
        <v>4</v>
      </c>
      <c r="E68" s="81">
        <v>90069</v>
      </c>
      <c r="F68" s="43"/>
      <c r="G68" s="43"/>
      <c r="H68" s="75">
        <v>5558002013</v>
      </c>
      <c r="I68" s="76">
        <v>45667</v>
      </c>
      <c r="J68" s="37" t="s">
        <v>27</v>
      </c>
      <c r="K68" s="82" t="s">
        <v>54</v>
      </c>
      <c r="L68" s="37"/>
      <c r="M68" s="46">
        <v>0.13900000000000001</v>
      </c>
      <c r="N68" s="22"/>
      <c r="O68" s="22"/>
      <c r="P68" s="22"/>
      <c r="Q68" s="22"/>
      <c r="R68" s="37"/>
      <c r="S68" s="37"/>
      <c r="T68" s="37"/>
      <c r="U68" s="37"/>
      <c r="V68" s="37"/>
      <c r="W68" s="37"/>
      <c r="X68" s="37"/>
      <c r="Y68" s="37"/>
      <c r="Z68" s="37"/>
      <c r="AA68" s="37"/>
      <c r="AB68" s="37"/>
      <c r="AC68" s="37"/>
      <c r="AD68" s="37"/>
      <c r="AE68" s="37"/>
      <c r="AF68" s="37"/>
      <c r="AG68" s="37"/>
      <c r="AH68" s="37"/>
      <c r="AI68" s="37"/>
      <c r="AJ68" s="37"/>
      <c r="AK68" s="37"/>
    </row>
    <row r="69" spans="1:37" ht="14.25">
      <c r="A69" s="71">
        <v>45668.991944398149</v>
      </c>
      <c r="B69" s="72" t="s">
        <v>62</v>
      </c>
      <c r="C69" s="72" t="s">
        <v>25</v>
      </c>
      <c r="D69" s="73"/>
      <c r="E69" s="74">
        <v>90046</v>
      </c>
      <c r="F69" s="43"/>
      <c r="G69" s="43"/>
      <c r="H69" s="75" t="s">
        <v>2845</v>
      </c>
      <c r="I69" s="76">
        <v>45666</v>
      </c>
      <c r="J69" s="37" t="s">
        <v>27</v>
      </c>
      <c r="K69" s="77" t="s">
        <v>63</v>
      </c>
      <c r="L69" s="37"/>
      <c r="M69" s="37"/>
      <c r="N69" s="22"/>
      <c r="O69" s="22"/>
      <c r="P69" s="22" t="s">
        <v>64</v>
      </c>
      <c r="Q69" s="22"/>
      <c r="R69" s="37"/>
      <c r="S69" s="37"/>
      <c r="T69" s="37"/>
      <c r="U69" s="37"/>
      <c r="V69" s="37"/>
      <c r="W69" s="37"/>
      <c r="X69" s="37"/>
      <c r="Y69" s="37"/>
      <c r="Z69" s="37"/>
      <c r="AA69" s="37"/>
      <c r="AB69" s="37"/>
      <c r="AC69" s="37"/>
      <c r="AD69" s="37"/>
      <c r="AE69" s="37"/>
      <c r="AF69" s="37"/>
      <c r="AG69" s="37"/>
      <c r="AH69" s="37"/>
      <c r="AI69" s="37"/>
      <c r="AJ69" s="37"/>
      <c r="AK69" s="37"/>
    </row>
    <row r="70" spans="1:37" ht="14.25">
      <c r="A70" s="78">
        <v>45668.994959398144</v>
      </c>
      <c r="B70" s="79" t="s">
        <v>70</v>
      </c>
      <c r="C70" s="79" t="s">
        <v>25</v>
      </c>
      <c r="D70" s="80">
        <v>4</v>
      </c>
      <c r="E70" s="81">
        <v>90034</v>
      </c>
      <c r="F70" s="43"/>
      <c r="G70" s="43"/>
      <c r="H70" s="75">
        <v>5066004003</v>
      </c>
      <c r="I70" s="76">
        <v>45666</v>
      </c>
      <c r="J70" s="37" t="s">
        <v>27</v>
      </c>
      <c r="K70" s="82" t="s">
        <v>71</v>
      </c>
      <c r="L70" s="37"/>
      <c r="M70" s="37"/>
      <c r="N70" s="22"/>
      <c r="O70" s="22"/>
      <c r="P70" s="22"/>
      <c r="Q70" s="22"/>
      <c r="R70" s="37"/>
      <c r="S70" s="37"/>
      <c r="T70" s="37"/>
      <c r="U70" s="37"/>
      <c r="V70" s="37"/>
      <c r="W70" s="37"/>
      <c r="X70" s="37"/>
      <c r="Y70" s="37"/>
      <c r="Z70" s="37"/>
      <c r="AA70" s="37"/>
      <c r="AB70" s="37"/>
      <c r="AC70" s="37"/>
      <c r="AD70" s="37"/>
      <c r="AE70" s="37"/>
      <c r="AF70" s="37"/>
      <c r="AG70" s="37"/>
      <c r="AH70" s="37"/>
      <c r="AI70" s="37"/>
      <c r="AJ70" s="37"/>
      <c r="AK70" s="37"/>
    </row>
    <row r="71" spans="1:37" ht="14.25">
      <c r="A71" s="71">
        <v>45668.99787979167</v>
      </c>
      <c r="B71" s="72" t="s">
        <v>78</v>
      </c>
      <c r="C71" s="72" t="s">
        <v>79</v>
      </c>
      <c r="D71" s="73"/>
      <c r="E71" s="74">
        <v>91307</v>
      </c>
      <c r="F71" s="43"/>
      <c r="G71" s="43"/>
      <c r="H71" s="75" t="s">
        <v>2846</v>
      </c>
      <c r="I71" s="76">
        <v>45668</v>
      </c>
      <c r="J71" s="37" t="s">
        <v>27</v>
      </c>
      <c r="K71" s="77" t="s">
        <v>80</v>
      </c>
      <c r="L71" s="37"/>
      <c r="M71" s="37"/>
      <c r="N71" s="22"/>
      <c r="O71" s="22"/>
      <c r="P71" s="22"/>
      <c r="Q71" s="22"/>
      <c r="R71" s="37"/>
      <c r="S71" s="37"/>
      <c r="T71" s="37"/>
      <c r="U71" s="37"/>
      <c r="V71" s="37"/>
      <c r="W71" s="37"/>
      <c r="X71" s="37"/>
      <c r="Y71" s="37"/>
      <c r="Z71" s="37"/>
      <c r="AA71" s="37"/>
      <c r="AB71" s="37"/>
      <c r="AC71" s="37"/>
      <c r="AD71" s="37"/>
      <c r="AE71" s="37"/>
      <c r="AF71" s="37"/>
      <c r="AG71" s="37"/>
      <c r="AH71" s="37"/>
      <c r="AI71" s="37"/>
      <c r="AJ71" s="37"/>
      <c r="AK71" s="37"/>
    </row>
    <row r="72" spans="1:37" ht="14.25">
      <c r="A72" s="78">
        <v>45669.000659814817</v>
      </c>
      <c r="B72" s="79" t="s">
        <v>87</v>
      </c>
      <c r="C72" s="79" t="s">
        <v>25</v>
      </c>
      <c r="D72" s="80"/>
      <c r="E72" s="81">
        <v>90048</v>
      </c>
      <c r="F72" s="43"/>
      <c r="G72" s="43"/>
      <c r="H72" s="75" t="s">
        <v>2846</v>
      </c>
      <c r="I72" s="76" t="s">
        <v>2847</v>
      </c>
      <c r="J72" s="37" t="s">
        <v>27</v>
      </c>
      <c r="K72" s="82" t="s">
        <v>88</v>
      </c>
      <c r="L72" s="37"/>
      <c r="M72" s="37"/>
      <c r="N72" s="22" t="s">
        <v>89</v>
      </c>
      <c r="O72" s="22"/>
      <c r="P72" s="22"/>
      <c r="Q72" s="22"/>
      <c r="R72" s="37"/>
      <c r="S72" s="37"/>
      <c r="T72" s="37"/>
      <c r="U72" s="37"/>
      <c r="V72" s="37"/>
      <c r="W72" s="37"/>
      <c r="X72" s="37"/>
      <c r="Y72" s="37"/>
      <c r="Z72" s="37"/>
      <c r="AA72" s="37"/>
      <c r="AB72" s="37"/>
      <c r="AC72" s="37"/>
      <c r="AD72" s="37"/>
      <c r="AE72" s="37"/>
      <c r="AF72" s="37"/>
      <c r="AG72" s="37"/>
      <c r="AH72" s="37"/>
      <c r="AI72" s="37"/>
      <c r="AJ72" s="37"/>
      <c r="AK72" s="37"/>
    </row>
    <row r="73" spans="1:37" ht="14.25">
      <c r="A73" s="71">
        <v>45669.017163055556</v>
      </c>
      <c r="B73" s="72" t="s">
        <v>94</v>
      </c>
      <c r="C73" s="72" t="s">
        <v>25</v>
      </c>
      <c r="D73" s="73"/>
      <c r="E73" s="74">
        <v>90068</v>
      </c>
      <c r="F73" s="43"/>
      <c r="G73" s="43"/>
      <c r="H73" s="75">
        <v>5577010114</v>
      </c>
      <c r="I73" s="76">
        <v>45664</v>
      </c>
      <c r="J73" s="37" t="s">
        <v>27</v>
      </c>
      <c r="K73" s="77" t="s">
        <v>95</v>
      </c>
      <c r="L73" s="37"/>
      <c r="M73" s="37"/>
      <c r="N73" s="22" t="s">
        <v>97</v>
      </c>
      <c r="O73" s="22"/>
      <c r="P73" s="22"/>
      <c r="Q73" s="22"/>
      <c r="R73" s="37"/>
      <c r="S73" s="37"/>
      <c r="T73" s="37"/>
      <c r="U73" s="37"/>
      <c r="V73" s="37"/>
      <c r="W73" s="37"/>
      <c r="X73" s="37"/>
      <c r="Y73" s="37"/>
      <c r="Z73" s="37"/>
      <c r="AA73" s="37"/>
      <c r="AB73" s="37"/>
      <c r="AC73" s="37"/>
      <c r="AD73" s="37"/>
      <c r="AE73" s="37"/>
      <c r="AF73" s="37"/>
      <c r="AG73" s="37"/>
      <c r="AH73" s="37"/>
      <c r="AI73" s="37"/>
      <c r="AJ73" s="37"/>
      <c r="AK73" s="37"/>
    </row>
    <row r="74" spans="1:37" ht="14.25">
      <c r="A74" s="78">
        <v>45669.017943090279</v>
      </c>
      <c r="B74" s="79" t="s">
        <v>101</v>
      </c>
      <c r="C74" s="79" t="s">
        <v>102</v>
      </c>
      <c r="D74" s="80"/>
      <c r="E74" s="81">
        <v>90034</v>
      </c>
      <c r="F74" s="43"/>
      <c r="G74" s="43"/>
      <c r="H74" s="75" t="s">
        <v>2848</v>
      </c>
      <c r="I74" s="76">
        <v>45668</v>
      </c>
      <c r="J74" s="37" t="s">
        <v>27</v>
      </c>
      <c r="K74" s="82" t="s">
        <v>103</v>
      </c>
      <c r="L74" s="37"/>
      <c r="M74" s="37"/>
      <c r="N74" s="22" t="s">
        <v>2849</v>
      </c>
      <c r="O74" s="22"/>
      <c r="P74" s="22" t="s">
        <v>2850</v>
      </c>
      <c r="Q74" s="22"/>
      <c r="R74" s="37"/>
      <c r="S74" s="37"/>
      <c r="T74" s="37"/>
      <c r="U74" s="37"/>
      <c r="V74" s="37"/>
      <c r="W74" s="37"/>
      <c r="X74" s="37"/>
      <c r="Y74" s="37"/>
      <c r="Z74" s="37"/>
      <c r="AA74" s="37"/>
      <c r="AB74" s="37"/>
      <c r="AC74" s="37"/>
      <c r="AD74" s="37"/>
      <c r="AE74" s="37"/>
      <c r="AF74" s="37"/>
      <c r="AG74" s="37"/>
      <c r="AH74" s="37"/>
      <c r="AI74" s="37"/>
      <c r="AJ74" s="37"/>
      <c r="AK74" s="37"/>
    </row>
    <row r="75" spans="1:37" ht="14.25">
      <c r="A75" s="71">
        <v>45669.018892893517</v>
      </c>
      <c r="B75" s="72" t="s">
        <v>110</v>
      </c>
      <c r="C75" s="72" t="s">
        <v>25</v>
      </c>
      <c r="D75" s="73"/>
      <c r="E75" s="74">
        <v>90041</v>
      </c>
      <c r="F75" s="43"/>
      <c r="G75" s="43"/>
      <c r="H75" s="75" t="s">
        <v>379</v>
      </c>
      <c r="I75" s="76">
        <v>45665</v>
      </c>
      <c r="J75" s="37" t="s">
        <v>27</v>
      </c>
      <c r="K75" s="77" t="s">
        <v>111</v>
      </c>
      <c r="L75" s="37"/>
      <c r="M75" s="37"/>
      <c r="N75" s="22" t="s">
        <v>112</v>
      </c>
      <c r="O75" s="22"/>
      <c r="P75" s="22"/>
      <c r="Q75" s="22"/>
      <c r="R75" s="37"/>
      <c r="S75" s="37"/>
      <c r="T75" s="37"/>
      <c r="U75" s="37"/>
      <c r="V75" s="37"/>
      <c r="W75" s="37"/>
      <c r="X75" s="37"/>
      <c r="Y75" s="37"/>
      <c r="Z75" s="37"/>
      <c r="AA75" s="37"/>
      <c r="AB75" s="37"/>
      <c r="AC75" s="37"/>
      <c r="AD75" s="37"/>
      <c r="AE75" s="37"/>
      <c r="AF75" s="37"/>
      <c r="AG75" s="37"/>
      <c r="AH75" s="37"/>
      <c r="AI75" s="37"/>
      <c r="AJ75" s="37"/>
      <c r="AK75" s="37"/>
    </row>
    <row r="76" spans="1:37" ht="14.25">
      <c r="A76" s="78">
        <v>45669.027511979162</v>
      </c>
      <c r="B76" s="79" t="s">
        <v>117</v>
      </c>
      <c r="C76" s="79" t="s">
        <v>118</v>
      </c>
      <c r="D76" s="80"/>
      <c r="E76" s="81">
        <v>91205</v>
      </c>
      <c r="F76" s="43"/>
      <c r="G76" s="43"/>
      <c r="H76" s="75">
        <v>5677025001</v>
      </c>
      <c r="I76" s="76">
        <v>45669</v>
      </c>
      <c r="J76" s="37" t="s">
        <v>27</v>
      </c>
      <c r="K76" s="82" t="s">
        <v>119</v>
      </c>
      <c r="L76" s="37"/>
      <c r="M76" s="37"/>
      <c r="N76" s="22" t="s">
        <v>2851</v>
      </c>
      <c r="O76" s="22"/>
      <c r="P76" s="22"/>
      <c r="Q76" s="22"/>
      <c r="R76" s="37"/>
      <c r="S76" s="37"/>
      <c r="T76" s="37"/>
      <c r="U76" s="37"/>
      <c r="V76" s="37"/>
      <c r="W76" s="37"/>
      <c r="X76" s="37"/>
      <c r="Y76" s="37"/>
      <c r="Z76" s="37"/>
      <c r="AA76" s="37"/>
      <c r="AB76" s="37"/>
      <c r="AC76" s="37"/>
      <c r="AD76" s="37"/>
      <c r="AE76" s="37"/>
      <c r="AF76" s="37"/>
      <c r="AG76" s="37"/>
      <c r="AH76" s="37"/>
      <c r="AI76" s="37"/>
      <c r="AJ76" s="37"/>
      <c r="AK76" s="37"/>
    </row>
    <row r="77" spans="1:37" ht="14.25">
      <c r="A77" s="71">
        <v>45669.111350416671</v>
      </c>
      <c r="B77" s="72" t="s">
        <v>126</v>
      </c>
      <c r="C77" s="72" t="s">
        <v>127</v>
      </c>
      <c r="D77" s="73"/>
      <c r="E77" s="74">
        <v>91604</v>
      </c>
      <c r="F77" s="43"/>
      <c r="G77" s="43"/>
      <c r="H77" s="75">
        <v>2369037006</v>
      </c>
      <c r="I77" s="76">
        <v>45666</v>
      </c>
      <c r="J77" s="37" t="s">
        <v>27</v>
      </c>
      <c r="K77" s="77" t="s">
        <v>128</v>
      </c>
      <c r="L77" s="37"/>
      <c r="M77" s="37"/>
      <c r="N77" s="22" t="s">
        <v>129</v>
      </c>
      <c r="O77" s="22"/>
      <c r="P77" s="22"/>
      <c r="Q77" s="22"/>
      <c r="R77" s="37"/>
      <c r="S77" s="37"/>
      <c r="T77" s="37"/>
      <c r="U77" s="37"/>
      <c r="V77" s="37"/>
      <c r="W77" s="37"/>
      <c r="X77" s="37"/>
      <c r="Y77" s="37"/>
      <c r="Z77" s="37"/>
      <c r="AA77" s="37"/>
      <c r="AB77" s="37"/>
      <c r="AC77" s="37"/>
      <c r="AD77" s="37"/>
      <c r="AE77" s="37"/>
      <c r="AF77" s="37"/>
      <c r="AG77" s="37"/>
      <c r="AH77" s="37"/>
      <c r="AI77" s="37"/>
      <c r="AJ77" s="37"/>
      <c r="AK77" s="37"/>
    </row>
    <row r="78" spans="1:37" ht="14.25">
      <c r="A78" s="78">
        <v>45669.113668287042</v>
      </c>
      <c r="B78" s="79" t="s">
        <v>135</v>
      </c>
      <c r="C78" s="79" t="s">
        <v>25</v>
      </c>
      <c r="D78" s="80"/>
      <c r="E78" s="81">
        <v>90068</v>
      </c>
      <c r="F78" s="43"/>
      <c r="G78" s="43"/>
      <c r="H78" s="75">
        <v>5549022024</v>
      </c>
      <c r="I78" s="76">
        <v>45668</v>
      </c>
      <c r="J78" s="37" t="s">
        <v>27</v>
      </c>
      <c r="K78" s="82" t="s">
        <v>136</v>
      </c>
      <c r="L78" s="37"/>
      <c r="M78" s="37"/>
      <c r="N78" s="22" t="s">
        <v>138</v>
      </c>
      <c r="O78" s="22"/>
      <c r="P78" s="22"/>
      <c r="Q78" s="22"/>
      <c r="R78" s="37"/>
      <c r="S78" s="37"/>
      <c r="T78" s="37"/>
      <c r="U78" s="37"/>
      <c r="V78" s="37"/>
      <c r="W78" s="37"/>
      <c r="X78" s="37"/>
      <c r="Y78" s="37"/>
      <c r="Z78" s="37"/>
      <c r="AA78" s="37"/>
      <c r="AB78" s="37"/>
      <c r="AC78" s="37"/>
      <c r="AD78" s="37"/>
      <c r="AE78" s="37"/>
      <c r="AF78" s="37"/>
      <c r="AG78" s="37"/>
      <c r="AH78" s="37"/>
      <c r="AI78" s="37"/>
      <c r="AJ78" s="37"/>
      <c r="AK78" s="37"/>
    </row>
    <row r="79" spans="1:37" ht="14.25">
      <c r="A79" s="71">
        <v>45669.115318657408</v>
      </c>
      <c r="B79" s="72" t="s">
        <v>141</v>
      </c>
      <c r="C79" s="72" t="s">
        <v>25</v>
      </c>
      <c r="D79" s="73"/>
      <c r="E79" s="74">
        <v>90004</v>
      </c>
      <c r="F79" s="43"/>
      <c r="G79" s="43"/>
      <c r="H79" s="75">
        <v>5516010001</v>
      </c>
      <c r="I79" s="76">
        <v>45665</v>
      </c>
      <c r="J79" s="37" t="s">
        <v>27</v>
      </c>
      <c r="K79" s="77" t="s">
        <v>142</v>
      </c>
      <c r="L79" s="37"/>
      <c r="M79" s="37"/>
      <c r="N79" s="22" t="s">
        <v>2852</v>
      </c>
      <c r="O79" s="22"/>
      <c r="P79" s="22"/>
      <c r="Q79" s="22"/>
      <c r="R79" s="37"/>
      <c r="S79" s="37"/>
      <c r="T79" s="37"/>
      <c r="U79" s="37"/>
      <c r="V79" s="37"/>
      <c r="W79" s="37"/>
      <c r="X79" s="37"/>
      <c r="Y79" s="37"/>
      <c r="Z79" s="37"/>
      <c r="AA79" s="37"/>
      <c r="AB79" s="37"/>
      <c r="AC79" s="37"/>
      <c r="AD79" s="37"/>
      <c r="AE79" s="37"/>
      <c r="AF79" s="37"/>
      <c r="AG79" s="37"/>
      <c r="AH79" s="37"/>
      <c r="AI79" s="37"/>
      <c r="AJ79" s="37"/>
      <c r="AK79" s="37"/>
    </row>
    <row r="80" spans="1:37" ht="14.25">
      <c r="A80" s="78">
        <v>45669.120238715273</v>
      </c>
      <c r="B80" s="79" t="s">
        <v>147</v>
      </c>
      <c r="C80" s="79" t="s">
        <v>25</v>
      </c>
      <c r="D80" s="80"/>
      <c r="E80" s="81">
        <v>90048</v>
      </c>
      <c r="F80" s="43"/>
      <c r="G80" s="43"/>
      <c r="H80" s="75">
        <v>5527015009</v>
      </c>
      <c r="I80" s="76">
        <v>45669</v>
      </c>
      <c r="J80" s="37" t="s">
        <v>27</v>
      </c>
      <c r="K80" s="82" t="s">
        <v>148</v>
      </c>
      <c r="L80" s="37"/>
      <c r="M80" s="37"/>
      <c r="N80" s="22" t="s">
        <v>797</v>
      </c>
      <c r="O80" s="22"/>
      <c r="P80" s="22"/>
      <c r="Q80" s="22"/>
      <c r="R80" s="37"/>
      <c r="S80" s="37"/>
      <c r="T80" s="37"/>
      <c r="U80" s="37"/>
      <c r="V80" s="37"/>
      <c r="W80" s="37"/>
      <c r="X80" s="37"/>
      <c r="Y80" s="37"/>
      <c r="Z80" s="37"/>
      <c r="AA80" s="37"/>
      <c r="AB80" s="37"/>
      <c r="AC80" s="37"/>
      <c r="AD80" s="37"/>
      <c r="AE80" s="37"/>
      <c r="AF80" s="37"/>
      <c r="AG80" s="37"/>
      <c r="AH80" s="37"/>
      <c r="AI80" s="37"/>
      <c r="AJ80" s="37"/>
      <c r="AK80" s="37"/>
    </row>
    <row r="81" spans="1:37" ht="14.25">
      <c r="A81" s="71">
        <v>45669.137052997685</v>
      </c>
      <c r="B81" s="72" t="s">
        <v>153</v>
      </c>
      <c r="C81" s="72" t="s">
        <v>25</v>
      </c>
      <c r="D81" s="73"/>
      <c r="E81" s="74">
        <v>90068</v>
      </c>
      <c r="F81" s="43"/>
      <c r="G81" s="43"/>
      <c r="H81" s="75">
        <v>5088003052</v>
      </c>
      <c r="I81" s="76">
        <v>45669</v>
      </c>
      <c r="J81" s="37" t="s">
        <v>27</v>
      </c>
      <c r="K81" s="77" t="s">
        <v>154</v>
      </c>
      <c r="L81" s="37"/>
      <c r="M81" s="37"/>
      <c r="N81" s="22" t="s">
        <v>155</v>
      </c>
      <c r="O81" s="22"/>
      <c r="P81" s="22"/>
      <c r="Q81" s="22"/>
      <c r="R81" s="37"/>
      <c r="S81" s="37"/>
      <c r="T81" s="37"/>
      <c r="U81" s="37"/>
      <c r="V81" s="37"/>
      <c r="W81" s="37"/>
      <c r="X81" s="37"/>
      <c r="Y81" s="37"/>
      <c r="Z81" s="37"/>
      <c r="AA81" s="37"/>
      <c r="AB81" s="37"/>
      <c r="AC81" s="37"/>
      <c r="AD81" s="37"/>
      <c r="AE81" s="37"/>
      <c r="AF81" s="37"/>
      <c r="AG81" s="37"/>
      <c r="AH81" s="37"/>
      <c r="AI81" s="37"/>
      <c r="AJ81" s="37"/>
      <c r="AK81" s="37"/>
    </row>
    <row r="82" spans="1:37" ht="14.25">
      <c r="A82" s="78">
        <v>45669.138391041663</v>
      </c>
      <c r="B82" s="79" t="s">
        <v>159</v>
      </c>
      <c r="C82" s="79" t="s">
        <v>25</v>
      </c>
      <c r="D82" s="80"/>
      <c r="E82" s="81">
        <v>90026</v>
      </c>
      <c r="F82" s="43"/>
      <c r="G82" s="43"/>
      <c r="H82" s="75">
        <v>5157027044</v>
      </c>
      <c r="I82" s="76">
        <v>45669</v>
      </c>
      <c r="J82" s="37" t="s">
        <v>27</v>
      </c>
      <c r="K82" s="82" t="s">
        <v>160</v>
      </c>
      <c r="L82" s="37"/>
      <c r="M82" s="37"/>
      <c r="N82" s="22" t="s">
        <v>161</v>
      </c>
      <c r="O82" s="22"/>
      <c r="P82" s="22"/>
      <c r="Q82" s="22"/>
      <c r="R82" s="37"/>
      <c r="S82" s="37"/>
      <c r="T82" s="37"/>
      <c r="U82" s="37"/>
      <c r="V82" s="37"/>
      <c r="W82" s="37"/>
      <c r="X82" s="37"/>
      <c r="Y82" s="37"/>
      <c r="Z82" s="37"/>
      <c r="AA82" s="37"/>
      <c r="AB82" s="37"/>
      <c r="AC82" s="37"/>
      <c r="AD82" s="37"/>
      <c r="AE82" s="37"/>
      <c r="AF82" s="37"/>
      <c r="AG82" s="37"/>
      <c r="AH82" s="37"/>
      <c r="AI82" s="37"/>
      <c r="AJ82" s="37"/>
      <c r="AK82" s="37"/>
    </row>
    <row r="83" spans="1:37" ht="14.25">
      <c r="A83" s="71">
        <v>45669.139984687499</v>
      </c>
      <c r="B83" s="72" t="s">
        <v>2853</v>
      </c>
      <c r="C83" s="72" t="s">
        <v>25</v>
      </c>
      <c r="D83" s="73"/>
      <c r="E83" s="74">
        <v>90069</v>
      </c>
      <c r="F83" s="43"/>
      <c r="G83" s="43"/>
      <c r="H83" s="75">
        <v>5558016025</v>
      </c>
      <c r="I83" s="76">
        <v>45666</v>
      </c>
      <c r="J83" s="37" t="s">
        <v>27</v>
      </c>
      <c r="K83" s="77" t="s">
        <v>2854</v>
      </c>
      <c r="L83" s="37"/>
      <c r="M83" s="37"/>
      <c r="N83" s="22" t="s">
        <v>635</v>
      </c>
      <c r="O83" s="22"/>
      <c r="P83" s="22"/>
      <c r="Q83" s="22"/>
      <c r="R83" s="37"/>
      <c r="S83" s="37"/>
      <c r="T83" s="37"/>
      <c r="U83" s="37"/>
      <c r="V83" s="37"/>
      <c r="W83" s="37"/>
      <c r="X83" s="37"/>
      <c r="Y83" s="37"/>
      <c r="Z83" s="37"/>
      <c r="AA83" s="37"/>
      <c r="AB83" s="37"/>
      <c r="AC83" s="37"/>
      <c r="AD83" s="37"/>
      <c r="AE83" s="37"/>
      <c r="AF83" s="37"/>
      <c r="AG83" s="37"/>
      <c r="AH83" s="37"/>
      <c r="AI83" s="37"/>
      <c r="AJ83" s="37"/>
      <c r="AK83" s="37"/>
    </row>
    <row r="84" spans="1:37" ht="14.25">
      <c r="A84" s="78">
        <v>45669.141037048612</v>
      </c>
      <c r="B84" s="79" t="s">
        <v>164</v>
      </c>
      <c r="C84" s="79" t="s">
        <v>25</v>
      </c>
      <c r="D84" s="80"/>
      <c r="E84" s="81">
        <v>90046</v>
      </c>
      <c r="F84" s="43"/>
      <c r="G84" s="43"/>
      <c r="H84" s="75">
        <v>5565040037</v>
      </c>
      <c r="I84" s="76">
        <v>45666</v>
      </c>
      <c r="J84" s="37" t="s">
        <v>27</v>
      </c>
      <c r="K84" s="82" t="s">
        <v>165</v>
      </c>
      <c r="L84" s="37"/>
      <c r="M84" s="37"/>
      <c r="N84" s="22" t="s">
        <v>166</v>
      </c>
      <c r="O84" s="22"/>
      <c r="P84" s="22"/>
      <c r="Q84" s="22"/>
      <c r="R84" s="37"/>
      <c r="S84" s="37"/>
      <c r="T84" s="37"/>
      <c r="U84" s="37"/>
      <c r="V84" s="37"/>
      <c r="W84" s="37"/>
      <c r="X84" s="37"/>
      <c r="Y84" s="37"/>
      <c r="Z84" s="37"/>
      <c r="AA84" s="37"/>
      <c r="AB84" s="37"/>
      <c r="AC84" s="37"/>
      <c r="AD84" s="37"/>
      <c r="AE84" s="37"/>
      <c r="AF84" s="37"/>
      <c r="AG84" s="37"/>
      <c r="AH84" s="37"/>
      <c r="AI84" s="37"/>
      <c r="AJ84" s="37"/>
      <c r="AK84" s="37"/>
    </row>
    <row r="85" spans="1:37" ht="14.25">
      <c r="A85" s="71">
        <v>45669.142421458339</v>
      </c>
      <c r="B85" s="72" t="s">
        <v>170</v>
      </c>
      <c r="C85" s="72" t="s">
        <v>25</v>
      </c>
      <c r="D85" s="73"/>
      <c r="E85" s="74">
        <v>90068</v>
      </c>
      <c r="F85" s="43"/>
      <c r="G85" s="43"/>
      <c r="H85" s="75">
        <v>5576015017</v>
      </c>
      <c r="I85" s="76">
        <v>45669</v>
      </c>
      <c r="J85" s="37" t="s">
        <v>27</v>
      </c>
      <c r="K85" s="77" t="s">
        <v>171</v>
      </c>
      <c r="L85" s="37"/>
      <c r="M85" s="37"/>
      <c r="N85" s="22" t="s">
        <v>172</v>
      </c>
      <c r="O85" s="22"/>
      <c r="P85" s="22"/>
      <c r="Q85" s="22"/>
      <c r="R85" s="37"/>
      <c r="S85" s="37"/>
      <c r="T85" s="37"/>
      <c r="U85" s="37"/>
      <c r="V85" s="37"/>
      <c r="W85" s="37"/>
      <c r="X85" s="37"/>
      <c r="Y85" s="37"/>
      <c r="Z85" s="37"/>
      <c r="AA85" s="37"/>
      <c r="AB85" s="37"/>
      <c r="AC85" s="37"/>
      <c r="AD85" s="37"/>
      <c r="AE85" s="37"/>
      <c r="AF85" s="37"/>
      <c r="AG85" s="37"/>
      <c r="AH85" s="37"/>
      <c r="AI85" s="37"/>
      <c r="AJ85" s="37"/>
      <c r="AK85" s="37"/>
    </row>
    <row r="86" spans="1:37" ht="14.25">
      <c r="A86" s="78">
        <v>45669.143435694445</v>
      </c>
      <c r="B86" s="79" t="s">
        <v>176</v>
      </c>
      <c r="C86" s="79" t="s">
        <v>25</v>
      </c>
      <c r="D86" s="80"/>
      <c r="E86" s="81">
        <v>90068</v>
      </c>
      <c r="F86" s="43"/>
      <c r="G86" s="43"/>
      <c r="H86" s="75">
        <v>2428010032</v>
      </c>
      <c r="I86" s="76">
        <v>45668</v>
      </c>
      <c r="J86" s="37" t="s">
        <v>27</v>
      </c>
      <c r="K86" s="82" t="s">
        <v>177</v>
      </c>
      <c r="L86" s="37"/>
      <c r="M86" s="37"/>
      <c r="N86" s="22" t="s">
        <v>2855</v>
      </c>
      <c r="O86" s="22"/>
      <c r="P86" s="22"/>
      <c r="Q86" s="22"/>
      <c r="R86" s="37"/>
      <c r="S86" s="37"/>
      <c r="T86" s="37"/>
      <c r="U86" s="37"/>
      <c r="V86" s="37"/>
      <c r="W86" s="37"/>
      <c r="X86" s="37"/>
      <c r="Y86" s="37"/>
      <c r="Z86" s="37"/>
      <c r="AA86" s="37"/>
      <c r="AB86" s="37"/>
      <c r="AC86" s="37"/>
      <c r="AD86" s="37"/>
      <c r="AE86" s="37"/>
      <c r="AF86" s="37"/>
      <c r="AG86" s="37"/>
      <c r="AH86" s="37"/>
      <c r="AI86" s="37"/>
      <c r="AJ86" s="37"/>
      <c r="AK86" s="37"/>
    </row>
    <row r="87" spans="1:37" ht="14.25">
      <c r="A87" s="71">
        <v>45669.144637048608</v>
      </c>
      <c r="B87" s="72" t="s">
        <v>182</v>
      </c>
      <c r="C87" s="72" t="s">
        <v>25</v>
      </c>
      <c r="D87" s="73"/>
      <c r="E87" s="74">
        <v>90068</v>
      </c>
      <c r="F87" s="43"/>
      <c r="G87" s="43"/>
      <c r="H87" s="75">
        <v>5586018041</v>
      </c>
      <c r="I87" s="76">
        <v>45667</v>
      </c>
      <c r="J87" s="37" t="s">
        <v>27</v>
      </c>
      <c r="K87" s="77" t="s">
        <v>183</v>
      </c>
      <c r="L87" s="37"/>
      <c r="M87" s="37"/>
      <c r="N87" s="22" t="s">
        <v>2856</v>
      </c>
      <c r="O87" s="22"/>
      <c r="P87" s="22"/>
      <c r="Q87" s="22"/>
      <c r="R87" s="37"/>
      <c r="S87" s="37"/>
      <c r="T87" s="37"/>
      <c r="U87" s="37"/>
      <c r="V87" s="37"/>
      <c r="W87" s="37"/>
      <c r="X87" s="37"/>
      <c r="Y87" s="37"/>
      <c r="Z87" s="37"/>
      <c r="AA87" s="37"/>
      <c r="AB87" s="37"/>
      <c r="AC87" s="37"/>
      <c r="AD87" s="37"/>
      <c r="AE87" s="37"/>
      <c r="AF87" s="37"/>
      <c r="AG87" s="37"/>
      <c r="AH87" s="37"/>
      <c r="AI87" s="37"/>
      <c r="AJ87" s="37"/>
      <c r="AK87" s="37"/>
    </row>
    <row r="88" spans="1:37" ht="14.25">
      <c r="A88" s="78">
        <v>45669.147088043981</v>
      </c>
      <c r="B88" s="79" t="s">
        <v>188</v>
      </c>
      <c r="C88" s="79" t="s">
        <v>25</v>
      </c>
      <c r="D88" s="80"/>
      <c r="E88" s="81">
        <v>90046</v>
      </c>
      <c r="F88" s="43"/>
      <c r="G88" s="43"/>
      <c r="H88" s="75">
        <v>5569036003</v>
      </c>
      <c r="I88" s="76">
        <v>45667</v>
      </c>
      <c r="J88" s="37" t="s">
        <v>27</v>
      </c>
      <c r="K88" s="82" t="s">
        <v>189</v>
      </c>
      <c r="L88" s="37"/>
      <c r="M88" s="37"/>
      <c r="N88" s="22" t="s">
        <v>2857</v>
      </c>
      <c r="O88" s="22"/>
      <c r="P88" s="22"/>
      <c r="Q88" s="22"/>
      <c r="R88" s="37"/>
      <c r="S88" s="37"/>
      <c r="T88" s="37"/>
      <c r="U88" s="37"/>
      <c r="V88" s="37"/>
      <c r="W88" s="37"/>
      <c r="X88" s="37"/>
      <c r="Y88" s="37"/>
      <c r="Z88" s="37"/>
      <c r="AA88" s="37"/>
      <c r="AB88" s="37"/>
      <c r="AC88" s="37"/>
      <c r="AD88" s="37"/>
      <c r="AE88" s="37"/>
      <c r="AF88" s="37"/>
      <c r="AG88" s="37"/>
      <c r="AH88" s="37"/>
      <c r="AI88" s="37"/>
      <c r="AJ88" s="37"/>
      <c r="AK88" s="37"/>
    </row>
    <row r="89" spans="1:37" ht="14.25">
      <c r="A89" s="71">
        <v>45669.148165011575</v>
      </c>
      <c r="B89" s="72" t="s">
        <v>195</v>
      </c>
      <c r="C89" s="72" t="s">
        <v>25</v>
      </c>
      <c r="D89" s="73"/>
      <c r="E89" s="74">
        <v>90069</v>
      </c>
      <c r="F89" s="43"/>
      <c r="G89" s="43"/>
      <c r="H89" s="75">
        <v>5559013002</v>
      </c>
      <c r="I89" s="76">
        <v>45668</v>
      </c>
      <c r="J89" s="37" t="s">
        <v>27</v>
      </c>
      <c r="K89" s="77" t="s">
        <v>196</v>
      </c>
      <c r="L89" s="37"/>
      <c r="M89" s="37"/>
      <c r="N89" s="22" t="s">
        <v>197</v>
      </c>
      <c r="O89" s="22"/>
      <c r="P89" s="22"/>
      <c r="Q89" s="22"/>
      <c r="R89" s="37"/>
      <c r="S89" s="37"/>
      <c r="T89" s="37"/>
      <c r="U89" s="37"/>
      <c r="V89" s="37"/>
      <c r="W89" s="37"/>
      <c r="X89" s="37"/>
      <c r="Y89" s="37"/>
      <c r="Z89" s="37"/>
      <c r="AA89" s="37"/>
      <c r="AB89" s="37"/>
      <c r="AC89" s="37"/>
      <c r="AD89" s="37"/>
      <c r="AE89" s="37"/>
      <c r="AF89" s="37"/>
      <c r="AG89" s="37"/>
      <c r="AH89" s="37"/>
      <c r="AI89" s="37"/>
      <c r="AJ89" s="37"/>
      <c r="AK89" s="37"/>
    </row>
    <row r="90" spans="1:37" ht="14.25">
      <c r="A90" s="78">
        <v>45669.149391840278</v>
      </c>
      <c r="B90" s="79" t="s">
        <v>200</v>
      </c>
      <c r="C90" s="79" t="s">
        <v>25</v>
      </c>
      <c r="D90" s="80"/>
      <c r="E90" s="81">
        <v>90069</v>
      </c>
      <c r="F90" s="43"/>
      <c r="G90" s="43"/>
      <c r="H90" s="75">
        <v>5561010016</v>
      </c>
      <c r="I90" s="76">
        <v>45665</v>
      </c>
      <c r="J90" s="37" t="s">
        <v>27</v>
      </c>
      <c r="K90" s="82" t="s">
        <v>201</v>
      </c>
      <c r="L90" s="37"/>
      <c r="M90" s="37"/>
      <c r="N90" s="22" t="s">
        <v>2858</v>
      </c>
      <c r="O90" s="22"/>
      <c r="P90" s="22"/>
      <c r="Q90" s="22"/>
      <c r="R90" s="37"/>
      <c r="S90" s="37"/>
      <c r="T90" s="37"/>
      <c r="U90" s="37"/>
      <c r="V90" s="37"/>
      <c r="W90" s="37"/>
      <c r="X90" s="37"/>
      <c r="Y90" s="37"/>
      <c r="Z90" s="37"/>
      <c r="AA90" s="37"/>
      <c r="AB90" s="37"/>
      <c r="AC90" s="37"/>
      <c r="AD90" s="37"/>
      <c r="AE90" s="37"/>
      <c r="AF90" s="37"/>
      <c r="AG90" s="37"/>
      <c r="AH90" s="37"/>
      <c r="AI90" s="37"/>
      <c r="AJ90" s="37"/>
      <c r="AK90" s="37"/>
    </row>
    <row r="91" spans="1:37" ht="14.25">
      <c r="A91" s="71">
        <v>45669.150517905087</v>
      </c>
      <c r="B91" s="72" t="s">
        <v>206</v>
      </c>
      <c r="C91" s="72" t="s">
        <v>25</v>
      </c>
      <c r="D91" s="73"/>
      <c r="E91" s="74">
        <v>90069</v>
      </c>
      <c r="F91" s="43"/>
      <c r="G91" s="43"/>
      <c r="H91" s="75">
        <v>5561009027</v>
      </c>
      <c r="I91" s="76">
        <v>45669</v>
      </c>
      <c r="J91" s="37" t="s">
        <v>27</v>
      </c>
      <c r="K91" s="77" t="s">
        <v>207</v>
      </c>
      <c r="L91" s="37"/>
      <c r="M91" s="37"/>
      <c r="N91" s="22" t="s">
        <v>2859</v>
      </c>
      <c r="O91" s="22"/>
      <c r="P91" s="22"/>
      <c r="Q91" s="22"/>
      <c r="R91" s="37"/>
      <c r="S91" s="37"/>
      <c r="T91" s="37"/>
      <c r="U91" s="37"/>
      <c r="V91" s="37"/>
      <c r="W91" s="37"/>
      <c r="X91" s="37"/>
      <c r="Y91" s="37"/>
      <c r="Z91" s="37"/>
      <c r="AA91" s="37"/>
      <c r="AB91" s="37"/>
      <c r="AC91" s="37"/>
      <c r="AD91" s="37"/>
      <c r="AE91" s="37"/>
      <c r="AF91" s="37"/>
      <c r="AG91" s="37"/>
      <c r="AH91" s="37"/>
      <c r="AI91" s="37"/>
      <c r="AJ91" s="37"/>
      <c r="AK91" s="37"/>
    </row>
    <row r="92" spans="1:37" ht="14.25">
      <c r="A92" s="78">
        <v>45669.151908576387</v>
      </c>
      <c r="B92" s="79" t="s">
        <v>212</v>
      </c>
      <c r="C92" s="79" t="s">
        <v>25</v>
      </c>
      <c r="D92" s="80"/>
      <c r="E92" s="81">
        <v>90039</v>
      </c>
      <c r="F92" s="43"/>
      <c r="G92" s="43"/>
      <c r="H92" s="75">
        <v>5435014021</v>
      </c>
      <c r="I92" s="76">
        <v>45666</v>
      </c>
      <c r="J92" s="37" t="s">
        <v>27</v>
      </c>
      <c r="K92" s="82" t="s">
        <v>213</v>
      </c>
      <c r="L92" s="37"/>
      <c r="M92" s="37"/>
      <c r="N92" s="22" t="s">
        <v>214</v>
      </c>
      <c r="O92" s="22"/>
      <c r="P92" s="22"/>
      <c r="Q92" s="22"/>
      <c r="R92" s="37"/>
      <c r="S92" s="37"/>
      <c r="T92" s="37"/>
      <c r="U92" s="37"/>
      <c r="V92" s="37"/>
      <c r="W92" s="37"/>
      <c r="X92" s="37"/>
      <c r="Y92" s="37"/>
      <c r="Z92" s="37"/>
      <c r="AA92" s="37"/>
      <c r="AB92" s="37"/>
      <c r="AC92" s="37"/>
      <c r="AD92" s="37"/>
      <c r="AE92" s="37"/>
      <c r="AF92" s="37"/>
      <c r="AG92" s="37"/>
      <c r="AH92" s="37"/>
      <c r="AI92" s="37"/>
      <c r="AJ92" s="37"/>
      <c r="AK92" s="37"/>
    </row>
    <row r="93" spans="1:37" ht="14.25">
      <c r="A93" s="71">
        <v>45669.153064108796</v>
      </c>
      <c r="B93" s="72" t="s">
        <v>218</v>
      </c>
      <c r="C93" s="72" t="s">
        <v>25</v>
      </c>
      <c r="D93" s="73"/>
      <c r="E93" s="74">
        <v>90068</v>
      </c>
      <c r="F93" s="43"/>
      <c r="G93" s="43"/>
      <c r="H93" s="75">
        <v>5549013020</v>
      </c>
      <c r="I93" s="76">
        <v>45666</v>
      </c>
      <c r="J93" s="37" t="s">
        <v>27</v>
      </c>
      <c r="K93" s="77" t="s">
        <v>219</v>
      </c>
      <c r="L93" s="37"/>
      <c r="M93" s="37"/>
      <c r="N93" s="22"/>
      <c r="O93" s="22"/>
      <c r="P93" s="22" t="s">
        <v>220</v>
      </c>
      <c r="Q93" s="22"/>
      <c r="R93" s="37"/>
      <c r="S93" s="37"/>
      <c r="T93" s="37"/>
      <c r="U93" s="37"/>
      <c r="V93" s="37"/>
      <c r="W93" s="37"/>
      <c r="X93" s="37"/>
      <c r="Y93" s="37"/>
      <c r="Z93" s="37"/>
      <c r="AA93" s="37"/>
      <c r="AB93" s="37"/>
      <c r="AC93" s="37"/>
      <c r="AD93" s="37"/>
      <c r="AE93" s="37"/>
      <c r="AF93" s="37"/>
      <c r="AG93" s="37"/>
      <c r="AH93" s="37"/>
      <c r="AI93" s="37"/>
      <c r="AJ93" s="37"/>
      <c r="AK93" s="37"/>
    </row>
    <row r="94" spans="1:37" ht="14.25">
      <c r="A94" s="78">
        <v>45669.154491076391</v>
      </c>
      <c r="B94" s="79" t="s">
        <v>224</v>
      </c>
      <c r="C94" s="79" t="s">
        <v>25</v>
      </c>
      <c r="D94" s="80"/>
      <c r="E94" s="81">
        <v>90035</v>
      </c>
      <c r="F94" s="43"/>
      <c r="G94" s="43"/>
      <c r="H94" s="75">
        <v>5068020027</v>
      </c>
      <c r="I94" s="76">
        <v>45667</v>
      </c>
      <c r="J94" s="37" t="s">
        <v>27</v>
      </c>
      <c r="K94" s="82" t="s">
        <v>225</v>
      </c>
      <c r="L94" s="37"/>
      <c r="M94" s="37"/>
      <c r="N94" s="22"/>
      <c r="O94" s="22"/>
      <c r="P94" s="22"/>
      <c r="Q94" s="22"/>
      <c r="R94" s="37"/>
      <c r="S94" s="37"/>
      <c r="T94" s="37"/>
      <c r="U94" s="37"/>
      <c r="V94" s="37"/>
      <c r="W94" s="37"/>
      <c r="X94" s="37"/>
      <c r="Y94" s="37"/>
      <c r="Z94" s="37"/>
      <c r="AA94" s="37"/>
      <c r="AB94" s="37"/>
      <c r="AC94" s="37"/>
      <c r="AD94" s="37"/>
      <c r="AE94" s="37"/>
      <c r="AF94" s="37"/>
      <c r="AG94" s="37"/>
      <c r="AH94" s="37"/>
      <c r="AI94" s="37"/>
      <c r="AJ94" s="37"/>
      <c r="AK94" s="37"/>
    </row>
    <row r="95" spans="1:37" ht="14.25">
      <c r="A95" s="71">
        <v>45669.157101631943</v>
      </c>
      <c r="B95" s="72" t="s">
        <v>230</v>
      </c>
      <c r="C95" s="72" t="s">
        <v>25</v>
      </c>
      <c r="D95" s="73"/>
      <c r="E95" s="74">
        <v>90046</v>
      </c>
      <c r="F95" s="43"/>
      <c r="G95" s="43"/>
      <c r="H95" s="75">
        <v>5567007001</v>
      </c>
      <c r="I95" s="76">
        <v>45667</v>
      </c>
      <c r="J95" s="37" t="s">
        <v>27</v>
      </c>
      <c r="K95" s="77" t="s">
        <v>231</v>
      </c>
      <c r="L95" s="37"/>
      <c r="M95" s="37"/>
      <c r="N95" s="22"/>
      <c r="O95" s="22"/>
      <c r="P95" s="22"/>
      <c r="Q95" s="22"/>
      <c r="R95" s="37"/>
      <c r="S95" s="37"/>
      <c r="T95" s="37"/>
      <c r="U95" s="37"/>
      <c r="V95" s="37"/>
      <c r="W95" s="37"/>
      <c r="X95" s="37"/>
      <c r="Y95" s="37"/>
      <c r="Z95" s="37"/>
      <c r="AA95" s="37"/>
      <c r="AB95" s="37"/>
      <c r="AC95" s="37"/>
      <c r="AD95" s="37"/>
      <c r="AE95" s="37"/>
      <c r="AF95" s="37"/>
      <c r="AG95" s="37"/>
      <c r="AH95" s="37"/>
      <c r="AI95" s="37"/>
      <c r="AJ95" s="37"/>
      <c r="AK95" s="37"/>
    </row>
    <row r="96" spans="1:37" ht="14.25">
      <c r="A96" s="78">
        <v>45669.159355775468</v>
      </c>
      <c r="B96" s="79" t="s">
        <v>236</v>
      </c>
      <c r="C96" s="79" t="s">
        <v>25</v>
      </c>
      <c r="D96" s="80"/>
      <c r="E96" s="81">
        <v>90046</v>
      </c>
      <c r="F96" s="43"/>
      <c r="G96" s="43"/>
      <c r="H96" s="75">
        <v>5556021011</v>
      </c>
      <c r="I96" s="76">
        <v>45666</v>
      </c>
      <c r="J96" s="37" t="s">
        <v>27</v>
      </c>
      <c r="K96" s="82" t="s">
        <v>237</v>
      </c>
      <c r="L96" s="37"/>
      <c r="M96" s="37"/>
      <c r="N96" s="22" t="s">
        <v>2860</v>
      </c>
      <c r="O96" s="22"/>
      <c r="P96" s="22"/>
      <c r="Q96" s="22"/>
      <c r="R96" s="37"/>
      <c r="S96" s="37"/>
      <c r="T96" s="37"/>
      <c r="U96" s="37"/>
      <c r="V96" s="37"/>
      <c r="W96" s="37"/>
      <c r="X96" s="37"/>
      <c r="Y96" s="37"/>
      <c r="Z96" s="37"/>
      <c r="AA96" s="37"/>
      <c r="AB96" s="37"/>
      <c r="AC96" s="37"/>
      <c r="AD96" s="37"/>
      <c r="AE96" s="37"/>
      <c r="AF96" s="37"/>
      <c r="AG96" s="37"/>
      <c r="AH96" s="37"/>
      <c r="AI96" s="37"/>
      <c r="AJ96" s="37"/>
      <c r="AK96" s="37"/>
    </row>
    <row r="97" spans="1:37" ht="14.25">
      <c r="A97" s="71">
        <v>45669.160522442129</v>
      </c>
      <c r="B97" s="72" t="s">
        <v>241</v>
      </c>
      <c r="C97" s="72" t="s">
        <v>25</v>
      </c>
      <c r="D97" s="73"/>
      <c r="E97" s="74">
        <v>90035</v>
      </c>
      <c r="F97" s="43"/>
      <c r="G97" s="43"/>
      <c r="H97" s="75">
        <v>4303027022</v>
      </c>
      <c r="I97" s="76">
        <v>45667</v>
      </c>
      <c r="J97" s="37" t="s">
        <v>27</v>
      </c>
      <c r="K97" s="77" t="s">
        <v>243</v>
      </c>
      <c r="L97" s="37"/>
      <c r="M97" s="37"/>
      <c r="N97" s="22"/>
      <c r="O97" s="22"/>
      <c r="P97" s="22"/>
      <c r="Q97" s="22"/>
      <c r="R97" s="37"/>
      <c r="S97" s="37"/>
      <c r="T97" s="37"/>
      <c r="U97" s="37"/>
      <c r="V97" s="37"/>
      <c r="W97" s="37"/>
      <c r="X97" s="37"/>
      <c r="Y97" s="37"/>
      <c r="Z97" s="37"/>
      <c r="AA97" s="37"/>
      <c r="AB97" s="37"/>
      <c r="AC97" s="37"/>
      <c r="AD97" s="37"/>
      <c r="AE97" s="37"/>
      <c r="AF97" s="37"/>
      <c r="AG97" s="37"/>
      <c r="AH97" s="37"/>
      <c r="AI97" s="37"/>
      <c r="AJ97" s="37"/>
      <c r="AK97" s="37"/>
    </row>
    <row r="98" spans="1:37" ht="14.25">
      <c r="A98" s="78">
        <v>45669.162180949075</v>
      </c>
      <c r="B98" s="79" t="s">
        <v>247</v>
      </c>
      <c r="C98" s="79" t="s">
        <v>25</v>
      </c>
      <c r="D98" s="80"/>
      <c r="E98" s="81">
        <v>90046</v>
      </c>
      <c r="F98" s="43"/>
      <c r="G98" s="43"/>
      <c r="H98" s="75">
        <v>5569004010</v>
      </c>
      <c r="I98" s="76">
        <v>45666</v>
      </c>
      <c r="J98" s="37" t="s">
        <v>27</v>
      </c>
      <c r="K98" s="82" t="s">
        <v>248</v>
      </c>
      <c r="L98" s="37"/>
      <c r="M98" s="37"/>
      <c r="N98" s="22"/>
      <c r="O98" s="22"/>
      <c r="P98" s="22"/>
      <c r="Q98" s="22"/>
      <c r="R98" s="37"/>
      <c r="S98" s="37"/>
      <c r="T98" s="37"/>
      <c r="U98" s="37"/>
      <c r="V98" s="37"/>
      <c r="W98" s="37"/>
      <c r="X98" s="37"/>
      <c r="Y98" s="37"/>
      <c r="Z98" s="37"/>
      <c r="AA98" s="37"/>
      <c r="AB98" s="37"/>
      <c r="AC98" s="37"/>
      <c r="AD98" s="37"/>
      <c r="AE98" s="37"/>
      <c r="AF98" s="37"/>
      <c r="AG98" s="37"/>
      <c r="AH98" s="37"/>
      <c r="AI98" s="37"/>
      <c r="AJ98" s="37"/>
      <c r="AK98" s="37"/>
    </row>
    <row r="99" spans="1:37" ht="14.25">
      <c r="A99" s="71">
        <v>45669.163268692129</v>
      </c>
      <c r="B99" s="72" t="s">
        <v>251</v>
      </c>
      <c r="C99" s="72" t="s">
        <v>25</v>
      </c>
      <c r="D99" s="73"/>
      <c r="E99" s="74">
        <v>90046</v>
      </c>
      <c r="F99" s="43"/>
      <c r="G99" s="43"/>
      <c r="H99" s="75">
        <v>5569028032</v>
      </c>
      <c r="I99" s="76">
        <v>45668</v>
      </c>
      <c r="J99" s="37" t="s">
        <v>27</v>
      </c>
      <c r="K99" s="77" t="s">
        <v>252</v>
      </c>
      <c r="L99" s="37"/>
      <c r="M99" s="37"/>
      <c r="N99" s="22"/>
      <c r="O99" s="22"/>
      <c r="P99" s="22"/>
      <c r="Q99" s="22"/>
      <c r="R99" s="37"/>
      <c r="S99" s="37"/>
      <c r="T99" s="37"/>
      <c r="U99" s="37"/>
      <c r="V99" s="37"/>
      <c r="W99" s="37"/>
      <c r="X99" s="37"/>
      <c r="Y99" s="37"/>
      <c r="Z99" s="37"/>
      <c r="AA99" s="37"/>
      <c r="AB99" s="37"/>
      <c r="AC99" s="37"/>
      <c r="AD99" s="37"/>
      <c r="AE99" s="37"/>
      <c r="AF99" s="37"/>
      <c r="AG99" s="37"/>
      <c r="AH99" s="37"/>
      <c r="AI99" s="37"/>
      <c r="AJ99" s="37"/>
      <c r="AK99" s="37"/>
    </row>
    <row r="100" spans="1:37" ht="14.25">
      <c r="A100" s="78">
        <v>45669.322025034722</v>
      </c>
      <c r="B100" s="79" t="s">
        <v>1905</v>
      </c>
      <c r="C100" s="79" t="s">
        <v>477</v>
      </c>
      <c r="D100" s="80"/>
      <c r="E100" s="81">
        <v>91006</v>
      </c>
      <c r="F100" s="43"/>
      <c r="G100" s="43"/>
      <c r="H100" s="75">
        <v>5771018012</v>
      </c>
      <c r="I100" s="76">
        <v>45667</v>
      </c>
      <c r="J100" s="37" t="s">
        <v>27</v>
      </c>
      <c r="K100" s="82" t="s">
        <v>2861</v>
      </c>
      <c r="L100" s="37"/>
      <c r="M100" s="37"/>
      <c r="N100" s="22" t="s">
        <v>2862</v>
      </c>
      <c r="O100" s="22"/>
      <c r="P100" s="22"/>
      <c r="Q100" s="22"/>
      <c r="R100" s="37"/>
      <c r="S100" s="37"/>
      <c r="T100" s="37"/>
      <c r="U100" s="37"/>
      <c r="V100" s="37"/>
      <c r="W100" s="37"/>
      <c r="X100" s="37"/>
      <c r="Y100" s="37"/>
      <c r="Z100" s="37"/>
      <c r="AA100" s="37"/>
      <c r="AB100" s="37"/>
      <c r="AC100" s="37"/>
      <c r="AD100" s="37"/>
      <c r="AE100" s="37"/>
      <c r="AF100" s="37"/>
      <c r="AG100" s="37"/>
      <c r="AH100" s="37"/>
      <c r="AI100" s="37"/>
      <c r="AJ100" s="37"/>
      <c r="AK100" s="37"/>
    </row>
    <row r="101" spans="1:37" ht="14.25">
      <c r="A101" s="71">
        <v>45669.33661027778</v>
      </c>
      <c r="B101" s="72" t="s">
        <v>2863</v>
      </c>
      <c r="C101" s="72" t="s">
        <v>2864</v>
      </c>
      <c r="D101" s="73"/>
      <c r="E101" s="74">
        <v>91016</v>
      </c>
      <c r="F101" s="43"/>
      <c r="G101" s="43"/>
      <c r="H101" s="75">
        <v>8518022015</v>
      </c>
      <c r="I101" s="76">
        <v>45667</v>
      </c>
      <c r="J101" s="37" t="s">
        <v>27</v>
      </c>
      <c r="K101" s="77" t="s">
        <v>2865</v>
      </c>
      <c r="L101" s="37"/>
      <c r="M101" s="37"/>
      <c r="N101" s="22"/>
      <c r="O101" s="22"/>
      <c r="P101" s="22"/>
      <c r="Q101" s="22"/>
      <c r="R101" s="37"/>
      <c r="S101" s="37"/>
      <c r="T101" s="37"/>
      <c r="U101" s="37"/>
      <c r="V101" s="37"/>
      <c r="W101" s="37"/>
      <c r="X101" s="37"/>
      <c r="Y101" s="37"/>
      <c r="Z101" s="37"/>
      <c r="AA101" s="37"/>
      <c r="AB101" s="37"/>
      <c r="AC101" s="37"/>
      <c r="AD101" s="37"/>
      <c r="AE101" s="37"/>
      <c r="AF101" s="37"/>
      <c r="AG101" s="37"/>
      <c r="AH101" s="37"/>
      <c r="AI101" s="37"/>
      <c r="AJ101" s="37"/>
      <c r="AK101" s="37"/>
    </row>
    <row r="102" spans="1:37" ht="14.25">
      <c r="A102" s="78">
        <v>45669.342091655097</v>
      </c>
      <c r="B102" s="83" t="s">
        <v>257</v>
      </c>
      <c r="C102" s="83" t="s">
        <v>258</v>
      </c>
      <c r="D102" s="84"/>
      <c r="E102" s="85">
        <v>91801</v>
      </c>
      <c r="F102" s="43"/>
      <c r="G102" s="43"/>
      <c r="H102" s="75" t="s">
        <v>2866</v>
      </c>
      <c r="I102" s="76">
        <v>45666</v>
      </c>
      <c r="J102" s="37" t="s">
        <v>27</v>
      </c>
      <c r="K102" s="86" t="s">
        <v>259</v>
      </c>
      <c r="L102" s="37"/>
      <c r="M102" s="37"/>
      <c r="N102" s="22"/>
      <c r="O102" s="22"/>
      <c r="P102" s="22" t="s">
        <v>2867</v>
      </c>
      <c r="Q102" s="22"/>
      <c r="R102" s="37"/>
      <c r="S102" s="37"/>
      <c r="T102" s="37"/>
      <c r="U102" s="37"/>
      <c r="V102" s="37"/>
      <c r="W102" s="37"/>
      <c r="X102" s="37"/>
      <c r="Y102" s="37"/>
      <c r="Z102" s="37"/>
      <c r="AA102" s="37"/>
      <c r="AB102" s="37"/>
      <c r="AC102" s="37"/>
      <c r="AD102" s="37"/>
      <c r="AE102" s="37"/>
      <c r="AF102" s="37"/>
      <c r="AG102" s="37"/>
      <c r="AH102" s="37"/>
      <c r="AI102" s="37"/>
      <c r="AJ102" s="37"/>
      <c r="AK102" s="37"/>
    </row>
    <row r="103" spans="1:37" ht="15">
      <c r="A103" s="71">
        <v>45669.346084733799</v>
      </c>
      <c r="B103" s="87" t="s">
        <v>265</v>
      </c>
      <c r="C103" s="87" t="s">
        <v>266</v>
      </c>
      <c r="D103" s="88"/>
      <c r="E103" s="89">
        <v>90042</v>
      </c>
      <c r="F103" s="43"/>
      <c r="G103" s="43"/>
      <c r="H103" s="90">
        <v>5481005027</v>
      </c>
      <c r="I103" s="91">
        <v>45669</v>
      </c>
      <c r="J103" s="37" t="s">
        <v>27</v>
      </c>
      <c r="K103" s="77" t="s">
        <v>267</v>
      </c>
      <c r="L103" s="37"/>
      <c r="M103" s="37"/>
      <c r="N103" s="22"/>
      <c r="O103" s="22"/>
      <c r="P103" s="22" t="s">
        <v>268</v>
      </c>
      <c r="Q103" s="22"/>
      <c r="R103" s="37"/>
      <c r="S103" s="37"/>
      <c r="T103" s="37"/>
      <c r="U103" s="37"/>
      <c r="V103" s="37"/>
      <c r="W103" s="37"/>
      <c r="X103" s="37"/>
      <c r="Y103" s="37"/>
      <c r="Z103" s="37"/>
      <c r="AA103" s="37"/>
      <c r="AB103" s="37"/>
      <c r="AC103" s="37"/>
      <c r="AD103" s="37"/>
      <c r="AE103" s="37"/>
      <c r="AF103" s="37"/>
      <c r="AG103" s="37"/>
      <c r="AH103" s="37"/>
      <c r="AI103" s="37"/>
      <c r="AJ103" s="37"/>
      <c r="AK103" s="37"/>
    </row>
    <row r="104" spans="1:37" ht="15">
      <c r="A104" s="78">
        <v>45669.348956817128</v>
      </c>
      <c r="B104" s="92" t="s">
        <v>272</v>
      </c>
      <c r="C104" s="92" t="s">
        <v>25</v>
      </c>
      <c r="D104" s="93"/>
      <c r="E104" s="94">
        <v>90031</v>
      </c>
      <c r="F104" s="43"/>
      <c r="G104" s="43"/>
      <c r="H104" s="95">
        <v>5209002017</v>
      </c>
      <c r="I104" s="96">
        <v>45667</v>
      </c>
      <c r="J104" s="37" t="s">
        <v>27</v>
      </c>
      <c r="K104" s="82" t="s">
        <v>273</v>
      </c>
      <c r="L104" s="37"/>
      <c r="M104" s="37"/>
      <c r="N104" s="37"/>
      <c r="O104" s="37"/>
      <c r="P104" s="37"/>
      <c r="Q104" s="37"/>
      <c r="R104" s="37"/>
      <c r="S104" s="37"/>
      <c r="T104" s="37"/>
      <c r="U104" s="37"/>
      <c r="V104" s="37"/>
      <c r="W104" s="37"/>
      <c r="X104" s="37"/>
      <c r="Y104" s="37"/>
      <c r="Z104" s="37"/>
      <c r="AA104" s="37"/>
      <c r="AB104" s="37"/>
      <c r="AC104" s="37"/>
      <c r="AD104" s="37"/>
      <c r="AE104" s="37"/>
      <c r="AF104" s="37"/>
      <c r="AG104" s="37"/>
      <c r="AH104" s="37"/>
      <c r="AI104" s="37"/>
      <c r="AJ104" s="37"/>
      <c r="AK104" s="37"/>
    </row>
    <row r="105" spans="1:37" ht="15">
      <c r="A105" s="71">
        <v>45669.353732407406</v>
      </c>
      <c r="B105" s="87" t="s">
        <v>280</v>
      </c>
      <c r="C105" s="87" t="s">
        <v>281</v>
      </c>
      <c r="D105" s="88"/>
      <c r="E105" s="89">
        <v>91010</v>
      </c>
      <c r="F105" s="43"/>
      <c r="G105" s="43"/>
      <c r="H105" s="90">
        <v>8604002065</v>
      </c>
      <c r="I105" s="91">
        <v>45666</v>
      </c>
      <c r="J105" s="37" t="s">
        <v>27</v>
      </c>
      <c r="K105" s="77" t="s">
        <v>282</v>
      </c>
      <c r="L105" s="37"/>
      <c r="M105" s="37"/>
      <c r="N105" s="37"/>
      <c r="O105" s="37"/>
      <c r="P105" s="37"/>
      <c r="Q105" s="37"/>
      <c r="R105" s="37"/>
      <c r="S105" s="37"/>
      <c r="T105" s="37"/>
      <c r="U105" s="37"/>
      <c r="V105" s="37"/>
      <c r="W105" s="37"/>
      <c r="X105" s="37"/>
      <c r="Y105" s="37"/>
      <c r="Z105" s="37"/>
      <c r="AA105" s="37"/>
      <c r="AB105" s="37"/>
      <c r="AC105" s="37"/>
      <c r="AD105" s="37"/>
      <c r="AE105" s="37"/>
      <c r="AF105" s="37"/>
      <c r="AG105" s="37"/>
      <c r="AH105" s="37"/>
      <c r="AI105" s="37"/>
      <c r="AJ105" s="37"/>
      <c r="AK105" s="37"/>
    </row>
    <row r="106" spans="1:37" ht="15">
      <c r="A106" s="78">
        <v>45669.358018611107</v>
      </c>
      <c r="B106" s="92" t="s">
        <v>288</v>
      </c>
      <c r="C106" s="92" t="s">
        <v>289</v>
      </c>
      <c r="D106" s="93"/>
      <c r="E106" s="94">
        <v>91791</v>
      </c>
      <c r="F106" s="43"/>
      <c r="G106" s="43"/>
      <c r="H106" s="95">
        <v>8484010014</v>
      </c>
      <c r="I106" s="96">
        <v>45669</v>
      </c>
      <c r="J106" s="37" t="s">
        <v>27</v>
      </c>
      <c r="K106" s="82" t="s">
        <v>290</v>
      </c>
      <c r="L106" s="37"/>
      <c r="M106" s="37"/>
      <c r="N106" s="37"/>
      <c r="O106" s="37"/>
      <c r="P106" s="37"/>
      <c r="Q106" s="37"/>
      <c r="R106" s="37"/>
      <c r="S106" s="37"/>
      <c r="T106" s="37"/>
      <c r="U106" s="37"/>
      <c r="V106" s="37"/>
      <c r="W106" s="37"/>
      <c r="X106" s="37"/>
      <c r="Y106" s="37"/>
      <c r="Z106" s="37"/>
      <c r="AA106" s="37"/>
      <c r="AB106" s="37"/>
      <c r="AC106" s="37"/>
      <c r="AD106" s="37"/>
      <c r="AE106" s="37"/>
      <c r="AF106" s="37"/>
      <c r="AG106" s="37"/>
      <c r="AH106" s="37"/>
      <c r="AI106" s="37"/>
      <c r="AJ106" s="37"/>
      <c r="AK106" s="37"/>
    </row>
    <row r="107" spans="1:37" ht="15">
      <c r="A107" s="71">
        <v>45669.362627245369</v>
      </c>
      <c r="B107" s="87" t="s">
        <v>36</v>
      </c>
      <c r="C107" s="87" t="s">
        <v>102</v>
      </c>
      <c r="D107" s="88"/>
      <c r="E107" s="89">
        <v>90026</v>
      </c>
      <c r="F107" s="43"/>
      <c r="G107" s="43"/>
      <c r="H107" s="90">
        <v>5429020022</v>
      </c>
      <c r="I107" s="91">
        <v>45668</v>
      </c>
      <c r="J107" s="37" t="s">
        <v>27</v>
      </c>
      <c r="K107" s="77" t="s">
        <v>37</v>
      </c>
      <c r="L107" s="37"/>
      <c r="M107" s="37"/>
      <c r="N107" s="37"/>
      <c r="O107" s="37"/>
      <c r="P107" s="37"/>
      <c r="Q107" s="37"/>
      <c r="R107" s="37"/>
      <c r="S107" s="37"/>
      <c r="T107" s="37"/>
      <c r="U107" s="37"/>
      <c r="V107" s="37"/>
      <c r="W107" s="37"/>
      <c r="X107" s="37"/>
      <c r="Y107" s="37"/>
      <c r="Z107" s="37"/>
      <c r="AA107" s="37"/>
      <c r="AB107" s="37"/>
      <c r="AC107" s="37"/>
      <c r="AD107" s="37"/>
      <c r="AE107" s="37"/>
      <c r="AF107" s="37"/>
      <c r="AG107" s="37"/>
      <c r="AH107" s="37"/>
      <c r="AI107" s="37"/>
      <c r="AJ107" s="37"/>
      <c r="AK107" s="37"/>
    </row>
    <row r="108" spans="1:37" ht="15">
      <c r="A108" s="78">
        <v>45669.365338634263</v>
      </c>
      <c r="B108" s="92" t="s">
        <v>297</v>
      </c>
      <c r="C108" s="92" t="s">
        <v>298</v>
      </c>
      <c r="D108" s="93"/>
      <c r="E108" s="94">
        <v>91208</v>
      </c>
      <c r="F108" s="43"/>
      <c r="G108" s="43"/>
      <c r="H108" s="95">
        <v>5652020023</v>
      </c>
      <c r="I108" s="96">
        <v>45667</v>
      </c>
      <c r="J108" s="37" t="s">
        <v>27</v>
      </c>
      <c r="K108" s="82" t="s">
        <v>299</v>
      </c>
      <c r="L108" s="37"/>
      <c r="M108" s="37"/>
      <c r="N108" s="37"/>
      <c r="O108" s="37"/>
      <c r="P108" s="37"/>
      <c r="Q108" s="37"/>
      <c r="R108" s="37"/>
      <c r="S108" s="37"/>
      <c r="T108" s="37"/>
      <c r="U108" s="37"/>
      <c r="V108" s="37"/>
      <c r="W108" s="37"/>
      <c r="X108" s="37"/>
      <c r="Y108" s="37"/>
      <c r="Z108" s="37"/>
      <c r="AA108" s="37"/>
      <c r="AB108" s="37"/>
      <c r="AC108" s="37"/>
      <c r="AD108" s="37"/>
      <c r="AE108" s="37"/>
      <c r="AF108" s="37"/>
      <c r="AG108" s="37"/>
      <c r="AH108" s="37"/>
      <c r="AI108" s="37"/>
      <c r="AJ108" s="37"/>
      <c r="AK108" s="37"/>
    </row>
    <row r="109" spans="1:37" ht="15">
      <c r="A109" s="71">
        <v>45669.36589695602</v>
      </c>
      <c r="B109" s="87" t="s">
        <v>2868</v>
      </c>
      <c r="C109" s="87" t="s">
        <v>102</v>
      </c>
      <c r="D109" s="88"/>
      <c r="E109" s="89">
        <v>90027</v>
      </c>
      <c r="F109" s="43"/>
      <c r="G109" s="43"/>
      <c r="H109" s="90">
        <v>5430002037</v>
      </c>
      <c r="I109" s="91">
        <v>45665</v>
      </c>
      <c r="J109" s="37" t="s">
        <v>27</v>
      </c>
      <c r="K109" s="77" t="s">
        <v>2869</v>
      </c>
      <c r="L109" s="37"/>
      <c r="M109" s="37"/>
      <c r="N109" s="37"/>
      <c r="O109" s="37"/>
      <c r="P109" s="37"/>
      <c r="Q109" s="37"/>
      <c r="R109" s="37"/>
      <c r="S109" s="37"/>
      <c r="T109" s="37"/>
      <c r="U109" s="37"/>
      <c r="V109" s="37"/>
      <c r="W109" s="37"/>
      <c r="X109" s="37"/>
      <c r="Y109" s="37"/>
      <c r="Z109" s="37"/>
      <c r="AA109" s="37"/>
      <c r="AB109" s="37"/>
      <c r="AC109" s="37"/>
      <c r="AD109" s="37"/>
      <c r="AE109" s="37"/>
      <c r="AF109" s="37"/>
      <c r="AG109" s="37"/>
      <c r="AH109" s="37"/>
      <c r="AI109" s="37"/>
      <c r="AJ109" s="37"/>
      <c r="AK109" s="37"/>
    </row>
    <row r="110" spans="1:37" ht="15">
      <c r="A110" s="78">
        <v>45669.369441053241</v>
      </c>
      <c r="B110" s="92" t="s">
        <v>305</v>
      </c>
      <c r="C110" s="92" t="s">
        <v>306</v>
      </c>
      <c r="D110" s="93"/>
      <c r="E110" s="94">
        <v>91214</v>
      </c>
      <c r="F110" s="43"/>
      <c r="G110" s="43"/>
      <c r="H110" s="95">
        <v>5801002036</v>
      </c>
      <c r="I110" s="96">
        <v>45667</v>
      </c>
      <c r="J110" s="37" t="s">
        <v>27</v>
      </c>
      <c r="K110" s="82" t="s">
        <v>307</v>
      </c>
      <c r="L110" s="37"/>
      <c r="M110" s="37"/>
      <c r="N110" s="37"/>
      <c r="O110" s="37"/>
      <c r="P110" s="37"/>
      <c r="Q110" s="37"/>
      <c r="R110" s="37"/>
      <c r="S110" s="37"/>
      <c r="T110" s="37"/>
      <c r="U110" s="37"/>
      <c r="V110" s="37"/>
      <c r="W110" s="37"/>
      <c r="X110" s="37"/>
      <c r="Y110" s="37"/>
      <c r="Z110" s="37"/>
      <c r="AA110" s="37"/>
      <c r="AB110" s="37"/>
      <c r="AC110" s="37"/>
      <c r="AD110" s="37"/>
      <c r="AE110" s="37"/>
      <c r="AF110" s="37"/>
      <c r="AG110" s="37"/>
      <c r="AH110" s="37"/>
      <c r="AI110" s="37"/>
      <c r="AJ110" s="37"/>
      <c r="AK110" s="37"/>
    </row>
    <row r="111" spans="1:37" ht="15">
      <c r="A111" s="71">
        <v>45669.37007553241</v>
      </c>
      <c r="B111" s="87" t="s">
        <v>2870</v>
      </c>
      <c r="C111" s="87" t="s">
        <v>2871</v>
      </c>
      <c r="D111" s="88"/>
      <c r="E111" s="89">
        <v>90039</v>
      </c>
      <c r="F111" s="43"/>
      <c r="G111" s="43"/>
      <c r="H111" s="90">
        <v>5431021002</v>
      </c>
      <c r="I111" s="91">
        <v>45668</v>
      </c>
      <c r="J111" s="37" t="s">
        <v>27</v>
      </c>
      <c r="K111" s="77" t="s">
        <v>2807</v>
      </c>
      <c r="L111" s="37"/>
      <c r="M111" s="37"/>
      <c r="N111" s="37"/>
      <c r="O111" s="37"/>
      <c r="P111" s="37"/>
      <c r="Q111" s="37"/>
      <c r="R111" s="37"/>
      <c r="S111" s="37"/>
      <c r="T111" s="37"/>
      <c r="U111" s="37"/>
      <c r="V111" s="37"/>
      <c r="W111" s="37"/>
      <c r="X111" s="37"/>
      <c r="Y111" s="37"/>
      <c r="Z111" s="37"/>
      <c r="AA111" s="37"/>
      <c r="AB111" s="37"/>
      <c r="AC111" s="37"/>
      <c r="AD111" s="37"/>
      <c r="AE111" s="37"/>
      <c r="AF111" s="37"/>
      <c r="AG111" s="37"/>
      <c r="AH111" s="37"/>
      <c r="AI111" s="37"/>
      <c r="AJ111" s="37"/>
      <c r="AK111" s="37"/>
    </row>
    <row r="112" spans="1:37" ht="15">
      <c r="A112" s="78">
        <v>45669.380312453708</v>
      </c>
      <c r="B112" s="92" t="s">
        <v>311</v>
      </c>
      <c r="C112" s="92" t="s">
        <v>312</v>
      </c>
      <c r="D112" s="93"/>
      <c r="E112" s="94">
        <v>91766</v>
      </c>
      <c r="F112" s="43"/>
      <c r="G112" s="43"/>
      <c r="H112" s="95">
        <v>8704015018</v>
      </c>
      <c r="I112" s="96">
        <v>45667</v>
      </c>
      <c r="J112" s="37" t="s">
        <v>27</v>
      </c>
      <c r="K112" s="82" t="s">
        <v>313</v>
      </c>
      <c r="L112" s="37"/>
      <c r="M112" s="37"/>
      <c r="N112" s="37"/>
      <c r="O112" s="37"/>
      <c r="P112" s="37"/>
      <c r="Q112" s="37"/>
      <c r="R112" s="37"/>
      <c r="S112" s="37"/>
      <c r="T112" s="37"/>
      <c r="U112" s="37"/>
      <c r="V112" s="37"/>
      <c r="W112" s="37"/>
      <c r="X112" s="37"/>
      <c r="Y112" s="37"/>
      <c r="Z112" s="37"/>
      <c r="AA112" s="37"/>
      <c r="AB112" s="37"/>
      <c r="AC112" s="37"/>
      <c r="AD112" s="37"/>
      <c r="AE112" s="37"/>
      <c r="AF112" s="37"/>
      <c r="AG112" s="37"/>
      <c r="AH112" s="37"/>
      <c r="AI112" s="37"/>
      <c r="AJ112" s="37"/>
      <c r="AK112" s="37"/>
    </row>
    <row r="113" spans="1:37" ht="15">
      <c r="A113" s="71">
        <v>45669.393297372684</v>
      </c>
      <c r="B113" s="87" t="s">
        <v>319</v>
      </c>
      <c r="C113" s="87" t="s">
        <v>320</v>
      </c>
      <c r="D113" s="88"/>
      <c r="E113" s="89">
        <v>91501</v>
      </c>
      <c r="F113" s="43"/>
      <c r="G113" s="43"/>
      <c r="H113" s="90">
        <v>5608026022</v>
      </c>
      <c r="I113" s="91">
        <v>45666</v>
      </c>
      <c r="J113" s="37" t="s">
        <v>27</v>
      </c>
      <c r="K113" s="77" t="s">
        <v>321</v>
      </c>
      <c r="L113" s="37"/>
      <c r="M113" s="37"/>
      <c r="N113" s="37"/>
      <c r="O113" s="37"/>
      <c r="P113" s="37"/>
      <c r="Q113" s="37"/>
      <c r="R113" s="37"/>
      <c r="S113" s="37"/>
      <c r="T113" s="37"/>
      <c r="U113" s="37"/>
      <c r="V113" s="37"/>
      <c r="W113" s="37"/>
      <c r="X113" s="37"/>
      <c r="Y113" s="37"/>
      <c r="Z113" s="37"/>
      <c r="AA113" s="37"/>
      <c r="AB113" s="37"/>
      <c r="AC113" s="37"/>
      <c r="AD113" s="37"/>
      <c r="AE113" s="37"/>
      <c r="AF113" s="37"/>
      <c r="AG113" s="37"/>
      <c r="AH113" s="37"/>
      <c r="AI113" s="37"/>
      <c r="AJ113" s="37"/>
      <c r="AK113" s="37"/>
    </row>
    <row r="114" spans="1:37" ht="15">
      <c r="A114" s="78">
        <v>45669.395727013893</v>
      </c>
      <c r="B114" s="92" t="s">
        <v>328</v>
      </c>
      <c r="C114" s="92" t="s">
        <v>329</v>
      </c>
      <c r="D114" s="93"/>
      <c r="E114" s="94">
        <v>90293</v>
      </c>
      <c r="F114" s="43"/>
      <c r="G114" s="43"/>
      <c r="H114" s="95">
        <v>4116002035</v>
      </c>
      <c r="I114" s="96">
        <v>45666</v>
      </c>
      <c r="J114" s="37" t="s">
        <v>27</v>
      </c>
      <c r="K114" s="82" t="s">
        <v>330</v>
      </c>
      <c r="L114" s="37"/>
      <c r="M114" s="37"/>
      <c r="N114" s="37"/>
      <c r="O114" s="37"/>
      <c r="P114" s="37"/>
      <c r="Q114" s="37"/>
      <c r="R114" s="37"/>
      <c r="S114" s="37"/>
      <c r="T114" s="37"/>
      <c r="U114" s="37"/>
      <c r="V114" s="37"/>
      <c r="W114" s="37"/>
      <c r="X114" s="37"/>
      <c r="Y114" s="37"/>
      <c r="Z114" s="37"/>
      <c r="AA114" s="37"/>
      <c r="AB114" s="37"/>
      <c r="AC114" s="37"/>
      <c r="AD114" s="37"/>
      <c r="AE114" s="37"/>
      <c r="AF114" s="37"/>
      <c r="AG114" s="37"/>
      <c r="AH114" s="37"/>
      <c r="AI114" s="37"/>
      <c r="AJ114" s="37"/>
      <c r="AK114" s="37"/>
    </row>
    <row r="115" spans="1:37" ht="15">
      <c r="A115" s="71">
        <v>45669.397210219904</v>
      </c>
      <c r="B115" s="87" t="s">
        <v>337</v>
      </c>
      <c r="C115" s="87" t="s">
        <v>118</v>
      </c>
      <c r="D115" s="88"/>
      <c r="E115" s="89">
        <v>91207</v>
      </c>
      <c r="F115" s="43"/>
      <c r="G115" s="43"/>
      <c r="H115" s="90">
        <v>5650001002</v>
      </c>
      <c r="I115" s="91">
        <v>45666</v>
      </c>
      <c r="J115" s="37" t="s">
        <v>27</v>
      </c>
      <c r="K115" s="77" t="s">
        <v>338</v>
      </c>
      <c r="L115" s="37"/>
      <c r="M115" s="37"/>
      <c r="N115" s="37"/>
      <c r="O115" s="37"/>
      <c r="P115" s="37"/>
      <c r="Q115" s="37"/>
      <c r="R115" s="37"/>
      <c r="S115" s="37"/>
      <c r="T115" s="37"/>
      <c r="U115" s="37"/>
      <c r="V115" s="37"/>
      <c r="W115" s="37"/>
      <c r="X115" s="37"/>
      <c r="Y115" s="37"/>
      <c r="Z115" s="37"/>
      <c r="AA115" s="37"/>
      <c r="AB115" s="37"/>
      <c r="AC115" s="37"/>
      <c r="AD115" s="37"/>
      <c r="AE115" s="37"/>
      <c r="AF115" s="37"/>
      <c r="AG115" s="37"/>
      <c r="AH115" s="37"/>
      <c r="AI115" s="37"/>
      <c r="AJ115" s="37"/>
      <c r="AK115" s="37"/>
    </row>
    <row r="116" spans="1:37" ht="15">
      <c r="A116" s="78">
        <v>45669.420331284724</v>
      </c>
      <c r="B116" s="92" t="s">
        <v>344</v>
      </c>
      <c r="C116" s="92" t="s">
        <v>345</v>
      </c>
      <c r="D116" s="93"/>
      <c r="E116" s="94">
        <v>91748</v>
      </c>
      <c r="F116" s="43"/>
      <c r="G116" s="43"/>
      <c r="H116" s="95">
        <v>8265045008</v>
      </c>
      <c r="I116" s="96">
        <v>45667</v>
      </c>
      <c r="J116" s="37" t="s">
        <v>27</v>
      </c>
      <c r="K116" s="82" t="s">
        <v>346</v>
      </c>
      <c r="L116" s="37"/>
      <c r="M116" s="37"/>
      <c r="N116" s="37"/>
      <c r="O116" s="37"/>
      <c r="P116" s="37"/>
      <c r="Q116" s="37"/>
      <c r="R116" s="37"/>
      <c r="S116" s="37"/>
      <c r="T116" s="37"/>
      <c r="U116" s="37"/>
      <c r="V116" s="37"/>
      <c r="W116" s="37"/>
      <c r="X116" s="37"/>
      <c r="Y116" s="37"/>
      <c r="Z116" s="37"/>
      <c r="AA116" s="37"/>
      <c r="AB116" s="37"/>
      <c r="AC116" s="37"/>
      <c r="AD116" s="37"/>
      <c r="AE116" s="37"/>
      <c r="AF116" s="37"/>
      <c r="AG116" s="37"/>
      <c r="AH116" s="37"/>
      <c r="AI116" s="37"/>
      <c r="AJ116" s="37"/>
      <c r="AK116" s="37"/>
    </row>
    <row r="117" spans="1:37" ht="15">
      <c r="A117" s="71">
        <v>45669.447591469907</v>
      </c>
      <c r="B117" s="87" t="s">
        <v>352</v>
      </c>
      <c r="C117" s="87" t="s">
        <v>353</v>
      </c>
      <c r="D117" s="88"/>
      <c r="E117" s="89">
        <v>90032</v>
      </c>
      <c r="F117" s="43"/>
      <c r="G117" s="43"/>
      <c r="H117" s="97" t="s">
        <v>2872</v>
      </c>
      <c r="I117" s="91">
        <v>45668</v>
      </c>
      <c r="J117" s="37" t="s">
        <v>27</v>
      </c>
      <c r="K117" s="77" t="s">
        <v>354</v>
      </c>
      <c r="L117" s="37"/>
      <c r="M117" s="37"/>
      <c r="N117" s="37"/>
      <c r="O117" s="37"/>
      <c r="P117" s="37"/>
      <c r="Q117" s="37"/>
      <c r="R117" s="37"/>
      <c r="S117" s="37"/>
      <c r="T117" s="37"/>
      <c r="U117" s="37"/>
      <c r="V117" s="37"/>
      <c r="W117" s="37"/>
      <c r="X117" s="37"/>
      <c r="Y117" s="37"/>
      <c r="Z117" s="37"/>
      <c r="AA117" s="37"/>
      <c r="AB117" s="37"/>
      <c r="AC117" s="37"/>
      <c r="AD117" s="37"/>
      <c r="AE117" s="37"/>
      <c r="AF117" s="37"/>
      <c r="AG117" s="37"/>
      <c r="AH117" s="37"/>
      <c r="AI117" s="37"/>
      <c r="AJ117" s="37"/>
      <c r="AK117" s="37"/>
    </row>
    <row r="118" spans="1:37" ht="15">
      <c r="A118" s="78">
        <v>45669.45280590278</v>
      </c>
      <c r="B118" s="92" t="s">
        <v>358</v>
      </c>
      <c r="C118" s="92" t="s">
        <v>359</v>
      </c>
      <c r="D118" s="93"/>
      <c r="E118" s="94">
        <v>90404</v>
      </c>
      <c r="F118" s="43"/>
      <c r="G118" s="43"/>
      <c r="H118" s="95">
        <v>4268021032</v>
      </c>
      <c r="I118" s="96">
        <v>45669</v>
      </c>
      <c r="J118" s="37" t="s">
        <v>27</v>
      </c>
      <c r="K118" s="82" t="s">
        <v>360</v>
      </c>
      <c r="L118" s="37"/>
      <c r="M118" s="37"/>
      <c r="N118" s="37"/>
      <c r="O118" s="37"/>
      <c r="P118" s="37"/>
      <c r="Q118" s="37"/>
      <c r="R118" s="37"/>
      <c r="S118" s="37"/>
      <c r="T118" s="37"/>
      <c r="U118" s="37"/>
      <c r="V118" s="37"/>
      <c r="W118" s="37"/>
      <c r="X118" s="37"/>
      <c r="Y118" s="37"/>
      <c r="Z118" s="37"/>
      <c r="AA118" s="37"/>
      <c r="AB118" s="37"/>
      <c r="AC118" s="37"/>
      <c r="AD118" s="37"/>
      <c r="AE118" s="37"/>
      <c r="AF118" s="37"/>
      <c r="AG118" s="37"/>
      <c r="AH118" s="37"/>
      <c r="AI118" s="37"/>
      <c r="AJ118" s="37"/>
      <c r="AK118" s="37"/>
    </row>
    <row r="119" spans="1:37" ht="15">
      <c r="A119" s="98">
        <v>45669.455101099535</v>
      </c>
      <c r="B119" s="99" t="s">
        <v>2873</v>
      </c>
      <c r="C119" s="99" t="s">
        <v>559</v>
      </c>
      <c r="D119" s="100"/>
      <c r="E119" s="101">
        <v>91106</v>
      </c>
      <c r="F119" s="43"/>
      <c r="G119" s="43"/>
      <c r="H119" s="102" t="s">
        <v>2874</v>
      </c>
      <c r="I119" s="103">
        <v>45536</v>
      </c>
      <c r="J119" s="37" t="s">
        <v>27</v>
      </c>
      <c r="K119" s="99" t="s">
        <v>30</v>
      </c>
      <c r="L119" s="37"/>
      <c r="M119" s="37"/>
      <c r="N119" s="37"/>
      <c r="O119" s="37"/>
      <c r="P119" s="37"/>
      <c r="Q119" s="37"/>
      <c r="R119" s="37"/>
      <c r="S119" s="37"/>
      <c r="T119" s="37"/>
      <c r="U119" s="37"/>
      <c r="V119" s="37"/>
      <c r="W119" s="37"/>
      <c r="X119" s="37"/>
      <c r="Y119" s="37"/>
      <c r="Z119" s="37"/>
      <c r="AA119" s="37"/>
      <c r="AB119" s="37"/>
      <c r="AC119" s="37"/>
      <c r="AD119" s="37"/>
      <c r="AE119" s="37"/>
      <c r="AF119" s="37"/>
      <c r="AG119" s="37"/>
      <c r="AH119" s="37"/>
      <c r="AI119" s="37"/>
      <c r="AJ119" s="37"/>
      <c r="AK119" s="37"/>
    </row>
    <row r="120" spans="1:37" ht="14.25">
      <c r="A120" s="43"/>
      <c r="B120" s="37"/>
      <c r="C120" s="37"/>
      <c r="D120" s="37"/>
      <c r="E120" s="37"/>
      <c r="F120" s="43"/>
      <c r="G120" s="43"/>
      <c r="H120" s="44"/>
      <c r="I120" s="43"/>
      <c r="J120" s="37"/>
      <c r="K120" s="37"/>
      <c r="L120" s="37"/>
      <c r="M120" s="37"/>
      <c r="N120" s="37"/>
      <c r="O120" s="37"/>
      <c r="P120" s="37"/>
      <c r="Q120" s="37"/>
      <c r="R120" s="37"/>
      <c r="S120" s="37"/>
      <c r="T120" s="37"/>
      <c r="U120" s="37"/>
      <c r="V120" s="37"/>
      <c r="W120" s="37"/>
      <c r="X120" s="37"/>
      <c r="Y120" s="37"/>
      <c r="Z120" s="37"/>
      <c r="AA120" s="37"/>
      <c r="AB120" s="37"/>
      <c r="AC120" s="37"/>
      <c r="AD120" s="37"/>
      <c r="AE120" s="37"/>
      <c r="AF120" s="37"/>
      <c r="AG120" s="37"/>
      <c r="AH120" s="37"/>
      <c r="AI120" s="37"/>
      <c r="AJ120" s="37"/>
      <c r="AK120" s="37"/>
    </row>
    <row r="121" spans="1:37" ht="26.25">
      <c r="A121" s="104">
        <v>45667</v>
      </c>
      <c r="B121" s="105" t="s">
        <v>2875</v>
      </c>
      <c r="C121" s="105" t="s">
        <v>25</v>
      </c>
      <c r="D121" s="105"/>
      <c r="E121" s="105">
        <v>90064</v>
      </c>
      <c r="F121" s="106"/>
      <c r="G121" s="106"/>
      <c r="H121" s="107"/>
      <c r="I121" s="106"/>
      <c r="J121" s="105"/>
      <c r="K121" s="108" t="s">
        <v>2876</v>
      </c>
      <c r="L121" s="105"/>
      <c r="M121" s="105"/>
      <c r="N121" s="109" t="s">
        <v>2877</v>
      </c>
      <c r="O121" s="105"/>
      <c r="P121" s="105"/>
      <c r="Q121" s="105"/>
      <c r="R121" s="105"/>
      <c r="S121" s="37"/>
      <c r="T121" s="37"/>
      <c r="U121" s="37"/>
      <c r="V121" s="37"/>
      <c r="W121" s="37"/>
      <c r="X121" s="37"/>
      <c r="Y121" s="37"/>
      <c r="Z121" s="37"/>
      <c r="AA121" s="37"/>
      <c r="AB121" s="37"/>
      <c r="AC121" s="37"/>
      <c r="AD121" s="37"/>
      <c r="AE121" s="37"/>
      <c r="AF121" s="37"/>
      <c r="AG121" s="37"/>
      <c r="AH121" s="37"/>
      <c r="AI121" s="37"/>
      <c r="AJ121" s="37"/>
      <c r="AK121" s="37"/>
    </row>
    <row r="122" spans="1:37" ht="14.25">
      <c r="A122" s="106"/>
      <c r="B122" s="105"/>
      <c r="C122" s="105"/>
      <c r="D122" s="105"/>
      <c r="E122" s="105"/>
      <c r="F122" s="106"/>
      <c r="G122" s="106"/>
      <c r="H122" s="107"/>
      <c r="I122" s="106"/>
      <c r="J122" s="105"/>
      <c r="K122" s="105"/>
      <c r="L122" s="105"/>
      <c r="M122" s="105"/>
      <c r="O122" s="105"/>
      <c r="P122" s="105"/>
      <c r="Q122" s="105"/>
      <c r="R122" s="105"/>
      <c r="S122" s="37"/>
      <c r="T122" s="37"/>
      <c r="U122" s="37"/>
      <c r="V122" s="37"/>
      <c r="W122" s="37"/>
      <c r="X122" s="37"/>
      <c r="Y122" s="37"/>
      <c r="Z122" s="37"/>
      <c r="AA122" s="37"/>
      <c r="AB122" s="37"/>
      <c r="AC122" s="37"/>
      <c r="AD122" s="37"/>
      <c r="AE122" s="37"/>
      <c r="AF122" s="37"/>
      <c r="AG122" s="37"/>
      <c r="AH122" s="37"/>
      <c r="AI122" s="37"/>
      <c r="AJ122" s="37"/>
      <c r="AK122" s="37"/>
    </row>
    <row r="123" spans="1:37" ht="15">
      <c r="A123" s="43"/>
      <c r="B123" s="37"/>
      <c r="C123" s="37"/>
      <c r="D123" s="37"/>
      <c r="E123" s="37"/>
      <c r="F123" s="43"/>
      <c r="G123" s="43"/>
      <c r="H123" s="44"/>
      <c r="I123" s="43"/>
      <c r="J123" s="37"/>
      <c r="K123" s="37"/>
      <c r="L123" s="37"/>
      <c r="M123" s="37"/>
      <c r="N123" s="110"/>
      <c r="O123" s="37"/>
      <c r="P123" s="37"/>
      <c r="Q123" s="37"/>
      <c r="R123" s="37"/>
      <c r="S123" s="37"/>
      <c r="T123" s="37"/>
      <c r="U123" s="37"/>
      <c r="V123" s="37"/>
      <c r="W123" s="37"/>
      <c r="X123" s="37"/>
      <c r="Y123" s="37"/>
      <c r="Z123" s="37"/>
      <c r="AA123" s="37"/>
      <c r="AB123" s="37"/>
      <c r="AC123" s="37"/>
      <c r="AD123" s="37"/>
      <c r="AE123" s="37"/>
      <c r="AF123" s="37"/>
      <c r="AG123" s="37"/>
      <c r="AH123" s="37"/>
      <c r="AI123" s="37"/>
      <c r="AJ123" s="37"/>
      <c r="AK123" s="37"/>
    </row>
    <row r="124" spans="1:37" ht="14.25">
      <c r="A124" s="43"/>
      <c r="B124" s="37"/>
      <c r="C124" s="37"/>
      <c r="D124" s="37"/>
      <c r="E124" s="37"/>
      <c r="F124" s="43"/>
      <c r="G124" s="43"/>
      <c r="H124" s="44"/>
      <c r="I124" s="43"/>
      <c r="J124" s="37"/>
      <c r="K124" s="37"/>
      <c r="L124" s="37"/>
      <c r="M124" s="37"/>
      <c r="N124" s="37"/>
      <c r="O124" s="37"/>
      <c r="P124" s="37"/>
      <c r="Q124" s="37"/>
      <c r="R124" s="37"/>
      <c r="S124" s="37"/>
      <c r="T124" s="37"/>
      <c r="U124" s="37"/>
      <c r="V124" s="37"/>
      <c r="W124" s="37"/>
      <c r="X124" s="37"/>
      <c r="Y124" s="37"/>
      <c r="Z124" s="37"/>
      <c r="AA124" s="37"/>
      <c r="AB124" s="37"/>
      <c r="AC124" s="37"/>
      <c r="AD124" s="37"/>
      <c r="AE124" s="37"/>
      <c r="AF124" s="37"/>
      <c r="AG124" s="37"/>
      <c r="AH124" s="37"/>
      <c r="AI124" s="37"/>
      <c r="AJ124" s="37"/>
      <c r="AK124" s="37"/>
    </row>
    <row r="125" spans="1:37" ht="14.25">
      <c r="A125" s="43"/>
      <c r="B125" s="37"/>
      <c r="C125" s="37"/>
      <c r="D125" s="37"/>
      <c r="E125" s="37"/>
      <c r="F125" s="43"/>
      <c r="G125" s="43"/>
      <c r="H125" s="44"/>
      <c r="I125" s="43"/>
      <c r="J125" s="37"/>
      <c r="K125" s="37"/>
      <c r="L125" s="37"/>
      <c r="M125" s="37"/>
      <c r="N125" s="37"/>
      <c r="O125" s="37"/>
      <c r="P125" s="37"/>
      <c r="Q125" s="37"/>
      <c r="R125" s="37"/>
      <c r="S125" s="37"/>
      <c r="T125" s="37"/>
      <c r="U125" s="37"/>
      <c r="V125" s="37"/>
      <c r="W125" s="37"/>
      <c r="X125" s="37"/>
      <c r="Y125" s="37"/>
      <c r="Z125" s="37"/>
      <c r="AA125" s="37"/>
      <c r="AB125" s="37"/>
      <c r="AC125" s="37"/>
      <c r="AD125" s="37"/>
      <c r="AE125" s="37"/>
      <c r="AF125" s="37"/>
      <c r="AG125" s="37"/>
      <c r="AH125" s="37"/>
      <c r="AI125" s="37"/>
      <c r="AJ125" s="37"/>
      <c r="AK125" s="37"/>
    </row>
    <row r="126" spans="1:37" ht="14.25">
      <c r="A126" s="43"/>
      <c r="B126" s="37"/>
      <c r="C126" s="37"/>
      <c r="D126" s="37"/>
      <c r="E126" s="37"/>
      <c r="F126" s="43"/>
      <c r="G126" s="43"/>
      <c r="H126" s="44"/>
      <c r="I126" s="43"/>
      <c r="J126" s="37"/>
      <c r="K126" s="37"/>
      <c r="L126" s="37"/>
      <c r="M126" s="37"/>
      <c r="N126" s="37"/>
      <c r="O126" s="37"/>
      <c r="P126" s="37"/>
      <c r="Q126" s="37"/>
      <c r="R126" s="37"/>
      <c r="S126" s="37"/>
      <c r="T126" s="37"/>
      <c r="U126" s="37"/>
      <c r="V126" s="37"/>
      <c r="W126" s="37"/>
      <c r="X126" s="37"/>
      <c r="Y126" s="37"/>
      <c r="Z126" s="37"/>
      <c r="AA126" s="37"/>
      <c r="AB126" s="37"/>
      <c r="AC126" s="37"/>
      <c r="AD126" s="37"/>
      <c r="AE126" s="37"/>
      <c r="AF126" s="37"/>
      <c r="AG126" s="37"/>
      <c r="AH126" s="37"/>
      <c r="AI126" s="37"/>
      <c r="AJ126" s="37"/>
      <c r="AK126" s="37"/>
    </row>
    <row r="127" spans="1:37" ht="14.25">
      <c r="A127" s="43"/>
      <c r="B127" s="37"/>
      <c r="C127" s="37"/>
      <c r="D127" s="37"/>
      <c r="E127" s="37"/>
      <c r="F127" s="43"/>
      <c r="G127" s="43"/>
      <c r="H127" s="44"/>
      <c r="I127" s="43"/>
      <c r="J127" s="37"/>
      <c r="K127" s="37"/>
      <c r="L127" s="37"/>
      <c r="M127" s="37"/>
      <c r="N127" s="37"/>
      <c r="O127" s="37"/>
      <c r="P127" s="37"/>
      <c r="Q127" s="37"/>
      <c r="R127" s="37"/>
      <c r="S127" s="37"/>
      <c r="T127" s="37"/>
      <c r="U127" s="37"/>
      <c r="V127" s="37"/>
      <c r="W127" s="37"/>
      <c r="X127" s="37"/>
      <c r="Y127" s="37"/>
      <c r="Z127" s="37"/>
      <c r="AA127" s="37"/>
      <c r="AB127" s="37"/>
      <c r="AC127" s="37"/>
      <c r="AD127" s="37"/>
      <c r="AE127" s="37"/>
      <c r="AF127" s="37"/>
      <c r="AG127" s="37"/>
      <c r="AH127" s="37"/>
      <c r="AI127" s="37"/>
      <c r="AJ127" s="37"/>
      <c r="AK127" s="37"/>
    </row>
    <row r="128" spans="1:37" ht="14.25">
      <c r="A128" s="43"/>
      <c r="B128" s="37"/>
      <c r="C128" s="37"/>
      <c r="D128" s="37"/>
      <c r="E128" s="37"/>
      <c r="F128" s="43"/>
      <c r="G128" s="43"/>
      <c r="H128" s="44"/>
      <c r="I128" s="43"/>
      <c r="J128" s="37"/>
      <c r="K128" s="37"/>
      <c r="L128" s="37"/>
      <c r="M128" s="37"/>
      <c r="N128" s="37"/>
      <c r="O128" s="37"/>
      <c r="P128" s="37"/>
      <c r="Q128" s="37"/>
      <c r="R128" s="37"/>
      <c r="S128" s="37"/>
      <c r="T128" s="37"/>
      <c r="U128" s="37"/>
      <c r="V128" s="37"/>
      <c r="W128" s="37"/>
      <c r="X128" s="37"/>
      <c r="Y128" s="37"/>
      <c r="Z128" s="37"/>
      <c r="AA128" s="37"/>
      <c r="AB128" s="37"/>
      <c r="AC128" s="37"/>
      <c r="AD128" s="37"/>
      <c r="AE128" s="37"/>
      <c r="AF128" s="37"/>
      <c r="AG128" s="37"/>
      <c r="AH128" s="37"/>
      <c r="AI128" s="37"/>
      <c r="AJ128" s="37"/>
      <c r="AK128" s="37"/>
    </row>
    <row r="129" spans="1:37" ht="14.25">
      <c r="A129" s="43"/>
      <c r="B129" s="37"/>
      <c r="C129" s="37"/>
      <c r="D129" s="37"/>
      <c r="E129" s="37"/>
      <c r="F129" s="43"/>
      <c r="G129" s="43"/>
      <c r="H129" s="44"/>
      <c r="I129" s="43"/>
      <c r="J129" s="37"/>
      <c r="K129" s="37"/>
      <c r="L129" s="37"/>
      <c r="M129" s="37"/>
      <c r="N129" s="37"/>
      <c r="O129" s="37"/>
      <c r="P129" s="37"/>
      <c r="Q129" s="37"/>
      <c r="R129" s="37"/>
      <c r="S129" s="37"/>
      <c r="T129" s="37"/>
      <c r="U129" s="37"/>
      <c r="V129" s="37"/>
      <c r="W129" s="37"/>
      <c r="X129" s="37"/>
      <c r="Y129" s="37"/>
      <c r="Z129" s="37"/>
      <c r="AA129" s="37"/>
      <c r="AB129" s="37"/>
      <c r="AC129" s="37"/>
      <c r="AD129" s="37"/>
      <c r="AE129" s="37"/>
      <c r="AF129" s="37"/>
      <c r="AG129" s="37"/>
      <c r="AH129" s="37"/>
      <c r="AI129" s="37"/>
      <c r="AJ129" s="37"/>
      <c r="AK129" s="37"/>
    </row>
    <row r="130" spans="1:37" ht="14.25">
      <c r="A130" s="43"/>
      <c r="B130" s="37"/>
      <c r="C130" s="37"/>
      <c r="D130" s="37"/>
      <c r="E130" s="37"/>
      <c r="F130" s="43"/>
      <c r="G130" s="43"/>
      <c r="H130" s="44"/>
      <c r="I130" s="43"/>
      <c r="J130" s="37"/>
      <c r="K130" s="37"/>
      <c r="L130" s="37"/>
      <c r="M130" s="37"/>
      <c r="N130" s="37"/>
      <c r="O130" s="37"/>
      <c r="P130" s="37"/>
      <c r="Q130" s="37"/>
      <c r="R130" s="37"/>
      <c r="S130" s="37"/>
      <c r="T130" s="37"/>
      <c r="U130" s="37"/>
      <c r="V130" s="37"/>
      <c r="W130" s="37"/>
      <c r="X130" s="37"/>
      <c r="Y130" s="37"/>
      <c r="Z130" s="37"/>
      <c r="AA130" s="37"/>
      <c r="AB130" s="37"/>
      <c r="AC130" s="37"/>
      <c r="AD130" s="37"/>
      <c r="AE130" s="37"/>
      <c r="AF130" s="37"/>
      <c r="AG130" s="37"/>
      <c r="AH130" s="37"/>
      <c r="AI130" s="37"/>
      <c r="AJ130" s="37"/>
      <c r="AK130" s="37"/>
    </row>
    <row r="131" spans="1:37" ht="14.25">
      <c r="A131" s="43"/>
      <c r="B131" s="37"/>
      <c r="C131" s="37"/>
      <c r="D131" s="37"/>
      <c r="E131" s="37"/>
      <c r="F131" s="43"/>
      <c r="G131" s="43"/>
      <c r="H131" s="44"/>
      <c r="I131" s="43"/>
      <c r="J131" s="37"/>
      <c r="K131" s="37"/>
      <c r="L131" s="37"/>
      <c r="M131" s="37"/>
      <c r="N131" s="37"/>
      <c r="O131" s="37"/>
      <c r="P131" s="37"/>
      <c r="Q131" s="37"/>
      <c r="R131" s="37"/>
      <c r="S131" s="37"/>
      <c r="T131" s="37"/>
      <c r="U131" s="37"/>
      <c r="V131" s="37"/>
      <c r="W131" s="37"/>
      <c r="X131" s="37"/>
      <c r="Y131" s="37"/>
      <c r="Z131" s="37"/>
      <c r="AA131" s="37"/>
      <c r="AB131" s="37"/>
      <c r="AC131" s="37"/>
      <c r="AD131" s="37"/>
      <c r="AE131" s="37"/>
      <c r="AF131" s="37"/>
      <c r="AG131" s="37"/>
      <c r="AH131" s="37"/>
      <c r="AI131" s="37"/>
      <c r="AJ131" s="37"/>
      <c r="AK131" s="37"/>
    </row>
    <row r="132" spans="1:37" ht="14.25">
      <c r="A132" s="43"/>
      <c r="B132" s="37"/>
      <c r="C132" s="37"/>
      <c r="D132" s="37"/>
      <c r="E132" s="37"/>
      <c r="F132" s="43"/>
      <c r="G132" s="43"/>
      <c r="H132" s="44"/>
      <c r="I132" s="43"/>
      <c r="J132" s="37"/>
      <c r="K132" s="37"/>
      <c r="L132" s="37"/>
      <c r="M132" s="37"/>
      <c r="N132" s="37"/>
      <c r="O132" s="37"/>
      <c r="P132" s="37"/>
      <c r="Q132" s="37"/>
      <c r="R132" s="37"/>
      <c r="S132" s="37"/>
      <c r="T132" s="37"/>
      <c r="U132" s="37"/>
      <c r="V132" s="37"/>
      <c r="W132" s="37"/>
      <c r="X132" s="37"/>
      <c r="Y132" s="37"/>
      <c r="Z132" s="37"/>
      <c r="AA132" s="37"/>
      <c r="AB132" s="37"/>
      <c r="AC132" s="37"/>
      <c r="AD132" s="37"/>
      <c r="AE132" s="37"/>
      <c r="AF132" s="37"/>
      <c r="AG132" s="37"/>
      <c r="AH132" s="37"/>
      <c r="AI132" s="37"/>
      <c r="AJ132" s="37"/>
      <c r="AK132" s="37"/>
    </row>
    <row r="133" spans="1:37" ht="14.25">
      <c r="A133" s="43"/>
      <c r="B133" s="37"/>
      <c r="C133" s="37"/>
      <c r="D133" s="37"/>
      <c r="E133" s="37"/>
      <c r="F133" s="43"/>
      <c r="G133" s="43"/>
      <c r="H133" s="44"/>
      <c r="I133" s="43"/>
      <c r="J133" s="37"/>
      <c r="K133" s="37"/>
      <c r="L133" s="37"/>
      <c r="M133" s="37"/>
      <c r="N133" s="37"/>
      <c r="O133" s="37"/>
      <c r="P133" s="37"/>
      <c r="Q133" s="37"/>
      <c r="R133" s="37"/>
      <c r="S133" s="37"/>
      <c r="T133" s="37"/>
      <c r="U133" s="37"/>
      <c r="V133" s="37"/>
      <c r="W133" s="37"/>
      <c r="X133" s="37"/>
      <c r="Y133" s="37"/>
      <c r="Z133" s="37"/>
      <c r="AA133" s="37"/>
      <c r="AB133" s="37"/>
      <c r="AC133" s="37"/>
      <c r="AD133" s="37"/>
      <c r="AE133" s="37"/>
      <c r="AF133" s="37"/>
      <c r="AG133" s="37"/>
      <c r="AH133" s="37"/>
      <c r="AI133" s="37"/>
      <c r="AJ133" s="37"/>
      <c r="AK133" s="37"/>
    </row>
    <row r="134" spans="1:37" ht="14.25">
      <c r="A134" s="43"/>
      <c r="B134" s="37"/>
      <c r="C134" s="37"/>
      <c r="D134" s="37"/>
      <c r="E134" s="37"/>
      <c r="F134" s="43"/>
      <c r="G134" s="43"/>
      <c r="H134" s="44"/>
      <c r="I134" s="43"/>
      <c r="J134" s="37"/>
      <c r="K134" s="37"/>
      <c r="L134" s="37"/>
      <c r="M134" s="37"/>
      <c r="N134" s="37"/>
      <c r="O134" s="37"/>
      <c r="P134" s="37"/>
      <c r="Q134" s="37"/>
      <c r="R134" s="37"/>
      <c r="S134" s="37"/>
      <c r="T134" s="37"/>
      <c r="U134" s="37"/>
      <c r="V134" s="37"/>
      <c r="W134" s="37"/>
      <c r="X134" s="37"/>
      <c r="Y134" s="37"/>
      <c r="Z134" s="37"/>
      <c r="AA134" s="37"/>
      <c r="AB134" s="37"/>
      <c r="AC134" s="37"/>
      <c r="AD134" s="37"/>
      <c r="AE134" s="37"/>
      <c r="AF134" s="37"/>
      <c r="AG134" s="37"/>
      <c r="AH134" s="37"/>
      <c r="AI134" s="37"/>
      <c r="AJ134" s="37"/>
      <c r="AK134" s="37"/>
    </row>
    <row r="135" spans="1:37" ht="14.25">
      <c r="A135" s="43"/>
      <c r="B135" s="37"/>
      <c r="C135" s="37"/>
      <c r="D135" s="37"/>
      <c r="E135" s="37"/>
      <c r="F135" s="43"/>
      <c r="G135" s="43"/>
      <c r="H135" s="44"/>
      <c r="I135" s="43"/>
      <c r="J135" s="37"/>
      <c r="K135" s="37"/>
      <c r="L135" s="37"/>
      <c r="M135" s="37"/>
      <c r="N135" s="37"/>
      <c r="O135" s="37"/>
      <c r="P135" s="37"/>
      <c r="Q135" s="37"/>
      <c r="R135" s="37"/>
      <c r="S135" s="37"/>
      <c r="T135" s="37"/>
      <c r="U135" s="37"/>
      <c r="V135" s="37"/>
      <c r="W135" s="37"/>
      <c r="X135" s="37"/>
      <c r="Y135" s="37"/>
      <c r="Z135" s="37"/>
      <c r="AA135" s="37"/>
      <c r="AB135" s="37"/>
      <c r="AC135" s="37"/>
      <c r="AD135" s="37"/>
      <c r="AE135" s="37"/>
      <c r="AF135" s="37"/>
      <c r="AG135" s="37"/>
      <c r="AH135" s="37"/>
      <c r="AI135" s="37"/>
      <c r="AJ135" s="37"/>
      <c r="AK135" s="37"/>
    </row>
    <row r="136" spans="1:37" ht="14.25">
      <c r="A136" s="43"/>
      <c r="B136" s="37"/>
      <c r="C136" s="37"/>
      <c r="D136" s="37"/>
      <c r="E136" s="37"/>
      <c r="F136" s="43"/>
      <c r="G136" s="43"/>
      <c r="H136" s="44"/>
      <c r="I136" s="43"/>
      <c r="J136" s="37"/>
      <c r="K136" s="37"/>
      <c r="L136" s="37"/>
      <c r="M136" s="37"/>
      <c r="N136" s="37"/>
      <c r="O136" s="37"/>
      <c r="P136" s="37"/>
      <c r="Q136" s="37"/>
      <c r="R136" s="37"/>
      <c r="S136" s="37"/>
      <c r="T136" s="37"/>
      <c r="U136" s="37"/>
      <c r="V136" s="37"/>
      <c r="W136" s="37"/>
      <c r="X136" s="37"/>
      <c r="Y136" s="37"/>
      <c r="Z136" s="37"/>
      <c r="AA136" s="37"/>
      <c r="AB136" s="37"/>
      <c r="AC136" s="37"/>
      <c r="AD136" s="37"/>
      <c r="AE136" s="37"/>
      <c r="AF136" s="37"/>
      <c r="AG136" s="37"/>
      <c r="AH136" s="37"/>
      <c r="AI136" s="37"/>
      <c r="AJ136" s="37"/>
      <c r="AK136" s="37"/>
    </row>
    <row r="137" spans="1:37" ht="14.25">
      <c r="A137" s="43"/>
      <c r="B137" s="37"/>
      <c r="C137" s="37"/>
      <c r="D137" s="37"/>
      <c r="E137" s="37"/>
      <c r="F137" s="43"/>
      <c r="G137" s="43"/>
      <c r="H137" s="44"/>
      <c r="I137" s="43"/>
      <c r="J137" s="37"/>
      <c r="K137" s="37"/>
      <c r="L137" s="37"/>
      <c r="M137" s="37"/>
      <c r="N137" s="37"/>
      <c r="O137" s="37"/>
      <c r="P137" s="37"/>
      <c r="Q137" s="37"/>
      <c r="R137" s="37"/>
      <c r="S137" s="37"/>
      <c r="T137" s="37"/>
      <c r="U137" s="37"/>
      <c r="V137" s="37"/>
      <c r="W137" s="37"/>
      <c r="X137" s="37"/>
      <c r="Y137" s="37"/>
      <c r="Z137" s="37"/>
      <c r="AA137" s="37"/>
      <c r="AB137" s="37"/>
      <c r="AC137" s="37"/>
      <c r="AD137" s="37"/>
      <c r="AE137" s="37"/>
      <c r="AF137" s="37"/>
      <c r="AG137" s="37"/>
      <c r="AH137" s="37"/>
      <c r="AI137" s="37"/>
      <c r="AJ137" s="37"/>
      <c r="AK137" s="37"/>
    </row>
    <row r="138" spans="1:37" ht="14.25">
      <c r="A138" s="43"/>
      <c r="B138" s="37"/>
      <c r="C138" s="37"/>
      <c r="D138" s="37"/>
      <c r="E138" s="37"/>
      <c r="F138" s="43"/>
      <c r="G138" s="43"/>
      <c r="H138" s="44"/>
      <c r="I138" s="43"/>
      <c r="J138" s="37"/>
      <c r="K138" s="37"/>
      <c r="L138" s="37"/>
      <c r="M138" s="37"/>
      <c r="N138" s="37"/>
      <c r="O138" s="37"/>
      <c r="P138" s="37"/>
      <c r="Q138" s="37"/>
      <c r="R138" s="37"/>
      <c r="S138" s="37"/>
      <c r="T138" s="37"/>
      <c r="U138" s="37"/>
      <c r="V138" s="37"/>
      <c r="W138" s="37"/>
      <c r="X138" s="37"/>
      <c r="Y138" s="37"/>
      <c r="Z138" s="37"/>
      <c r="AA138" s="37"/>
      <c r="AB138" s="37"/>
      <c r="AC138" s="37"/>
      <c r="AD138" s="37"/>
      <c r="AE138" s="37"/>
      <c r="AF138" s="37"/>
      <c r="AG138" s="37"/>
      <c r="AH138" s="37"/>
      <c r="AI138" s="37"/>
      <c r="AJ138" s="37"/>
      <c r="AK138" s="37"/>
    </row>
    <row r="139" spans="1:37" ht="14.25">
      <c r="A139" s="43"/>
      <c r="B139" s="37"/>
      <c r="C139" s="37"/>
      <c r="D139" s="37"/>
      <c r="E139" s="37"/>
      <c r="F139" s="43"/>
      <c r="G139" s="43"/>
      <c r="H139" s="44"/>
      <c r="I139" s="43"/>
      <c r="J139" s="37"/>
      <c r="K139" s="37"/>
      <c r="L139" s="37"/>
      <c r="M139" s="37"/>
      <c r="N139" s="37"/>
      <c r="O139" s="37"/>
      <c r="P139" s="37"/>
      <c r="Q139" s="37"/>
      <c r="R139" s="37"/>
      <c r="S139" s="37"/>
      <c r="T139" s="37"/>
      <c r="U139" s="37"/>
      <c r="V139" s="37"/>
      <c r="W139" s="37"/>
      <c r="X139" s="37"/>
      <c r="Y139" s="37"/>
      <c r="Z139" s="37"/>
      <c r="AA139" s="37"/>
      <c r="AB139" s="37"/>
      <c r="AC139" s="37"/>
      <c r="AD139" s="37"/>
      <c r="AE139" s="37"/>
      <c r="AF139" s="37"/>
      <c r="AG139" s="37"/>
      <c r="AH139" s="37"/>
      <c r="AI139" s="37"/>
      <c r="AJ139" s="37"/>
      <c r="AK139" s="37"/>
    </row>
    <row r="140" spans="1:37" ht="14.25">
      <c r="A140" s="43"/>
      <c r="B140" s="37"/>
      <c r="C140" s="37"/>
      <c r="D140" s="37"/>
      <c r="E140" s="37"/>
      <c r="F140" s="43"/>
      <c r="G140" s="43"/>
      <c r="H140" s="44"/>
      <c r="I140" s="43"/>
      <c r="J140" s="37"/>
      <c r="K140" s="37"/>
      <c r="L140" s="37"/>
      <c r="M140" s="37"/>
      <c r="N140" s="37"/>
      <c r="O140" s="37"/>
      <c r="P140" s="37"/>
      <c r="Q140" s="37"/>
      <c r="R140" s="37"/>
      <c r="S140" s="37"/>
      <c r="T140" s="37"/>
      <c r="U140" s="37"/>
      <c r="V140" s="37"/>
      <c r="W140" s="37"/>
      <c r="X140" s="37"/>
      <c r="Y140" s="37"/>
      <c r="Z140" s="37"/>
      <c r="AA140" s="37"/>
      <c r="AB140" s="37"/>
      <c r="AC140" s="37"/>
      <c r="AD140" s="37"/>
      <c r="AE140" s="37"/>
      <c r="AF140" s="37"/>
      <c r="AG140" s="37"/>
      <c r="AH140" s="37"/>
      <c r="AI140" s="37"/>
      <c r="AJ140" s="37"/>
      <c r="AK140" s="37"/>
    </row>
    <row r="141" spans="1:37" ht="14.25">
      <c r="A141" s="43"/>
      <c r="B141" s="37"/>
      <c r="C141" s="37"/>
      <c r="D141" s="37"/>
      <c r="E141" s="37"/>
      <c r="F141" s="43"/>
      <c r="G141" s="43"/>
      <c r="H141" s="44"/>
      <c r="I141" s="43"/>
      <c r="J141" s="37"/>
      <c r="K141" s="37"/>
      <c r="L141" s="37"/>
      <c r="M141" s="37"/>
      <c r="N141" s="37"/>
      <c r="O141" s="37"/>
      <c r="P141" s="37"/>
      <c r="Q141" s="37"/>
      <c r="R141" s="37"/>
      <c r="S141" s="37"/>
      <c r="T141" s="37"/>
      <c r="U141" s="37"/>
      <c r="V141" s="37"/>
      <c r="W141" s="37"/>
      <c r="X141" s="37"/>
      <c r="Y141" s="37"/>
      <c r="Z141" s="37"/>
      <c r="AA141" s="37"/>
      <c r="AB141" s="37"/>
      <c r="AC141" s="37"/>
      <c r="AD141" s="37"/>
      <c r="AE141" s="37"/>
      <c r="AF141" s="37"/>
      <c r="AG141" s="37"/>
      <c r="AH141" s="37"/>
      <c r="AI141" s="37"/>
      <c r="AJ141" s="37"/>
      <c r="AK141" s="37"/>
    </row>
    <row r="142" spans="1:37" ht="14.25">
      <c r="A142" s="43"/>
      <c r="B142" s="37"/>
      <c r="C142" s="37"/>
      <c r="D142" s="37"/>
      <c r="E142" s="37"/>
      <c r="F142" s="43"/>
      <c r="G142" s="43"/>
      <c r="H142" s="44"/>
      <c r="I142" s="43"/>
      <c r="J142" s="37"/>
      <c r="K142" s="37"/>
      <c r="L142" s="37"/>
      <c r="M142" s="37"/>
      <c r="N142" s="37"/>
      <c r="O142" s="37"/>
      <c r="P142" s="37"/>
      <c r="Q142" s="37"/>
      <c r="R142" s="37"/>
      <c r="S142" s="37"/>
      <c r="T142" s="37"/>
      <c r="U142" s="37"/>
      <c r="V142" s="37"/>
      <c r="W142" s="37"/>
      <c r="X142" s="37"/>
      <c r="Y142" s="37"/>
      <c r="Z142" s="37"/>
      <c r="AA142" s="37"/>
      <c r="AB142" s="37"/>
      <c r="AC142" s="37"/>
      <c r="AD142" s="37"/>
      <c r="AE142" s="37"/>
      <c r="AF142" s="37"/>
      <c r="AG142" s="37"/>
      <c r="AH142" s="37"/>
      <c r="AI142" s="37"/>
      <c r="AJ142" s="37"/>
      <c r="AK142" s="37"/>
    </row>
    <row r="143" spans="1:37" ht="14.25">
      <c r="A143" s="43"/>
      <c r="B143" s="37"/>
      <c r="C143" s="37"/>
      <c r="D143" s="37"/>
      <c r="E143" s="37"/>
      <c r="F143" s="43"/>
      <c r="G143" s="43"/>
      <c r="H143" s="44"/>
      <c r="I143" s="43"/>
      <c r="J143" s="37"/>
      <c r="K143" s="37"/>
      <c r="L143" s="37"/>
      <c r="M143" s="37"/>
      <c r="N143" s="37"/>
      <c r="O143" s="37"/>
      <c r="P143" s="37"/>
      <c r="Q143" s="37"/>
      <c r="R143" s="37"/>
      <c r="S143" s="37"/>
      <c r="T143" s="37"/>
      <c r="U143" s="37"/>
      <c r="V143" s="37"/>
      <c r="W143" s="37"/>
      <c r="X143" s="37"/>
      <c r="Y143" s="37"/>
      <c r="Z143" s="37"/>
      <c r="AA143" s="37"/>
      <c r="AB143" s="37"/>
      <c r="AC143" s="37"/>
      <c r="AD143" s="37"/>
      <c r="AE143" s="37"/>
      <c r="AF143" s="37"/>
      <c r="AG143" s="37"/>
      <c r="AH143" s="37"/>
      <c r="AI143" s="37"/>
      <c r="AJ143" s="37"/>
      <c r="AK143" s="37"/>
    </row>
    <row r="144" spans="1:37" ht="14.25">
      <c r="A144" s="43"/>
      <c r="B144" s="37"/>
      <c r="C144" s="37"/>
      <c r="D144" s="37"/>
      <c r="E144" s="37"/>
      <c r="F144" s="43"/>
      <c r="G144" s="43"/>
      <c r="H144" s="44"/>
      <c r="I144" s="43"/>
      <c r="J144" s="37"/>
      <c r="K144" s="37"/>
      <c r="L144" s="37"/>
      <c r="M144" s="37"/>
      <c r="N144" s="37"/>
      <c r="O144" s="37"/>
      <c r="P144" s="37"/>
      <c r="Q144" s="37"/>
      <c r="R144" s="37"/>
      <c r="S144" s="37"/>
      <c r="T144" s="37"/>
      <c r="U144" s="37"/>
      <c r="V144" s="37"/>
      <c r="W144" s="37"/>
      <c r="X144" s="37"/>
      <c r="Y144" s="37"/>
      <c r="Z144" s="37"/>
      <c r="AA144" s="37"/>
      <c r="AB144" s="37"/>
      <c r="AC144" s="37"/>
      <c r="AD144" s="37"/>
      <c r="AE144" s="37"/>
      <c r="AF144" s="37"/>
      <c r="AG144" s="37"/>
      <c r="AH144" s="37"/>
      <c r="AI144" s="37"/>
      <c r="AJ144" s="37"/>
      <c r="AK144" s="37"/>
    </row>
    <row r="145" spans="1:37" ht="14.25">
      <c r="A145" s="43"/>
      <c r="B145" s="37"/>
      <c r="C145" s="37"/>
      <c r="D145" s="37"/>
      <c r="E145" s="37"/>
      <c r="F145" s="43"/>
      <c r="G145" s="43"/>
      <c r="H145" s="44"/>
      <c r="I145" s="43"/>
      <c r="J145" s="37"/>
      <c r="K145" s="37"/>
      <c r="L145" s="37"/>
      <c r="M145" s="37"/>
      <c r="N145" s="37"/>
      <c r="O145" s="37"/>
      <c r="P145" s="37"/>
      <c r="Q145" s="37"/>
      <c r="R145" s="37"/>
      <c r="S145" s="37"/>
      <c r="T145" s="37"/>
      <c r="U145" s="37"/>
      <c r="V145" s="37"/>
      <c r="W145" s="37"/>
      <c r="X145" s="37"/>
      <c r="Y145" s="37"/>
      <c r="Z145" s="37"/>
      <c r="AA145" s="37"/>
      <c r="AB145" s="37"/>
      <c r="AC145" s="37"/>
      <c r="AD145" s="37"/>
      <c r="AE145" s="37"/>
      <c r="AF145" s="37"/>
      <c r="AG145" s="37"/>
      <c r="AH145" s="37"/>
      <c r="AI145" s="37"/>
      <c r="AJ145" s="37"/>
      <c r="AK145" s="37"/>
    </row>
    <row r="146" spans="1:37" ht="14.25">
      <c r="A146" s="43"/>
      <c r="B146" s="37"/>
      <c r="C146" s="37"/>
      <c r="D146" s="37"/>
      <c r="E146" s="37"/>
      <c r="F146" s="43"/>
      <c r="G146" s="43"/>
      <c r="H146" s="44"/>
      <c r="I146" s="43"/>
      <c r="J146" s="37"/>
      <c r="K146" s="37"/>
      <c r="L146" s="37"/>
      <c r="M146" s="37"/>
      <c r="N146" s="37"/>
      <c r="O146" s="37"/>
      <c r="P146" s="37"/>
      <c r="Q146" s="37"/>
      <c r="R146" s="37"/>
      <c r="S146" s="37"/>
      <c r="T146" s="37"/>
      <c r="U146" s="37"/>
      <c r="V146" s="37"/>
      <c r="W146" s="37"/>
      <c r="X146" s="37"/>
      <c r="Y146" s="37"/>
      <c r="Z146" s="37"/>
      <c r="AA146" s="37"/>
      <c r="AB146" s="37"/>
      <c r="AC146" s="37"/>
      <c r="AD146" s="37"/>
      <c r="AE146" s="37"/>
      <c r="AF146" s="37"/>
      <c r="AG146" s="37"/>
      <c r="AH146" s="37"/>
      <c r="AI146" s="37"/>
      <c r="AJ146" s="37"/>
      <c r="AK146" s="37"/>
    </row>
    <row r="147" spans="1:37" ht="14.25">
      <c r="A147" s="43"/>
      <c r="B147" s="37"/>
      <c r="C147" s="37"/>
      <c r="D147" s="37"/>
      <c r="E147" s="37"/>
      <c r="F147" s="43"/>
      <c r="G147" s="43"/>
      <c r="H147" s="44"/>
      <c r="I147" s="43"/>
      <c r="J147" s="37"/>
      <c r="K147" s="37"/>
      <c r="L147" s="37"/>
      <c r="M147" s="37"/>
      <c r="N147" s="37"/>
      <c r="O147" s="37"/>
      <c r="P147" s="37"/>
      <c r="Q147" s="37"/>
      <c r="R147" s="37"/>
      <c r="S147" s="37"/>
      <c r="T147" s="37"/>
      <c r="U147" s="37"/>
      <c r="V147" s="37"/>
      <c r="W147" s="37"/>
      <c r="X147" s="37"/>
      <c r="Y147" s="37"/>
      <c r="Z147" s="37"/>
      <c r="AA147" s="37"/>
      <c r="AB147" s="37"/>
      <c r="AC147" s="37"/>
      <c r="AD147" s="37"/>
      <c r="AE147" s="37"/>
      <c r="AF147" s="37"/>
      <c r="AG147" s="37"/>
      <c r="AH147" s="37"/>
      <c r="AI147" s="37"/>
      <c r="AJ147" s="37"/>
      <c r="AK147" s="37"/>
    </row>
    <row r="148" spans="1:37" ht="14.25">
      <c r="A148" s="43"/>
      <c r="B148" s="37"/>
      <c r="C148" s="37"/>
      <c r="D148" s="37"/>
      <c r="E148" s="37"/>
      <c r="F148" s="43"/>
      <c r="G148" s="43"/>
      <c r="H148" s="44"/>
      <c r="I148" s="43"/>
      <c r="J148" s="37"/>
      <c r="K148" s="37"/>
      <c r="L148" s="37"/>
      <c r="M148" s="37"/>
      <c r="N148" s="37"/>
      <c r="O148" s="37"/>
      <c r="P148" s="37"/>
      <c r="Q148" s="37"/>
      <c r="R148" s="37"/>
      <c r="S148" s="37"/>
      <c r="T148" s="37"/>
      <c r="U148" s="37"/>
      <c r="V148" s="37"/>
      <c r="W148" s="37"/>
      <c r="X148" s="37"/>
      <c r="Y148" s="37"/>
      <c r="Z148" s="37"/>
      <c r="AA148" s="37"/>
      <c r="AB148" s="37"/>
      <c r="AC148" s="37"/>
      <c r="AD148" s="37"/>
      <c r="AE148" s="37"/>
      <c r="AF148" s="37"/>
      <c r="AG148" s="37"/>
      <c r="AH148" s="37"/>
      <c r="AI148" s="37"/>
      <c r="AJ148" s="37"/>
      <c r="AK148" s="37"/>
    </row>
    <row r="149" spans="1:37" ht="14.25">
      <c r="A149" s="43"/>
      <c r="B149" s="37"/>
      <c r="C149" s="37"/>
      <c r="D149" s="37"/>
      <c r="E149" s="37"/>
      <c r="F149" s="43"/>
      <c r="G149" s="43"/>
      <c r="H149" s="44"/>
      <c r="I149" s="43"/>
      <c r="J149" s="37"/>
      <c r="K149" s="37"/>
      <c r="L149" s="37"/>
      <c r="M149" s="37"/>
      <c r="N149" s="37"/>
      <c r="O149" s="37"/>
      <c r="P149" s="37"/>
      <c r="Q149" s="37"/>
      <c r="R149" s="37"/>
      <c r="S149" s="37"/>
      <c r="T149" s="37"/>
      <c r="U149" s="37"/>
      <c r="V149" s="37"/>
      <c r="W149" s="37"/>
      <c r="X149" s="37"/>
      <c r="Y149" s="37"/>
      <c r="Z149" s="37"/>
      <c r="AA149" s="37"/>
      <c r="AB149" s="37"/>
      <c r="AC149" s="37"/>
      <c r="AD149" s="37"/>
      <c r="AE149" s="37"/>
      <c r="AF149" s="37"/>
      <c r="AG149" s="37"/>
      <c r="AH149" s="37"/>
      <c r="AI149" s="37"/>
      <c r="AJ149" s="37"/>
      <c r="AK149" s="37"/>
    </row>
    <row r="150" spans="1:37" ht="14.25">
      <c r="A150" s="43"/>
      <c r="B150" s="37"/>
      <c r="C150" s="37"/>
      <c r="D150" s="37"/>
      <c r="E150" s="37"/>
      <c r="F150" s="43"/>
      <c r="G150" s="43"/>
      <c r="H150" s="44"/>
      <c r="I150" s="43"/>
      <c r="J150" s="37"/>
      <c r="K150" s="37"/>
      <c r="L150" s="37"/>
      <c r="M150" s="37"/>
      <c r="N150" s="37"/>
      <c r="O150" s="37"/>
      <c r="P150" s="37"/>
      <c r="Q150" s="37"/>
      <c r="R150" s="37"/>
      <c r="S150" s="37"/>
      <c r="T150" s="37"/>
      <c r="U150" s="37"/>
      <c r="V150" s="37"/>
      <c r="W150" s="37"/>
      <c r="X150" s="37"/>
      <c r="Y150" s="37"/>
      <c r="Z150" s="37"/>
      <c r="AA150" s="37"/>
      <c r="AB150" s="37"/>
      <c r="AC150" s="37"/>
      <c r="AD150" s="37"/>
      <c r="AE150" s="37"/>
      <c r="AF150" s="37"/>
      <c r="AG150" s="37"/>
      <c r="AH150" s="37"/>
      <c r="AI150" s="37"/>
      <c r="AJ150" s="37"/>
      <c r="AK150" s="37"/>
    </row>
    <row r="151" spans="1:37" ht="14.25">
      <c r="A151" s="43"/>
      <c r="B151" s="37"/>
      <c r="C151" s="37"/>
      <c r="D151" s="37"/>
      <c r="E151" s="37"/>
      <c r="F151" s="43"/>
      <c r="G151" s="43"/>
      <c r="H151" s="44"/>
      <c r="I151" s="43"/>
      <c r="J151" s="37"/>
      <c r="K151" s="37"/>
      <c r="L151" s="37"/>
      <c r="M151" s="37"/>
      <c r="N151" s="37"/>
      <c r="O151" s="37"/>
      <c r="P151" s="37"/>
      <c r="Q151" s="37"/>
      <c r="R151" s="37"/>
      <c r="S151" s="37"/>
      <c r="T151" s="37"/>
      <c r="U151" s="37"/>
      <c r="V151" s="37"/>
      <c r="W151" s="37"/>
      <c r="X151" s="37"/>
      <c r="Y151" s="37"/>
      <c r="Z151" s="37"/>
      <c r="AA151" s="37"/>
      <c r="AB151" s="37"/>
      <c r="AC151" s="37"/>
      <c r="AD151" s="37"/>
      <c r="AE151" s="37"/>
      <c r="AF151" s="37"/>
      <c r="AG151" s="37"/>
      <c r="AH151" s="37"/>
      <c r="AI151" s="37"/>
      <c r="AJ151" s="37"/>
      <c r="AK151" s="37"/>
    </row>
    <row r="152" spans="1:37" ht="14.25">
      <c r="A152" s="43"/>
      <c r="B152" s="37"/>
      <c r="C152" s="37"/>
      <c r="D152" s="37"/>
      <c r="E152" s="37"/>
      <c r="F152" s="43"/>
      <c r="G152" s="43"/>
      <c r="H152" s="44"/>
      <c r="I152" s="43"/>
      <c r="J152" s="37"/>
      <c r="K152" s="37"/>
      <c r="L152" s="37"/>
      <c r="M152" s="37"/>
      <c r="N152" s="37"/>
      <c r="O152" s="37"/>
      <c r="P152" s="37"/>
      <c r="Q152" s="37"/>
      <c r="R152" s="37"/>
      <c r="S152" s="37"/>
      <c r="T152" s="37"/>
      <c r="U152" s="37"/>
      <c r="V152" s="37"/>
      <c r="W152" s="37"/>
      <c r="X152" s="37"/>
      <c r="Y152" s="37"/>
      <c r="Z152" s="37"/>
      <c r="AA152" s="37"/>
      <c r="AB152" s="37"/>
      <c r="AC152" s="37"/>
      <c r="AD152" s="37"/>
      <c r="AE152" s="37"/>
      <c r="AF152" s="37"/>
      <c r="AG152" s="37"/>
      <c r="AH152" s="37"/>
      <c r="AI152" s="37"/>
      <c r="AJ152" s="37"/>
      <c r="AK152" s="37"/>
    </row>
    <row r="153" spans="1:37" ht="14.25">
      <c r="A153" s="43"/>
      <c r="B153" s="37"/>
      <c r="C153" s="37"/>
      <c r="D153" s="37"/>
      <c r="E153" s="37"/>
      <c r="F153" s="43"/>
      <c r="G153" s="43"/>
      <c r="H153" s="44"/>
      <c r="I153" s="43"/>
      <c r="J153" s="37"/>
      <c r="K153" s="37"/>
      <c r="L153" s="37"/>
      <c r="M153" s="37"/>
      <c r="N153" s="37"/>
      <c r="O153" s="37"/>
      <c r="P153" s="37"/>
      <c r="Q153" s="37"/>
      <c r="R153" s="37"/>
      <c r="S153" s="37"/>
      <c r="T153" s="37"/>
      <c r="U153" s="37"/>
      <c r="V153" s="37"/>
      <c r="W153" s="37"/>
      <c r="X153" s="37"/>
      <c r="Y153" s="37"/>
      <c r="Z153" s="37"/>
      <c r="AA153" s="37"/>
      <c r="AB153" s="37"/>
      <c r="AC153" s="37"/>
      <c r="AD153" s="37"/>
      <c r="AE153" s="37"/>
      <c r="AF153" s="37"/>
      <c r="AG153" s="37"/>
      <c r="AH153" s="37"/>
      <c r="AI153" s="37"/>
      <c r="AJ153" s="37"/>
      <c r="AK153" s="37"/>
    </row>
    <row r="154" spans="1:37" ht="14.25">
      <c r="A154" s="43"/>
      <c r="B154" s="37"/>
      <c r="C154" s="37"/>
      <c r="D154" s="37"/>
      <c r="E154" s="37"/>
      <c r="F154" s="43"/>
      <c r="G154" s="43"/>
      <c r="H154" s="44"/>
      <c r="I154" s="43"/>
      <c r="J154" s="37"/>
      <c r="K154" s="37"/>
      <c r="L154" s="37"/>
      <c r="M154" s="37"/>
      <c r="N154" s="37"/>
      <c r="O154" s="37"/>
      <c r="P154" s="37"/>
      <c r="Q154" s="37"/>
      <c r="R154" s="37"/>
      <c r="S154" s="37"/>
      <c r="T154" s="37"/>
      <c r="U154" s="37"/>
      <c r="V154" s="37"/>
      <c r="W154" s="37"/>
      <c r="X154" s="37"/>
      <c r="Y154" s="37"/>
      <c r="Z154" s="37"/>
      <c r="AA154" s="37"/>
      <c r="AB154" s="37"/>
      <c r="AC154" s="37"/>
      <c r="AD154" s="37"/>
      <c r="AE154" s="37"/>
      <c r="AF154" s="37"/>
      <c r="AG154" s="37"/>
      <c r="AH154" s="37"/>
      <c r="AI154" s="37"/>
      <c r="AJ154" s="37"/>
      <c r="AK154" s="37"/>
    </row>
    <row r="155" spans="1:37" ht="14.25">
      <c r="A155" s="43"/>
      <c r="B155" s="37"/>
      <c r="C155" s="37"/>
      <c r="D155" s="37"/>
      <c r="E155" s="37"/>
      <c r="F155" s="43"/>
      <c r="G155" s="43"/>
      <c r="H155" s="44"/>
      <c r="I155" s="43"/>
      <c r="J155" s="37"/>
      <c r="K155" s="37"/>
      <c r="L155" s="37"/>
      <c r="M155" s="37"/>
      <c r="N155" s="37"/>
      <c r="O155" s="37"/>
      <c r="P155" s="37"/>
      <c r="Q155" s="37"/>
      <c r="R155" s="37"/>
      <c r="S155" s="37"/>
      <c r="T155" s="37"/>
      <c r="U155" s="37"/>
      <c r="V155" s="37"/>
      <c r="W155" s="37"/>
      <c r="X155" s="37"/>
      <c r="Y155" s="37"/>
      <c r="Z155" s="37"/>
      <c r="AA155" s="37"/>
      <c r="AB155" s="37"/>
      <c r="AC155" s="37"/>
      <c r="AD155" s="37"/>
      <c r="AE155" s="37"/>
      <c r="AF155" s="37"/>
      <c r="AG155" s="37"/>
      <c r="AH155" s="37"/>
      <c r="AI155" s="37"/>
      <c r="AJ155" s="37"/>
      <c r="AK155" s="37"/>
    </row>
    <row r="156" spans="1:37" ht="14.25">
      <c r="A156" s="43"/>
      <c r="B156" s="37"/>
      <c r="C156" s="37"/>
      <c r="D156" s="37"/>
      <c r="E156" s="37"/>
      <c r="F156" s="43"/>
      <c r="G156" s="43"/>
      <c r="H156" s="44"/>
      <c r="I156" s="43"/>
      <c r="J156" s="37"/>
      <c r="K156" s="37"/>
      <c r="L156" s="37"/>
      <c r="M156" s="37"/>
      <c r="N156" s="37"/>
      <c r="O156" s="37"/>
      <c r="P156" s="37"/>
      <c r="Q156" s="37"/>
      <c r="R156" s="37"/>
      <c r="S156" s="37"/>
      <c r="T156" s="37"/>
      <c r="U156" s="37"/>
      <c r="V156" s="37"/>
      <c r="W156" s="37"/>
      <c r="X156" s="37"/>
      <c r="Y156" s="37"/>
      <c r="Z156" s="37"/>
      <c r="AA156" s="37"/>
      <c r="AB156" s="37"/>
      <c r="AC156" s="37"/>
      <c r="AD156" s="37"/>
      <c r="AE156" s="37"/>
      <c r="AF156" s="37"/>
      <c r="AG156" s="37"/>
      <c r="AH156" s="37"/>
      <c r="AI156" s="37"/>
      <c r="AJ156" s="37"/>
      <c r="AK156" s="37"/>
    </row>
    <row r="157" spans="1:37" ht="14.25">
      <c r="A157" s="43"/>
      <c r="B157" s="37"/>
      <c r="C157" s="37"/>
      <c r="D157" s="37"/>
      <c r="E157" s="37"/>
      <c r="F157" s="43"/>
      <c r="G157" s="43"/>
      <c r="H157" s="44"/>
      <c r="I157" s="43"/>
      <c r="J157" s="37"/>
      <c r="K157" s="37"/>
      <c r="L157" s="37"/>
      <c r="M157" s="37"/>
      <c r="N157" s="37"/>
      <c r="O157" s="37"/>
      <c r="P157" s="37"/>
      <c r="Q157" s="37"/>
      <c r="R157" s="37"/>
      <c r="S157" s="37"/>
      <c r="T157" s="37"/>
      <c r="U157" s="37"/>
      <c r="V157" s="37"/>
      <c r="W157" s="37"/>
      <c r="X157" s="37"/>
      <c r="Y157" s="37"/>
      <c r="Z157" s="37"/>
      <c r="AA157" s="37"/>
      <c r="AB157" s="37"/>
      <c r="AC157" s="37"/>
      <c r="AD157" s="37"/>
      <c r="AE157" s="37"/>
      <c r="AF157" s="37"/>
      <c r="AG157" s="37"/>
      <c r="AH157" s="37"/>
      <c r="AI157" s="37"/>
      <c r="AJ157" s="37"/>
      <c r="AK157" s="37"/>
    </row>
    <row r="158" spans="1:37" ht="14.25">
      <c r="A158" s="43"/>
      <c r="B158" s="37"/>
      <c r="C158" s="37"/>
      <c r="D158" s="37"/>
      <c r="E158" s="37"/>
      <c r="F158" s="43"/>
      <c r="G158" s="43"/>
      <c r="H158" s="44"/>
      <c r="I158" s="43"/>
      <c r="J158" s="37"/>
      <c r="K158" s="37"/>
      <c r="L158" s="37"/>
      <c r="M158" s="37"/>
      <c r="N158" s="37"/>
      <c r="O158" s="37"/>
      <c r="P158" s="37"/>
      <c r="Q158" s="37"/>
      <c r="R158" s="37"/>
      <c r="S158" s="37"/>
      <c r="T158" s="37"/>
      <c r="U158" s="37"/>
      <c r="V158" s="37"/>
      <c r="W158" s="37"/>
      <c r="X158" s="37"/>
      <c r="Y158" s="37"/>
      <c r="Z158" s="37"/>
      <c r="AA158" s="37"/>
      <c r="AB158" s="37"/>
      <c r="AC158" s="37"/>
      <c r="AD158" s="37"/>
      <c r="AE158" s="37"/>
      <c r="AF158" s="37"/>
      <c r="AG158" s="37"/>
      <c r="AH158" s="37"/>
      <c r="AI158" s="37"/>
      <c r="AJ158" s="37"/>
      <c r="AK158" s="37"/>
    </row>
    <row r="159" spans="1:37" ht="14.25">
      <c r="A159" s="43"/>
      <c r="B159" s="37"/>
      <c r="C159" s="37"/>
      <c r="D159" s="37"/>
      <c r="E159" s="37"/>
      <c r="F159" s="43"/>
      <c r="G159" s="43"/>
      <c r="H159" s="44"/>
      <c r="I159" s="43"/>
      <c r="J159" s="37"/>
      <c r="K159" s="37"/>
      <c r="L159" s="37"/>
      <c r="M159" s="37"/>
      <c r="N159" s="37"/>
      <c r="O159" s="37"/>
      <c r="P159" s="37"/>
      <c r="Q159" s="37"/>
      <c r="R159" s="37"/>
      <c r="S159" s="37"/>
      <c r="T159" s="37"/>
      <c r="U159" s="37"/>
      <c r="V159" s="37"/>
      <c r="W159" s="37"/>
      <c r="X159" s="37"/>
      <c r="Y159" s="37"/>
      <c r="Z159" s="37"/>
      <c r="AA159" s="37"/>
      <c r="AB159" s="37"/>
      <c r="AC159" s="37"/>
      <c r="AD159" s="37"/>
      <c r="AE159" s="37"/>
      <c r="AF159" s="37"/>
      <c r="AG159" s="37"/>
      <c r="AH159" s="37"/>
      <c r="AI159" s="37"/>
      <c r="AJ159" s="37"/>
      <c r="AK159" s="37"/>
    </row>
    <row r="160" spans="1:37" ht="14.25">
      <c r="A160" s="43"/>
      <c r="B160" s="37"/>
      <c r="C160" s="37"/>
      <c r="D160" s="37"/>
      <c r="E160" s="37"/>
      <c r="F160" s="43"/>
      <c r="G160" s="43"/>
      <c r="H160" s="44"/>
      <c r="I160" s="43"/>
      <c r="J160" s="37"/>
      <c r="K160" s="37"/>
      <c r="L160" s="37"/>
      <c r="M160" s="37"/>
      <c r="N160" s="37"/>
      <c r="O160" s="37"/>
      <c r="P160" s="37"/>
      <c r="Q160" s="37"/>
      <c r="R160" s="37"/>
      <c r="S160" s="37"/>
      <c r="T160" s="37"/>
      <c r="U160" s="37"/>
      <c r="V160" s="37"/>
      <c r="W160" s="37"/>
      <c r="X160" s="37"/>
      <c r="Y160" s="37"/>
      <c r="Z160" s="37"/>
      <c r="AA160" s="37"/>
      <c r="AB160" s="37"/>
      <c r="AC160" s="37"/>
      <c r="AD160" s="37"/>
      <c r="AE160" s="37"/>
      <c r="AF160" s="37"/>
      <c r="AG160" s="37"/>
      <c r="AH160" s="37"/>
      <c r="AI160" s="37"/>
      <c r="AJ160" s="37"/>
      <c r="AK160" s="37"/>
    </row>
    <row r="161" spans="1:37" ht="14.25">
      <c r="A161" s="43"/>
      <c r="B161" s="37"/>
      <c r="C161" s="37"/>
      <c r="D161" s="37"/>
      <c r="E161" s="37"/>
      <c r="F161" s="43"/>
      <c r="G161" s="43"/>
      <c r="H161" s="44"/>
      <c r="I161" s="43"/>
      <c r="J161" s="37"/>
      <c r="K161" s="37"/>
      <c r="L161" s="37"/>
      <c r="M161" s="37"/>
      <c r="N161" s="37"/>
      <c r="O161" s="37"/>
      <c r="P161" s="37"/>
      <c r="Q161" s="37"/>
      <c r="R161" s="37"/>
      <c r="S161" s="37"/>
      <c r="T161" s="37"/>
      <c r="U161" s="37"/>
      <c r="V161" s="37"/>
      <c r="W161" s="37"/>
      <c r="X161" s="37"/>
      <c r="Y161" s="37"/>
      <c r="Z161" s="37"/>
      <c r="AA161" s="37"/>
      <c r="AB161" s="37"/>
      <c r="AC161" s="37"/>
      <c r="AD161" s="37"/>
      <c r="AE161" s="37"/>
      <c r="AF161" s="37"/>
      <c r="AG161" s="37"/>
      <c r="AH161" s="37"/>
      <c r="AI161" s="37"/>
      <c r="AJ161" s="37"/>
      <c r="AK161" s="37"/>
    </row>
    <row r="162" spans="1:37" ht="14.25">
      <c r="A162" s="43"/>
      <c r="B162" s="37"/>
      <c r="C162" s="37"/>
      <c r="D162" s="37"/>
      <c r="E162" s="37"/>
      <c r="F162" s="43"/>
      <c r="G162" s="43"/>
      <c r="H162" s="44"/>
      <c r="I162" s="43"/>
      <c r="J162" s="37"/>
      <c r="K162" s="37"/>
      <c r="L162" s="37"/>
      <c r="M162" s="37"/>
      <c r="N162" s="37"/>
      <c r="O162" s="37"/>
      <c r="P162" s="37"/>
      <c r="Q162" s="37"/>
      <c r="R162" s="37"/>
      <c r="S162" s="37"/>
      <c r="T162" s="37"/>
      <c r="U162" s="37"/>
      <c r="V162" s="37"/>
      <c r="W162" s="37"/>
      <c r="X162" s="37"/>
      <c r="Y162" s="37"/>
      <c r="Z162" s="37"/>
      <c r="AA162" s="37"/>
      <c r="AB162" s="37"/>
      <c r="AC162" s="37"/>
      <c r="AD162" s="37"/>
      <c r="AE162" s="37"/>
      <c r="AF162" s="37"/>
      <c r="AG162" s="37"/>
      <c r="AH162" s="37"/>
      <c r="AI162" s="37"/>
      <c r="AJ162" s="37"/>
      <c r="AK162" s="37"/>
    </row>
    <row r="163" spans="1:37" ht="14.25">
      <c r="A163" s="43"/>
      <c r="B163" s="37"/>
      <c r="C163" s="37"/>
      <c r="D163" s="37"/>
      <c r="E163" s="37"/>
      <c r="F163" s="43"/>
      <c r="G163" s="43"/>
      <c r="H163" s="44"/>
      <c r="I163" s="43"/>
      <c r="J163" s="37"/>
      <c r="K163" s="37"/>
      <c r="L163" s="37"/>
      <c r="M163" s="37"/>
      <c r="N163" s="37"/>
      <c r="O163" s="37"/>
      <c r="P163" s="37"/>
      <c r="Q163" s="37"/>
      <c r="R163" s="37"/>
      <c r="S163" s="37"/>
      <c r="T163" s="37"/>
      <c r="U163" s="37"/>
      <c r="V163" s="37"/>
      <c r="W163" s="37"/>
      <c r="X163" s="37"/>
      <c r="Y163" s="37"/>
      <c r="Z163" s="37"/>
      <c r="AA163" s="37"/>
      <c r="AB163" s="37"/>
      <c r="AC163" s="37"/>
      <c r="AD163" s="37"/>
      <c r="AE163" s="37"/>
      <c r="AF163" s="37"/>
      <c r="AG163" s="37"/>
      <c r="AH163" s="37"/>
      <c r="AI163" s="37"/>
      <c r="AJ163" s="37"/>
      <c r="AK163" s="37"/>
    </row>
    <row r="164" spans="1:37" ht="14.25">
      <c r="A164" s="43"/>
      <c r="B164" s="37"/>
      <c r="C164" s="37"/>
      <c r="D164" s="37"/>
      <c r="E164" s="37"/>
      <c r="F164" s="43"/>
      <c r="G164" s="43"/>
      <c r="H164" s="44"/>
      <c r="I164" s="43"/>
      <c r="J164" s="37"/>
      <c r="K164" s="37"/>
      <c r="L164" s="37"/>
      <c r="M164" s="37"/>
      <c r="N164" s="37"/>
      <c r="O164" s="37"/>
      <c r="P164" s="37"/>
      <c r="Q164" s="37"/>
      <c r="R164" s="37"/>
      <c r="S164" s="37"/>
      <c r="T164" s="37"/>
      <c r="U164" s="37"/>
      <c r="V164" s="37"/>
      <c r="W164" s="37"/>
      <c r="X164" s="37"/>
      <c r="Y164" s="37"/>
      <c r="Z164" s="37"/>
      <c r="AA164" s="37"/>
      <c r="AB164" s="37"/>
      <c r="AC164" s="37"/>
      <c r="AD164" s="37"/>
      <c r="AE164" s="37"/>
      <c r="AF164" s="37"/>
      <c r="AG164" s="37"/>
      <c r="AH164" s="37"/>
      <c r="AI164" s="37"/>
      <c r="AJ164" s="37"/>
      <c r="AK164" s="37"/>
    </row>
    <row r="165" spans="1:37" ht="14.25">
      <c r="A165" s="43"/>
      <c r="B165" s="37"/>
      <c r="C165" s="37"/>
      <c r="D165" s="37"/>
      <c r="E165" s="37"/>
      <c r="F165" s="43"/>
      <c r="G165" s="43"/>
      <c r="H165" s="44"/>
      <c r="I165" s="43"/>
      <c r="J165" s="37"/>
      <c r="K165" s="37"/>
      <c r="L165" s="37"/>
      <c r="M165" s="37"/>
      <c r="N165" s="37"/>
      <c r="O165" s="37"/>
      <c r="P165" s="37"/>
      <c r="Q165" s="37"/>
      <c r="R165" s="37"/>
      <c r="S165" s="37"/>
      <c r="T165" s="37"/>
      <c r="U165" s="37"/>
      <c r="V165" s="37"/>
      <c r="W165" s="37"/>
      <c r="X165" s="37"/>
      <c r="Y165" s="37"/>
      <c r="Z165" s="37"/>
      <c r="AA165" s="37"/>
      <c r="AB165" s="37"/>
      <c r="AC165" s="37"/>
      <c r="AD165" s="37"/>
      <c r="AE165" s="37"/>
      <c r="AF165" s="37"/>
      <c r="AG165" s="37"/>
      <c r="AH165" s="37"/>
      <c r="AI165" s="37"/>
      <c r="AJ165" s="37"/>
      <c r="AK165" s="37"/>
    </row>
    <row r="166" spans="1:37" ht="14.25">
      <c r="A166" s="43"/>
      <c r="B166" s="37"/>
      <c r="C166" s="37"/>
      <c r="D166" s="37"/>
      <c r="E166" s="37"/>
      <c r="F166" s="43"/>
      <c r="G166" s="43"/>
      <c r="H166" s="44"/>
      <c r="I166" s="43"/>
      <c r="J166" s="37"/>
      <c r="K166" s="37"/>
      <c r="L166" s="37"/>
      <c r="M166" s="37"/>
      <c r="N166" s="37"/>
      <c r="O166" s="37"/>
      <c r="P166" s="37"/>
      <c r="Q166" s="37"/>
      <c r="R166" s="37"/>
      <c r="S166" s="37"/>
      <c r="T166" s="37"/>
      <c r="U166" s="37"/>
      <c r="V166" s="37"/>
      <c r="W166" s="37"/>
      <c r="X166" s="37"/>
      <c r="Y166" s="37"/>
      <c r="Z166" s="37"/>
      <c r="AA166" s="37"/>
      <c r="AB166" s="37"/>
      <c r="AC166" s="37"/>
      <c r="AD166" s="37"/>
      <c r="AE166" s="37"/>
      <c r="AF166" s="37"/>
      <c r="AG166" s="37"/>
      <c r="AH166" s="37"/>
      <c r="AI166" s="37"/>
      <c r="AJ166" s="37"/>
      <c r="AK166" s="37"/>
    </row>
    <row r="167" spans="1:37" ht="14.25">
      <c r="A167" s="43"/>
      <c r="B167" s="37"/>
      <c r="C167" s="37"/>
      <c r="D167" s="37"/>
      <c r="E167" s="37"/>
      <c r="F167" s="43"/>
      <c r="G167" s="43"/>
      <c r="H167" s="44"/>
      <c r="I167" s="43"/>
      <c r="J167" s="37"/>
      <c r="K167" s="37"/>
      <c r="L167" s="37"/>
      <c r="M167" s="37"/>
      <c r="N167" s="37"/>
      <c r="O167" s="37"/>
      <c r="P167" s="37"/>
      <c r="Q167" s="37"/>
      <c r="R167" s="37"/>
      <c r="S167" s="37"/>
      <c r="T167" s="37"/>
      <c r="U167" s="37"/>
      <c r="V167" s="37"/>
      <c r="W167" s="37"/>
      <c r="X167" s="37"/>
      <c r="Y167" s="37"/>
      <c r="Z167" s="37"/>
      <c r="AA167" s="37"/>
      <c r="AB167" s="37"/>
      <c r="AC167" s="37"/>
      <c r="AD167" s="37"/>
      <c r="AE167" s="37"/>
      <c r="AF167" s="37"/>
      <c r="AG167" s="37"/>
      <c r="AH167" s="37"/>
      <c r="AI167" s="37"/>
      <c r="AJ167" s="37"/>
      <c r="AK167" s="37"/>
    </row>
    <row r="168" spans="1:37" ht="14.25">
      <c r="A168" s="43"/>
      <c r="B168" s="37"/>
      <c r="C168" s="37"/>
      <c r="D168" s="37"/>
      <c r="E168" s="37"/>
      <c r="F168" s="43"/>
      <c r="G168" s="43"/>
      <c r="H168" s="44"/>
      <c r="I168" s="43"/>
      <c r="J168" s="37"/>
      <c r="K168" s="37"/>
      <c r="L168" s="37"/>
      <c r="M168" s="37"/>
      <c r="N168" s="37"/>
      <c r="O168" s="37"/>
      <c r="P168" s="37"/>
      <c r="Q168" s="37"/>
      <c r="R168" s="37"/>
      <c r="S168" s="37"/>
      <c r="T168" s="37"/>
      <c r="U168" s="37"/>
      <c r="V168" s="37"/>
      <c r="W168" s="37"/>
      <c r="X168" s="37"/>
      <c r="Y168" s="37"/>
      <c r="Z168" s="37"/>
      <c r="AA168" s="37"/>
      <c r="AB168" s="37"/>
      <c r="AC168" s="37"/>
      <c r="AD168" s="37"/>
      <c r="AE168" s="37"/>
      <c r="AF168" s="37"/>
      <c r="AG168" s="37"/>
      <c r="AH168" s="37"/>
      <c r="AI168" s="37"/>
      <c r="AJ168" s="37"/>
      <c r="AK168" s="37"/>
    </row>
    <row r="169" spans="1:37" ht="14.25">
      <c r="A169" s="43"/>
      <c r="B169" s="37"/>
      <c r="C169" s="37"/>
      <c r="D169" s="37"/>
      <c r="E169" s="37"/>
      <c r="F169" s="43"/>
      <c r="G169" s="43"/>
      <c r="H169" s="44"/>
      <c r="I169" s="43"/>
      <c r="J169" s="37"/>
      <c r="K169" s="37"/>
      <c r="L169" s="37"/>
      <c r="M169" s="37"/>
      <c r="N169" s="37"/>
      <c r="O169" s="37"/>
      <c r="P169" s="37"/>
      <c r="Q169" s="37"/>
      <c r="R169" s="37"/>
      <c r="S169" s="37"/>
      <c r="T169" s="37"/>
      <c r="U169" s="37"/>
      <c r="V169" s="37"/>
      <c r="W169" s="37"/>
      <c r="X169" s="37"/>
      <c r="Y169" s="37"/>
      <c r="Z169" s="37"/>
      <c r="AA169" s="37"/>
      <c r="AB169" s="37"/>
      <c r="AC169" s="37"/>
      <c r="AD169" s="37"/>
      <c r="AE169" s="37"/>
      <c r="AF169" s="37"/>
      <c r="AG169" s="37"/>
      <c r="AH169" s="37"/>
      <c r="AI169" s="37"/>
      <c r="AJ169" s="37"/>
      <c r="AK169" s="37"/>
    </row>
    <row r="170" spans="1:37" ht="14.25">
      <c r="A170" s="43"/>
      <c r="B170" s="37"/>
      <c r="C170" s="37"/>
      <c r="D170" s="37"/>
      <c r="E170" s="37"/>
      <c r="F170" s="43"/>
      <c r="G170" s="43"/>
      <c r="H170" s="44"/>
      <c r="I170" s="43"/>
      <c r="J170" s="37"/>
      <c r="K170" s="37"/>
      <c r="L170" s="37"/>
      <c r="M170" s="37"/>
      <c r="N170" s="37"/>
      <c r="O170" s="37"/>
      <c r="P170" s="37"/>
      <c r="Q170" s="37"/>
      <c r="R170" s="37"/>
      <c r="S170" s="37"/>
      <c r="T170" s="37"/>
      <c r="U170" s="37"/>
      <c r="V170" s="37"/>
      <c r="W170" s="37"/>
      <c r="X170" s="37"/>
      <c r="Y170" s="37"/>
      <c r="Z170" s="37"/>
      <c r="AA170" s="37"/>
      <c r="AB170" s="37"/>
      <c r="AC170" s="37"/>
      <c r="AD170" s="37"/>
      <c r="AE170" s="37"/>
      <c r="AF170" s="37"/>
      <c r="AG170" s="37"/>
      <c r="AH170" s="37"/>
      <c r="AI170" s="37"/>
      <c r="AJ170" s="37"/>
      <c r="AK170" s="37"/>
    </row>
    <row r="171" spans="1:37" ht="14.25">
      <c r="A171" s="43"/>
      <c r="B171" s="37"/>
      <c r="C171" s="37"/>
      <c r="D171" s="37"/>
      <c r="E171" s="37"/>
      <c r="F171" s="43"/>
      <c r="G171" s="43"/>
      <c r="H171" s="44"/>
      <c r="I171" s="43"/>
      <c r="J171" s="37"/>
      <c r="K171" s="37"/>
      <c r="L171" s="37"/>
      <c r="M171" s="37"/>
      <c r="N171" s="37"/>
      <c r="O171" s="37"/>
      <c r="P171" s="37"/>
      <c r="Q171" s="37"/>
      <c r="R171" s="37"/>
      <c r="S171" s="37"/>
      <c r="T171" s="37"/>
      <c r="U171" s="37"/>
      <c r="V171" s="37"/>
      <c r="W171" s="37"/>
      <c r="X171" s="37"/>
      <c r="Y171" s="37"/>
      <c r="Z171" s="37"/>
      <c r="AA171" s="37"/>
      <c r="AB171" s="37"/>
      <c r="AC171" s="37"/>
      <c r="AD171" s="37"/>
      <c r="AE171" s="37"/>
      <c r="AF171" s="37"/>
      <c r="AG171" s="37"/>
      <c r="AH171" s="37"/>
      <c r="AI171" s="37"/>
      <c r="AJ171" s="37"/>
      <c r="AK171" s="37"/>
    </row>
    <row r="172" spans="1:37" ht="14.25">
      <c r="A172" s="43"/>
      <c r="B172" s="37"/>
      <c r="C172" s="37"/>
      <c r="D172" s="37"/>
      <c r="E172" s="37"/>
      <c r="F172" s="43"/>
      <c r="G172" s="43"/>
      <c r="H172" s="44"/>
      <c r="I172" s="43"/>
      <c r="J172" s="37"/>
      <c r="K172" s="37"/>
      <c r="L172" s="37"/>
      <c r="M172" s="37"/>
      <c r="N172" s="37"/>
      <c r="O172" s="37"/>
      <c r="P172" s="37"/>
      <c r="Q172" s="37"/>
      <c r="R172" s="37"/>
      <c r="S172" s="37"/>
      <c r="T172" s="37"/>
      <c r="U172" s="37"/>
      <c r="V172" s="37"/>
      <c r="W172" s="37"/>
      <c r="X172" s="37"/>
      <c r="Y172" s="37"/>
      <c r="Z172" s="37"/>
      <c r="AA172" s="37"/>
      <c r="AB172" s="37"/>
      <c r="AC172" s="37"/>
      <c r="AD172" s="37"/>
      <c r="AE172" s="37"/>
      <c r="AF172" s="37"/>
      <c r="AG172" s="37"/>
      <c r="AH172" s="37"/>
      <c r="AI172" s="37"/>
      <c r="AJ172" s="37"/>
      <c r="AK172" s="37"/>
    </row>
    <row r="173" spans="1:37" ht="14.25">
      <c r="A173" s="43"/>
      <c r="B173" s="37"/>
      <c r="C173" s="37"/>
      <c r="D173" s="37"/>
      <c r="E173" s="37"/>
      <c r="F173" s="43"/>
      <c r="G173" s="43"/>
      <c r="H173" s="44"/>
      <c r="I173" s="43"/>
      <c r="J173" s="37"/>
      <c r="K173" s="37"/>
      <c r="L173" s="37"/>
      <c r="M173" s="37"/>
      <c r="N173" s="37"/>
      <c r="O173" s="37"/>
      <c r="P173" s="37"/>
      <c r="Q173" s="37"/>
      <c r="R173" s="37"/>
      <c r="S173" s="37"/>
      <c r="T173" s="37"/>
      <c r="U173" s="37"/>
      <c r="V173" s="37"/>
      <c r="W173" s="37"/>
      <c r="X173" s="37"/>
      <c r="Y173" s="37"/>
      <c r="Z173" s="37"/>
      <c r="AA173" s="37"/>
      <c r="AB173" s="37"/>
      <c r="AC173" s="37"/>
      <c r="AD173" s="37"/>
      <c r="AE173" s="37"/>
      <c r="AF173" s="37"/>
      <c r="AG173" s="37"/>
      <c r="AH173" s="37"/>
      <c r="AI173" s="37"/>
      <c r="AJ173" s="37"/>
      <c r="AK173" s="37"/>
    </row>
    <row r="174" spans="1:37" ht="14.25">
      <c r="A174" s="43"/>
      <c r="B174" s="37"/>
      <c r="C174" s="37"/>
      <c r="D174" s="37"/>
      <c r="E174" s="37"/>
      <c r="F174" s="43"/>
      <c r="G174" s="43"/>
      <c r="H174" s="44"/>
      <c r="I174" s="43"/>
      <c r="J174" s="37"/>
      <c r="K174" s="37"/>
      <c r="L174" s="37"/>
      <c r="M174" s="37"/>
      <c r="N174" s="37"/>
      <c r="O174" s="37"/>
      <c r="P174" s="37"/>
      <c r="Q174" s="37"/>
      <c r="R174" s="37"/>
      <c r="S174" s="37"/>
      <c r="T174" s="37"/>
      <c r="U174" s="37"/>
      <c r="V174" s="37"/>
      <c r="W174" s="37"/>
      <c r="X174" s="37"/>
      <c r="Y174" s="37"/>
      <c r="Z174" s="37"/>
      <c r="AA174" s="37"/>
      <c r="AB174" s="37"/>
      <c r="AC174" s="37"/>
      <c r="AD174" s="37"/>
      <c r="AE174" s="37"/>
      <c r="AF174" s="37"/>
      <c r="AG174" s="37"/>
      <c r="AH174" s="37"/>
      <c r="AI174" s="37"/>
      <c r="AJ174" s="37"/>
      <c r="AK174" s="37"/>
    </row>
    <row r="175" spans="1:37" ht="14.25">
      <c r="A175" s="43"/>
      <c r="B175" s="37"/>
      <c r="C175" s="37"/>
      <c r="D175" s="37"/>
      <c r="E175" s="37"/>
      <c r="F175" s="43"/>
      <c r="G175" s="43"/>
      <c r="H175" s="44"/>
      <c r="I175" s="43"/>
      <c r="J175" s="37"/>
      <c r="K175" s="37"/>
      <c r="L175" s="37"/>
      <c r="M175" s="37"/>
      <c r="N175" s="37"/>
      <c r="O175" s="37"/>
      <c r="P175" s="37"/>
      <c r="Q175" s="37"/>
      <c r="R175" s="37"/>
      <c r="S175" s="37"/>
      <c r="T175" s="37"/>
      <c r="U175" s="37"/>
      <c r="V175" s="37"/>
      <c r="W175" s="37"/>
      <c r="X175" s="37"/>
      <c r="Y175" s="37"/>
      <c r="Z175" s="37"/>
      <c r="AA175" s="37"/>
      <c r="AB175" s="37"/>
      <c r="AC175" s="37"/>
      <c r="AD175" s="37"/>
      <c r="AE175" s="37"/>
      <c r="AF175" s="37"/>
      <c r="AG175" s="37"/>
      <c r="AH175" s="37"/>
      <c r="AI175" s="37"/>
      <c r="AJ175" s="37"/>
      <c r="AK175" s="37"/>
    </row>
    <row r="176" spans="1:37" ht="14.25">
      <c r="A176" s="43"/>
      <c r="B176" s="37"/>
      <c r="C176" s="37"/>
      <c r="D176" s="37"/>
      <c r="E176" s="37"/>
      <c r="F176" s="43"/>
      <c r="G176" s="43"/>
      <c r="H176" s="44"/>
      <c r="I176" s="43"/>
      <c r="J176" s="37"/>
      <c r="K176" s="37"/>
      <c r="L176" s="37"/>
      <c r="M176" s="37"/>
      <c r="N176" s="37"/>
      <c r="O176" s="37"/>
      <c r="P176" s="37"/>
      <c r="Q176" s="37"/>
      <c r="R176" s="37"/>
      <c r="S176" s="37"/>
      <c r="T176" s="37"/>
      <c r="U176" s="37"/>
      <c r="V176" s="37"/>
      <c r="W176" s="37"/>
      <c r="X176" s="37"/>
      <c r="Y176" s="37"/>
      <c r="Z176" s="37"/>
      <c r="AA176" s="37"/>
      <c r="AB176" s="37"/>
      <c r="AC176" s="37"/>
      <c r="AD176" s="37"/>
      <c r="AE176" s="37"/>
      <c r="AF176" s="37"/>
      <c r="AG176" s="37"/>
      <c r="AH176" s="37"/>
      <c r="AI176" s="37"/>
      <c r="AJ176" s="37"/>
      <c r="AK176" s="37"/>
    </row>
    <row r="177" spans="1:37" ht="14.25">
      <c r="A177" s="43"/>
      <c r="B177" s="37"/>
      <c r="C177" s="37"/>
      <c r="D177" s="37"/>
      <c r="E177" s="37"/>
      <c r="F177" s="43"/>
      <c r="G177" s="43"/>
      <c r="H177" s="44"/>
      <c r="I177" s="43"/>
      <c r="J177" s="37"/>
      <c r="K177" s="37"/>
      <c r="L177" s="37"/>
      <c r="M177" s="37"/>
      <c r="N177" s="37"/>
      <c r="O177" s="37"/>
      <c r="P177" s="37"/>
      <c r="Q177" s="37"/>
      <c r="R177" s="37"/>
      <c r="S177" s="37"/>
      <c r="T177" s="37"/>
      <c r="U177" s="37"/>
      <c r="V177" s="37"/>
      <c r="W177" s="37"/>
      <c r="X177" s="37"/>
      <c r="Y177" s="37"/>
      <c r="Z177" s="37"/>
      <c r="AA177" s="37"/>
      <c r="AB177" s="37"/>
      <c r="AC177" s="37"/>
      <c r="AD177" s="37"/>
      <c r="AE177" s="37"/>
      <c r="AF177" s="37"/>
      <c r="AG177" s="37"/>
      <c r="AH177" s="37"/>
      <c r="AI177" s="37"/>
      <c r="AJ177" s="37"/>
      <c r="AK177" s="37"/>
    </row>
    <row r="178" spans="1:37" ht="14.25">
      <c r="A178" s="43"/>
      <c r="B178" s="37"/>
      <c r="C178" s="37"/>
      <c r="D178" s="37"/>
      <c r="E178" s="37"/>
      <c r="F178" s="43"/>
      <c r="G178" s="43"/>
      <c r="H178" s="44"/>
      <c r="I178" s="43"/>
      <c r="J178" s="37"/>
      <c r="K178" s="37"/>
      <c r="L178" s="37"/>
      <c r="M178" s="37"/>
      <c r="N178" s="37"/>
      <c r="O178" s="37"/>
      <c r="P178" s="37"/>
      <c r="Q178" s="37"/>
      <c r="R178" s="37"/>
      <c r="S178" s="37"/>
      <c r="T178" s="37"/>
      <c r="U178" s="37"/>
      <c r="V178" s="37"/>
      <c r="W178" s="37"/>
      <c r="X178" s="37"/>
      <c r="Y178" s="37"/>
      <c r="Z178" s="37"/>
      <c r="AA178" s="37"/>
      <c r="AB178" s="37"/>
      <c r="AC178" s="37"/>
      <c r="AD178" s="37"/>
      <c r="AE178" s="37"/>
      <c r="AF178" s="37"/>
      <c r="AG178" s="37"/>
      <c r="AH178" s="37"/>
      <c r="AI178" s="37"/>
      <c r="AJ178" s="37"/>
      <c r="AK178" s="37"/>
    </row>
    <row r="179" spans="1:37" ht="14.25">
      <c r="A179" s="43"/>
      <c r="B179" s="37"/>
      <c r="C179" s="37"/>
      <c r="D179" s="37"/>
      <c r="E179" s="37"/>
      <c r="F179" s="43"/>
      <c r="G179" s="43"/>
      <c r="H179" s="44"/>
      <c r="I179" s="43"/>
      <c r="J179" s="37"/>
      <c r="K179" s="37"/>
      <c r="L179" s="37"/>
      <c r="M179" s="37"/>
      <c r="N179" s="37"/>
      <c r="O179" s="37"/>
      <c r="P179" s="37"/>
      <c r="Q179" s="37"/>
      <c r="R179" s="37"/>
      <c r="S179" s="37"/>
      <c r="T179" s="37"/>
      <c r="U179" s="37"/>
      <c r="V179" s="37"/>
      <c r="W179" s="37"/>
      <c r="X179" s="37"/>
      <c r="Y179" s="37"/>
      <c r="Z179" s="37"/>
      <c r="AA179" s="37"/>
      <c r="AB179" s="37"/>
      <c r="AC179" s="37"/>
      <c r="AD179" s="37"/>
      <c r="AE179" s="37"/>
      <c r="AF179" s="37"/>
      <c r="AG179" s="37"/>
      <c r="AH179" s="37"/>
      <c r="AI179" s="37"/>
      <c r="AJ179" s="37"/>
      <c r="AK179" s="37"/>
    </row>
    <row r="180" spans="1:37" ht="14.25">
      <c r="A180" s="43"/>
      <c r="B180" s="37"/>
      <c r="C180" s="37"/>
      <c r="D180" s="37"/>
      <c r="E180" s="37"/>
      <c r="F180" s="43"/>
      <c r="G180" s="43"/>
      <c r="H180" s="44"/>
      <c r="I180" s="43"/>
      <c r="J180" s="37"/>
      <c r="K180" s="37"/>
      <c r="L180" s="37"/>
      <c r="M180" s="37"/>
      <c r="N180" s="37"/>
      <c r="O180" s="37"/>
      <c r="P180" s="37"/>
      <c r="Q180" s="37"/>
      <c r="R180" s="37"/>
      <c r="S180" s="37"/>
      <c r="T180" s="37"/>
      <c r="U180" s="37"/>
      <c r="V180" s="37"/>
      <c r="W180" s="37"/>
      <c r="X180" s="37"/>
      <c r="Y180" s="37"/>
      <c r="Z180" s="37"/>
      <c r="AA180" s="37"/>
      <c r="AB180" s="37"/>
      <c r="AC180" s="37"/>
      <c r="AD180" s="37"/>
      <c r="AE180" s="37"/>
      <c r="AF180" s="37"/>
      <c r="AG180" s="37"/>
      <c r="AH180" s="37"/>
      <c r="AI180" s="37"/>
      <c r="AJ180" s="37"/>
      <c r="AK180" s="37"/>
    </row>
    <row r="181" spans="1:37" ht="14.25">
      <c r="A181" s="43"/>
      <c r="B181" s="37"/>
      <c r="C181" s="37"/>
      <c r="D181" s="37"/>
      <c r="E181" s="37"/>
      <c r="F181" s="43"/>
      <c r="G181" s="43"/>
      <c r="H181" s="44"/>
      <c r="I181" s="43"/>
      <c r="J181" s="37"/>
      <c r="K181" s="37"/>
      <c r="L181" s="37"/>
      <c r="M181" s="37"/>
      <c r="N181" s="37"/>
      <c r="O181" s="37"/>
      <c r="P181" s="37"/>
      <c r="Q181" s="37"/>
      <c r="R181" s="37"/>
      <c r="S181" s="37"/>
      <c r="T181" s="37"/>
      <c r="U181" s="37"/>
      <c r="V181" s="37"/>
      <c r="W181" s="37"/>
      <c r="X181" s="37"/>
      <c r="Y181" s="37"/>
      <c r="Z181" s="37"/>
      <c r="AA181" s="37"/>
      <c r="AB181" s="37"/>
      <c r="AC181" s="37"/>
      <c r="AD181" s="37"/>
      <c r="AE181" s="37"/>
      <c r="AF181" s="37"/>
      <c r="AG181" s="37"/>
      <c r="AH181" s="37"/>
      <c r="AI181" s="37"/>
      <c r="AJ181" s="37"/>
      <c r="AK181" s="37"/>
    </row>
    <row r="182" spans="1:37" ht="14.25">
      <c r="A182" s="43"/>
      <c r="B182" s="37"/>
      <c r="C182" s="37"/>
      <c r="D182" s="37"/>
      <c r="E182" s="37"/>
      <c r="F182" s="43"/>
      <c r="G182" s="43"/>
      <c r="H182" s="44"/>
      <c r="I182" s="43"/>
      <c r="J182" s="37"/>
      <c r="K182" s="37"/>
      <c r="L182" s="37"/>
      <c r="M182" s="37"/>
      <c r="N182" s="37"/>
      <c r="O182" s="37"/>
      <c r="P182" s="37"/>
      <c r="Q182" s="37"/>
      <c r="R182" s="37"/>
      <c r="S182" s="37"/>
      <c r="T182" s="37"/>
      <c r="U182" s="37"/>
      <c r="V182" s="37"/>
      <c r="W182" s="37"/>
      <c r="X182" s="37"/>
      <c r="Y182" s="37"/>
      <c r="Z182" s="37"/>
      <c r="AA182" s="37"/>
      <c r="AB182" s="37"/>
      <c r="AC182" s="37"/>
      <c r="AD182" s="37"/>
      <c r="AE182" s="37"/>
      <c r="AF182" s="37"/>
      <c r="AG182" s="37"/>
      <c r="AH182" s="37"/>
      <c r="AI182" s="37"/>
      <c r="AJ182" s="37"/>
      <c r="AK182" s="37"/>
    </row>
    <row r="183" spans="1:37" ht="14.25">
      <c r="A183" s="43"/>
      <c r="B183" s="37"/>
      <c r="C183" s="37"/>
      <c r="D183" s="37"/>
      <c r="E183" s="37"/>
      <c r="F183" s="43"/>
      <c r="G183" s="43"/>
      <c r="H183" s="44"/>
      <c r="I183" s="43"/>
      <c r="J183" s="37"/>
      <c r="K183" s="37"/>
      <c r="L183" s="37"/>
      <c r="M183" s="37"/>
      <c r="N183" s="37"/>
      <c r="O183" s="37"/>
      <c r="P183" s="37"/>
      <c r="Q183" s="37"/>
      <c r="R183" s="37"/>
      <c r="S183" s="37"/>
      <c r="T183" s="37"/>
      <c r="U183" s="37"/>
      <c r="V183" s="37"/>
      <c r="W183" s="37"/>
      <c r="X183" s="37"/>
      <c r="Y183" s="37"/>
      <c r="Z183" s="37"/>
      <c r="AA183" s="37"/>
      <c r="AB183" s="37"/>
      <c r="AC183" s="37"/>
      <c r="AD183" s="37"/>
      <c r="AE183" s="37"/>
      <c r="AF183" s="37"/>
      <c r="AG183" s="37"/>
      <c r="AH183" s="37"/>
      <c r="AI183" s="37"/>
      <c r="AJ183" s="37"/>
      <c r="AK183" s="37"/>
    </row>
    <row r="184" spans="1:37" ht="14.25">
      <c r="A184" s="43"/>
      <c r="B184" s="37"/>
      <c r="C184" s="37"/>
      <c r="D184" s="37"/>
      <c r="E184" s="37"/>
      <c r="F184" s="43"/>
      <c r="G184" s="43"/>
      <c r="H184" s="44"/>
      <c r="I184" s="43"/>
      <c r="J184" s="37"/>
      <c r="K184" s="37"/>
      <c r="L184" s="37"/>
      <c r="M184" s="37"/>
      <c r="N184" s="37"/>
      <c r="O184" s="37"/>
      <c r="P184" s="37"/>
      <c r="Q184" s="37"/>
      <c r="R184" s="37"/>
      <c r="S184" s="37"/>
      <c r="T184" s="37"/>
      <c r="U184" s="37"/>
      <c r="V184" s="37"/>
      <c r="W184" s="37"/>
      <c r="X184" s="37"/>
      <c r="Y184" s="37"/>
      <c r="Z184" s="37"/>
      <c r="AA184" s="37"/>
      <c r="AB184" s="37"/>
      <c r="AC184" s="37"/>
      <c r="AD184" s="37"/>
      <c r="AE184" s="37"/>
      <c r="AF184" s="37"/>
      <c r="AG184" s="37"/>
      <c r="AH184" s="37"/>
      <c r="AI184" s="37"/>
      <c r="AJ184" s="37"/>
      <c r="AK184" s="37"/>
    </row>
    <row r="185" spans="1:37" ht="14.25">
      <c r="A185" s="43"/>
      <c r="B185" s="37"/>
      <c r="C185" s="37"/>
      <c r="D185" s="37"/>
      <c r="E185" s="37"/>
      <c r="F185" s="43"/>
      <c r="G185" s="43"/>
      <c r="H185" s="44"/>
      <c r="I185" s="43"/>
      <c r="J185" s="37"/>
      <c r="K185" s="37"/>
      <c r="L185" s="37"/>
      <c r="M185" s="37"/>
      <c r="N185" s="37"/>
      <c r="O185" s="37"/>
      <c r="P185" s="37"/>
      <c r="Q185" s="37"/>
      <c r="R185" s="37"/>
      <c r="S185" s="37"/>
      <c r="T185" s="37"/>
      <c r="U185" s="37"/>
      <c r="V185" s="37"/>
      <c r="W185" s="37"/>
      <c r="X185" s="37"/>
      <c r="Y185" s="37"/>
      <c r="Z185" s="37"/>
      <c r="AA185" s="37"/>
      <c r="AB185" s="37"/>
      <c r="AC185" s="37"/>
      <c r="AD185" s="37"/>
      <c r="AE185" s="37"/>
      <c r="AF185" s="37"/>
      <c r="AG185" s="37"/>
      <c r="AH185" s="37"/>
      <c r="AI185" s="37"/>
      <c r="AJ185" s="37"/>
      <c r="AK185" s="37"/>
    </row>
    <row r="186" spans="1:37" ht="14.25">
      <c r="A186" s="43"/>
      <c r="B186" s="37"/>
      <c r="C186" s="37"/>
      <c r="D186" s="37"/>
      <c r="E186" s="37"/>
      <c r="F186" s="43"/>
      <c r="G186" s="43"/>
      <c r="H186" s="44"/>
      <c r="I186" s="43"/>
      <c r="J186" s="37"/>
      <c r="K186" s="37"/>
      <c r="L186" s="37"/>
      <c r="M186" s="37"/>
      <c r="N186" s="37"/>
      <c r="O186" s="37"/>
      <c r="P186" s="37"/>
      <c r="Q186" s="37"/>
      <c r="R186" s="37"/>
      <c r="S186" s="37"/>
      <c r="T186" s="37"/>
      <c r="U186" s="37"/>
      <c r="V186" s="37"/>
      <c r="W186" s="37"/>
      <c r="X186" s="37"/>
      <c r="Y186" s="37"/>
      <c r="Z186" s="37"/>
      <c r="AA186" s="37"/>
      <c r="AB186" s="37"/>
      <c r="AC186" s="37"/>
      <c r="AD186" s="37"/>
      <c r="AE186" s="37"/>
      <c r="AF186" s="37"/>
      <c r="AG186" s="37"/>
      <c r="AH186" s="37"/>
      <c r="AI186" s="37"/>
      <c r="AJ186" s="37"/>
      <c r="AK186" s="37"/>
    </row>
    <row r="187" spans="1:37" ht="14.25">
      <c r="A187" s="43"/>
      <c r="B187" s="37"/>
      <c r="C187" s="37"/>
      <c r="D187" s="37"/>
      <c r="E187" s="37"/>
      <c r="F187" s="43"/>
      <c r="G187" s="43"/>
      <c r="H187" s="44"/>
      <c r="I187" s="43"/>
      <c r="J187" s="37"/>
      <c r="K187" s="37"/>
      <c r="L187" s="37"/>
      <c r="M187" s="37"/>
      <c r="N187" s="37"/>
      <c r="O187" s="37"/>
      <c r="P187" s="37"/>
      <c r="Q187" s="37"/>
      <c r="R187" s="37"/>
      <c r="S187" s="37"/>
      <c r="T187" s="37"/>
      <c r="U187" s="37"/>
      <c r="V187" s="37"/>
      <c r="W187" s="37"/>
      <c r="X187" s="37"/>
      <c r="Y187" s="37"/>
      <c r="Z187" s="37"/>
      <c r="AA187" s="37"/>
      <c r="AB187" s="37"/>
      <c r="AC187" s="37"/>
      <c r="AD187" s="37"/>
      <c r="AE187" s="37"/>
      <c r="AF187" s="37"/>
      <c r="AG187" s="37"/>
      <c r="AH187" s="37"/>
      <c r="AI187" s="37"/>
      <c r="AJ187" s="37"/>
      <c r="AK187" s="37"/>
    </row>
    <row r="188" spans="1:37" ht="14.25">
      <c r="A188" s="43"/>
      <c r="B188" s="37"/>
      <c r="C188" s="37"/>
      <c r="D188" s="37"/>
      <c r="E188" s="37"/>
      <c r="F188" s="43"/>
      <c r="G188" s="43"/>
      <c r="H188" s="44"/>
      <c r="I188" s="43"/>
      <c r="J188" s="37"/>
      <c r="K188" s="37"/>
      <c r="L188" s="37"/>
      <c r="M188" s="37"/>
      <c r="N188" s="37"/>
      <c r="O188" s="37"/>
      <c r="P188" s="37"/>
      <c r="Q188" s="37"/>
      <c r="R188" s="37"/>
      <c r="S188" s="37"/>
      <c r="T188" s="37"/>
      <c r="U188" s="37"/>
      <c r="V188" s="37"/>
      <c r="W188" s="37"/>
      <c r="X188" s="37"/>
      <c r="Y188" s="37"/>
      <c r="Z188" s="37"/>
      <c r="AA188" s="37"/>
      <c r="AB188" s="37"/>
      <c r="AC188" s="37"/>
      <c r="AD188" s="37"/>
      <c r="AE188" s="37"/>
      <c r="AF188" s="37"/>
      <c r="AG188" s="37"/>
      <c r="AH188" s="37"/>
      <c r="AI188" s="37"/>
      <c r="AJ188" s="37"/>
      <c r="AK188" s="37"/>
    </row>
    <row r="189" spans="1:37" ht="14.25">
      <c r="A189" s="43"/>
      <c r="B189" s="37"/>
      <c r="C189" s="37"/>
      <c r="D189" s="37"/>
      <c r="E189" s="37"/>
      <c r="F189" s="43"/>
      <c r="G189" s="43"/>
      <c r="H189" s="44"/>
      <c r="I189" s="43"/>
      <c r="J189" s="37"/>
      <c r="K189" s="37"/>
      <c r="L189" s="37"/>
      <c r="M189" s="37"/>
      <c r="N189" s="37"/>
      <c r="O189" s="37"/>
      <c r="P189" s="37"/>
      <c r="Q189" s="37"/>
      <c r="R189" s="37"/>
      <c r="S189" s="37"/>
      <c r="T189" s="37"/>
      <c r="U189" s="37"/>
      <c r="V189" s="37"/>
      <c r="W189" s="37"/>
      <c r="X189" s="37"/>
      <c r="Y189" s="37"/>
      <c r="Z189" s="37"/>
      <c r="AA189" s="37"/>
      <c r="AB189" s="37"/>
      <c r="AC189" s="37"/>
      <c r="AD189" s="37"/>
      <c r="AE189" s="37"/>
      <c r="AF189" s="37"/>
      <c r="AG189" s="37"/>
      <c r="AH189" s="37"/>
      <c r="AI189" s="37"/>
      <c r="AJ189" s="37"/>
      <c r="AK189" s="37"/>
    </row>
    <row r="190" spans="1:37" ht="14.25">
      <c r="A190" s="43"/>
      <c r="B190" s="37"/>
      <c r="C190" s="37"/>
      <c r="D190" s="37"/>
      <c r="E190" s="37"/>
      <c r="F190" s="43"/>
      <c r="G190" s="43"/>
      <c r="H190" s="44"/>
      <c r="I190" s="43"/>
      <c r="J190" s="37"/>
      <c r="K190" s="37"/>
      <c r="L190" s="37"/>
      <c r="M190" s="37"/>
      <c r="N190" s="37"/>
      <c r="O190" s="37"/>
      <c r="P190" s="37"/>
      <c r="Q190" s="37"/>
      <c r="R190" s="37"/>
      <c r="S190" s="37"/>
      <c r="T190" s="37"/>
      <c r="U190" s="37"/>
      <c r="V190" s="37"/>
      <c r="W190" s="37"/>
      <c r="X190" s="37"/>
      <c r="Y190" s="37"/>
      <c r="Z190" s="37"/>
      <c r="AA190" s="37"/>
      <c r="AB190" s="37"/>
      <c r="AC190" s="37"/>
      <c r="AD190" s="37"/>
      <c r="AE190" s="37"/>
      <c r="AF190" s="37"/>
      <c r="AG190" s="37"/>
      <c r="AH190" s="37"/>
      <c r="AI190" s="37"/>
      <c r="AJ190" s="37"/>
      <c r="AK190" s="37"/>
    </row>
    <row r="191" spans="1:37" ht="14.25">
      <c r="A191" s="43"/>
      <c r="B191" s="37"/>
      <c r="C191" s="37"/>
      <c r="D191" s="37"/>
      <c r="E191" s="37"/>
      <c r="F191" s="43"/>
      <c r="G191" s="43"/>
      <c r="H191" s="44"/>
      <c r="I191" s="43"/>
      <c r="J191" s="37"/>
      <c r="K191" s="37"/>
      <c r="L191" s="37"/>
      <c r="M191" s="37"/>
      <c r="N191" s="37"/>
      <c r="O191" s="37"/>
      <c r="P191" s="37"/>
      <c r="Q191" s="37"/>
      <c r="R191" s="37"/>
      <c r="S191" s="37"/>
      <c r="T191" s="37"/>
      <c r="U191" s="37"/>
      <c r="V191" s="37"/>
      <c r="W191" s="37"/>
      <c r="X191" s="37"/>
      <c r="Y191" s="37"/>
      <c r="Z191" s="37"/>
      <c r="AA191" s="37"/>
      <c r="AB191" s="37"/>
      <c r="AC191" s="37"/>
      <c r="AD191" s="37"/>
      <c r="AE191" s="37"/>
      <c r="AF191" s="37"/>
      <c r="AG191" s="37"/>
      <c r="AH191" s="37"/>
      <c r="AI191" s="37"/>
      <c r="AJ191" s="37"/>
      <c r="AK191" s="37"/>
    </row>
    <row r="192" spans="1:37" ht="14.25">
      <c r="A192" s="43"/>
      <c r="B192" s="37"/>
      <c r="C192" s="37"/>
      <c r="D192" s="37"/>
      <c r="E192" s="37"/>
      <c r="F192" s="43"/>
      <c r="G192" s="43"/>
      <c r="H192" s="44"/>
      <c r="I192" s="43"/>
      <c r="J192" s="37"/>
      <c r="K192" s="37"/>
      <c r="L192" s="37"/>
      <c r="M192" s="37"/>
      <c r="N192" s="37"/>
      <c r="O192" s="37"/>
      <c r="P192" s="37"/>
      <c r="Q192" s="37"/>
      <c r="R192" s="37"/>
      <c r="S192" s="37"/>
      <c r="T192" s="37"/>
      <c r="U192" s="37"/>
      <c r="V192" s="37"/>
      <c r="W192" s="37"/>
      <c r="X192" s="37"/>
      <c r="Y192" s="37"/>
      <c r="Z192" s="37"/>
      <c r="AA192" s="37"/>
      <c r="AB192" s="37"/>
      <c r="AC192" s="37"/>
      <c r="AD192" s="37"/>
      <c r="AE192" s="37"/>
      <c r="AF192" s="37"/>
      <c r="AG192" s="37"/>
      <c r="AH192" s="37"/>
      <c r="AI192" s="37"/>
      <c r="AJ192" s="37"/>
      <c r="AK192" s="37"/>
    </row>
    <row r="193" spans="1:37" ht="14.25">
      <c r="A193" s="43"/>
      <c r="B193" s="37"/>
      <c r="C193" s="37"/>
      <c r="D193" s="37"/>
      <c r="E193" s="37"/>
      <c r="F193" s="43"/>
      <c r="G193" s="43"/>
      <c r="H193" s="44"/>
      <c r="I193" s="43"/>
      <c r="J193" s="37"/>
      <c r="K193" s="37"/>
      <c r="L193" s="37"/>
      <c r="M193" s="37"/>
      <c r="N193" s="37"/>
      <c r="O193" s="37"/>
      <c r="P193" s="37"/>
      <c r="Q193" s="37"/>
      <c r="R193" s="37"/>
      <c r="S193" s="37"/>
      <c r="T193" s="37"/>
      <c r="U193" s="37"/>
      <c r="V193" s="37"/>
      <c r="W193" s="37"/>
      <c r="X193" s="37"/>
      <c r="Y193" s="37"/>
      <c r="Z193" s="37"/>
      <c r="AA193" s="37"/>
      <c r="AB193" s="37"/>
      <c r="AC193" s="37"/>
      <c r="AD193" s="37"/>
      <c r="AE193" s="37"/>
      <c r="AF193" s="37"/>
      <c r="AG193" s="37"/>
      <c r="AH193" s="37"/>
      <c r="AI193" s="37"/>
      <c r="AJ193" s="37"/>
      <c r="AK193" s="37"/>
    </row>
    <row r="194" spans="1:37" ht="14.25">
      <c r="A194" s="43"/>
      <c r="B194" s="37"/>
      <c r="C194" s="37"/>
      <c r="D194" s="37"/>
      <c r="E194" s="37"/>
      <c r="F194" s="43"/>
      <c r="G194" s="43"/>
      <c r="H194" s="44"/>
      <c r="I194" s="43"/>
      <c r="J194" s="37"/>
      <c r="K194" s="37"/>
      <c r="L194" s="37"/>
      <c r="M194" s="37"/>
      <c r="N194" s="37"/>
      <c r="O194" s="37"/>
      <c r="P194" s="37"/>
      <c r="Q194" s="37"/>
      <c r="R194" s="37"/>
      <c r="S194" s="37"/>
      <c r="T194" s="37"/>
      <c r="U194" s="37"/>
      <c r="V194" s="37"/>
      <c r="W194" s="37"/>
      <c r="X194" s="37"/>
      <c r="Y194" s="37"/>
      <c r="Z194" s="37"/>
      <c r="AA194" s="37"/>
      <c r="AB194" s="37"/>
      <c r="AC194" s="37"/>
      <c r="AD194" s="37"/>
      <c r="AE194" s="37"/>
      <c r="AF194" s="37"/>
      <c r="AG194" s="37"/>
      <c r="AH194" s="37"/>
      <c r="AI194" s="37"/>
      <c r="AJ194" s="37"/>
      <c r="AK194" s="37"/>
    </row>
    <row r="195" spans="1:37" ht="14.25">
      <c r="A195" s="43"/>
      <c r="B195" s="37"/>
      <c r="C195" s="37"/>
      <c r="D195" s="37"/>
      <c r="E195" s="37"/>
      <c r="F195" s="43"/>
      <c r="G195" s="43"/>
      <c r="H195" s="44"/>
      <c r="I195" s="43"/>
      <c r="J195" s="37"/>
      <c r="K195" s="37"/>
      <c r="L195" s="37"/>
      <c r="M195" s="37"/>
      <c r="N195" s="37"/>
      <c r="O195" s="37"/>
      <c r="P195" s="37"/>
      <c r="Q195" s="37"/>
      <c r="R195" s="37"/>
      <c r="S195" s="37"/>
      <c r="T195" s="37"/>
      <c r="U195" s="37"/>
      <c r="V195" s="37"/>
      <c r="W195" s="37"/>
      <c r="X195" s="37"/>
      <c r="Y195" s="37"/>
      <c r="Z195" s="37"/>
      <c r="AA195" s="37"/>
      <c r="AB195" s="37"/>
      <c r="AC195" s="37"/>
      <c r="AD195" s="37"/>
      <c r="AE195" s="37"/>
      <c r="AF195" s="37"/>
      <c r="AG195" s="37"/>
      <c r="AH195" s="37"/>
      <c r="AI195" s="37"/>
      <c r="AJ195" s="37"/>
      <c r="AK195" s="37"/>
    </row>
    <row r="196" spans="1:37" ht="14.25">
      <c r="A196" s="43"/>
      <c r="B196" s="37"/>
      <c r="C196" s="37"/>
      <c r="D196" s="37"/>
      <c r="E196" s="37"/>
      <c r="F196" s="43"/>
      <c r="G196" s="43"/>
      <c r="H196" s="44"/>
      <c r="I196" s="43"/>
      <c r="J196" s="37"/>
      <c r="K196" s="37"/>
      <c r="L196" s="37"/>
      <c r="M196" s="37"/>
      <c r="N196" s="37"/>
      <c r="O196" s="37"/>
      <c r="P196" s="37"/>
      <c r="Q196" s="37"/>
      <c r="R196" s="37"/>
      <c r="S196" s="37"/>
      <c r="T196" s="37"/>
      <c r="U196" s="37"/>
      <c r="V196" s="37"/>
      <c r="W196" s="37"/>
      <c r="X196" s="37"/>
      <c r="Y196" s="37"/>
      <c r="Z196" s="37"/>
      <c r="AA196" s="37"/>
      <c r="AB196" s="37"/>
      <c r="AC196" s="37"/>
      <c r="AD196" s="37"/>
      <c r="AE196" s="37"/>
      <c r="AF196" s="37"/>
      <c r="AG196" s="37"/>
      <c r="AH196" s="37"/>
      <c r="AI196" s="37"/>
      <c r="AJ196" s="37"/>
      <c r="AK196" s="37"/>
    </row>
    <row r="197" spans="1:37" ht="14.25">
      <c r="A197" s="43"/>
      <c r="B197" s="37"/>
      <c r="C197" s="37"/>
      <c r="D197" s="37"/>
      <c r="E197" s="37"/>
      <c r="F197" s="43"/>
      <c r="G197" s="43"/>
      <c r="H197" s="44"/>
      <c r="I197" s="43"/>
      <c r="J197" s="37"/>
      <c r="K197" s="37"/>
      <c r="L197" s="37"/>
      <c r="M197" s="37"/>
      <c r="N197" s="37"/>
      <c r="O197" s="37"/>
      <c r="P197" s="37"/>
      <c r="Q197" s="37"/>
      <c r="R197" s="37"/>
      <c r="S197" s="37"/>
      <c r="T197" s="37"/>
      <c r="U197" s="37"/>
      <c r="V197" s="37"/>
      <c r="W197" s="37"/>
      <c r="X197" s="37"/>
      <c r="Y197" s="37"/>
      <c r="Z197" s="37"/>
      <c r="AA197" s="37"/>
      <c r="AB197" s="37"/>
      <c r="AC197" s="37"/>
      <c r="AD197" s="37"/>
      <c r="AE197" s="37"/>
      <c r="AF197" s="37"/>
      <c r="AG197" s="37"/>
      <c r="AH197" s="37"/>
      <c r="AI197" s="37"/>
      <c r="AJ197" s="37"/>
      <c r="AK197" s="37"/>
    </row>
    <row r="198" spans="1:37" ht="14.25">
      <c r="A198" s="43"/>
      <c r="B198" s="37"/>
      <c r="C198" s="37"/>
      <c r="D198" s="37"/>
      <c r="E198" s="37"/>
      <c r="F198" s="43"/>
      <c r="G198" s="43"/>
      <c r="H198" s="44"/>
      <c r="I198" s="43"/>
      <c r="J198" s="37"/>
      <c r="K198" s="37"/>
      <c r="L198" s="37"/>
      <c r="M198" s="37"/>
      <c r="N198" s="37"/>
      <c r="O198" s="37"/>
      <c r="P198" s="37"/>
      <c r="Q198" s="37"/>
      <c r="R198" s="37"/>
      <c r="S198" s="37"/>
      <c r="T198" s="37"/>
      <c r="U198" s="37"/>
      <c r="V198" s="37"/>
      <c r="W198" s="37"/>
      <c r="X198" s="37"/>
      <c r="Y198" s="37"/>
      <c r="Z198" s="37"/>
      <c r="AA198" s="37"/>
      <c r="AB198" s="37"/>
      <c r="AC198" s="37"/>
      <c r="AD198" s="37"/>
      <c r="AE198" s="37"/>
      <c r="AF198" s="37"/>
      <c r="AG198" s="37"/>
      <c r="AH198" s="37"/>
      <c r="AI198" s="37"/>
      <c r="AJ198" s="37"/>
      <c r="AK198" s="37"/>
    </row>
    <row r="199" spans="1:37" ht="14.25">
      <c r="A199" s="43"/>
      <c r="B199" s="37"/>
      <c r="C199" s="37"/>
      <c r="D199" s="37"/>
      <c r="E199" s="37"/>
      <c r="F199" s="43"/>
      <c r="G199" s="43"/>
      <c r="H199" s="44"/>
      <c r="I199" s="43"/>
      <c r="J199" s="37"/>
      <c r="K199" s="37"/>
      <c r="L199" s="37"/>
      <c r="M199" s="37"/>
      <c r="N199" s="37"/>
      <c r="O199" s="37"/>
      <c r="P199" s="37"/>
      <c r="Q199" s="37"/>
      <c r="R199" s="37"/>
      <c r="S199" s="37"/>
      <c r="T199" s="37"/>
      <c r="U199" s="37"/>
      <c r="V199" s="37"/>
      <c r="W199" s="37"/>
      <c r="X199" s="37"/>
      <c r="Y199" s="37"/>
      <c r="Z199" s="37"/>
      <c r="AA199" s="37"/>
      <c r="AB199" s="37"/>
      <c r="AC199" s="37"/>
      <c r="AD199" s="37"/>
      <c r="AE199" s="37"/>
      <c r="AF199" s="37"/>
      <c r="AG199" s="37"/>
      <c r="AH199" s="37"/>
      <c r="AI199" s="37"/>
      <c r="AJ199" s="37"/>
      <c r="AK199" s="37"/>
    </row>
    <row r="200" spans="1:37" ht="14.25">
      <c r="A200" s="43"/>
      <c r="B200" s="37"/>
      <c r="C200" s="37"/>
      <c r="D200" s="37"/>
      <c r="E200" s="37"/>
      <c r="F200" s="43"/>
      <c r="G200" s="43"/>
      <c r="H200" s="44"/>
      <c r="I200" s="43"/>
      <c r="J200" s="37"/>
      <c r="K200" s="37"/>
      <c r="L200" s="37"/>
      <c r="M200" s="37"/>
      <c r="N200" s="37"/>
      <c r="O200" s="37"/>
      <c r="P200" s="37"/>
      <c r="Q200" s="37"/>
      <c r="R200" s="37"/>
      <c r="S200" s="37"/>
      <c r="T200" s="37"/>
      <c r="U200" s="37"/>
      <c r="V200" s="37"/>
      <c r="W200" s="37"/>
      <c r="X200" s="37"/>
      <c r="Y200" s="37"/>
      <c r="Z200" s="37"/>
      <c r="AA200" s="37"/>
      <c r="AB200" s="37"/>
      <c r="AC200" s="37"/>
      <c r="AD200" s="37"/>
      <c r="AE200" s="37"/>
      <c r="AF200" s="37"/>
      <c r="AG200" s="37"/>
      <c r="AH200" s="37"/>
      <c r="AI200" s="37"/>
      <c r="AJ200" s="37"/>
      <c r="AK200" s="37"/>
    </row>
    <row r="201" spans="1:37" ht="14.25">
      <c r="A201" s="43"/>
      <c r="B201" s="37"/>
      <c r="C201" s="37"/>
      <c r="D201" s="37"/>
      <c r="E201" s="37"/>
      <c r="F201" s="43"/>
      <c r="G201" s="43"/>
      <c r="H201" s="44"/>
      <c r="I201" s="43"/>
      <c r="J201" s="37"/>
      <c r="K201" s="37"/>
      <c r="L201" s="37"/>
      <c r="M201" s="37"/>
      <c r="N201" s="37"/>
      <c r="O201" s="37"/>
      <c r="P201" s="37"/>
      <c r="Q201" s="37"/>
      <c r="R201" s="37"/>
      <c r="S201" s="37"/>
      <c r="T201" s="37"/>
      <c r="U201" s="37"/>
      <c r="V201" s="37"/>
      <c r="W201" s="37"/>
      <c r="X201" s="37"/>
      <c r="Y201" s="37"/>
      <c r="Z201" s="37"/>
      <c r="AA201" s="37"/>
      <c r="AB201" s="37"/>
      <c r="AC201" s="37"/>
      <c r="AD201" s="37"/>
      <c r="AE201" s="37"/>
      <c r="AF201" s="37"/>
      <c r="AG201" s="37"/>
      <c r="AH201" s="37"/>
      <c r="AI201" s="37"/>
      <c r="AJ201" s="37"/>
      <c r="AK201" s="37"/>
    </row>
    <row r="202" spans="1:37" ht="14.25">
      <c r="A202" s="43"/>
      <c r="B202" s="37"/>
      <c r="C202" s="37"/>
      <c r="D202" s="37"/>
      <c r="E202" s="37"/>
      <c r="F202" s="43"/>
      <c r="G202" s="43"/>
      <c r="H202" s="44"/>
      <c r="I202" s="43"/>
      <c r="J202" s="37"/>
      <c r="K202" s="37"/>
      <c r="L202" s="37"/>
      <c r="M202" s="37"/>
      <c r="N202" s="37"/>
      <c r="O202" s="37"/>
      <c r="P202" s="37"/>
      <c r="Q202" s="37"/>
      <c r="R202" s="37"/>
      <c r="S202" s="37"/>
      <c r="T202" s="37"/>
      <c r="U202" s="37"/>
      <c r="V202" s="37"/>
      <c r="W202" s="37"/>
      <c r="X202" s="37"/>
      <c r="Y202" s="37"/>
      <c r="Z202" s="37"/>
      <c r="AA202" s="37"/>
      <c r="AB202" s="37"/>
      <c r="AC202" s="37"/>
      <c r="AD202" s="37"/>
      <c r="AE202" s="37"/>
      <c r="AF202" s="37"/>
      <c r="AG202" s="37"/>
      <c r="AH202" s="37"/>
      <c r="AI202" s="37"/>
      <c r="AJ202" s="37"/>
      <c r="AK202" s="37"/>
    </row>
    <row r="203" spans="1:37" ht="14.25">
      <c r="A203" s="43"/>
      <c r="B203" s="37"/>
      <c r="C203" s="37"/>
      <c r="D203" s="37"/>
      <c r="E203" s="37"/>
      <c r="F203" s="43"/>
      <c r="G203" s="43"/>
      <c r="H203" s="44"/>
      <c r="I203" s="43"/>
      <c r="J203" s="37"/>
      <c r="K203" s="37"/>
      <c r="L203" s="37"/>
      <c r="M203" s="37"/>
      <c r="N203" s="37"/>
      <c r="O203" s="37"/>
      <c r="P203" s="37"/>
      <c r="Q203" s="37"/>
      <c r="R203" s="37"/>
      <c r="S203" s="37"/>
      <c r="T203" s="37"/>
      <c r="U203" s="37"/>
      <c r="V203" s="37"/>
      <c r="W203" s="37"/>
      <c r="X203" s="37"/>
      <c r="Y203" s="37"/>
      <c r="Z203" s="37"/>
      <c r="AA203" s="37"/>
      <c r="AB203" s="37"/>
      <c r="AC203" s="37"/>
      <c r="AD203" s="37"/>
      <c r="AE203" s="37"/>
      <c r="AF203" s="37"/>
      <c r="AG203" s="37"/>
      <c r="AH203" s="37"/>
      <c r="AI203" s="37"/>
      <c r="AJ203" s="37"/>
      <c r="AK203" s="37"/>
    </row>
    <row r="204" spans="1:37" ht="14.25">
      <c r="A204" s="43"/>
      <c r="B204" s="37"/>
      <c r="C204" s="37"/>
      <c r="D204" s="37"/>
      <c r="E204" s="37"/>
      <c r="F204" s="43"/>
      <c r="G204" s="43"/>
      <c r="H204" s="44"/>
      <c r="I204" s="43"/>
      <c r="J204" s="37"/>
      <c r="K204" s="37"/>
      <c r="L204" s="37"/>
      <c r="M204" s="37"/>
      <c r="N204" s="37"/>
      <c r="O204" s="37"/>
      <c r="P204" s="37"/>
      <c r="Q204" s="37"/>
      <c r="R204" s="37"/>
      <c r="S204" s="37"/>
      <c r="T204" s="37"/>
      <c r="U204" s="37"/>
      <c r="V204" s="37"/>
      <c r="W204" s="37"/>
      <c r="X204" s="37"/>
      <c r="Y204" s="37"/>
      <c r="Z204" s="37"/>
      <c r="AA204" s="37"/>
      <c r="AB204" s="37"/>
      <c r="AC204" s="37"/>
      <c r="AD204" s="37"/>
      <c r="AE204" s="37"/>
      <c r="AF204" s="37"/>
      <c r="AG204" s="37"/>
      <c r="AH204" s="37"/>
      <c r="AI204" s="37"/>
      <c r="AJ204" s="37"/>
      <c r="AK204" s="37"/>
    </row>
    <row r="205" spans="1:37" ht="14.25">
      <c r="A205" s="43"/>
      <c r="B205" s="37"/>
      <c r="C205" s="37"/>
      <c r="D205" s="37"/>
      <c r="E205" s="37"/>
      <c r="F205" s="43"/>
      <c r="G205" s="43"/>
      <c r="H205" s="44"/>
      <c r="I205" s="43"/>
      <c r="J205" s="37"/>
      <c r="K205" s="37"/>
      <c r="L205" s="37"/>
      <c r="M205" s="37"/>
      <c r="N205" s="37"/>
      <c r="O205" s="37"/>
      <c r="P205" s="37"/>
      <c r="Q205" s="37"/>
      <c r="R205" s="37"/>
      <c r="S205" s="37"/>
      <c r="T205" s="37"/>
      <c r="U205" s="37"/>
      <c r="V205" s="37"/>
      <c r="W205" s="37"/>
      <c r="X205" s="37"/>
      <c r="Y205" s="37"/>
      <c r="Z205" s="37"/>
      <c r="AA205" s="37"/>
      <c r="AB205" s="37"/>
      <c r="AC205" s="37"/>
      <c r="AD205" s="37"/>
      <c r="AE205" s="37"/>
      <c r="AF205" s="37"/>
      <c r="AG205" s="37"/>
      <c r="AH205" s="37"/>
      <c r="AI205" s="37"/>
      <c r="AJ205" s="37"/>
      <c r="AK205" s="37"/>
    </row>
    <row r="206" spans="1:37" ht="14.25">
      <c r="A206" s="43"/>
      <c r="B206" s="37"/>
      <c r="C206" s="37"/>
      <c r="D206" s="37"/>
      <c r="E206" s="37"/>
      <c r="F206" s="43"/>
      <c r="G206" s="43"/>
      <c r="H206" s="44"/>
      <c r="I206" s="43"/>
      <c r="J206" s="37"/>
      <c r="K206" s="37"/>
      <c r="L206" s="37"/>
      <c r="M206" s="37"/>
      <c r="N206" s="37"/>
      <c r="O206" s="37"/>
      <c r="P206" s="37"/>
      <c r="Q206" s="37"/>
      <c r="R206" s="37"/>
      <c r="S206" s="37"/>
      <c r="T206" s="37"/>
      <c r="U206" s="37"/>
      <c r="V206" s="37"/>
      <c r="W206" s="37"/>
      <c r="X206" s="37"/>
      <c r="Y206" s="37"/>
      <c r="Z206" s="37"/>
      <c r="AA206" s="37"/>
      <c r="AB206" s="37"/>
      <c r="AC206" s="37"/>
      <c r="AD206" s="37"/>
      <c r="AE206" s="37"/>
      <c r="AF206" s="37"/>
      <c r="AG206" s="37"/>
      <c r="AH206" s="37"/>
      <c r="AI206" s="37"/>
      <c r="AJ206" s="37"/>
      <c r="AK206" s="37"/>
    </row>
    <row r="207" spans="1:37" ht="14.25">
      <c r="A207" s="43"/>
      <c r="B207" s="37"/>
      <c r="C207" s="37"/>
      <c r="D207" s="37"/>
      <c r="E207" s="37"/>
      <c r="F207" s="43"/>
      <c r="G207" s="43"/>
      <c r="H207" s="44"/>
      <c r="I207" s="43"/>
      <c r="J207" s="37"/>
      <c r="K207" s="37"/>
      <c r="L207" s="37"/>
      <c r="M207" s="37"/>
      <c r="N207" s="37"/>
      <c r="O207" s="37"/>
      <c r="P207" s="37"/>
      <c r="Q207" s="37"/>
      <c r="R207" s="37"/>
      <c r="S207" s="37"/>
      <c r="T207" s="37"/>
      <c r="U207" s="37"/>
      <c r="V207" s="37"/>
      <c r="W207" s="37"/>
      <c r="X207" s="37"/>
      <c r="Y207" s="37"/>
      <c r="Z207" s="37"/>
      <c r="AA207" s="37"/>
      <c r="AB207" s="37"/>
      <c r="AC207" s="37"/>
      <c r="AD207" s="37"/>
      <c r="AE207" s="37"/>
      <c r="AF207" s="37"/>
      <c r="AG207" s="37"/>
      <c r="AH207" s="37"/>
      <c r="AI207" s="37"/>
      <c r="AJ207" s="37"/>
      <c r="AK207" s="37"/>
    </row>
    <row r="208" spans="1:37" ht="14.25">
      <c r="A208" s="43"/>
      <c r="B208" s="37"/>
      <c r="C208" s="37"/>
      <c r="D208" s="37"/>
      <c r="E208" s="37"/>
      <c r="F208" s="43"/>
      <c r="G208" s="43"/>
      <c r="H208" s="44"/>
      <c r="I208" s="43"/>
      <c r="J208" s="37"/>
      <c r="K208" s="37"/>
      <c r="L208" s="37"/>
      <c r="M208" s="37"/>
      <c r="N208" s="37"/>
      <c r="O208" s="37"/>
      <c r="P208" s="37"/>
      <c r="Q208" s="37"/>
      <c r="R208" s="37"/>
      <c r="S208" s="37"/>
      <c r="T208" s="37"/>
      <c r="U208" s="37"/>
      <c r="V208" s="37"/>
      <c r="W208" s="37"/>
      <c r="X208" s="37"/>
      <c r="Y208" s="37"/>
      <c r="Z208" s="37"/>
      <c r="AA208" s="37"/>
      <c r="AB208" s="37"/>
      <c r="AC208" s="37"/>
      <c r="AD208" s="37"/>
      <c r="AE208" s="37"/>
      <c r="AF208" s="37"/>
      <c r="AG208" s="37"/>
      <c r="AH208" s="37"/>
      <c r="AI208" s="37"/>
      <c r="AJ208" s="37"/>
      <c r="AK208" s="37"/>
    </row>
    <row r="209" spans="1:37" ht="14.25">
      <c r="A209" s="43"/>
      <c r="B209" s="37"/>
      <c r="C209" s="37"/>
      <c r="D209" s="37"/>
      <c r="E209" s="37"/>
      <c r="F209" s="43"/>
      <c r="G209" s="43"/>
      <c r="H209" s="44"/>
      <c r="I209" s="43"/>
      <c r="J209" s="37"/>
      <c r="K209" s="37"/>
      <c r="L209" s="37"/>
      <c r="M209" s="37"/>
      <c r="N209" s="37"/>
      <c r="O209" s="37"/>
      <c r="P209" s="37"/>
      <c r="Q209" s="37"/>
      <c r="R209" s="37"/>
      <c r="S209" s="37"/>
      <c r="T209" s="37"/>
      <c r="U209" s="37"/>
      <c r="V209" s="37"/>
      <c r="W209" s="37"/>
      <c r="X209" s="37"/>
      <c r="Y209" s="37"/>
      <c r="Z209" s="37"/>
      <c r="AA209" s="37"/>
      <c r="AB209" s="37"/>
      <c r="AC209" s="37"/>
      <c r="AD209" s="37"/>
      <c r="AE209" s="37"/>
      <c r="AF209" s="37"/>
      <c r="AG209" s="37"/>
      <c r="AH209" s="37"/>
      <c r="AI209" s="37"/>
      <c r="AJ209" s="37"/>
      <c r="AK209" s="37"/>
    </row>
    <row r="210" spans="1:37" ht="14.25">
      <c r="A210" s="43"/>
      <c r="B210" s="37"/>
      <c r="C210" s="37"/>
      <c r="D210" s="37"/>
      <c r="E210" s="37"/>
      <c r="F210" s="43"/>
      <c r="G210" s="43"/>
      <c r="H210" s="44"/>
      <c r="I210" s="43"/>
      <c r="J210" s="37"/>
      <c r="K210" s="37"/>
      <c r="L210" s="37"/>
      <c r="M210" s="37"/>
      <c r="N210" s="37"/>
      <c r="O210" s="37"/>
      <c r="P210" s="37"/>
      <c r="Q210" s="37"/>
      <c r="R210" s="37"/>
      <c r="S210" s="37"/>
      <c r="T210" s="37"/>
      <c r="U210" s="37"/>
      <c r="V210" s="37"/>
      <c r="W210" s="37"/>
      <c r="X210" s="37"/>
      <c r="Y210" s="37"/>
      <c r="Z210" s="37"/>
      <c r="AA210" s="37"/>
      <c r="AB210" s="37"/>
      <c r="AC210" s="37"/>
      <c r="AD210" s="37"/>
      <c r="AE210" s="37"/>
      <c r="AF210" s="37"/>
      <c r="AG210" s="37"/>
      <c r="AH210" s="37"/>
      <c r="AI210" s="37"/>
      <c r="AJ210" s="37"/>
      <c r="AK210" s="37"/>
    </row>
    <row r="211" spans="1:37" ht="14.25">
      <c r="A211" s="43"/>
      <c r="B211" s="37"/>
      <c r="C211" s="37"/>
      <c r="D211" s="37"/>
      <c r="E211" s="37"/>
      <c r="F211" s="43"/>
      <c r="G211" s="43"/>
      <c r="H211" s="44"/>
      <c r="I211" s="43"/>
      <c r="J211" s="37"/>
      <c r="K211" s="37"/>
      <c r="L211" s="37"/>
      <c r="M211" s="37"/>
      <c r="N211" s="37"/>
      <c r="O211" s="37"/>
      <c r="P211" s="37"/>
      <c r="Q211" s="37"/>
      <c r="R211" s="37"/>
      <c r="S211" s="37"/>
      <c r="T211" s="37"/>
      <c r="U211" s="37"/>
      <c r="V211" s="37"/>
      <c r="W211" s="37"/>
      <c r="X211" s="37"/>
      <c r="Y211" s="37"/>
      <c r="Z211" s="37"/>
      <c r="AA211" s="37"/>
      <c r="AB211" s="37"/>
      <c r="AC211" s="37"/>
      <c r="AD211" s="37"/>
      <c r="AE211" s="37"/>
      <c r="AF211" s="37"/>
      <c r="AG211" s="37"/>
      <c r="AH211" s="37"/>
      <c r="AI211" s="37"/>
      <c r="AJ211" s="37"/>
      <c r="AK211" s="37"/>
    </row>
    <row r="212" spans="1:37" ht="14.25">
      <c r="A212" s="43"/>
      <c r="B212" s="37"/>
      <c r="C212" s="37"/>
      <c r="D212" s="37"/>
      <c r="E212" s="37"/>
      <c r="F212" s="43"/>
      <c r="G212" s="43"/>
      <c r="H212" s="44"/>
      <c r="I212" s="43"/>
      <c r="J212" s="37"/>
      <c r="K212" s="37"/>
      <c r="L212" s="37"/>
      <c r="M212" s="37"/>
      <c r="N212" s="37"/>
      <c r="O212" s="37"/>
      <c r="P212" s="37"/>
      <c r="Q212" s="37"/>
      <c r="R212" s="37"/>
      <c r="S212" s="37"/>
      <c r="T212" s="37"/>
      <c r="U212" s="37"/>
      <c r="V212" s="37"/>
      <c r="W212" s="37"/>
      <c r="X212" s="37"/>
      <c r="Y212" s="37"/>
      <c r="Z212" s="37"/>
      <c r="AA212" s="37"/>
      <c r="AB212" s="37"/>
      <c r="AC212" s="37"/>
      <c r="AD212" s="37"/>
      <c r="AE212" s="37"/>
      <c r="AF212" s="37"/>
      <c r="AG212" s="37"/>
      <c r="AH212" s="37"/>
      <c r="AI212" s="37"/>
      <c r="AJ212" s="37"/>
      <c r="AK212" s="37"/>
    </row>
    <row r="213" spans="1:37" ht="14.25">
      <c r="A213" s="43"/>
      <c r="B213" s="37"/>
      <c r="C213" s="37"/>
      <c r="D213" s="37"/>
      <c r="E213" s="37"/>
      <c r="F213" s="43"/>
      <c r="G213" s="43"/>
      <c r="H213" s="44"/>
      <c r="I213" s="43"/>
      <c r="J213" s="37"/>
      <c r="K213" s="37"/>
      <c r="L213" s="37"/>
      <c r="M213" s="37"/>
      <c r="N213" s="37"/>
      <c r="O213" s="37"/>
      <c r="P213" s="37"/>
      <c r="Q213" s="37"/>
      <c r="R213" s="37"/>
      <c r="S213" s="37"/>
      <c r="T213" s="37"/>
      <c r="U213" s="37"/>
      <c r="V213" s="37"/>
      <c r="W213" s="37"/>
      <c r="X213" s="37"/>
      <c r="Y213" s="37"/>
      <c r="Z213" s="37"/>
      <c r="AA213" s="37"/>
      <c r="AB213" s="37"/>
      <c r="AC213" s="37"/>
      <c r="AD213" s="37"/>
      <c r="AE213" s="37"/>
      <c r="AF213" s="37"/>
      <c r="AG213" s="37"/>
      <c r="AH213" s="37"/>
      <c r="AI213" s="37"/>
      <c r="AJ213" s="37"/>
      <c r="AK213" s="37"/>
    </row>
    <row r="214" spans="1:37" ht="14.25">
      <c r="A214" s="43"/>
      <c r="B214" s="37"/>
      <c r="C214" s="37"/>
      <c r="D214" s="37"/>
      <c r="E214" s="37"/>
      <c r="F214" s="43"/>
      <c r="G214" s="43"/>
      <c r="H214" s="44"/>
      <c r="I214" s="43"/>
      <c r="J214" s="37"/>
      <c r="K214" s="37"/>
      <c r="L214" s="37"/>
      <c r="M214" s="37"/>
      <c r="N214" s="37"/>
      <c r="O214" s="37"/>
      <c r="P214" s="37"/>
      <c r="Q214" s="37"/>
      <c r="R214" s="37"/>
      <c r="S214" s="37"/>
      <c r="T214" s="37"/>
      <c r="U214" s="37"/>
      <c r="V214" s="37"/>
      <c r="W214" s="37"/>
      <c r="X214" s="37"/>
      <c r="Y214" s="37"/>
      <c r="Z214" s="37"/>
      <c r="AA214" s="37"/>
      <c r="AB214" s="37"/>
      <c r="AC214" s="37"/>
      <c r="AD214" s="37"/>
      <c r="AE214" s="37"/>
      <c r="AF214" s="37"/>
      <c r="AG214" s="37"/>
      <c r="AH214" s="37"/>
      <c r="AI214" s="37"/>
      <c r="AJ214" s="37"/>
      <c r="AK214" s="37"/>
    </row>
    <row r="215" spans="1:37" ht="14.25">
      <c r="A215" s="43"/>
      <c r="B215" s="37"/>
      <c r="C215" s="37"/>
      <c r="D215" s="37"/>
      <c r="E215" s="37"/>
      <c r="F215" s="43"/>
      <c r="G215" s="43"/>
      <c r="H215" s="44"/>
      <c r="I215" s="43"/>
      <c r="J215" s="37"/>
      <c r="K215" s="37"/>
      <c r="L215" s="37"/>
      <c r="M215" s="37"/>
      <c r="N215" s="37"/>
      <c r="O215" s="37"/>
      <c r="P215" s="37"/>
      <c r="Q215" s="37"/>
      <c r="R215" s="37"/>
      <c r="S215" s="37"/>
      <c r="T215" s="37"/>
      <c r="U215" s="37"/>
      <c r="V215" s="37"/>
      <c r="W215" s="37"/>
      <c r="X215" s="37"/>
      <c r="Y215" s="37"/>
      <c r="Z215" s="37"/>
      <c r="AA215" s="37"/>
      <c r="AB215" s="37"/>
      <c r="AC215" s="37"/>
      <c r="AD215" s="37"/>
      <c r="AE215" s="37"/>
      <c r="AF215" s="37"/>
      <c r="AG215" s="37"/>
      <c r="AH215" s="37"/>
      <c r="AI215" s="37"/>
      <c r="AJ215" s="37"/>
      <c r="AK215" s="37"/>
    </row>
    <row r="216" spans="1:37" ht="14.25">
      <c r="A216" s="43"/>
      <c r="B216" s="37"/>
      <c r="C216" s="37"/>
      <c r="D216" s="37"/>
      <c r="E216" s="37"/>
      <c r="F216" s="43"/>
      <c r="G216" s="43"/>
      <c r="H216" s="44"/>
      <c r="I216" s="43"/>
      <c r="J216" s="37"/>
      <c r="K216" s="37"/>
      <c r="L216" s="37"/>
      <c r="M216" s="37"/>
      <c r="N216" s="37"/>
      <c r="O216" s="37"/>
      <c r="P216" s="37"/>
      <c r="Q216" s="37"/>
      <c r="R216" s="37"/>
      <c r="S216" s="37"/>
      <c r="T216" s="37"/>
      <c r="U216" s="37"/>
      <c r="V216" s="37"/>
      <c r="W216" s="37"/>
      <c r="X216" s="37"/>
      <c r="Y216" s="37"/>
      <c r="Z216" s="37"/>
      <c r="AA216" s="37"/>
      <c r="AB216" s="37"/>
      <c r="AC216" s="37"/>
      <c r="AD216" s="37"/>
      <c r="AE216" s="37"/>
      <c r="AF216" s="37"/>
      <c r="AG216" s="37"/>
      <c r="AH216" s="37"/>
      <c r="AI216" s="37"/>
      <c r="AJ216" s="37"/>
      <c r="AK216" s="37"/>
    </row>
    <row r="217" spans="1:37" ht="14.25">
      <c r="A217" s="43"/>
      <c r="B217" s="37"/>
      <c r="C217" s="37"/>
      <c r="D217" s="37"/>
      <c r="E217" s="37"/>
      <c r="F217" s="43"/>
      <c r="G217" s="43"/>
      <c r="H217" s="44"/>
      <c r="I217" s="43"/>
      <c r="J217" s="37"/>
      <c r="K217" s="37"/>
      <c r="L217" s="37"/>
      <c r="M217" s="37"/>
      <c r="N217" s="37"/>
      <c r="O217" s="37"/>
      <c r="P217" s="37"/>
      <c r="Q217" s="37"/>
      <c r="R217" s="37"/>
      <c r="S217" s="37"/>
      <c r="T217" s="37"/>
      <c r="U217" s="37"/>
      <c r="V217" s="37"/>
      <c r="W217" s="37"/>
      <c r="X217" s="37"/>
      <c r="Y217" s="37"/>
      <c r="Z217" s="37"/>
      <c r="AA217" s="37"/>
      <c r="AB217" s="37"/>
      <c r="AC217" s="37"/>
      <c r="AD217" s="37"/>
      <c r="AE217" s="37"/>
      <c r="AF217" s="37"/>
      <c r="AG217" s="37"/>
      <c r="AH217" s="37"/>
      <c r="AI217" s="37"/>
      <c r="AJ217" s="37"/>
      <c r="AK217" s="37"/>
    </row>
    <row r="218" spans="1:37" ht="14.25">
      <c r="A218" s="43"/>
      <c r="B218" s="37"/>
      <c r="C218" s="37"/>
      <c r="D218" s="37"/>
      <c r="E218" s="37"/>
      <c r="F218" s="43"/>
      <c r="G218" s="43"/>
      <c r="H218" s="44"/>
      <c r="I218" s="43"/>
      <c r="J218" s="37"/>
      <c r="K218" s="37"/>
      <c r="L218" s="37"/>
      <c r="M218" s="37"/>
      <c r="N218" s="37"/>
      <c r="O218" s="37"/>
      <c r="P218" s="37"/>
      <c r="Q218" s="37"/>
      <c r="R218" s="37"/>
      <c r="S218" s="37"/>
      <c r="T218" s="37"/>
      <c r="U218" s="37"/>
      <c r="V218" s="37"/>
      <c r="W218" s="37"/>
      <c r="X218" s="37"/>
      <c r="Y218" s="37"/>
      <c r="Z218" s="37"/>
      <c r="AA218" s="37"/>
      <c r="AB218" s="37"/>
      <c r="AC218" s="37"/>
      <c r="AD218" s="37"/>
      <c r="AE218" s="37"/>
      <c r="AF218" s="37"/>
      <c r="AG218" s="37"/>
      <c r="AH218" s="37"/>
      <c r="AI218" s="37"/>
      <c r="AJ218" s="37"/>
      <c r="AK218" s="37"/>
    </row>
    <row r="219" spans="1:37" ht="14.25">
      <c r="A219" s="43"/>
      <c r="B219" s="37"/>
      <c r="C219" s="37"/>
      <c r="D219" s="37"/>
      <c r="E219" s="37"/>
      <c r="F219" s="43"/>
      <c r="G219" s="43"/>
      <c r="H219" s="44"/>
      <c r="I219" s="43"/>
      <c r="J219" s="37"/>
      <c r="K219" s="37"/>
      <c r="L219" s="37"/>
      <c r="M219" s="37"/>
      <c r="N219" s="37"/>
      <c r="O219" s="37"/>
      <c r="P219" s="37"/>
      <c r="Q219" s="37"/>
      <c r="R219" s="37"/>
      <c r="S219" s="37"/>
      <c r="T219" s="37"/>
      <c r="U219" s="37"/>
      <c r="V219" s="37"/>
      <c r="W219" s="37"/>
      <c r="X219" s="37"/>
      <c r="Y219" s="37"/>
      <c r="Z219" s="37"/>
      <c r="AA219" s="37"/>
      <c r="AB219" s="37"/>
      <c r="AC219" s="37"/>
      <c r="AD219" s="37"/>
      <c r="AE219" s="37"/>
      <c r="AF219" s="37"/>
      <c r="AG219" s="37"/>
      <c r="AH219" s="37"/>
      <c r="AI219" s="37"/>
      <c r="AJ219" s="37"/>
      <c r="AK219" s="37"/>
    </row>
    <row r="220" spans="1:37" ht="14.25">
      <c r="A220" s="43"/>
      <c r="B220" s="37"/>
      <c r="C220" s="37"/>
      <c r="D220" s="37"/>
      <c r="E220" s="37"/>
      <c r="F220" s="43"/>
      <c r="G220" s="43"/>
      <c r="H220" s="44"/>
      <c r="I220" s="43"/>
      <c r="J220" s="37"/>
      <c r="K220" s="37"/>
      <c r="L220" s="37"/>
      <c r="M220" s="37"/>
      <c r="N220" s="37"/>
      <c r="O220" s="37"/>
      <c r="P220" s="37"/>
      <c r="Q220" s="37"/>
      <c r="R220" s="37"/>
      <c r="S220" s="37"/>
      <c r="T220" s="37"/>
      <c r="U220" s="37"/>
      <c r="V220" s="37"/>
      <c r="W220" s="37"/>
      <c r="X220" s="37"/>
      <c r="Y220" s="37"/>
      <c r="Z220" s="37"/>
      <c r="AA220" s="37"/>
      <c r="AB220" s="37"/>
      <c r="AC220" s="37"/>
      <c r="AD220" s="37"/>
      <c r="AE220" s="37"/>
      <c r="AF220" s="37"/>
      <c r="AG220" s="37"/>
      <c r="AH220" s="37"/>
      <c r="AI220" s="37"/>
      <c r="AJ220" s="37"/>
      <c r="AK220" s="37"/>
    </row>
    <row r="221" spans="1:37" ht="14.25">
      <c r="A221" s="43"/>
      <c r="B221" s="37"/>
      <c r="C221" s="37"/>
      <c r="D221" s="37"/>
      <c r="E221" s="37"/>
      <c r="F221" s="43"/>
      <c r="G221" s="43"/>
      <c r="H221" s="44"/>
      <c r="I221" s="43"/>
      <c r="J221" s="37"/>
      <c r="K221" s="37"/>
      <c r="L221" s="37"/>
      <c r="M221" s="37"/>
      <c r="N221" s="37"/>
      <c r="O221" s="37"/>
      <c r="P221" s="37"/>
      <c r="Q221" s="37"/>
      <c r="R221" s="37"/>
      <c r="S221" s="37"/>
      <c r="T221" s="37"/>
      <c r="U221" s="37"/>
      <c r="V221" s="37"/>
      <c r="W221" s="37"/>
      <c r="X221" s="37"/>
      <c r="Y221" s="37"/>
      <c r="Z221" s="37"/>
      <c r="AA221" s="37"/>
      <c r="AB221" s="37"/>
      <c r="AC221" s="37"/>
      <c r="AD221" s="37"/>
      <c r="AE221" s="37"/>
      <c r="AF221" s="37"/>
      <c r="AG221" s="37"/>
      <c r="AH221" s="37"/>
      <c r="AI221" s="37"/>
      <c r="AJ221" s="37"/>
      <c r="AK221" s="37"/>
    </row>
    <row r="222" spans="1:37" ht="14.25">
      <c r="A222" s="43"/>
      <c r="B222" s="37"/>
      <c r="C222" s="37"/>
      <c r="D222" s="37"/>
      <c r="E222" s="37"/>
      <c r="F222" s="43"/>
      <c r="G222" s="43"/>
      <c r="H222" s="44"/>
      <c r="I222" s="43"/>
      <c r="J222" s="37"/>
      <c r="K222" s="37"/>
      <c r="L222" s="37"/>
      <c r="M222" s="37"/>
      <c r="N222" s="37"/>
      <c r="O222" s="37"/>
      <c r="P222" s="37"/>
      <c r="Q222" s="37"/>
      <c r="R222" s="37"/>
      <c r="S222" s="37"/>
      <c r="T222" s="37"/>
      <c r="U222" s="37"/>
      <c r="V222" s="37"/>
      <c r="W222" s="37"/>
      <c r="X222" s="37"/>
      <c r="Y222" s="37"/>
      <c r="Z222" s="37"/>
      <c r="AA222" s="37"/>
      <c r="AB222" s="37"/>
      <c r="AC222" s="37"/>
      <c r="AD222" s="37"/>
      <c r="AE222" s="37"/>
      <c r="AF222" s="37"/>
      <c r="AG222" s="37"/>
      <c r="AH222" s="37"/>
      <c r="AI222" s="37"/>
      <c r="AJ222" s="37"/>
      <c r="AK222" s="37"/>
    </row>
    <row r="223" spans="1:37" ht="14.25">
      <c r="A223" s="43"/>
      <c r="B223" s="37"/>
      <c r="C223" s="37"/>
      <c r="D223" s="37"/>
      <c r="E223" s="37"/>
      <c r="F223" s="43"/>
      <c r="G223" s="43"/>
      <c r="H223" s="44"/>
      <c r="I223" s="43"/>
      <c r="J223" s="37"/>
      <c r="K223" s="37"/>
      <c r="L223" s="37"/>
      <c r="M223" s="37"/>
      <c r="N223" s="37"/>
      <c r="O223" s="37"/>
      <c r="P223" s="37"/>
      <c r="Q223" s="37"/>
      <c r="R223" s="37"/>
      <c r="S223" s="37"/>
      <c r="T223" s="37"/>
      <c r="U223" s="37"/>
      <c r="V223" s="37"/>
      <c r="W223" s="37"/>
      <c r="X223" s="37"/>
      <c r="Y223" s="37"/>
      <c r="Z223" s="37"/>
      <c r="AA223" s="37"/>
      <c r="AB223" s="37"/>
      <c r="AC223" s="37"/>
      <c r="AD223" s="37"/>
      <c r="AE223" s="37"/>
      <c r="AF223" s="37"/>
      <c r="AG223" s="37"/>
      <c r="AH223" s="37"/>
      <c r="AI223" s="37"/>
      <c r="AJ223" s="37"/>
      <c r="AK223" s="37"/>
    </row>
    <row r="224" spans="1:37" ht="14.25">
      <c r="A224" s="43"/>
      <c r="B224" s="37"/>
      <c r="C224" s="37"/>
      <c r="D224" s="37"/>
      <c r="E224" s="37"/>
      <c r="F224" s="43"/>
      <c r="G224" s="43"/>
      <c r="H224" s="44"/>
      <c r="I224" s="43"/>
      <c r="J224" s="37"/>
      <c r="K224" s="37"/>
      <c r="L224" s="37"/>
      <c r="M224" s="37"/>
      <c r="N224" s="37"/>
      <c r="O224" s="37"/>
      <c r="P224" s="37"/>
      <c r="Q224" s="37"/>
      <c r="R224" s="37"/>
      <c r="S224" s="37"/>
      <c r="T224" s="37"/>
      <c r="U224" s="37"/>
      <c r="V224" s="37"/>
      <c r="W224" s="37"/>
      <c r="X224" s="37"/>
      <c r="Y224" s="37"/>
      <c r="Z224" s="37"/>
      <c r="AA224" s="37"/>
      <c r="AB224" s="37"/>
      <c r="AC224" s="37"/>
      <c r="AD224" s="37"/>
      <c r="AE224" s="37"/>
      <c r="AF224" s="37"/>
      <c r="AG224" s="37"/>
      <c r="AH224" s="37"/>
      <c r="AI224" s="37"/>
      <c r="AJ224" s="37"/>
      <c r="AK224" s="37"/>
    </row>
    <row r="225" spans="1:37" ht="14.25">
      <c r="A225" s="43"/>
      <c r="B225" s="37"/>
      <c r="C225" s="37"/>
      <c r="D225" s="37"/>
      <c r="E225" s="37"/>
      <c r="F225" s="43"/>
      <c r="G225" s="43"/>
      <c r="H225" s="44"/>
      <c r="I225" s="43"/>
      <c r="J225" s="37"/>
      <c r="K225" s="37"/>
      <c r="L225" s="37"/>
      <c r="M225" s="37"/>
      <c r="N225" s="37"/>
      <c r="O225" s="37"/>
      <c r="P225" s="37"/>
      <c r="Q225" s="37"/>
      <c r="R225" s="37"/>
      <c r="S225" s="37"/>
      <c r="T225" s="37"/>
      <c r="U225" s="37"/>
      <c r="V225" s="37"/>
      <c r="W225" s="37"/>
      <c r="X225" s="37"/>
      <c r="Y225" s="37"/>
      <c r="Z225" s="37"/>
      <c r="AA225" s="37"/>
      <c r="AB225" s="37"/>
      <c r="AC225" s="37"/>
      <c r="AD225" s="37"/>
      <c r="AE225" s="37"/>
      <c r="AF225" s="37"/>
      <c r="AG225" s="37"/>
      <c r="AH225" s="37"/>
      <c r="AI225" s="37"/>
      <c r="AJ225" s="37"/>
      <c r="AK225" s="37"/>
    </row>
    <row r="226" spans="1:37" ht="14.25">
      <c r="A226" s="43"/>
      <c r="B226" s="37"/>
      <c r="C226" s="37"/>
      <c r="D226" s="37"/>
      <c r="E226" s="37"/>
      <c r="F226" s="43"/>
      <c r="G226" s="43"/>
      <c r="H226" s="44"/>
      <c r="I226" s="43"/>
      <c r="J226" s="37"/>
      <c r="K226" s="37"/>
      <c r="L226" s="37"/>
      <c r="M226" s="37"/>
      <c r="N226" s="37"/>
      <c r="O226" s="37"/>
      <c r="P226" s="37"/>
      <c r="Q226" s="37"/>
      <c r="R226" s="37"/>
      <c r="S226" s="37"/>
      <c r="T226" s="37"/>
      <c r="U226" s="37"/>
      <c r="V226" s="37"/>
      <c r="W226" s="37"/>
      <c r="X226" s="37"/>
      <c r="Y226" s="37"/>
      <c r="Z226" s="37"/>
      <c r="AA226" s="37"/>
      <c r="AB226" s="37"/>
      <c r="AC226" s="37"/>
      <c r="AD226" s="37"/>
      <c r="AE226" s="37"/>
      <c r="AF226" s="37"/>
      <c r="AG226" s="37"/>
      <c r="AH226" s="37"/>
      <c r="AI226" s="37"/>
      <c r="AJ226" s="37"/>
      <c r="AK226" s="37"/>
    </row>
    <row r="227" spans="1:37" ht="14.25">
      <c r="A227" s="43"/>
      <c r="B227" s="37"/>
      <c r="C227" s="37"/>
      <c r="D227" s="37"/>
      <c r="E227" s="37"/>
      <c r="F227" s="43"/>
      <c r="G227" s="43"/>
      <c r="H227" s="44"/>
      <c r="I227" s="43"/>
      <c r="J227" s="37"/>
      <c r="K227" s="37"/>
      <c r="L227" s="37"/>
      <c r="M227" s="37"/>
      <c r="N227" s="37"/>
      <c r="O227" s="37"/>
      <c r="P227" s="37"/>
      <c r="Q227" s="37"/>
      <c r="R227" s="37"/>
      <c r="S227" s="37"/>
      <c r="T227" s="37"/>
      <c r="U227" s="37"/>
      <c r="V227" s="37"/>
      <c r="W227" s="37"/>
      <c r="X227" s="37"/>
      <c r="Y227" s="37"/>
      <c r="Z227" s="37"/>
      <c r="AA227" s="37"/>
      <c r="AB227" s="37"/>
      <c r="AC227" s="37"/>
      <c r="AD227" s="37"/>
      <c r="AE227" s="37"/>
      <c r="AF227" s="37"/>
      <c r="AG227" s="37"/>
      <c r="AH227" s="37"/>
      <c r="AI227" s="37"/>
      <c r="AJ227" s="37"/>
      <c r="AK227" s="37"/>
    </row>
    <row r="228" spans="1:37" ht="14.25">
      <c r="A228" s="43"/>
      <c r="B228" s="37"/>
      <c r="C228" s="37"/>
      <c r="D228" s="37"/>
      <c r="E228" s="37"/>
      <c r="F228" s="43"/>
      <c r="G228" s="43"/>
      <c r="H228" s="44"/>
      <c r="I228" s="43"/>
      <c r="J228" s="37"/>
      <c r="K228" s="37"/>
      <c r="L228" s="37"/>
      <c r="M228" s="37"/>
      <c r="N228" s="37"/>
      <c r="O228" s="37"/>
      <c r="P228" s="37"/>
      <c r="Q228" s="37"/>
      <c r="R228" s="37"/>
      <c r="S228" s="37"/>
      <c r="T228" s="37"/>
      <c r="U228" s="37"/>
      <c r="V228" s="37"/>
      <c r="W228" s="37"/>
      <c r="X228" s="37"/>
      <c r="Y228" s="37"/>
      <c r="Z228" s="37"/>
      <c r="AA228" s="37"/>
      <c r="AB228" s="37"/>
      <c r="AC228" s="37"/>
      <c r="AD228" s="37"/>
      <c r="AE228" s="37"/>
      <c r="AF228" s="37"/>
      <c r="AG228" s="37"/>
      <c r="AH228" s="37"/>
      <c r="AI228" s="37"/>
      <c r="AJ228" s="37"/>
      <c r="AK228" s="37"/>
    </row>
    <row r="229" spans="1:37" ht="14.25">
      <c r="A229" s="43"/>
      <c r="B229" s="37"/>
      <c r="C229" s="37"/>
      <c r="D229" s="37"/>
      <c r="E229" s="37"/>
      <c r="F229" s="43"/>
      <c r="G229" s="43"/>
      <c r="H229" s="44"/>
      <c r="I229" s="43"/>
      <c r="J229" s="37"/>
      <c r="K229" s="37"/>
      <c r="L229" s="37"/>
      <c r="M229" s="37"/>
      <c r="N229" s="37"/>
      <c r="O229" s="37"/>
      <c r="P229" s="37"/>
      <c r="Q229" s="37"/>
      <c r="R229" s="37"/>
      <c r="S229" s="37"/>
      <c r="T229" s="37"/>
      <c r="U229" s="37"/>
      <c r="V229" s="37"/>
      <c r="W229" s="37"/>
      <c r="X229" s="37"/>
      <c r="Y229" s="37"/>
      <c r="Z229" s="37"/>
      <c r="AA229" s="37"/>
      <c r="AB229" s="37"/>
      <c r="AC229" s="37"/>
      <c r="AD229" s="37"/>
      <c r="AE229" s="37"/>
      <c r="AF229" s="37"/>
      <c r="AG229" s="37"/>
      <c r="AH229" s="37"/>
      <c r="AI229" s="37"/>
      <c r="AJ229" s="37"/>
      <c r="AK229" s="37"/>
    </row>
    <row r="230" spans="1:37" ht="14.25">
      <c r="A230" s="43"/>
      <c r="B230" s="37"/>
      <c r="C230" s="37"/>
      <c r="D230" s="37"/>
      <c r="E230" s="37"/>
      <c r="F230" s="43"/>
      <c r="G230" s="43"/>
      <c r="H230" s="44"/>
      <c r="I230" s="43"/>
      <c r="J230" s="37"/>
      <c r="K230" s="37"/>
      <c r="L230" s="37"/>
      <c r="M230" s="37"/>
      <c r="N230" s="37"/>
      <c r="O230" s="37"/>
      <c r="P230" s="37"/>
      <c r="Q230" s="37"/>
      <c r="R230" s="37"/>
      <c r="S230" s="37"/>
      <c r="T230" s="37"/>
      <c r="U230" s="37"/>
      <c r="V230" s="37"/>
      <c r="W230" s="37"/>
      <c r="X230" s="37"/>
      <c r="Y230" s="37"/>
      <c r="Z230" s="37"/>
      <c r="AA230" s="37"/>
      <c r="AB230" s="37"/>
      <c r="AC230" s="37"/>
      <c r="AD230" s="37"/>
      <c r="AE230" s="37"/>
      <c r="AF230" s="37"/>
      <c r="AG230" s="37"/>
      <c r="AH230" s="37"/>
      <c r="AI230" s="37"/>
      <c r="AJ230" s="37"/>
      <c r="AK230" s="37"/>
    </row>
    <row r="231" spans="1:37" ht="14.25">
      <c r="A231" s="43"/>
      <c r="B231" s="37"/>
      <c r="C231" s="37"/>
      <c r="D231" s="37"/>
      <c r="E231" s="37"/>
      <c r="F231" s="43"/>
      <c r="G231" s="43"/>
      <c r="H231" s="44"/>
      <c r="I231" s="43"/>
      <c r="J231" s="37"/>
      <c r="K231" s="37"/>
      <c r="L231" s="37"/>
      <c r="M231" s="37"/>
      <c r="N231" s="37"/>
      <c r="O231" s="37"/>
      <c r="P231" s="37"/>
      <c r="Q231" s="37"/>
      <c r="R231" s="37"/>
      <c r="S231" s="37"/>
      <c r="T231" s="37"/>
      <c r="U231" s="37"/>
      <c r="V231" s="37"/>
      <c r="W231" s="37"/>
      <c r="X231" s="37"/>
      <c r="Y231" s="37"/>
      <c r="Z231" s="37"/>
      <c r="AA231" s="37"/>
      <c r="AB231" s="37"/>
      <c r="AC231" s="37"/>
      <c r="AD231" s="37"/>
      <c r="AE231" s="37"/>
      <c r="AF231" s="37"/>
      <c r="AG231" s="37"/>
      <c r="AH231" s="37"/>
      <c r="AI231" s="37"/>
      <c r="AJ231" s="37"/>
      <c r="AK231" s="37"/>
    </row>
    <row r="232" spans="1:37" ht="14.25">
      <c r="A232" s="43"/>
      <c r="B232" s="37"/>
      <c r="C232" s="37"/>
      <c r="D232" s="37"/>
      <c r="E232" s="37"/>
      <c r="F232" s="43"/>
      <c r="G232" s="43"/>
      <c r="H232" s="44"/>
      <c r="I232" s="43"/>
      <c r="J232" s="37"/>
      <c r="K232" s="37"/>
      <c r="L232" s="37"/>
      <c r="M232" s="37"/>
      <c r="N232" s="37"/>
      <c r="O232" s="37"/>
      <c r="P232" s="37"/>
      <c r="Q232" s="37"/>
      <c r="R232" s="37"/>
      <c r="S232" s="37"/>
      <c r="T232" s="37"/>
      <c r="U232" s="37"/>
      <c r="V232" s="37"/>
      <c r="W232" s="37"/>
      <c r="X232" s="37"/>
      <c r="Y232" s="37"/>
      <c r="Z232" s="37"/>
      <c r="AA232" s="37"/>
      <c r="AB232" s="37"/>
      <c r="AC232" s="37"/>
      <c r="AD232" s="37"/>
      <c r="AE232" s="37"/>
      <c r="AF232" s="37"/>
      <c r="AG232" s="37"/>
      <c r="AH232" s="37"/>
      <c r="AI232" s="37"/>
      <c r="AJ232" s="37"/>
      <c r="AK232" s="37"/>
    </row>
    <row r="233" spans="1:37" ht="14.25">
      <c r="A233" s="43"/>
      <c r="B233" s="37"/>
      <c r="C233" s="37"/>
      <c r="D233" s="37"/>
      <c r="E233" s="37"/>
      <c r="F233" s="43"/>
      <c r="G233" s="43"/>
      <c r="H233" s="44"/>
      <c r="I233" s="43"/>
      <c r="J233" s="37"/>
      <c r="K233" s="37"/>
      <c r="L233" s="37"/>
      <c r="M233" s="37"/>
      <c r="N233" s="37"/>
      <c r="O233" s="37"/>
      <c r="P233" s="37"/>
      <c r="Q233" s="37"/>
      <c r="R233" s="37"/>
      <c r="S233" s="37"/>
      <c r="T233" s="37"/>
      <c r="U233" s="37"/>
      <c r="V233" s="37"/>
      <c r="W233" s="37"/>
      <c r="X233" s="37"/>
      <c r="Y233" s="37"/>
      <c r="Z233" s="37"/>
      <c r="AA233" s="37"/>
      <c r="AB233" s="37"/>
      <c r="AC233" s="37"/>
      <c r="AD233" s="37"/>
      <c r="AE233" s="37"/>
      <c r="AF233" s="37"/>
      <c r="AG233" s="37"/>
      <c r="AH233" s="37"/>
      <c r="AI233" s="37"/>
      <c r="AJ233" s="37"/>
      <c r="AK233" s="37"/>
    </row>
    <row r="234" spans="1:37" ht="14.25">
      <c r="A234" s="43"/>
      <c r="B234" s="37"/>
      <c r="C234" s="37"/>
      <c r="D234" s="37"/>
      <c r="E234" s="37"/>
      <c r="F234" s="43"/>
      <c r="G234" s="43"/>
      <c r="H234" s="44"/>
      <c r="I234" s="43"/>
      <c r="J234" s="37"/>
      <c r="K234" s="37"/>
      <c r="L234" s="37"/>
      <c r="M234" s="37"/>
      <c r="N234" s="37"/>
      <c r="O234" s="37"/>
      <c r="P234" s="37"/>
      <c r="Q234" s="37"/>
      <c r="R234" s="37"/>
      <c r="S234" s="37"/>
      <c r="T234" s="37"/>
      <c r="U234" s="37"/>
      <c r="V234" s="37"/>
      <c r="W234" s="37"/>
      <c r="X234" s="37"/>
      <c r="Y234" s="37"/>
      <c r="Z234" s="37"/>
      <c r="AA234" s="37"/>
      <c r="AB234" s="37"/>
      <c r="AC234" s="37"/>
      <c r="AD234" s="37"/>
      <c r="AE234" s="37"/>
      <c r="AF234" s="37"/>
      <c r="AG234" s="37"/>
      <c r="AH234" s="37"/>
      <c r="AI234" s="37"/>
      <c r="AJ234" s="37"/>
      <c r="AK234" s="37"/>
    </row>
    <row r="235" spans="1:37" ht="14.25">
      <c r="A235" s="43"/>
      <c r="B235" s="37"/>
      <c r="C235" s="37"/>
      <c r="D235" s="37"/>
      <c r="E235" s="37"/>
      <c r="F235" s="43"/>
      <c r="G235" s="43"/>
      <c r="H235" s="44"/>
      <c r="I235" s="43"/>
      <c r="J235" s="37"/>
      <c r="K235" s="37"/>
      <c r="L235" s="37"/>
      <c r="M235" s="37"/>
      <c r="N235" s="37"/>
      <c r="O235" s="37"/>
      <c r="P235" s="37"/>
      <c r="Q235" s="37"/>
      <c r="R235" s="37"/>
      <c r="S235" s="37"/>
      <c r="T235" s="37"/>
      <c r="U235" s="37"/>
      <c r="V235" s="37"/>
      <c r="W235" s="37"/>
      <c r="X235" s="37"/>
      <c r="Y235" s="37"/>
      <c r="Z235" s="37"/>
      <c r="AA235" s="37"/>
      <c r="AB235" s="37"/>
      <c r="AC235" s="37"/>
      <c r="AD235" s="37"/>
      <c r="AE235" s="37"/>
      <c r="AF235" s="37"/>
      <c r="AG235" s="37"/>
      <c r="AH235" s="37"/>
      <c r="AI235" s="37"/>
      <c r="AJ235" s="37"/>
      <c r="AK235" s="37"/>
    </row>
    <row r="236" spans="1:37" ht="14.25">
      <c r="A236" s="43"/>
      <c r="B236" s="37"/>
      <c r="C236" s="37"/>
      <c r="D236" s="37"/>
      <c r="E236" s="37"/>
      <c r="F236" s="43"/>
      <c r="G236" s="43"/>
      <c r="H236" s="44"/>
      <c r="I236" s="43"/>
      <c r="J236" s="37"/>
      <c r="K236" s="37"/>
      <c r="L236" s="37"/>
      <c r="M236" s="37"/>
      <c r="N236" s="37"/>
      <c r="O236" s="37"/>
      <c r="P236" s="37"/>
      <c r="Q236" s="37"/>
      <c r="R236" s="37"/>
      <c r="S236" s="37"/>
      <c r="T236" s="37"/>
      <c r="U236" s="37"/>
      <c r="V236" s="37"/>
      <c r="W236" s="37"/>
      <c r="X236" s="37"/>
      <c r="Y236" s="37"/>
      <c r="Z236" s="37"/>
      <c r="AA236" s="37"/>
      <c r="AB236" s="37"/>
      <c r="AC236" s="37"/>
      <c r="AD236" s="37"/>
      <c r="AE236" s="37"/>
      <c r="AF236" s="37"/>
      <c r="AG236" s="37"/>
      <c r="AH236" s="37"/>
      <c r="AI236" s="37"/>
      <c r="AJ236" s="37"/>
      <c r="AK236" s="37"/>
    </row>
    <row r="237" spans="1:37" ht="14.25">
      <c r="A237" s="43"/>
      <c r="B237" s="37"/>
      <c r="C237" s="37"/>
      <c r="D237" s="37"/>
      <c r="E237" s="37"/>
      <c r="F237" s="43"/>
      <c r="G237" s="43"/>
      <c r="H237" s="44"/>
      <c r="I237" s="43"/>
      <c r="J237" s="37"/>
      <c r="K237" s="37"/>
      <c r="L237" s="37"/>
      <c r="M237" s="37"/>
      <c r="N237" s="37"/>
      <c r="O237" s="37"/>
      <c r="P237" s="37"/>
      <c r="Q237" s="37"/>
      <c r="R237" s="37"/>
      <c r="S237" s="37"/>
      <c r="T237" s="37"/>
      <c r="U237" s="37"/>
      <c r="V237" s="37"/>
      <c r="W237" s="37"/>
      <c r="X237" s="37"/>
      <c r="Y237" s="37"/>
      <c r="Z237" s="37"/>
      <c r="AA237" s="37"/>
      <c r="AB237" s="37"/>
      <c r="AC237" s="37"/>
      <c r="AD237" s="37"/>
      <c r="AE237" s="37"/>
      <c r="AF237" s="37"/>
      <c r="AG237" s="37"/>
      <c r="AH237" s="37"/>
      <c r="AI237" s="37"/>
      <c r="AJ237" s="37"/>
      <c r="AK237" s="37"/>
    </row>
    <row r="238" spans="1:37" ht="14.25">
      <c r="A238" s="43"/>
      <c r="B238" s="37"/>
      <c r="C238" s="37"/>
      <c r="D238" s="37"/>
      <c r="E238" s="37"/>
      <c r="F238" s="43"/>
      <c r="G238" s="43"/>
      <c r="H238" s="44"/>
      <c r="I238" s="43"/>
      <c r="J238" s="37"/>
      <c r="K238" s="37"/>
      <c r="L238" s="37"/>
      <c r="M238" s="37"/>
      <c r="N238" s="37"/>
      <c r="O238" s="37"/>
      <c r="P238" s="37"/>
      <c r="Q238" s="37"/>
      <c r="R238" s="37"/>
      <c r="S238" s="37"/>
      <c r="T238" s="37"/>
      <c r="U238" s="37"/>
      <c r="V238" s="37"/>
      <c r="W238" s="37"/>
      <c r="X238" s="37"/>
      <c r="Y238" s="37"/>
      <c r="Z238" s="37"/>
      <c r="AA238" s="37"/>
      <c r="AB238" s="37"/>
      <c r="AC238" s="37"/>
      <c r="AD238" s="37"/>
      <c r="AE238" s="37"/>
      <c r="AF238" s="37"/>
      <c r="AG238" s="37"/>
      <c r="AH238" s="37"/>
      <c r="AI238" s="37"/>
      <c r="AJ238" s="37"/>
      <c r="AK238" s="37"/>
    </row>
    <row r="239" spans="1:37" ht="14.25">
      <c r="A239" s="43"/>
      <c r="B239" s="37"/>
      <c r="C239" s="37"/>
      <c r="D239" s="37"/>
      <c r="E239" s="37"/>
      <c r="F239" s="43"/>
      <c r="G239" s="43"/>
      <c r="H239" s="44"/>
      <c r="I239" s="43"/>
      <c r="J239" s="37"/>
      <c r="K239" s="37"/>
      <c r="L239" s="37"/>
      <c r="M239" s="37"/>
      <c r="N239" s="37"/>
      <c r="O239" s="37"/>
      <c r="P239" s="37"/>
      <c r="Q239" s="37"/>
      <c r="R239" s="37"/>
      <c r="S239" s="37"/>
      <c r="T239" s="37"/>
      <c r="U239" s="37"/>
      <c r="V239" s="37"/>
      <c r="W239" s="37"/>
      <c r="X239" s="37"/>
      <c r="Y239" s="37"/>
      <c r="Z239" s="37"/>
      <c r="AA239" s="37"/>
      <c r="AB239" s="37"/>
      <c r="AC239" s="37"/>
      <c r="AD239" s="37"/>
      <c r="AE239" s="37"/>
      <c r="AF239" s="37"/>
      <c r="AG239" s="37"/>
      <c r="AH239" s="37"/>
      <c r="AI239" s="37"/>
      <c r="AJ239" s="37"/>
      <c r="AK239" s="37"/>
    </row>
    <row r="240" spans="1:37" ht="14.25">
      <c r="A240" s="43"/>
      <c r="B240" s="37"/>
      <c r="C240" s="37"/>
      <c r="D240" s="37"/>
      <c r="E240" s="37"/>
      <c r="F240" s="43"/>
      <c r="G240" s="43"/>
      <c r="H240" s="44"/>
      <c r="I240" s="43"/>
      <c r="J240" s="37"/>
      <c r="K240" s="37"/>
      <c r="L240" s="37"/>
      <c r="M240" s="37"/>
      <c r="N240" s="37"/>
      <c r="O240" s="37"/>
      <c r="P240" s="37"/>
      <c r="Q240" s="37"/>
      <c r="R240" s="37"/>
      <c r="S240" s="37"/>
      <c r="T240" s="37"/>
      <c r="U240" s="37"/>
      <c r="V240" s="37"/>
      <c r="W240" s="37"/>
      <c r="X240" s="37"/>
      <c r="Y240" s="37"/>
      <c r="Z240" s="37"/>
      <c r="AA240" s="37"/>
      <c r="AB240" s="37"/>
      <c r="AC240" s="37"/>
      <c r="AD240" s="37"/>
      <c r="AE240" s="37"/>
      <c r="AF240" s="37"/>
      <c r="AG240" s="37"/>
      <c r="AH240" s="37"/>
      <c r="AI240" s="37"/>
      <c r="AJ240" s="37"/>
      <c r="AK240" s="37"/>
    </row>
    <row r="241" spans="1:37" ht="14.25">
      <c r="A241" s="43"/>
      <c r="B241" s="37"/>
      <c r="C241" s="37"/>
      <c r="D241" s="37"/>
      <c r="E241" s="37"/>
      <c r="F241" s="43"/>
      <c r="G241" s="43"/>
      <c r="H241" s="44"/>
      <c r="I241" s="43"/>
      <c r="J241" s="37"/>
      <c r="K241" s="37"/>
      <c r="L241" s="37"/>
      <c r="M241" s="37"/>
      <c r="N241" s="37"/>
      <c r="O241" s="37"/>
      <c r="P241" s="37"/>
      <c r="Q241" s="37"/>
      <c r="R241" s="37"/>
      <c r="S241" s="37"/>
      <c r="T241" s="37"/>
      <c r="U241" s="37"/>
      <c r="V241" s="37"/>
      <c r="W241" s="37"/>
      <c r="X241" s="37"/>
      <c r="Y241" s="37"/>
      <c r="Z241" s="37"/>
      <c r="AA241" s="37"/>
      <c r="AB241" s="37"/>
      <c r="AC241" s="37"/>
      <c r="AD241" s="37"/>
      <c r="AE241" s="37"/>
      <c r="AF241" s="37"/>
      <c r="AG241" s="37"/>
      <c r="AH241" s="37"/>
      <c r="AI241" s="37"/>
      <c r="AJ241" s="37"/>
      <c r="AK241" s="37"/>
    </row>
    <row r="242" spans="1:37" ht="14.25">
      <c r="A242" s="43"/>
      <c r="B242" s="37"/>
      <c r="C242" s="37"/>
      <c r="D242" s="37"/>
      <c r="E242" s="37"/>
      <c r="F242" s="43"/>
      <c r="G242" s="43"/>
      <c r="H242" s="44"/>
      <c r="I242" s="43"/>
      <c r="J242" s="37"/>
      <c r="K242" s="37"/>
      <c r="L242" s="37"/>
      <c r="M242" s="37"/>
      <c r="N242" s="37"/>
      <c r="O242" s="37"/>
      <c r="P242" s="37"/>
      <c r="Q242" s="37"/>
      <c r="R242" s="37"/>
      <c r="S242" s="37"/>
      <c r="T242" s="37"/>
      <c r="U242" s="37"/>
      <c r="V242" s="37"/>
      <c r="W242" s="37"/>
      <c r="X242" s="37"/>
      <c r="Y242" s="37"/>
      <c r="Z242" s="37"/>
      <c r="AA242" s="37"/>
      <c r="AB242" s="37"/>
      <c r="AC242" s="37"/>
      <c r="AD242" s="37"/>
      <c r="AE242" s="37"/>
      <c r="AF242" s="37"/>
      <c r="AG242" s="37"/>
      <c r="AH242" s="37"/>
      <c r="AI242" s="37"/>
      <c r="AJ242" s="37"/>
      <c r="AK242" s="37"/>
    </row>
    <row r="243" spans="1:37" ht="14.25">
      <c r="A243" s="43"/>
      <c r="B243" s="37"/>
      <c r="C243" s="37"/>
      <c r="D243" s="37"/>
      <c r="E243" s="37"/>
      <c r="F243" s="43"/>
      <c r="G243" s="43"/>
      <c r="H243" s="44"/>
      <c r="I243" s="43"/>
      <c r="J243" s="37"/>
      <c r="K243" s="37"/>
      <c r="L243" s="37"/>
      <c r="M243" s="37"/>
      <c r="N243" s="37"/>
      <c r="O243" s="37"/>
      <c r="P243" s="37"/>
      <c r="Q243" s="37"/>
      <c r="R243" s="37"/>
      <c r="S243" s="37"/>
      <c r="T243" s="37"/>
      <c r="U243" s="37"/>
      <c r="V243" s="37"/>
      <c r="W243" s="37"/>
      <c r="X243" s="37"/>
      <c r="Y243" s="37"/>
      <c r="Z243" s="37"/>
      <c r="AA243" s="37"/>
      <c r="AB243" s="37"/>
      <c r="AC243" s="37"/>
      <c r="AD243" s="37"/>
      <c r="AE243" s="37"/>
      <c r="AF243" s="37"/>
      <c r="AG243" s="37"/>
      <c r="AH243" s="37"/>
      <c r="AI243" s="37"/>
      <c r="AJ243" s="37"/>
      <c r="AK243" s="37"/>
    </row>
    <row r="244" spans="1:37" ht="14.25">
      <c r="A244" s="43"/>
      <c r="B244" s="37"/>
      <c r="C244" s="37"/>
      <c r="D244" s="37"/>
      <c r="E244" s="37"/>
      <c r="F244" s="43"/>
      <c r="G244" s="43"/>
      <c r="H244" s="44"/>
      <c r="I244" s="43"/>
      <c r="J244" s="37"/>
      <c r="K244" s="37"/>
      <c r="L244" s="37"/>
      <c r="M244" s="37"/>
      <c r="N244" s="37"/>
      <c r="O244" s="37"/>
      <c r="P244" s="37"/>
      <c r="Q244" s="37"/>
      <c r="R244" s="37"/>
      <c r="S244" s="37"/>
      <c r="T244" s="37"/>
      <c r="U244" s="37"/>
      <c r="V244" s="37"/>
      <c r="W244" s="37"/>
      <c r="X244" s="37"/>
      <c r="Y244" s="37"/>
      <c r="Z244" s="37"/>
      <c r="AA244" s="37"/>
      <c r="AB244" s="37"/>
      <c r="AC244" s="37"/>
      <c r="AD244" s="37"/>
      <c r="AE244" s="37"/>
      <c r="AF244" s="37"/>
      <c r="AG244" s="37"/>
      <c r="AH244" s="37"/>
      <c r="AI244" s="37"/>
      <c r="AJ244" s="37"/>
      <c r="AK244" s="37"/>
    </row>
    <row r="245" spans="1:37" ht="14.25">
      <c r="A245" s="43"/>
      <c r="B245" s="37"/>
      <c r="C245" s="37"/>
      <c r="D245" s="37"/>
      <c r="E245" s="37"/>
      <c r="F245" s="43"/>
      <c r="G245" s="43"/>
      <c r="H245" s="44"/>
      <c r="I245" s="43"/>
      <c r="J245" s="37"/>
      <c r="K245" s="37"/>
      <c r="L245" s="37"/>
      <c r="M245" s="37"/>
      <c r="N245" s="37"/>
      <c r="O245" s="37"/>
      <c r="P245" s="37"/>
      <c r="Q245" s="37"/>
      <c r="R245" s="37"/>
      <c r="S245" s="37"/>
      <c r="T245" s="37"/>
      <c r="U245" s="37"/>
      <c r="V245" s="37"/>
      <c r="W245" s="37"/>
      <c r="X245" s="37"/>
      <c r="Y245" s="37"/>
      <c r="Z245" s="37"/>
      <c r="AA245" s="37"/>
      <c r="AB245" s="37"/>
      <c r="AC245" s="37"/>
      <c r="AD245" s="37"/>
      <c r="AE245" s="37"/>
      <c r="AF245" s="37"/>
      <c r="AG245" s="37"/>
      <c r="AH245" s="37"/>
      <c r="AI245" s="37"/>
      <c r="AJ245" s="37"/>
      <c r="AK245" s="37"/>
    </row>
    <row r="246" spans="1:37" ht="14.25">
      <c r="A246" s="43"/>
      <c r="B246" s="37"/>
      <c r="C246" s="37"/>
      <c r="D246" s="37"/>
      <c r="E246" s="37"/>
      <c r="F246" s="43"/>
      <c r="G246" s="43"/>
      <c r="H246" s="44"/>
      <c r="I246" s="43"/>
      <c r="J246" s="37"/>
      <c r="K246" s="37"/>
      <c r="L246" s="37"/>
      <c r="M246" s="37"/>
      <c r="N246" s="37"/>
      <c r="O246" s="37"/>
      <c r="P246" s="37"/>
      <c r="Q246" s="37"/>
      <c r="R246" s="37"/>
      <c r="S246" s="37"/>
      <c r="T246" s="37"/>
      <c r="U246" s="37"/>
      <c r="V246" s="37"/>
      <c r="W246" s="37"/>
      <c r="X246" s="37"/>
      <c r="Y246" s="37"/>
      <c r="Z246" s="37"/>
      <c r="AA246" s="37"/>
      <c r="AB246" s="37"/>
      <c r="AC246" s="37"/>
      <c r="AD246" s="37"/>
      <c r="AE246" s="37"/>
      <c r="AF246" s="37"/>
      <c r="AG246" s="37"/>
      <c r="AH246" s="37"/>
      <c r="AI246" s="37"/>
      <c r="AJ246" s="37"/>
      <c r="AK246" s="37"/>
    </row>
    <row r="247" spans="1:37" ht="14.25">
      <c r="A247" s="43"/>
      <c r="B247" s="37"/>
      <c r="C247" s="37"/>
      <c r="D247" s="37"/>
      <c r="E247" s="37"/>
      <c r="F247" s="43"/>
      <c r="G247" s="43"/>
      <c r="H247" s="44"/>
      <c r="I247" s="43"/>
      <c r="J247" s="37"/>
      <c r="K247" s="37"/>
      <c r="L247" s="37"/>
      <c r="M247" s="37"/>
      <c r="N247" s="37"/>
      <c r="O247" s="37"/>
      <c r="P247" s="37"/>
      <c r="Q247" s="37"/>
      <c r="R247" s="37"/>
      <c r="S247" s="37"/>
      <c r="T247" s="37"/>
      <c r="U247" s="37"/>
      <c r="V247" s="37"/>
      <c r="W247" s="37"/>
      <c r="X247" s="37"/>
      <c r="Y247" s="37"/>
      <c r="Z247" s="37"/>
      <c r="AA247" s="37"/>
      <c r="AB247" s="37"/>
      <c r="AC247" s="37"/>
      <c r="AD247" s="37"/>
      <c r="AE247" s="37"/>
      <c r="AF247" s="37"/>
      <c r="AG247" s="37"/>
      <c r="AH247" s="37"/>
      <c r="AI247" s="37"/>
      <c r="AJ247" s="37"/>
      <c r="AK247" s="37"/>
    </row>
    <row r="248" spans="1:37" ht="14.25">
      <c r="A248" s="43"/>
      <c r="B248" s="37"/>
      <c r="C248" s="37"/>
      <c r="D248" s="37"/>
      <c r="E248" s="37"/>
      <c r="F248" s="43"/>
      <c r="G248" s="43"/>
      <c r="H248" s="44"/>
      <c r="I248" s="43"/>
      <c r="J248" s="37"/>
      <c r="K248" s="37"/>
      <c r="L248" s="37"/>
      <c r="M248" s="37"/>
      <c r="N248" s="37"/>
      <c r="O248" s="37"/>
      <c r="P248" s="37"/>
      <c r="Q248" s="37"/>
      <c r="R248" s="37"/>
      <c r="S248" s="37"/>
      <c r="T248" s="37"/>
      <c r="U248" s="37"/>
      <c r="V248" s="37"/>
      <c r="W248" s="37"/>
      <c r="X248" s="37"/>
      <c r="Y248" s="37"/>
      <c r="Z248" s="37"/>
      <c r="AA248" s="37"/>
      <c r="AB248" s="37"/>
      <c r="AC248" s="37"/>
      <c r="AD248" s="37"/>
      <c r="AE248" s="37"/>
      <c r="AF248" s="37"/>
      <c r="AG248" s="37"/>
      <c r="AH248" s="37"/>
      <c r="AI248" s="37"/>
      <c r="AJ248" s="37"/>
      <c r="AK248" s="37"/>
    </row>
    <row r="249" spans="1:37" ht="14.25">
      <c r="A249" s="43"/>
      <c r="B249" s="37"/>
      <c r="C249" s="37"/>
      <c r="D249" s="37"/>
      <c r="E249" s="37"/>
      <c r="F249" s="43"/>
      <c r="G249" s="43"/>
      <c r="H249" s="44"/>
      <c r="I249" s="43"/>
      <c r="J249" s="37"/>
      <c r="K249" s="37"/>
      <c r="L249" s="37"/>
      <c r="M249" s="37"/>
      <c r="N249" s="37"/>
      <c r="O249" s="37"/>
      <c r="P249" s="37"/>
      <c r="Q249" s="37"/>
      <c r="R249" s="37"/>
      <c r="S249" s="37"/>
      <c r="T249" s="37"/>
      <c r="U249" s="37"/>
      <c r="V249" s="37"/>
      <c r="W249" s="37"/>
      <c r="X249" s="37"/>
      <c r="Y249" s="37"/>
      <c r="Z249" s="37"/>
      <c r="AA249" s="37"/>
      <c r="AB249" s="37"/>
      <c r="AC249" s="37"/>
      <c r="AD249" s="37"/>
      <c r="AE249" s="37"/>
      <c r="AF249" s="37"/>
      <c r="AG249" s="37"/>
      <c r="AH249" s="37"/>
      <c r="AI249" s="37"/>
      <c r="AJ249" s="37"/>
      <c r="AK249" s="37"/>
    </row>
    <row r="250" spans="1:37" ht="14.25">
      <c r="A250" s="43"/>
      <c r="B250" s="37"/>
      <c r="C250" s="37"/>
      <c r="D250" s="37"/>
      <c r="E250" s="37"/>
      <c r="F250" s="43"/>
      <c r="G250" s="43"/>
      <c r="H250" s="44"/>
      <c r="I250" s="43"/>
      <c r="J250" s="37"/>
      <c r="K250" s="37"/>
      <c r="L250" s="37"/>
      <c r="M250" s="37"/>
      <c r="N250" s="37"/>
      <c r="O250" s="37"/>
      <c r="P250" s="37"/>
      <c r="Q250" s="37"/>
      <c r="R250" s="37"/>
      <c r="S250" s="37"/>
      <c r="T250" s="37"/>
      <c r="U250" s="37"/>
      <c r="V250" s="37"/>
      <c r="W250" s="37"/>
      <c r="X250" s="37"/>
      <c r="Y250" s="37"/>
      <c r="Z250" s="37"/>
      <c r="AA250" s="37"/>
      <c r="AB250" s="37"/>
      <c r="AC250" s="37"/>
      <c r="AD250" s="37"/>
      <c r="AE250" s="37"/>
      <c r="AF250" s="37"/>
      <c r="AG250" s="37"/>
      <c r="AH250" s="37"/>
      <c r="AI250" s="37"/>
      <c r="AJ250" s="37"/>
      <c r="AK250" s="37"/>
    </row>
    <row r="251" spans="1:37" ht="14.25">
      <c r="A251" s="43"/>
      <c r="B251" s="37"/>
      <c r="C251" s="37"/>
      <c r="D251" s="37"/>
      <c r="E251" s="37"/>
      <c r="F251" s="43"/>
      <c r="G251" s="43"/>
      <c r="H251" s="44"/>
      <c r="I251" s="43"/>
      <c r="J251" s="37"/>
      <c r="K251" s="37"/>
      <c r="L251" s="37"/>
      <c r="M251" s="37"/>
      <c r="N251" s="37"/>
      <c r="O251" s="37"/>
      <c r="P251" s="37"/>
      <c r="Q251" s="37"/>
      <c r="R251" s="37"/>
      <c r="S251" s="37"/>
      <c r="T251" s="37"/>
      <c r="U251" s="37"/>
      <c r="V251" s="37"/>
      <c r="W251" s="37"/>
      <c r="X251" s="37"/>
      <c r="Y251" s="37"/>
      <c r="Z251" s="37"/>
      <c r="AA251" s="37"/>
      <c r="AB251" s="37"/>
      <c r="AC251" s="37"/>
      <c r="AD251" s="37"/>
      <c r="AE251" s="37"/>
      <c r="AF251" s="37"/>
      <c r="AG251" s="37"/>
      <c r="AH251" s="37"/>
      <c r="AI251" s="37"/>
      <c r="AJ251" s="37"/>
      <c r="AK251" s="37"/>
    </row>
    <row r="252" spans="1:37" ht="14.25">
      <c r="A252" s="43"/>
      <c r="B252" s="37"/>
      <c r="C252" s="37"/>
      <c r="D252" s="37"/>
      <c r="E252" s="37"/>
      <c r="F252" s="43"/>
      <c r="G252" s="43"/>
      <c r="H252" s="44"/>
      <c r="I252" s="43"/>
      <c r="J252" s="37"/>
      <c r="K252" s="37"/>
      <c r="L252" s="37"/>
      <c r="M252" s="37"/>
      <c r="N252" s="37"/>
      <c r="O252" s="37"/>
      <c r="P252" s="37"/>
      <c r="Q252" s="37"/>
      <c r="R252" s="37"/>
      <c r="S252" s="37"/>
      <c r="T252" s="37"/>
      <c r="U252" s="37"/>
      <c r="V252" s="37"/>
      <c r="W252" s="37"/>
      <c r="X252" s="37"/>
      <c r="Y252" s="37"/>
      <c r="Z252" s="37"/>
      <c r="AA252" s="37"/>
      <c r="AB252" s="37"/>
      <c r="AC252" s="37"/>
      <c r="AD252" s="37"/>
      <c r="AE252" s="37"/>
      <c r="AF252" s="37"/>
      <c r="AG252" s="37"/>
      <c r="AH252" s="37"/>
      <c r="AI252" s="37"/>
      <c r="AJ252" s="37"/>
      <c r="AK252" s="37"/>
    </row>
    <row r="253" spans="1:37" ht="14.25">
      <c r="A253" s="43"/>
      <c r="B253" s="37"/>
      <c r="C253" s="37"/>
      <c r="D253" s="37"/>
      <c r="E253" s="37"/>
      <c r="F253" s="43"/>
      <c r="G253" s="43"/>
      <c r="H253" s="44"/>
      <c r="I253" s="43"/>
      <c r="J253" s="37"/>
      <c r="K253" s="37"/>
      <c r="L253" s="37"/>
      <c r="M253" s="37"/>
      <c r="N253" s="37"/>
      <c r="O253" s="37"/>
      <c r="P253" s="37"/>
      <c r="Q253" s="37"/>
      <c r="R253" s="37"/>
      <c r="S253" s="37"/>
      <c r="T253" s="37"/>
      <c r="U253" s="37"/>
      <c r="V253" s="37"/>
      <c r="W253" s="37"/>
      <c r="X253" s="37"/>
      <c r="Y253" s="37"/>
      <c r="Z253" s="37"/>
      <c r="AA253" s="37"/>
      <c r="AB253" s="37"/>
      <c r="AC253" s="37"/>
      <c r="AD253" s="37"/>
      <c r="AE253" s="37"/>
      <c r="AF253" s="37"/>
      <c r="AG253" s="37"/>
      <c r="AH253" s="37"/>
      <c r="AI253" s="37"/>
      <c r="AJ253" s="37"/>
      <c r="AK253" s="37"/>
    </row>
    <row r="254" spans="1:37" ht="14.25">
      <c r="A254" s="43"/>
      <c r="B254" s="37"/>
      <c r="C254" s="37"/>
      <c r="D254" s="37"/>
      <c r="E254" s="37"/>
      <c r="F254" s="43"/>
      <c r="G254" s="43"/>
      <c r="H254" s="44"/>
      <c r="I254" s="43"/>
      <c r="J254" s="37"/>
      <c r="K254" s="37"/>
      <c r="L254" s="37"/>
      <c r="M254" s="37"/>
      <c r="N254" s="37"/>
      <c r="O254" s="37"/>
      <c r="P254" s="37"/>
      <c r="Q254" s="37"/>
      <c r="R254" s="37"/>
      <c r="S254" s="37"/>
      <c r="T254" s="37"/>
      <c r="U254" s="37"/>
      <c r="V254" s="37"/>
      <c r="W254" s="37"/>
      <c r="X254" s="37"/>
      <c r="Y254" s="37"/>
      <c r="Z254" s="37"/>
      <c r="AA254" s="37"/>
      <c r="AB254" s="37"/>
      <c r="AC254" s="37"/>
      <c r="AD254" s="37"/>
      <c r="AE254" s="37"/>
      <c r="AF254" s="37"/>
      <c r="AG254" s="37"/>
      <c r="AH254" s="37"/>
      <c r="AI254" s="37"/>
      <c r="AJ254" s="37"/>
      <c r="AK254" s="37"/>
    </row>
    <row r="255" spans="1:37" ht="14.25">
      <c r="A255" s="43"/>
      <c r="B255" s="37"/>
      <c r="C255" s="37"/>
      <c r="D255" s="37"/>
      <c r="E255" s="37"/>
      <c r="F255" s="43"/>
      <c r="G255" s="43"/>
      <c r="H255" s="44"/>
      <c r="I255" s="43"/>
      <c r="J255" s="37"/>
      <c r="K255" s="37"/>
      <c r="L255" s="37"/>
      <c r="M255" s="37"/>
      <c r="N255" s="37"/>
      <c r="O255" s="37"/>
      <c r="P255" s="37"/>
      <c r="Q255" s="37"/>
      <c r="R255" s="37"/>
      <c r="S255" s="37"/>
      <c r="T255" s="37"/>
      <c r="U255" s="37"/>
      <c r="V255" s="37"/>
      <c r="W255" s="37"/>
      <c r="X255" s="37"/>
      <c r="Y255" s="37"/>
      <c r="Z255" s="37"/>
      <c r="AA255" s="37"/>
      <c r="AB255" s="37"/>
      <c r="AC255" s="37"/>
      <c r="AD255" s="37"/>
      <c r="AE255" s="37"/>
      <c r="AF255" s="37"/>
      <c r="AG255" s="37"/>
      <c r="AH255" s="37"/>
      <c r="AI255" s="37"/>
      <c r="AJ255" s="37"/>
      <c r="AK255" s="37"/>
    </row>
    <row r="256" spans="1:37" ht="14.25">
      <c r="A256" s="43"/>
      <c r="B256" s="37"/>
      <c r="C256" s="37"/>
      <c r="D256" s="37"/>
      <c r="E256" s="37"/>
      <c r="F256" s="43"/>
      <c r="G256" s="43"/>
      <c r="H256" s="44"/>
      <c r="I256" s="43"/>
      <c r="J256" s="37"/>
      <c r="K256" s="37"/>
      <c r="L256" s="37"/>
      <c r="M256" s="37"/>
      <c r="N256" s="37"/>
      <c r="O256" s="37"/>
      <c r="P256" s="37"/>
      <c r="Q256" s="37"/>
      <c r="R256" s="37"/>
      <c r="S256" s="37"/>
      <c r="T256" s="37"/>
      <c r="U256" s="37"/>
      <c r="V256" s="37"/>
      <c r="W256" s="37"/>
      <c r="X256" s="37"/>
      <c r="Y256" s="37"/>
      <c r="Z256" s="37"/>
      <c r="AA256" s="37"/>
      <c r="AB256" s="37"/>
      <c r="AC256" s="37"/>
      <c r="AD256" s="37"/>
      <c r="AE256" s="37"/>
      <c r="AF256" s="37"/>
      <c r="AG256" s="37"/>
      <c r="AH256" s="37"/>
      <c r="AI256" s="37"/>
      <c r="AJ256" s="37"/>
      <c r="AK256" s="37"/>
    </row>
    <row r="257" spans="1:37" ht="14.25">
      <c r="A257" s="43"/>
      <c r="B257" s="37"/>
      <c r="C257" s="37"/>
      <c r="D257" s="37"/>
      <c r="E257" s="37"/>
      <c r="F257" s="43"/>
      <c r="G257" s="43"/>
      <c r="H257" s="44"/>
      <c r="I257" s="43"/>
      <c r="J257" s="37"/>
      <c r="K257" s="37"/>
      <c r="L257" s="37"/>
      <c r="M257" s="37"/>
      <c r="N257" s="37"/>
      <c r="O257" s="37"/>
      <c r="P257" s="37"/>
      <c r="Q257" s="37"/>
      <c r="R257" s="37"/>
      <c r="S257" s="37"/>
      <c r="T257" s="37"/>
      <c r="U257" s="37"/>
      <c r="V257" s="37"/>
      <c r="W257" s="37"/>
      <c r="X257" s="37"/>
      <c r="Y257" s="37"/>
      <c r="Z257" s="37"/>
      <c r="AA257" s="37"/>
      <c r="AB257" s="37"/>
      <c r="AC257" s="37"/>
      <c r="AD257" s="37"/>
      <c r="AE257" s="37"/>
      <c r="AF257" s="37"/>
      <c r="AG257" s="37"/>
      <c r="AH257" s="37"/>
      <c r="AI257" s="37"/>
      <c r="AJ257" s="37"/>
      <c r="AK257" s="37"/>
    </row>
    <row r="258" spans="1:37" ht="14.25">
      <c r="A258" s="43"/>
      <c r="B258" s="37"/>
      <c r="C258" s="37"/>
      <c r="D258" s="37"/>
      <c r="E258" s="37"/>
      <c r="F258" s="43"/>
      <c r="G258" s="43"/>
      <c r="H258" s="44"/>
      <c r="I258" s="43"/>
      <c r="J258" s="37"/>
      <c r="K258" s="37"/>
      <c r="L258" s="37"/>
      <c r="M258" s="37"/>
      <c r="N258" s="37"/>
      <c r="O258" s="37"/>
      <c r="P258" s="37"/>
      <c r="Q258" s="37"/>
      <c r="R258" s="37"/>
      <c r="S258" s="37"/>
      <c r="T258" s="37"/>
      <c r="U258" s="37"/>
      <c r="V258" s="37"/>
      <c r="W258" s="37"/>
      <c r="X258" s="37"/>
      <c r="Y258" s="37"/>
      <c r="Z258" s="37"/>
      <c r="AA258" s="37"/>
      <c r="AB258" s="37"/>
      <c r="AC258" s="37"/>
      <c r="AD258" s="37"/>
      <c r="AE258" s="37"/>
      <c r="AF258" s="37"/>
      <c r="AG258" s="37"/>
      <c r="AH258" s="37"/>
      <c r="AI258" s="37"/>
      <c r="AJ258" s="37"/>
      <c r="AK258" s="37"/>
    </row>
    <row r="259" spans="1:37" ht="14.25">
      <c r="A259" s="43"/>
      <c r="B259" s="37"/>
      <c r="C259" s="37"/>
      <c r="D259" s="37"/>
      <c r="E259" s="37"/>
      <c r="F259" s="43"/>
      <c r="G259" s="43"/>
      <c r="H259" s="44"/>
      <c r="I259" s="43"/>
      <c r="J259" s="37"/>
      <c r="K259" s="37"/>
      <c r="L259" s="37"/>
      <c r="M259" s="37"/>
      <c r="N259" s="37"/>
      <c r="O259" s="37"/>
      <c r="P259" s="37"/>
      <c r="Q259" s="37"/>
      <c r="R259" s="37"/>
      <c r="S259" s="37"/>
      <c r="T259" s="37"/>
      <c r="U259" s="37"/>
      <c r="V259" s="37"/>
      <c r="W259" s="37"/>
      <c r="X259" s="37"/>
      <c r="Y259" s="37"/>
      <c r="Z259" s="37"/>
      <c r="AA259" s="37"/>
      <c r="AB259" s="37"/>
      <c r="AC259" s="37"/>
      <c r="AD259" s="37"/>
      <c r="AE259" s="37"/>
      <c r="AF259" s="37"/>
      <c r="AG259" s="37"/>
      <c r="AH259" s="37"/>
      <c r="AI259" s="37"/>
      <c r="AJ259" s="37"/>
      <c r="AK259" s="37"/>
    </row>
    <row r="260" spans="1:37" ht="14.25">
      <c r="A260" s="43"/>
      <c r="B260" s="37"/>
      <c r="C260" s="37"/>
      <c r="D260" s="37"/>
      <c r="E260" s="37"/>
      <c r="F260" s="43"/>
      <c r="G260" s="43"/>
      <c r="H260" s="44"/>
      <c r="I260" s="43"/>
      <c r="J260" s="37"/>
      <c r="K260" s="37"/>
      <c r="L260" s="37"/>
      <c r="M260" s="37"/>
      <c r="N260" s="37"/>
      <c r="O260" s="37"/>
      <c r="P260" s="37"/>
      <c r="Q260" s="37"/>
      <c r="R260" s="37"/>
      <c r="S260" s="37"/>
      <c r="T260" s="37"/>
      <c r="U260" s="37"/>
      <c r="V260" s="37"/>
      <c r="W260" s="37"/>
      <c r="X260" s="37"/>
      <c r="Y260" s="37"/>
      <c r="Z260" s="37"/>
      <c r="AA260" s="37"/>
      <c r="AB260" s="37"/>
      <c r="AC260" s="37"/>
      <c r="AD260" s="37"/>
      <c r="AE260" s="37"/>
      <c r="AF260" s="37"/>
      <c r="AG260" s="37"/>
      <c r="AH260" s="37"/>
      <c r="AI260" s="37"/>
      <c r="AJ260" s="37"/>
      <c r="AK260" s="37"/>
    </row>
    <row r="261" spans="1:37" ht="14.25">
      <c r="A261" s="43"/>
      <c r="B261" s="37"/>
      <c r="C261" s="37"/>
      <c r="D261" s="37"/>
      <c r="E261" s="37"/>
      <c r="F261" s="43"/>
      <c r="G261" s="43"/>
      <c r="H261" s="44"/>
      <c r="I261" s="43"/>
      <c r="J261" s="37"/>
      <c r="K261" s="37"/>
      <c r="L261" s="37"/>
      <c r="M261" s="37"/>
      <c r="N261" s="37"/>
      <c r="O261" s="37"/>
      <c r="P261" s="37"/>
      <c r="Q261" s="37"/>
      <c r="R261" s="37"/>
      <c r="S261" s="37"/>
      <c r="T261" s="37"/>
      <c r="U261" s="37"/>
      <c r="V261" s="37"/>
      <c r="W261" s="37"/>
      <c r="X261" s="37"/>
      <c r="Y261" s="37"/>
      <c r="Z261" s="37"/>
      <c r="AA261" s="37"/>
      <c r="AB261" s="37"/>
      <c r="AC261" s="37"/>
      <c r="AD261" s="37"/>
      <c r="AE261" s="37"/>
      <c r="AF261" s="37"/>
      <c r="AG261" s="37"/>
      <c r="AH261" s="37"/>
      <c r="AI261" s="37"/>
      <c r="AJ261" s="37"/>
      <c r="AK261" s="37"/>
    </row>
    <row r="262" spans="1:37" ht="14.25">
      <c r="A262" s="43"/>
      <c r="B262" s="37"/>
      <c r="C262" s="37"/>
      <c r="D262" s="37"/>
      <c r="E262" s="37"/>
      <c r="F262" s="43"/>
      <c r="G262" s="43"/>
      <c r="H262" s="44"/>
      <c r="I262" s="43"/>
      <c r="J262" s="37"/>
      <c r="K262" s="37"/>
      <c r="L262" s="37"/>
      <c r="M262" s="37"/>
      <c r="N262" s="37"/>
      <c r="O262" s="37"/>
      <c r="P262" s="37"/>
      <c r="Q262" s="37"/>
      <c r="R262" s="37"/>
      <c r="S262" s="37"/>
      <c r="T262" s="37"/>
      <c r="U262" s="37"/>
      <c r="V262" s="37"/>
      <c r="W262" s="37"/>
      <c r="X262" s="37"/>
      <c r="Y262" s="37"/>
      <c r="Z262" s="37"/>
      <c r="AA262" s="37"/>
      <c r="AB262" s="37"/>
      <c r="AC262" s="37"/>
      <c r="AD262" s="37"/>
      <c r="AE262" s="37"/>
      <c r="AF262" s="37"/>
      <c r="AG262" s="37"/>
      <c r="AH262" s="37"/>
      <c r="AI262" s="37"/>
      <c r="AJ262" s="37"/>
      <c r="AK262" s="37"/>
    </row>
    <row r="263" spans="1:37" ht="14.25">
      <c r="A263" s="43"/>
      <c r="B263" s="37"/>
      <c r="C263" s="37"/>
      <c r="D263" s="37"/>
      <c r="E263" s="37"/>
      <c r="F263" s="43"/>
      <c r="G263" s="43"/>
      <c r="H263" s="44"/>
      <c r="I263" s="43"/>
      <c r="J263" s="37"/>
      <c r="K263" s="37"/>
      <c r="L263" s="37"/>
      <c r="M263" s="37"/>
      <c r="N263" s="37"/>
      <c r="O263" s="37"/>
      <c r="P263" s="37"/>
      <c r="Q263" s="37"/>
      <c r="R263" s="37"/>
      <c r="S263" s="37"/>
      <c r="T263" s="37"/>
      <c r="U263" s="37"/>
      <c r="V263" s="37"/>
      <c r="W263" s="37"/>
      <c r="X263" s="37"/>
      <c r="Y263" s="37"/>
      <c r="Z263" s="37"/>
      <c r="AA263" s="37"/>
      <c r="AB263" s="37"/>
      <c r="AC263" s="37"/>
      <c r="AD263" s="37"/>
      <c r="AE263" s="37"/>
      <c r="AF263" s="37"/>
      <c r="AG263" s="37"/>
      <c r="AH263" s="37"/>
      <c r="AI263" s="37"/>
      <c r="AJ263" s="37"/>
      <c r="AK263" s="37"/>
    </row>
    <row r="264" spans="1:37" ht="14.25">
      <c r="A264" s="43"/>
      <c r="B264" s="37"/>
      <c r="C264" s="37"/>
      <c r="D264" s="37"/>
      <c r="E264" s="37"/>
      <c r="F264" s="43"/>
      <c r="G264" s="43"/>
      <c r="H264" s="44"/>
      <c r="I264" s="43"/>
      <c r="J264" s="37"/>
      <c r="K264" s="37"/>
      <c r="L264" s="37"/>
      <c r="M264" s="37"/>
      <c r="N264" s="37"/>
      <c r="O264" s="37"/>
      <c r="P264" s="37"/>
      <c r="Q264" s="37"/>
      <c r="R264" s="37"/>
      <c r="S264" s="37"/>
      <c r="T264" s="37"/>
      <c r="U264" s="37"/>
      <c r="V264" s="37"/>
      <c r="W264" s="37"/>
      <c r="X264" s="37"/>
      <c r="Y264" s="37"/>
      <c r="Z264" s="37"/>
      <c r="AA264" s="37"/>
      <c r="AB264" s="37"/>
      <c r="AC264" s="37"/>
      <c r="AD264" s="37"/>
      <c r="AE264" s="37"/>
      <c r="AF264" s="37"/>
      <c r="AG264" s="37"/>
      <c r="AH264" s="37"/>
      <c r="AI264" s="37"/>
      <c r="AJ264" s="37"/>
      <c r="AK264" s="37"/>
    </row>
    <row r="265" spans="1:37" ht="14.25">
      <c r="A265" s="43"/>
      <c r="B265" s="37"/>
      <c r="C265" s="37"/>
      <c r="D265" s="37"/>
      <c r="E265" s="37"/>
      <c r="F265" s="43"/>
      <c r="G265" s="43"/>
      <c r="H265" s="44"/>
      <c r="I265" s="43"/>
      <c r="J265" s="37"/>
      <c r="K265" s="37"/>
      <c r="L265" s="37"/>
      <c r="M265" s="37"/>
      <c r="N265" s="37"/>
      <c r="O265" s="37"/>
      <c r="P265" s="37"/>
      <c r="Q265" s="37"/>
      <c r="R265" s="37"/>
      <c r="S265" s="37"/>
      <c r="T265" s="37"/>
      <c r="U265" s="37"/>
      <c r="V265" s="37"/>
      <c r="W265" s="37"/>
      <c r="X265" s="37"/>
      <c r="Y265" s="37"/>
      <c r="Z265" s="37"/>
      <c r="AA265" s="37"/>
      <c r="AB265" s="37"/>
      <c r="AC265" s="37"/>
      <c r="AD265" s="37"/>
      <c r="AE265" s="37"/>
      <c r="AF265" s="37"/>
      <c r="AG265" s="37"/>
      <c r="AH265" s="37"/>
      <c r="AI265" s="37"/>
      <c r="AJ265" s="37"/>
      <c r="AK265" s="37"/>
    </row>
    <row r="266" spans="1:37" ht="14.25">
      <c r="A266" s="43"/>
      <c r="B266" s="37"/>
      <c r="C266" s="37"/>
      <c r="D266" s="37"/>
      <c r="E266" s="37"/>
      <c r="F266" s="43"/>
      <c r="G266" s="43"/>
      <c r="H266" s="44"/>
      <c r="I266" s="43"/>
      <c r="J266" s="37"/>
      <c r="K266" s="37"/>
      <c r="L266" s="37"/>
      <c r="M266" s="37"/>
      <c r="N266" s="37"/>
      <c r="O266" s="37"/>
      <c r="P266" s="37"/>
      <c r="Q266" s="37"/>
      <c r="R266" s="37"/>
      <c r="S266" s="37"/>
      <c r="T266" s="37"/>
      <c r="U266" s="37"/>
      <c r="V266" s="37"/>
      <c r="W266" s="37"/>
      <c r="X266" s="37"/>
      <c r="Y266" s="37"/>
      <c r="Z266" s="37"/>
      <c r="AA266" s="37"/>
      <c r="AB266" s="37"/>
      <c r="AC266" s="37"/>
      <c r="AD266" s="37"/>
      <c r="AE266" s="37"/>
      <c r="AF266" s="37"/>
      <c r="AG266" s="37"/>
      <c r="AH266" s="37"/>
      <c r="AI266" s="37"/>
      <c r="AJ266" s="37"/>
      <c r="AK266" s="37"/>
    </row>
    <row r="267" spans="1:37" ht="14.25">
      <c r="A267" s="43"/>
      <c r="B267" s="37"/>
      <c r="C267" s="37"/>
      <c r="D267" s="37"/>
      <c r="E267" s="37"/>
      <c r="F267" s="43"/>
      <c r="G267" s="43"/>
      <c r="H267" s="44"/>
      <c r="I267" s="43"/>
      <c r="J267" s="37"/>
      <c r="K267" s="37"/>
      <c r="L267" s="37"/>
      <c r="M267" s="37"/>
      <c r="N267" s="37"/>
      <c r="O267" s="37"/>
      <c r="P267" s="37"/>
      <c r="Q267" s="37"/>
      <c r="R267" s="37"/>
      <c r="S267" s="37"/>
      <c r="T267" s="37"/>
      <c r="U267" s="37"/>
      <c r="V267" s="37"/>
      <c r="W267" s="37"/>
      <c r="X267" s="37"/>
      <c r="Y267" s="37"/>
      <c r="Z267" s="37"/>
      <c r="AA267" s="37"/>
      <c r="AB267" s="37"/>
      <c r="AC267" s="37"/>
      <c r="AD267" s="37"/>
      <c r="AE267" s="37"/>
      <c r="AF267" s="37"/>
      <c r="AG267" s="37"/>
      <c r="AH267" s="37"/>
      <c r="AI267" s="37"/>
      <c r="AJ267" s="37"/>
      <c r="AK267" s="37"/>
    </row>
    <row r="268" spans="1:37" ht="14.25">
      <c r="A268" s="43"/>
      <c r="B268" s="37"/>
      <c r="C268" s="37"/>
      <c r="D268" s="37"/>
      <c r="E268" s="37"/>
      <c r="F268" s="43"/>
      <c r="G268" s="43"/>
      <c r="H268" s="44"/>
      <c r="I268" s="43"/>
      <c r="J268" s="37"/>
      <c r="K268" s="37"/>
      <c r="L268" s="37"/>
      <c r="M268" s="37"/>
      <c r="N268" s="37"/>
      <c r="O268" s="37"/>
      <c r="P268" s="37"/>
      <c r="Q268" s="37"/>
      <c r="R268" s="37"/>
      <c r="S268" s="37"/>
      <c r="T268" s="37"/>
      <c r="U268" s="37"/>
      <c r="V268" s="37"/>
      <c r="W268" s="37"/>
      <c r="X268" s="37"/>
      <c r="Y268" s="37"/>
      <c r="Z268" s="37"/>
      <c r="AA268" s="37"/>
      <c r="AB268" s="37"/>
      <c r="AC268" s="37"/>
      <c r="AD268" s="37"/>
      <c r="AE268" s="37"/>
      <c r="AF268" s="37"/>
      <c r="AG268" s="37"/>
      <c r="AH268" s="37"/>
      <c r="AI268" s="37"/>
      <c r="AJ268" s="37"/>
      <c r="AK268" s="37"/>
    </row>
    <row r="269" spans="1:37" ht="14.25">
      <c r="A269" s="43"/>
      <c r="B269" s="37"/>
      <c r="C269" s="37"/>
      <c r="D269" s="37"/>
      <c r="E269" s="37"/>
      <c r="F269" s="43"/>
      <c r="G269" s="43"/>
      <c r="H269" s="44"/>
      <c r="I269" s="43"/>
      <c r="J269" s="37"/>
      <c r="K269" s="37"/>
      <c r="L269" s="37"/>
      <c r="M269" s="37"/>
      <c r="N269" s="37"/>
      <c r="O269" s="37"/>
      <c r="P269" s="37"/>
      <c r="Q269" s="37"/>
      <c r="R269" s="37"/>
      <c r="S269" s="37"/>
      <c r="T269" s="37"/>
      <c r="U269" s="37"/>
      <c r="V269" s="37"/>
      <c r="W269" s="37"/>
      <c r="X269" s="37"/>
      <c r="Y269" s="37"/>
      <c r="Z269" s="37"/>
      <c r="AA269" s="37"/>
      <c r="AB269" s="37"/>
      <c r="AC269" s="37"/>
      <c r="AD269" s="37"/>
      <c r="AE269" s="37"/>
      <c r="AF269" s="37"/>
      <c r="AG269" s="37"/>
      <c r="AH269" s="37"/>
      <c r="AI269" s="37"/>
      <c r="AJ269" s="37"/>
      <c r="AK269" s="37"/>
    </row>
    <row r="270" spans="1:37" ht="14.25">
      <c r="A270" s="43"/>
      <c r="B270" s="37"/>
      <c r="C270" s="37"/>
      <c r="D270" s="37"/>
      <c r="E270" s="37"/>
      <c r="F270" s="43"/>
      <c r="G270" s="43"/>
      <c r="H270" s="44"/>
      <c r="I270" s="43"/>
      <c r="J270" s="37"/>
      <c r="K270" s="37"/>
      <c r="L270" s="37"/>
      <c r="M270" s="37"/>
      <c r="N270" s="37"/>
      <c r="O270" s="37"/>
      <c r="P270" s="37"/>
      <c r="Q270" s="37"/>
      <c r="R270" s="37"/>
      <c r="S270" s="37"/>
      <c r="T270" s="37"/>
      <c r="U270" s="37"/>
      <c r="V270" s="37"/>
      <c r="W270" s="37"/>
      <c r="X270" s="37"/>
      <c r="Y270" s="37"/>
      <c r="Z270" s="37"/>
      <c r="AA270" s="37"/>
      <c r="AB270" s="37"/>
      <c r="AC270" s="37"/>
      <c r="AD270" s="37"/>
      <c r="AE270" s="37"/>
      <c r="AF270" s="37"/>
      <c r="AG270" s="37"/>
      <c r="AH270" s="37"/>
      <c r="AI270" s="37"/>
      <c r="AJ270" s="37"/>
      <c r="AK270" s="37"/>
    </row>
    <row r="271" spans="1:37" ht="14.25">
      <c r="A271" s="43"/>
      <c r="B271" s="37"/>
      <c r="C271" s="37"/>
      <c r="D271" s="37"/>
      <c r="E271" s="37"/>
      <c r="F271" s="43"/>
      <c r="G271" s="43"/>
      <c r="H271" s="44"/>
      <c r="I271" s="43"/>
      <c r="J271" s="37"/>
      <c r="K271" s="37"/>
      <c r="L271" s="37"/>
      <c r="M271" s="37"/>
      <c r="N271" s="37"/>
      <c r="O271" s="37"/>
      <c r="P271" s="37"/>
      <c r="Q271" s="37"/>
      <c r="R271" s="37"/>
      <c r="S271" s="37"/>
      <c r="T271" s="37"/>
      <c r="U271" s="37"/>
      <c r="V271" s="37"/>
      <c r="W271" s="37"/>
      <c r="X271" s="37"/>
      <c r="Y271" s="37"/>
      <c r="Z271" s="37"/>
      <c r="AA271" s="37"/>
      <c r="AB271" s="37"/>
      <c r="AC271" s="37"/>
      <c r="AD271" s="37"/>
      <c r="AE271" s="37"/>
      <c r="AF271" s="37"/>
      <c r="AG271" s="37"/>
      <c r="AH271" s="37"/>
      <c r="AI271" s="37"/>
      <c r="AJ271" s="37"/>
      <c r="AK271" s="37"/>
    </row>
    <row r="272" spans="1:37" ht="14.25">
      <c r="A272" s="43"/>
      <c r="B272" s="37"/>
      <c r="C272" s="37"/>
      <c r="D272" s="37"/>
      <c r="E272" s="37"/>
      <c r="F272" s="43"/>
      <c r="G272" s="43"/>
      <c r="H272" s="44"/>
      <c r="I272" s="43"/>
      <c r="J272" s="37"/>
      <c r="K272" s="37"/>
      <c r="L272" s="37"/>
      <c r="M272" s="37"/>
      <c r="N272" s="37"/>
      <c r="O272" s="37"/>
      <c r="P272" s="37"/>
      <c r="Q272" s="37"/>
      <c r="R272" s="37"/>
      <c r="S272" s="37"/>
      <c r="T272" s="37"/>
      <c r="U272" s="37"/>
      <c r="V272" s="37"/>
      <c r="W272" s="37"/>
      <c r="X272" s="37"/>
      <c r="Y272" s="37"/>
      <c r="Z272" s="37"/>
      <c r="AA272" s="37"/>
      <c r="AB272" s="37"/>
      <c r="AC272" s="37"/>
      <c r="AD272" s="37"/>
      <c r="AE272" s="37"/>
      <c r="AF272" s="37"/>
      <c r="AG272" s="37"/>
      <c r="AH272" s="37"/>
      <c r="AI272" s="37"/>
      <c r="AJ272" s="37"/>
      <c r="AK272" s="37"/>
    </row>
    <row r="273" spans="1:37" ht="14.25">
      <c r="A273" s="43"/>
      <c r="B273" s="37"/>
      <c r="C273" s="37"/>
      <c r="D273" s="37"/>
      <c r="E273" s="37"/>
      <c r="F273" s="43"/>
      <c r="G273" s="43"/>
      <c r="H273" s="44"/>
      <c r="I273" s="43"/>
      <c r="J273" s="37"/>
      <c r="K273" s="37"/>
      <c r="L273" s="37"/>
      <c r="M273" s="37"/>
      <c r="N273" s="37"/>
      <c r="O273" s="37"/>
      <c r="P273" s="37"/>
      <c r="Q273" s="37"/>
      <c r="R273" s="37"/>
      <c r="S273" s="37"/>
      <c r="T273" s="37"/>
      <c r="U273" s="37"/>
      <c r="V273" s="37"/>
      <c r="W273" s="37"/>
      <c r="X273" s="37"/>
      <c r="Y273" s="37"/>
      <c r="Z273" s="37"/>
      <c r="AA273" s="37"/>
      <c r="AB273" s="37"/>
      <c r="AC273" s="37"/>
      <c r="AD273" s="37"/>
      <c r="AE273" s="37"/>
      <c r="AF273" s="37"/>
      <c r="AG273" s="37"/>
      <c r="AH273" s="37"/>
      <c r="AI273" s="37"/>
      <c r="AJ273" s="37"/>
      <c r="AK273" s="37"/>
    </row>
    <row r="274" spans="1:37" ht="14.25">
      <c r="A274" s="43"/>
      <c r="B274" s="37"/>
      <c r="C274" s="37"/>
      <c r="D274" s="37"/>
      <c r="E274" s="37"/>
      <c r="F274" s="43"/>
      <c r="G274" s="43"/>
      <c r="H274" s="44"/>
      <c r="I274" s="43"/>
      <c r="J274" s="37"/>
      <c r="K274" s="37"/>
      <c r="L274" s="37"/>
      <c r="M274" s="37"/>
      <c r="N274" s="37"/>
      <c r="O274" s="37"/>
      <c r="P274" s="37"/>
      <c r="Q274" s="37"/>
      <c r="R274" s="37"/>
      <c r="S274" s="37"/>
      <c r="T274" s="37"/>
      <c r="U274" s="37"/>
      <c r="V274" s="37"/>
      <c r="W274" s="37"/>
      <c r="X274" s="37"/>
      <c r="Y274" s="37"/>
      <c r="Z274" s="37"/>
      <c r="AA274" s="37"/>
      <c r="AB274" s="37"/>
      <c r="AC274" s="37"/>
      <c r="AD274" s="37"/>
      <c r="AE274" s="37"/>
      <c r="AF274" s="37"/>
      <c r="AG274" s="37"/>
      <c r="AH274" s="37"/>
      <c r="AI274" s="37"/>
      <c r="AJ274" s="37"/>
      <c r="AK274" s="37"/>
    </row>
    <row r="275" spans="1:37" ht="14.25">
      <c r="A275" s="43"/>
      <c r="B275" s="37"/>
      <c r="C275" s="37"/>
      <c r="D275" s="37"/>
      <c r="E275" s="37"/>
      <c r="F275" s="43"/>
      <c r="G275" s="43"/>
      <c r="H275" s="44"/>
      <c r="I275" s="43"/>
      <c r="J275" s="37"/>
      <c r="K275" s="37"/>
      <c r="L275" s="37"/>
      <c r="M275" s="37"/>
      <c r="N275" s="37"/>
      <c r="O275" s="37"/>
      <c r="P275" s="37"/>
      <c r="Q275" s="37"/>
      <c r="R275" s="37"/>
      <c r="S275" s="37"/>
      <c r="T275" s="37"/>
      <c r="U275" s="37"/>
      <c r="V275" s="37"/>
      <c r="W275" s="37"/>
      <c r="X275" s="37"/>
      <c r="Y275" s="37"/>
      <c r="Z275" s="37"/>
      <c r="AA275" s="37"/>
      <c r="AB275" s="37"/>
      <c r="AC275" s="37"/>
      <c r="AD275" s="37"/>
      <c r="AE275" s="37"/>
      <c r="AF275" s="37"/>
      <c r="AG275" s="37"/>
      <c r="AH275" s="37"/>
      <c r="AI275" s="37"/>
      <c r="AJ275" s="37"/>
      <c r="AK275" s="37"/>
    </row>
    <row r="276" spans="1:37" ht="14.25">
      <c r="A276" s="43"/>
      <c r="B276" s="37"/>
      <c r="C276" s="37"/>
      <c r="D276" s="37"/>
      <c r="E276" s="37"/>
      <c r="F276" s="43"/>
      <c r="G276" s="43"/>
      <c r="H276" s="44"/>
      <c r="I276" s="43"/>
      <c r="J276" s="37"/>
      <c r="K276" s="37"/>
      <c r="L276" s="37"/>
      <c r="M276" s="37"/>
      <c r="N276" s="37"/>
      <c r="O276" s="37"/>
      <c r="P276" s="37"/>
      <c r="Q276" s="37"/>
      <c r="R276" s="37"/>
      <c r="S276" s="37"/>
      <c r="T276" s="37"/>
      <c r="U276" s="37"/>
      <c r="V276" s="37"/>
      <c r="W276" s="37"/>
      <c r="X276" s="37"/>
      <c r="Y276" s="37"/>
      <c r="Z276" s="37"/>
      <c r="AA276" s="37"/>
      <c r="AB276" s="37"/>
      <c r="AC276" s="37"/>
      <c r="AD276" s="37"/>
      <c r="AE276" s="37"/>
      <c r="AF276" s="37"/>
      <c r="AG276" s="37"/>
      <c r="AH276" s="37"/>
      <c r="AI276" s="37"/>
      <c r="AJ276" s="37"/>
      <c r="AK276" s="37"/>
    </row>
    <row r="277" spans="1:37" ht="14.25">
      <c r="A277" s="43"/>
      <c r="B277" s="37"/>
      <c r="C277" s="37"/>
      <c r="D277" s="37"/>
      <c r="E277" s="37"/>
      <c r="F277" s="43"/>
      <c r="G277" s="43"/>
      <c r="H277" s="44"/>
      <c r="I277" s="43"/>
      <c r="J277" s="37"/>
      <c r="K277" s="37"/>
      <c r="L277" s="37"/>
      <c r="M277" s="37"/>
      <c r="N277" s="37"/>
      <c r="O277" s="37"/>
      <c r="P277" s="37"/>
      <c r="Q277" s="37"/>
      <c r="R277" s="37"/>
      <c r="S277" s="37"/>
      <c r="T277" s="37"/>
      <c r="U277" s="37"/>
      <c r="V277" s="37"/>
      <c r="W277" s="37"/>
      <c r="X277" s="37"/>
      <c r="Y277" s="37"/>
      <c r="Z277" s="37"/>
      <c r="AA277" s="37"/>
      <c r="AB277" s="37"/>
      <c r="AC277" s="37"/>
      <c r="AD277" s="37"/>
      <c r="AE277" s="37"/>
      <c r="AF277" s="37"/>
      <c r="AG277" s="37"/>
      <c r="AH277" s="37"/>
      <c r="AI277" s="37"/>
      <c r="AJ277" s="37"/>
      <c r="AK277" s="37"/>
    </row>
    <row r="278" spans="1:37" ht="14.25">
      <c r="A278" s="43"/>
      <c r="B278" s="37"/>
      <c r="C278" s="37"/>
      <c r="D278" s="37"/>
      <c r="E278" s="37"/>
      <c r="F278" s="43"/>
      <c r="G278" s="43"/>
      <c r="H278" s="44"/>
      <c r="I278" s="43"/>
      <c r="J278" s="37"/>
      <c r="K278" s="37"/>
      <c r="L278" s="37"/>
      <c r="M278" s="37"/>
      <c r="N278" s="37"/>
      <c r="O278" s="37"/>
      <c r="P278" s="37"/>
      <c r="Q278" s="37"/>
      <c r="R278" s="37"/>
      <c r="S278" s="37"/>
      <c r="T278" s="37"/>
      <c r="U278" s="37"/>
      <c r="V278" s="37"/>
      <c r="W278" s="37"/>
      <c r="X278" s="37"/>
      <c r="Y278" s="37"/>
      <c r="Z278" s="37"/>
      <c r="AA278" s="37"/>
      <c r="AB278" s="37"/>
      <c r="AC278" s="37"/>
      <c r="AD278" s="37"/>
      <c r="AE278" s="37"/>
      <c r="AF278" s="37"/>
      <c r="AG278" s="37"/>
      <c r="AH278" s="37"/>
      <c r="AI278" s="37"/>
      <c r="AJ278" s="37"/>
      <c r="AK278" s="37"/>
    </row>
    <row r="279" spans="1:37" ht="14.25">
      <c r="A279" s="43"/>
      <c r="B279" s="37"/>
      <c r="C279" s="37"/>
      <c r="D279" s="37"/>
      <c r="E279" s="37"/>
      <c r="F279" s="43"/>
      <c r="G279" s="43"/>
      <c r="H279" s="44"/>
      <c r="I279" s="43"/>
      <c r="J279" s="37"/>
      <c r="K279" s="37"/>
      <c r="L279" s="37"/>
      <c r="M279" s="37"/>
      <c r="N279" s="37"/>
      <c r="O279" s="37"/>
      <c r="P279" s="37"/>
      <c r="Q279" s="37"/>
      <c r="R279" s="37"/>
      <c r="S279" s="37"/>
      <c r="T279" s="37"/>
      <c r="U279" s="37"/>
      <c r="V279" s="37"/>
      <c r="W279" s="37"/>
      <c r="X279" s="37"/>
      <c r="Y279" s="37"/>
      <c r="Z279" s="37"/>
      <c r="AA279" s="37"/>
      <c r="AB279" s="37"/>
      <c r="AC279" s="37"/>
      <c r="AD279" s="37"/>
      <c r="AE279" s="37"/>
      <c r="AF279" s="37"/>
      <c r="AG279" s="37"/>
      <c r="AH279" s="37"/>
      <c r="AI279" s="37"/>
      <c r="AJ279" s="37"/>
      <c r="AK279" s="37"/>
    </row>
    <row r="280" spans="1:37" ht="14.25">
      <c r="A280" s="43"/>
      <c r="B280" s="37"/>
      <c r="C280" s="37"/>
      <c r="D280" s="37"/>
      <c r="E280" s="37"/>
      <c r="F280" s="43"/>
      <c r="G280" s="43"/>
      <c r="H280" s="44"/>
      <c r="I280" s="43"/>
      <c r="J280" s="37"/>
      <c r="K280" s="37"/>
      <c r="L280" s="37"/>
      <c r="M280" s="37"/>
      <c r="N280" s="37"/>
      <c r="O280" s="37"/>
      <c r="P280" s="37"/>
      <c r="Q280" s="37"/>
      <c r="R280" s="37"/>
      <c r="S280" s="37"/>
      <c r="T280" s="37"/>
      <c r="U280" s="37"/>
      <c r="V280" s="37"/>
      <c r="W280" s="37"/>
      <c r="X280" s="37"/>
      <c r="Y280" s="37"/>
      <c r="Z280" s="37"/>
      <c r="AA280" s="37"/>
      <c r="AB280" s="37"/>
      <c r="AC280" s="37"/>
      <c r="AD280" s="37"/>
      <c r="AE280" s="37"/>
      <c r="AF280" s="37"/>
      <c r="AG280" s="37"/>
      <c r="AH280" s="37"/>
      <c r="AI280" s="37"/>
      <c r="AJ280" s="37"/>
      <c r="AK280" s="37"/>
    </row>
    <row r="281" spans="1:37" ht="14.25">
      <c r="A281" s="43"/>
      <c r="B281" s="37"/>
      <c r="C281" s="37"/>
      <c r="D281" s="37"/>
      <c r="E281" s="37"/>
      <c r="F281" s="43"/>
      <c r="G281" s="43"/>
      <c r="H281" s="44"/>
      <c r="I281" s="43"/>
      <c r="J281" s="37"/>
      <c r="K281" s="37"/>
      <c r="L281" s="37"/>
      <c r="M281" s="37"/>
      <c r="N281" s="37"/>
      <c r="O281" s="37"/>
      <c r="P281" s="37"/>
      <c r="Q281" s="37"/>
      <c r="R281" s="37"/>
      <c r="S281" s="37"/>
      <c r="T281" s="37"/>
      <c r="U281" s="37"/>
      <c r="V281" s="37"/>
      <c r="W281" s="37"/>
      <c r="X281" s="37"/>
      <c r="Y281" s="37"/>
      <c r="Z281" s="37"/>
      <c r="AA281" s="37"/>
      <c r="AB281" s="37"/>
      <c r="AC281" s="37"/>
      <c r="AD281" s="37"/>
      <c r="AE281" s="37"/>
      <c r="AF281" s="37"/>
      <c r="AG281" s="37"/>
      <c r="AH281" s="37"/>
      <c r="AI281" s="37"/>
      <c r="AJ281" s="37"/>
      <c r="AK281" s="37"/>
    </row>
    <row r="282" spans="1:37" ht="14.25">
      <c r="A282" s="43"/>
      <c r="B282" s="37"/>
      <c r="C282" s="37"/>
      <c r="D282" s="37"/>
      <c r="E282" s="37"/>
      <c r="F282" s="43"/>
      <c r="G282" s="43"/>
      <c r="H282" s="44"/>
      <c r="I282" s="43"/>
      <c r="J282" s="37"/>
      <c r="K282" s="37"/>
      <c r="L282" s="37"/>
      <c r="M282" s="37"/>
      <c r="N282" s="37"/>
      <c r="O282" s="37"/>
      <c r="P282" s="37"/>
      <c r="Q282" s="37"/>
      <c r="R282" s="37"/>
      <c r="S282" s="37"/>
      <c r="T282" s="37"/>
      <c r="U282" s="37"/>
      <c r="V282" s="37"/>
      <c r="W282" s="37"/>
      <c r="X282" s="37"/>
      <c r="Y282" s="37"/>
      <c r="Z282" s="37"/>
      <c r="AA282" s="37"/>
      <c r="AB282" s="37"/>
      <c r="AC282" s="37"/>
      <c r="AD282" s="37"/>
      <c r="AE282" s="37"/>
      <c r="AF282" s="37"/>
      <c r="AG282" s="37"/>
      <c r="AH282" s="37"/>
      <c r="AI282" s="37"/>
      <c r="AJ282" s="37"/>
      <c r="AK282" s="37"/>
    </row>
    <row r="283" spans="1:37" ht="14.25">
      <c r="A283" s="43"/>
      <c r="B283" s="37"/>
      <c r="C283" s="37"/>
      <c r="D283" s="37"/>
      <c r="E283" s="37"/>
      <c r="F283" s="43"/>
      <c r="G283" s="43"/>
      <c r="H283" s="44"/>
      <c r="I283" s="43"/>
      <c r="J283" s="37"/>
      <c r="K283" s="37"/>
      <c r="L283" s="37"/>
      <c r="M283" s="37"/>
      <c r="N283" s="37"/>
      <c r="O283" s="37"/>
      <c r="P283" s="37"/>
      <c r="Q283" s="37"/>
      <c r="R283" s="37"/>
      <c r="S283" s="37"/>
      <c r="T283" s="37"/>
      <c r="U283" s="37"/>
      <c r="V283" s="37"/>
      <c r="W283" s="37"/>
      <c r="X283" s="37"/>
      <c r="Y283" s="37"/>
      <c r="Z283" s="37"/>
      <c r="AA283" s="37"/>
      <c r="AB283" s="37"/>
      <c r="AC283" s="37"/>
      <c r="AD283" s="37"/>
      <c r="AE283" s="37"/>
      <c r="AF283" s="37"/>
      <c r="AG283" s="37"/>
      <c r="AH283" s="37"/>
      <c r="AI283" s="37"/>
      <c r="AJ283" s="37"/>
      <c r="AK283" s="37"/>
    </row>
    <row r="284" spans="1:37" ht="14.25">
      <c r="A284" s="43"/>
      <c r="B284" s="37"/>
      <c r="C284" s="37"/>
      <c r="D284" s="37"/>
      <c r="E284" s="37"/>
      <c r="F284" s="43"/>
      <c r="G284" s="43"/>
      <c r="H284" s="44"/>
      <c r="I284" s="43"/>
      <c r="J284" s="37"/>
      <c r="K284" s="37"/>
      <c r="L284" s="37"/>
      <c r="M284" s="37"/>
      <c r="N284" s="37"/>
      <c r="O284" s="37"/>
      <c r="P284" s="37"/>
      <c r="Q284" s="37"/>
      <c r="R284" s="37"/>
      <c r="S284" s="37"/>
      <c r="T284" s="37"/>
      <c r="U284" s="37"/>
      <c r="V284" s="37"/>
      <c r="W284" s="37"/>
      <c r="X284" s="37"/>
      <c r="Y284" s="37"/>
      <c r="Z284" s="37"/>
      <c r="AA284" s="37"/>
      <c r="AB284" s="37"/>
      <c r="AC284" s="37"/>
      <c r="AD284" s="37"/>
      <c r="AE284" s="37"/>
      <c r="AF284" s="37"/>
      <c r="AG284" s="37"/>
      <c r="AH284" s="37"/>
      <c r="AI284" s="37"/>
      <c r="AJ284" s="37"/>
      <c r="AK284" s="37"/>
    </row>
    <row r="285" spans="1:37" ht="14.25">
      <c r="A285" s="43"/>
      <c r="B285" s="37"/>
      <c r="C285" s="37"/>
      <c r="D285" s="37"/>
      <c r="E285" s="37"/>
      <c r="F285" s="43"/>
      <c r="G285" s="43"/>
      <c r="H285" s="44"/>
      <c r="I285" s="43"/>
      <c r="J285" s="37"/>
      <c r="K285" s="37"/>
      <c r="L285" s="37"/>
      <c r="M285" s="37"/>
      <c r="N285" s="37"/>
      <c r="O285" s="37"/>
      <c r="P285" s="37"/>
      <c r="Q285" s="37"/>
      <c r="R285" s="37"/>
      <c r="S285" s="37"/>
      <c r="T285" s="37"/>
      <c r="U285" s="37"/>
      <c r="V285" s="37"/>
      <c r="W285" s="37"/>
      <c r="X285" s="37"/>
      <c r="Y285" s="37"/>
      <c r="Z285" s="37"/>
      <c r="AA285" s="37"/>
      <c r="AB285" s="37"/>
      <c r="AC285" s="37"/>
      <c r="AD285" s="37"/>
      <c r="AE285" s="37"/>
      <c r="AF285" s="37"/>
      <c r="AG285" s="37"/>
      <c r="AH285" s="37"/>
      <c r="AI285" s="37"/>
      <c r="AJ285" s="37"/>
      <c r="AK285" s="37"/>
    </row>
    <row r="286" spans="1:37" ht="14.25">
      <c r="A286" s="43"/>
      <c r="B286" s="37"/>
      <c r="C286" s="37"/>
      <c r="D286" s="37"/>
      <c r="E286" s="37"/>
      <c r="F286" s="43"/>
      <c r="G286" s="43"/>
      <c r="H286" s="44"/>
      <c r="I286" s="43"/>
      <c r="J286" s="37"/>
      <c r="K286" s="37"/>
      <c r="L286" s="37"/>
      <c r="M286" s="37"/>
      <c r="N286" s="37"/>
      <c r="O286" s="37"/>
      <c r="P286" s="37"/>
      <c r="Q286" s="37"/>
      <c r="R286" s="37"/>
      <c r="S286" s="37"/>
      <c r="T286" s="37"/>
      <c r="U286" s="37"/>
      <c r="V286" s="37"/>
      <c r="W286" s="37"/>
      <c r="X286" s="37"/>
      <c r="Y286" s="37"/>
      <c r="Z286" s="37"/>
      <c r="AA286" s="37"/>
      <c r="AB286" s="37"/>
      <c r="AC286" s="37"/>
      <c r="AD286" s="37"/>
      <c r="AE286" s="37"/>
      <c r="AF286" s="37"/>
      <c r="AG286" s="37"/>
      <c r="AH286" s="37"/>
      <c r="AI286" s="37"/>
      <c r="AJ286" s="37"/>
      <c r="AK286" s="37"/>
    </row>
    <row r="287" spans="1:37" ht="14.25">
      <c r="A287" s="43"/>
      <c r="B287" s="37"/>
      <c r="C287" s="37"/>
      <c r="D287" s="37"/>
      <c r="E287" s="37"/>
      <c r="F287" s="43"/>
      <c r="G287" s="43"/>
      <c r="H287" s="44"/>
      <c r="I287" s="43"/>
      <c r="J287" s="37"/>
      <c r="K287" s="37"/>
      <c r="L287" s="37"/>
      <c r="M287" s="37"/>
      <c r="N287" s="37"/>
      <c r="O287" s="37"/>
      <c r="P287" s="37"/>
      <c r="Q287" s="37"/>
      <c r="R287" s="37"/>
      <c r="S287" s="37"/>
      <c r="T287" s="37"/>
      <c r="U287" s="37"/>
      <c r="V287" s="37"/>
      <c r="W287" s="37"/>
      <c r="X287" s="37"/>
      <c r="Y287" s="37"/>
      <c r="Z287" s="37"/>
      <c r="AA287" s="37"/>
      <c r="AB287" s="37"/>
      <c r="AC287" s="37"/>
      <c r="AD287" s="37"/>
      <c r="AE287" s="37"/>
      <c r="AF287" s="37"/>
      <c r="AG287" s="37"/>
      <c r="AH287" s="37"/>
      <c r="AI287" s="37"/>
      <c r="AJ287" s="37"/>
      <c r="AK287" s="37"/>
    </row>
    <row r="288" spans="1:37" ht="14.25">
      <c r="A288" s="43"/>
      <c r="B288" s="37"/>
      <c r="C288" s="37"/>
      <c r="D288" s="37"/>
      <c r="E288" s="37"/>
      <c r="F288" s="43"/>
      <c r="G288" s="43"/>
      <c r="H288" s="44"/>
      <c r="I288" s="43"/>
      <c r="J288" s="37"/>
      <c r="K288" s="37"/>
      <c r="L288" s="37"/>
      <c r="M288" s="37"/>
      <c r="N288" s="37"/>
      <c r="O288" s="37"/>
      <c r="P288" s="37"/>
      <c r="Q288" s="37"/>
      <c r="R288" s="37"/>
      <c r="S288" s="37"/>
      <c r="T288" s="37"/>
      <c r="U288" s="37"/>
      <c r="V288" s="37"/>
      <c r="W288" s="37"/>
      <c r="X288" s="37"/>
      <c r="Y288" s="37"/>
      <c r="Z288" s="37"/>
      <c r="AA288" s="37"/>
      <c r="AB288" s="37"/>
      <c r="AC288" s="37"/>
      <c r="AD288" s="37"/>
      <c r="AE288" s="37"/>
      <c r="AF288" s="37"/>
      <c r="AG288" s="37"/>
      <c r="AH288" s="37"/>
      <c r="AI288" s="37"/>
      <c r="AJ288" s="37"/>
      <c r="AK288" s="37"/>
    </row>
    <row r="289" spans="1:37" ht="14.25">
      <c r="A289" s="43"/>
      <c r="B289" s="37"/>
      <c r="C289" s="37"/>
      <c r="D289" s="37"/>
      <c r="E289" s="37"/>
      <c r="F289" s="43"/>
      <c r="G289" s="43"/>
      <c r="H289" s="44"/>
      <c r="I289" s="43"/>
      <c r="J289" s="37"/>
      <c r="K289" s="37"/>
      <c r="L289" s="37"/>
      <c r="M289" s="37"/>
      <c r="N289" s="37"/>
      <c r="O289" s="37"/>
      <c r="P289" s="37"/>
      <c r="Q289" s="37"/>
      <c r="R289" s="37"/>
      <c r="S289" s="37"/>
      <c r="T289" s="37"/>
      <c r="U289" s="37"/>
      <c r="V289" s="37"/>
      <c r="W289" s="37"/>
      <c r="X289" s="37"/>
      <c r="Y289" s="37"/>
      <c r="Z289" s="37"/>
      <c r="AA289" s="37"/>
      <c r="AB289" s="37"/>
      <c r="AC289" s="37"/>
      <c r="AD289" s="37"/>
      <c r="AE289" s="37"/>
      <c r="AF289" s="37"/>
      <c r="AG289" s="37"/>
      <c r="AH289" s="37"/>
      <c r="AI289" s="37"/>
      <c r="AJ289" s="37"/>
      <c r="AK289" s="37"/>
    </row>
    <row r="290" spans="1:37" ht="14.25">
      <c r="A290" s="43"/>
      <c r="B290" s="37"/>
      <c r="C290" s="37"/>
      <c r="D290" s="37"/>
      <c r="E290" s="37"/>
      <c r="F290" s="43"/>
      <c r="G290" s="43"/>
      <c r="H290" s="44"/>
      <c r="I290" s="43"/>
      <c r="J290" s="37"/>
      <c r="K290" s="37"/>
      <c r="L290" s="37"/>
      <c r="M290" s="37"/>
      <c r="N290" s="37"/>
      <c r="O290" s="37"/>
      <c r="P290" s="37"/>
      <c r="Q290" s="37"/>
      <c r="R290" s="37"/>
      <c r="S290" s="37"/>
      <c r="T290" s="37"/>
      <c r="U290" s="37"/>
      <c r="V290" s="37"/>
      <c r="W290" s="37"/>
      <c r="X290" s="37"/>
      <c r="Y290" s="37"/>
      <c r="Z290" s="37"/>
      <c r="AA290" s="37"/>
      <c r="AB290" s="37"/>
      <c r="AC290" s="37"/>
      <c r="AD290" s="37"/>
      <c r="AE290" s="37"/>
      <c r="AF290" s="37"/>
      <c r="AG290" s="37"/>
      <c r="AH290" s="37"/>
      <c r="AI290" s="37"/>
      <c r="AJ290" s="37"/>
      <c r="AK290" s="37"/>
    </row>
    <row r="291" spans="1:37" ht="14.25">
      <c r="A291" s="43"/>
      <c r="B291" s="37"/>
      <c r="C291" s="37"/>
      <c r="D291" s="37"/>
      <c r="E291" s="37"/>
      <c r="F291" s="43"/>
      <c r="G291" s="43"/>
      <c r="H291" s="44"/>
      <c r="I291" s="43"/>
      <c r="J291" s="37"/>
      <c r="K291" s="37"/>
      <c r="L291" s="37"/>
      <c r="M291" s="37"/>
      <c r="N291" s="37"/>
      <c r="O291" s="37"/>
      <c r="P291" s="37"/>
      <c r="Q291" s="37"/>
      <c r="R291" s="37"/>
      <c r="S291" s="37"/>
      <c r="T291" s="37"/>
      <c r="U291" s="37"/>
      <c r="V291" s="37"/>
      <c r="W291" s="37"/>
      <c r="X291" s="37"/>
      <c r="Y291" s="37"/>
      <c r="Z291" s="37"/>
      <c r="AA291" s="37"/>
      <c r="AB291" s="37"/>
      <c r="AC291" s="37"/>
      <c r="AD291" s="37"/>
      <c r="AE291" s="37"/>
      <c r="AF291" s="37"/>
      <c r="AG291" s="37"/>
      <c r="AH291" s="37"/>
      <c r="AI291" s="37"/>
      <c r="AJ291" s="37"/>
      <c r="AK291" s="37"/>
    </row>
    <row r="292" spans="1:37" ht="14.25">
      <c r="A292" s="43"/>
      <c r="B292" s="37"/>
      <c r="C292" s="37"/>
      <c r="D292" s="37"/>
      <c r="E292" s="37"/>
      <c r="F292" s="43"/>
      <c r="G292" s="43"/>
      <c r="H292" s="44"/>
      <c r="I292" s="43"/>
      <c r="J292" s="37"/>
      <c r="K292" s="37"/>
      <c r="L292" s="37"/>
      <c r="M292" s="37"/>
      <c r="N292" s="37"/>
      <c r="O292" s="37"/>
      <c r="P292" s="37"/>
      <c r="Q292" s="37"/>
      <c r="R292" s="37"/>
      <c r="S292" s="37"/>
      <c r="T292" s="37"/>
      <c r="U292" s="37"/>
      <c r="V292" s="37"/>
      <c r="W292" s="37"/>
      <c r="X292" s="37"/>
      <c r="Y292" s="37"/>
      <c r="Z292" s="37"/>
      <c r="AA292" s="37"/>
      <c r="AB292" s="37"/>
      <c r="AC292" s="37"/>
      <c r="AD292" s="37"/>
      <c r="AE292" s="37"/>
      <c r="AF292" s="37"/>
      <c r="AG292" s="37"/>
      <c r="AH292" s="37"/>
      <c r="AI292" s="37"/>
      <c r="AJ292" s="37"/>
      <c r="AK292" s="37"/>
    </row>
    <row r="293" spans="1:37" ht="14.25">
      <c r="A293" s="43"/>
      <c r="B293" s="37"/>
      <c r="C293" s="37"/>
      <c r="D293" s="37"/>
      <c r="E293" s="37"/>
      <c r="F293" s="43"/>
      <c r="G293" s="43"/>
      <c r="H293" s="44"/>
      <c r="I293" s="43"/>
      <c r="J293" s="37"/>
      <c r="K293" s="37"/>
      <c r="L293" s="37"/>
      <c r="M293" s="37"/>
      <c r="N293" s="37"/>
      <c r="O293" s="37"/>
      <c r="P293" s="37"/>
      <c r="Q293" s="37"/>
      <c r="R293" s="37"/>
      <c r="S293" s="37"/>
      <c r="T293" s="37"/>
      <c r="U293" s="37"/>
      <c r="V293" s="37"/>
      <c r="W293" s="37"/>
      <c r="X293" s="37"/>
      <c r="Y293" s="37"/>
      <c r="Z293" s="37"/>
      <c r="AA293" s="37"/>
      <c r="AB293" s="37"/>
      <c r="AC293" s="37"/>
      <c r="AD293" s="37"/>
      <c r="AE293" s="37"/>
      <c r="AF293" s="37"/>
      <c r="AG293" s="37"/>
      <c r="AH293" s="37"/>
      <c r="AI293" s="37"/>
      <c r="AJ293" s="37"/>
      <c r="AK293" s="37"/>
    </row>
    <row r="294" spans="1:37" ht="14.25">
      <c r="A294" s="43"/>
      <c r="B294" s="37"/>
      <c r="C294" s="37"/>
      <c r="D294" s="37"/>
      <c r="E294" s="37"/>
      <c r="F294" s="43"/>
      <c r="G294" s="43"/>
      <c r="H294" s="44"/>
      <c r="I294" s="43"/>
      <c r="J294" s="37"/>
      <c r="K294" s="37"/>
      <c r="L294" s="37"/>
      <c r="M294" s="37"/>
      <c r="N294" s="37"/>
      <c r="O294" s="37"/>
      <c r="P294" s="37"/>
      <c r="Q294" s="37"/>
      <c r="R294" s="37"/>
      <c r="S294" s="37"/>
      <c r="T294" s="37"/>
      <c r="U294" s="37"/>
      <c r="V294" s="37"/>
      <c r="W294" s="37"/>
      <c r="X294" s="37"/>
      <c r="Y294" s="37"/>
      <c r="Z294" s="37"/>
      <c r="AA294" s="37"/>
      <c r="AB294" s="37"/>
      <c r="AC294" s="37"/>
      <c r="AD294" s="37"/>
      <c r="AE294" s="37"/>
      <c r="AF294" s="37"/>
      <c r="AG294" s="37"/>
      <c r="AH294" s="37"/>
      <c r="AI294" s="37"/>
      <c r="AJ294" s="37"/>
      <c r="AK294" s="37"/>
    </row>
    <row r="295" spans="1:37" ht="14.25">
      <c r="A295" s="43"/>
      <c r="B295" s="37"/>
      <c r="C295" s="37"/>
      <c r="D295" s="37"/>
      <c r="E295" s="37"/>
      <c r="F295" s="43"/>
      <c r="G295" s="43"/>
      <c r="H295" s="44"/>
      <c r="I295" s="43"/>
      <c r="J295" s="37"/>
      <c r="K295" s="37"/>
      <c r="L295" s="37"/>
      <c r="M295" s="37"/>
      <c r="N295" s="37"/>
      <c r="O295" s="37"/>
      <c r="P295" s="37"/>
      <c r="Q295" s="37"/>
      <c r="R295" s="37"/>
      <c r="S295" s="37"/>
      <c r="T295" s="37"/>
      <c r="U295" s="37"/>
      <c r="V295" s="37"/>
      <c r="W295" s="37"/>
      <c r="X295" s="37"/>
      <c r="Y295" s="37"/>
      <c r="Z295" s="37"/>
      <c r="AA295" s="37"/>
      <c r="AB295" s="37"/>
      <c r="AC295" s="37"/>
      <c r="AD295" s="37"/>
      <c r="AE295" s="37"/>
      <c r="AF295" s="37"/>
      <c r="AG295" s="37"/>
      <c r="AH295" s="37"/>
      <c r="AI295" s="37"/>
      <c r="AJ295" s="37"/>
      <c r="AK295" s="37"/>
    </row>
    <row r="296" spans="1:37" ht="14.25">
      <c r="A296" s="43"/>
      <c r="B296" s="37"/>
      <c r="C296" s="37"/>
      <c r="D296" s="37"/>
      <c r="E296" s="37"/>
      <c r="F296" s="43"/>
      <c r="G296" s="43"/>
      <c r="H296" s="44"/>
      <c r="I296" s="43"/>
      <c r="J296" s="37"/>
      <c r="K296" s="37"/>
      <c r="L296" s="37"/>
      <c r="M296" s="37"/>
      <c r="N296" s="37"/>
      <c r="O296" s="37"/>
      <c r="P296" s="37"/>
      <c r="Q296" s="37"/>
      <c r="R296" s="37"/>
      <c r="S296" s="37"/>
      <c r="T296" s="37"/>
      <c r="U296" s="37"/>
      <c r="V296" s="37"/>
      <c r="W296" s="37"/>
      <c r="X296" s="37"/>
      <c r="Y296" s="37"/>
      <c r="Z296" s="37"/>
      <c r="AA296" s="37"/>
      <c r="AB296" s="37"/>
      <c r="AC296" s="37"/>
      <c r="AD296" s="37"/>
      <c r="AE296" s="37"/>
      <c r="AF296" s="37"/>
      <c r="AG296" s="37"/>
      <c r="AH296" s="37"/>
      <c r="AI296" s="37"/>
      <c r="AJ296" s="37"/>
      <c r="AK296" s="37"/>
    </row>
    <row r="297" spans="1:37" ht="14.25">
      <c r="A297" s="43"/>
      <c r="B297" s="37"/>
      <c r="C297" s="37"/>
      <c r="D297" s="37"/>
      <c r="E297" s="37"/>
      <c r="F297" s="43"/>
      <c r="G297" s="43"/>
      <c r="H297" s="44"/>
      <c r="I297" s="43"/>
      <c r="J297" s="37"/>
      <c r="K297" s="37"/>
      <c r="L297" s="37"/>
      <c r="M297" s="37"/>
      <c r="N297" s="37"/>
      <c r="O297" s="37"/>
      <c r="P297" s="37"/>
      <c r="Q297" s="37"/>
      <c r="R297" s="37"/>
      <c r="S297" s="37"/>
      <c r="T297" s="37"/>
      <c r="U297" s="37"/>
      <c r="V297" s="37"/>
      <c r="W297" s="37"/>
      <c r="X297" s="37"/>
      <c r="Y297" s="37"/>
      <c r="Z297" s="37"/>
      <c r="AA297" s="37"/>
      <c r="AB297" s="37"/>
      <c r="AC297" s="37"/>
      <c r="AD297" s="37"/>
      <c r="AE297" s="37"/>
      <c r="AF297" s="37"/>
      <c r="AG297" s="37"/>
      <c r="AH297" s="37"/>
      <c r="AI297" s="37"/>
      <c r="AJ297" s="37"/>
      <c r="AK297" s="37"/>
    </row>
    <row r="298" spans="1:37" ht="14.25">
      <c r="A298" s="43"/>
      <c r="B298" s="37"/>
      <c r="C298" s="37"/>
      <c r="D298" s="37"/>
      <c r="E298" s="37"/>
      <c r="F298" s="43"/>
      <c r="G298" s="43"/>
      <c r="H298" s="44"/>
      <c r="I298" s="43"/>
      <c r="J298" s="37"/>
      <c r="K298" s="37"/>
      <c r="L298" s="37"/>
      <c r="M298" s="37"/>
      <c r="N298" s="37"/>
      <c r="O298" s="37"/>
      <c r="P298" s="37"/>
      <c r="Q298" s="37"/>
      <c r="R298" s="37"/>
      <c r="S298" s="37"/>
      <c r="T298" s="37"/>
      <c r="U298" s="37"/>
      <c r="V298" s="37"/>
      <c r="W298" s="37"/>
      <c r="X298" s="37"/>
      <c r="Y298" s="37"/>
      <c r="Z298" s="37"/>
      <c r="AA298" s="37"/>
      <c r="AB298" s="37"/>
      <c r="AC298" s="37"/>
      <c r="AD298" s="37"/>
      <c r="AE298" s="37"/>
      <c r="AF298" s="37"/>
      <c r="AG298" s="37"/>
      <c r="AH298" s="37"/>
      <c r="AI298" s="37"/>
      <c r="AJ298" s="37"/>
      <c r="AK298" s="37"/>
    </row>
    <row r="299" spans="1:37" ht="14.25">
      <c r="A299" s="43"/>
      <c r="B299" s="37"/>
      <c r="C299" s="37"/>
      <c r="D299" s="37"/>
      <c r="E299" s="37"/>
      <c r="F299" s="43"/>
      <c r="G299" s="43"/>
      <c r="H299" s="44"/>
      <c r="I299" s="43"/>
      <c r="J299" s="37"/>
      <c r="K299" s="37"/>
      <c r="L299" s="37"/>
      <c r="M299" s="37"/>
      <c r="N299" s="37"/>
      <c r="O299" s="37"/>
      <c r="P299" s="37"/>
      <c r="Q299" s="37"/>
      <c r="R299" s="37"/>
      <c r="S299" s="37"/>
      <c r="T299" s="37"/>
      <c r="U299" s="37"/>
      <c r="V299" s="37"/>
      <c r="W299" s="37"/>
      <c r="X299" s="37"/>
      <c r="Y299" s="37"/>
      <c r="Z299" s="37"/>
      <c r="AA299" s="37"/>
      <c r="AB299" s="37"/>
      <c r="AC299" s="37"/>
      <c r="AD299" s="37"/>
      <c r="AE299" s="37"/>
      <c r="AF299" s="37"/>
      <c r="AG299" s="37"/>
      <c r="AH299" s="37"/>
      <c r="AI299" s="37"/>
      <c r="AJ299" s="37"/>
      <c r="AK299" s="37"/>
    </row>
    <row r="300" spans="1:37" ht="14.25">
      <c r="A300" s="43"/>
      <c r="B300" s="37"/>
      <c r="C300" s="37"/>
      <c r="D300" s="37"/>
      <c r="E300" s="37"/>
      <c r="F300" s="43"/>
      <c r="G300" s="43"/>
      <c r="H300" s="44"/>
      <c r="I300" s="43"/>
      <c r="J300" s="37"/>
      <c r="K300" s="37"/>
      <c r="L300" s="37"/>
      <c r="M300" s="37"/>
      <c r="N300" s="37"/>
      <c r="O300" s="37"/>
      <c r="P300" s="37"/>
      <c r="Q300" s="37"/>
      <c r="R300" s="37"/>
      <c r="S300" s="37"/>
      <c r="T300" s="37"/>
      <c r="U300" s="37"/>
      <c r="V300" s="37"/>
      <c r="W300" s="37"/>
      <c r="X300" s="37"/>
      <c r="Y300" s="37"/>
      <c r="Z300" s="37"/>
      <c r="AA300" s="37"/>
      <c r="AB300" s="37"/>
      <c r="AC300" s="37"/>
      <c r="AD300" s="37"/>
      <c r="AE300" s="37"/>
      <c r="AF300" s="37"/>
      <c r="AG300" s="37"/>
      <c r="AH300" s="37"/>
      <c r="AI300" s="37"/>
      <c r="AJ300" s="37"/>
      <c r="AK300" s="37"/>
    </row>
    <row r="301" spans="1:37" ht="14.25">
      <c r="A301" s="43"/>
      <c r="B301" s="37"/>
      <c r="C301" s="37"/>
      <c r="D301" s="37"/>
      <c r="E301" s="37"/>
      <c r="F301" s="43"/>
      <c r="G301" s="43"/>
      <c r="H301" s="44"/>
      <c r="I301" s="43"/>
      <c r="J301" s="37"/>
      <c r="K301" s="37"/>
      <c r="L301" s="37"/>
      <c r="M301" s="37"/>
      <c r="N301" s="37"/>
      <c r="O301" s="37"/>
      <c r="P301" s="37"/>
      <c r="Q301" s="37"/>
      <c r="R301" s="37"/>
      <c r="S301" s="37"/>
      <c r="T301" s="37"/>
      <c r="U301" s="37"/>
      <c r="V301" s="37"/>
      <c r="W301" s="37"/>
      <c r="X301" s="37"/>
      <c r="Y301" s="37"/>
      <c r="Z301" s="37"/>
      <c r="AA301" s="37"/>
      <c r="AB301" s="37"/>
      <c r="AC301" s="37"/>
      <c r="AD301" s="37"/>
      <c r="AE301" s="37"/>
      <c r="AF301" s="37"/>
      <c r="AG301" s="37"/>
      <c r="AH301" s="37"/>
      <c r="AI301" s="37"/>
      <c r="AJ301" s="37"/>
      <c r="AK301" s="37"/>
    </row>
    <row r="302" spans="1:37" ht="14.25">
      <c r="A302" s="43"/>
      <c r="B302" s="37"/>
      <c r="C302" s="37"/>
      <c r="D302" s="37"/>
      <c r="E302" s="37"/>
      <c r="F302" s="43"/>
      <c r="G302" s="43"/>
      <c r="H302" s="44"/>
      <c r="I302" s="43"/>
      <c r="J302" s="37"/>
      <c r="K302" s="37"/>
      <c r="L302" s="37"/>
      <c r="M302" s="37"/>
      <c r="N302" s="37"/>
      <c r="O302" s="37"/>
      <c r="P302" s="37"/>
      <c r="Q302" s="37"/>
      <c r="R302" s="37"/>
      <c r="S302" s="37"/>
      <c r="T302" s="37"/>
      <c r="U302" s="37"/>
      <c r="V302" s="37"/>
      <c r="W302" s="37"/>
      <c r="X302" s="37"/>
      <c r="Y302" s="37"/>
      <c r="Z302" s="37"/>
      <c r="AA302" s="37"/>
      <c r="AB302" s="37"/>
      <c r="AC302" s="37"/>
      <c r="AD302" s="37"/>
      <c r="AE302" s="37"/>
      <c r="AF302" s="37"/>
      <c r="AG302" s="37"/>
      <c r="AH302" s="37"/>
      <c r="AI302" s="37"/>
      <c r="AJ302" s="37"/>
      <c r="AK302" s="37"/>
    </row>
    <row r="303" spans="1:37" ht="14.25">
      <c r="A303" s="43"/>
      <c r="B303" s="37"/>
      <c r="C303" s="37"/>
      <c r="D303" s="37"/>
      <c r="E303" s="37"/>
      <c r="F303" s="43"/>
      <c r="G303" s="43"/>
      <c r="H303" s="44"/>
      <c r="I303" s="43"/>
      <c r="J303" s="37"/>
      <c r="K303" s="37"/>
      <c r="L303" s="37"/>
      <c r="M303" s="37"/>
      <c r="N303" s="37"/>
      <c r="O303" s="37"/>
      <c r="P303" s="37"/>
      <c r="Q303" s="37"/>
      <c r="R303" s="37"/>
      <c r="S303" s="37"/>
      <c r="T303" s="37"/>
      <c r="U303" s="37"/>
      <c r="V303" s="37"/>
      <c r="W303" s="37"/>
      <c r="X303" s="37"/>
      <c r="Y303" s="37"/>
      <c r="Z303" s="37"/>
      <c r="AA303" s="37"/>
      <c r="AB303" s="37"/>
      <c r="AC303" s="37"/>
      <c r="AD303" s="37"/>
      <c r="AE303" s="37"/>
      <c r="AF303" s="37"/>
      <c r="AG303" s="37"/>
      <c r="AH303" s="37"/>
      <c r="AI303" s="37"/>
      <c r="AJ303" s="37"/>
      <c r="AK303" s="37"/>
    </row>
    <row r="304" spans="1:37" ht="14.25">
      <c r="A304" s="43"/>
      <c r="B304" s="37"/>
      <c r="C304" s="37"/>
      <c r="D304" s="37"/>
      <c r="E304" s="37"/>
      <c r="F304" s="43"/>
      <c r="G304" s="43"/>
      <c r="H304" s="44"/>
      <c r="I304" s="43"/>
      <c r="J304" s="37"/>
      <c r="K304" s="37"/>
      <c r="L304" s="37"/>
      <c r="M304" s="37"/>
      <c r="N304" s="37"/>
      <c r="O304" s="37"/>
      <c r="P304" s="37"/>
      <c r="Q304" s="37"/>
      <c r="R304" s="37"/>
      <c r="S304" s="37"/>
      <c r="T304" s="37"/>
      <c r="U304" s="37"/>
      <c r="V304" s="37"/>
      <c r="W304" s="37"/>
      <c r="X304" s="37"/>
      <c r="Y304" s="37"/>
      <c r="Z304" s="37"/>
      <c r="AA304" s="37"/>
      <c r="AB304" s="37"/>
      <c r="AC304" s="37"/>
      <c r="AD304" s="37"/>
      <c r="AE304" s="37"/>
      <c r="AF304" s="37"/>
      <c r="AG304" s="37"/>
      <c r="AH304" s="37"/>
      <c r="AI304" s="37"/>
      <c r="AJ304" s="37"/>
      <c r="AK304" s="37"/>
    </row>
    <row r="305" spans="1:37" ht="14.25">
      <c r="A305" s="43"/>
      <c r="B305" s="37"/>
      <c r="C305" s="37"/>
      <c r="D305" s="37"/>
      <c r="E305" s="37"/>
      <c r="F305" s="43"/>
      <c r="G305" s="43"/>
      <c r="H305" s="44"/>
      <c r="I305" s="43"/>
      <c r="J305" s="37"/>
      <c r="K305" s="37"/>
      <c r="L305" s="37"/>
      <c r="M305" s="37"/>
      <c r="N305" s="37"/>
      <c r="O305" s="37"/>
      <c r="P305" s="37"/>
      <c r="Q305" s="37"/>
      <c r="R305" s="37"/>
      <c r="S305" s="37"/>
      <c r="T305" s="37"/>
      <c r="U305" s="37"/>
      <c r="V305" s="37"/>
      <c r="W305" s="37"/>
      <c r="X305" s="37"/>
      <c r="Y305" s="37"/>
      <c r="Z305" s="37"/>
      <c r="AA305" s="37"/>
      <c r="AB305" s="37"/>
      <c r="AC305" s="37"/>
      <c r="AD305" s="37"/>
      <c r="AE305" s="37"/>
      <c r="AF305" s="37"/>
      <c r="AG305" s="37"/>
      <c r="AH305" s="37"/>
      <c r="AI305" s="37"/>
      <c r="AJ305" s="37"/>
      <c r="AK305" s="37"/>
    </row>
    <row r="306" spans="1:37" ht="14.25">
      <c r="A306" s="43"/>
      <c r="B306" s="37"/>
      <c r="C306" s="37"/>
      <c r="D306" s="37"/>
      <c r="E306" s="37"/>
      <c r="F306" s="43"/>
      <c r="G306" s="43"/>
      <c r="H306" s="44"/>
      <c r="I306" s="43"/>
      <c r="J306" s="37"/>
      <c r="K306" s="37"/>
      <c r="L306" s="37"/>
      <c r="M306" s="37"/>
      <c r="N306" s="37"/>
      <c r="O306" s="37"/>
      <c r="P306" s="37"/>
      <c r="Q306" s="37"/>
      <c r="R306" s="37"/>
      <c r="S306" s="37"/>
      <c r="T306" s="37"/>
      <c r="U306" s="37"/>
      <c r="V306" s="37"/>
      <c r="W306" s="37"/>
      <c r="X306" s="37"/>
      <c r="Y306" s="37"/>
      <c r="Z306" s="37"/>
      <c r="AA306" s="37"/>
      <c r="AB306" s="37"/>
      <c r="AC306" s="37"/>
      <c r="AD306" s="37"/>
      <c r="AE306" s="37"/>
      <c r="AF306" s="37"/>
      <c r="AG306" s="37"/>
      <c r="AH306" s="37"/>
      <c r="AI306" s="37"/>
      <c r="AJ306" s="37"/>
      <c r="AK306" s="37"/>
    </row>
    <row r="307" spans="1:37" ht="14.25">
      <c r="A307" s="43"/>
      <c r="B307" s="37"/>
      <c r="C307" s="37"/>
      <c r="D307" s="37"/>
      <c r="E307" s="37"/>
      <c r="F307" s="43"/>
      <c r="G307" s="43"/>
      <c r="H307" s="44"/>
      <c r="I307" s="43"/>
      <c r="J307" s="37"/>
      <c r="K307" s="37"/>
      <c r="L307" s="37"/>
      <c r="M307" s="37"/>
      <c r="N307" s="37"/>
      <c r="O307" s="37"/>
      <c r="P307" s="37"/>
      <c r="Q307" s="37"/>
      <c r="R307" s="37"/>
      <c r="S307" s="37"/>
      <c r="T307" s="37"/>
      <c r="U307" s="37"/>
      <c r="V307" s="37"/>
      <c r="W307" s="37"/>
      <c r="X307" s="37"/>
      <c r="Y307" s="37"/>
      <c r="Z307" s="37"/>
      <c r="AA307" s="37"/>
      <c r="AB307" s="37"/>
      <c r="AC307" s="37"/>
      <c r="AD307" s="37"/>
      <c r="AE307" s="37"/>
      <c r="AF307" s="37"/>
      <c r="AG307" s="37"/>
      <c r="AH307" s="37"/>
      <c r="AI307" s="37"/>
      <c r="AJ307" s="37"/>
      <c r="AK307" s="37"/>
    </row>
    <row r="308" spans="1:37" ht="14.25">
      <c r="A308" s="43"/>
      <c r="B308" s="37"/>
      <c r="C308" s="37"/>
      <c r="D308" s="37"/>
      <c r="E308" s="37"/>
      <c r="F308" s="43"/>
      <c r="G308" s="43"/>
      <c r="H308" s="44"/>
      <c r="I308" s="43"/>
      <c r="J308" s="37"/>
      <c r="K308" s="37"/>
      <c r="L308" s="37"/>
      <c r="M308" s="37"/>
      <c r="N308" s="37"/>
      <c r="O308" s="37"/>
      <c r="P308" s="37"/>
      <c r="Q308" s="37"/>
      <c r="R308" s="37"/>
      <c r="S308" s="37"/>
      <c r="T308" s="37"/>
      <c r="U308" s="37"/>
      <c r="V308" s="37"/>
      <c r="W308" s="37"/>
      <c r="X308" s="37"/>
      <c r="Y308" s="37"/>
      <c r="Z308" s="37"/>
      <c r="AA308" s="37"/>
      <c r="AB308" s="37"/>
      <c r="AC308" s="37"/>
      <c r="AD308" s="37"/>
      <c r="AE308" s="37"/>
      <c r="AF308" s="37"/>
      <c r="AG308" s="37"/>
      <c r="AH308" s="37"/>
      <c r="AI308" s="37"/>
      <c r="AJ308" s="37"/>
      <c r="AK308" s="37"/>
    </row>
    <row r="309" spans="1:37" ht="14.25">
      <c r="A309" s="43"/>
      <c r="B309" s="37"/>
      <c r="C309" s="37"/>
      <c r="D309" s="37"/>
      <c r="E309" s="37"/>
      <c r="F309" s="43"/>
      <c r="G309" s="43"/>
      <c r="H309" s="44"/>
      <c r="I309" s="43"/>
      <c r="J309" s="37"/>
      <c r="K309" s="37"/>
      <c r="L309" s="37"/>
      <c r="M309" s="37"/>
      <c r="N309" s="37"/>
      <c r="O309" s="37"/>
      <c r="P309" s="37"/>
      <c r="Q309" s="37"/>
      <c r="R309" s="37"/>
      <c r="S309" s="37"/>
      <c r="T309" s="37"/>
      <c r="U309" s="37"/>
      <c r="V309" s="37"/>
      <c r="W309" s="37"/>
      <c r="X309" s="37"/>
      <c r="Y309" s="37"/>
      <c r="Z309" s="37"/>
      <c r="AA309" s="37"/>
      <c r="AB309" s="37"/>
      <c r="AC309" s="37"/>
      <c r="AD309" s="37"/>
      <c r="AE309" s="37"/>
      <c r="AF309" s="37"/>
      <c r="AG309" s="37"/>
      <c r="AH309" s="37"/>
      <c r="AI309" s="37"/>
      <c r="AJ309" s="37"/>
      <c r="AK309" s="37"/>
    </row>
    <row r="310" spans="1:37" ht="14.25">
      <c r="A310" s="43"/>
      <c r="B310" s="37"/>
      <c r="C310" s="37"/>
      <c r="D310" s="37"/>
      <c r="E310" s="37"/>
      <c r="F310" s="43"/>
      <c r="G310" s="43"/>
      <c r="H310" s="44"/>
      <c r="I310" s="43"/>
      <c r="J310" s="37"/>
      <c r="K310" s="37"/>
      <c r="L310" s="37"/>
      <c r="M310" s="37"/>
      <c r="N310" s="37"/>
      <c r="O310" s="37"/>
      <c r="P310" s="37"/>
      <c r="Q310" s="37"/>
      <c r="R310" s="37"/>
      <c r="S310" s="37"/>
      <c r="T310" s="37"/>
      <c r="U310" s="37"/>
      <c r="V310" s="37"/>
      <c r="W310" s="37"/>
      <c r="X310" s="37"/>
      <c r="Y310" s="37"/>
      <c r="Z310" s="37"/>
      <c r="AA310" s="37"/>
      <c r="AB310" s="37"/>
      <c r="AC310" s="37"/>
      <c r="AD310" s="37"/>
      <c r="AE310" s="37"/>
      <c r="AF310" s="37"/>
      <c r="AG310" s="37"/>
      <c r="AH310" s="37"/>
      <c r="AI310" s="37"/>
      <c r="AJ310" s="37"/>
      <c r="AK310" s="37"/>
    </row>
    <row r="311" spans="1:37" ht="14.25">
      <c r="A311" s="43"/>
      <c r="B311" s="37"/>
      <c r="C311" s="37"/>
      <c r="D311" s="37"/>
      <c r="E311" s="37"/>
      <c r="F311" s="43"/>
      <c r="G311" s="43"/>
      <c r="H311" s="44"/>
      <c r="I311" s="43"/>
      <c r="J311" s="37"/>
      <c r="K311" s="37"/>
      <c r="L311" s="37"/>
      <c r="M311" s="37"/>
      <c r="N311" s="37"/>
      <c r="O311" s="37"/>
      <c r="P311" s="37"/>
      <c r="Q311" s="37"/>
      <c r="R311" s="37"/>
      <c r="S311" s="37"/>
      <c r="T311" s="37"/>
      <c r="U311" s="37"/>
      <c r="V311" s="37"/>
      <c r="W311" s="37"/>
      <c r="X311" s="37"/>
      <c r="Y311" s="37"/>
      <c r="Z311" s="37"/>
      <c r="AA311" s="37"/>
      <c r="AB311" s="37"/>
      <c r="AC311" s="37"/>
      <c r="AD311" s="37"/>
      <c r="AE311" s="37"/>
      <c r="AF311" s="37"/>
      <c r="AG311" s="37"/>
      <c r="AH311" s="37"/>
      <c r="AI311" s="37"/>
      <c r="AJ311" s="37"/>
      <c r="AK311" s="37"/>
    </row>
    <row r="312" spans="1:37" ht="14.25">
      <c r="A312" s="43"/>
      <c r="B312" s="37"/>
      <c r="C312" s="37"/>
      <c r="D312" s="37"/>
      <c r="E312" s="37"/>
      <c r="F312" s="43"/>
      <c r="G312" s="43"/>
      <c r="H312" s="44"/>
      <c r="I312" s="43"/>
      <c r="J312" s="37"/>
      <c r="K312" s="37"/>
      <c r="L312" s="37"/>
      <c r="M312" s="37"/>
      <c r="N312" s="37"/>
      <c r="O312" s="37"/>
      <c r="P312" s="37"/>
      <c r="Q312" s="37"/>
      <c r="R312" s="37"/>
      <c r="S312" s="37"/>
      <c r="T312" s="37"/>
      <c r="U312" s="37"/>
      <c r="V312" s="37"/>
      <c r="W312" s="37"/>
      <c r="X312" s="37"/>
      <c r="Y312" s="37"/>
      <c r="Z312" s="37"/>
      <c r="AA312" s="37"/>
      <c r="AB312" s="37"/>
      <c r="AC312" s="37"/>
      <c r="AD312" s="37"/>
      <c r="AE312" s="37"/>
      <c r="AF312" s="37"/>
      <c r="AG312" s="37"/>
      <c r="AH312" s="37"/>
      <c r="AI312" s="37"/>
      <c r="AJ312" s="37"/>
      <c r="AK312" s="37"/>
    </row>
    <row r="313" spans="1:37" ht="14.25">
      <c r="A313" s="43"/>
      <c r="B313" s="37"/>
      <c r="C313" s="37"/>
      <c r="D313" s="37"/>
      <c r="E313" s="37"/>
      <c r="F313" s="43"/>
      <c r="G313" s="43"/>
      <c r="H313" s="44"/>
      <c r="I313" s="43"/>
      <c r="J313" s="37"/>
      <c r="K313" s="37"/>
      <c r="L313" s="37"/>
      <c r="M313" s="37"/>
      <c r="N313" s="37"/>
      <c r="O313" s="37"/>
      <c r="P313" s="37"/>
      <c r="Q313" s="37"/>
      <c r="R313" s="37"/>
      <c r="S313" s="37"/>
      <c r="T313" s="37"/>
      <c r="U313" s="37"/>
      <c r="V313" s="37"/>
      <c r="W313" s="37"/>
      <c r="X313" s="37"/>
      <c r="Y313" s="37"/>
      <c r="Z313" s="37"/>
      <c r="AA313" s="37"/>
      <c r="AB313" s="37"/>
      <c r="AC313" s="37"/>
      <c r="AD313" s="37"/>
      <c r="AE313" s="37"/>
      <c r="AF313" s="37"/>
      <c r="AG313" s="37"/>
      <c r="AH313" s="37"/>
      <c r="AI313" s="37"/>
      <c r="AJ313" s="37"/>
      <c r="AK313" s="37"/>
    </row>
    <row r="314" spans="1:37" ht="14.25">
      <c r="A314" s="43"/>
      <c r="B314" s="37"/>
      <c r="C314" s="37"/>
      <c r="D314" s="37"/>
      <c r="E314" s="37"/>
      <c r="F314" s="43"/>
      <c r="G314" s="43"/>
      <c r="H314" s="44"/>
      <c r="I314" s="43"/>
      <c r="J314" s="37"/>
      <c r="K314" s="37"/>
      <c r="L314" s="37"/>
      <c r="M314" s="37"/>
      <c r="N314" s="37"/>
      <c r="O314" s="37"/>
      <c r="P314" s="37"/>
      <c r="Q314" s="37"/>
      <c r="R314" s="37"/>
      <c r="S314" s="37"/>
      <c r="T314" s="37"/>
      <c r="U314" s="37"/>
      <c r="V314" s="37"/>
      <c r="W314" s="37"/>
      <c r="X314" s="37"/>
      <c r="Y314" s="37"/>
      <c r="Z314" s="37"/>
      <c r="AA314" s="37"/>
      <c r="AB314" s="37"/>
      <c r="AC314" s="37"/>
      <c r="AD314" s="37"/>
      <c r="AE314" s="37"/>
      <c r="AF314" s="37"/>
      <c r="AG314" s="37"/>
      <c r="AH314" s="37"/>
      <c r="AI314" s="37"/>
      <c r="AJ314" s="37"/>
      <c r="AK314" s="37"/>
    </row>
    <row r="315" spans="1:37" ht="14.25">
      <c r="A315" s="43"/>
      <c r="B315" s="37"/>
      <c r="C315" s="37"/>
      <c r="D315" s="37"/>
      <c r="E315" s="37"/>
      <c r="F315" s="43"/>
      <c r="G315" s="43"/>
      <c r="H315" s="44"/>
      <c r="I315" s="43"/>
      <c r="J315" s="37"/>
      <c r="K315" s="37"/>
      <c r="L315" s="37"/>
      <c r="M315" s="37"/>
      <c r="N315" s="37"/>
      <c r="O315" s="37"/>
      <c r="P315" s="37"/>
      <c r="Q315" s="37"/>
      <c r="R315" s="37"/>
      <c r="S315" s="37"/>
      <c r="T315" s="37"/>
      <c r="U315" s="37"/>
      <c r="V315" s="37"/>
      <c r="W315" s="37"/>
      <c r="X315" s="37"/>
      <c r="Y315" s="37"/>
      <c r="Z315" s="37"/>
      <c r="AA315" s="37"/>
      <c r="AB315" s="37"/>
      <c r="AC315" s="37"/>
      <c r="AD315" s="37"/>
      <c r="AE315" s="37"/>
      <c r="AF315" s="37"/>
      <c r="AG315" s="37"/>
      <c r="AH315" s="37"/>
      <c r="AI315" s="37"/>
      <c r="AJ315" s="37"/>
      <c r="AK315" s="37"/>
    </row>
    <row r="316" spans="1:37" ht="14.25">
      <c r="A316" s="43"/>
      <c r="B316" s="37"/>
      <c r="C316" s="37"/>
      <c r="D316" s="37"/>
      <c r="E316" s="37"/>
      <c r="F316" s="43"/>
      <c r="G316" s="43"/>
      <c r="H316" s="44"/>
      <c r="I316" s="43"/>
      <c r="J316" s="37"/>
      <c r="K316" s="37"/>
      <c r="L316" s="37"/>
      <c r="M316" s="37"/>
      <c r="N316" s="37"/>
      <c r="O316" s="37"/>
      <c r="P316" s="37"/>
      <c r="Q316" s="37"/>
      <c r="R316" s="37"/>
      <c r="S316" s="37"/>
      <c r="T316" s="37"/>
      <c r="U316" s="37"/>
      <c r="V316" s="37"/>
      <c r="W316" s="37"/>
      <c r="X316" s="37"/>
      <c r="Y316" s="37"/>
      <c r="Z316" s="37"/>
      <c r="AA316" s="37"/>
      <c r="AB316" s="37"/>
      <c r="AC316" s="37"/>
      <c r="AD316" s="37"/>
      <c r="AE316" s="37"/>
      <c r="AF316" s="37"/>
      <c r="AG316" s="37"/>
      <c r="AH316" s="37"/>
      <c r="AI316" s="37"/>
      <c r="AJ316" s="37"/>
      <c r="AK316" s="37"/>
    </row>
    <row r="317" spans="1:37" ht="14.25">
      <c r="A317" s="43"/>
      <c r="B317" s="37"/>
      <c r="C317" s="37"/>
      <c r="D317" s="37"/>
      <c r="E317" s="37"/>
      <c r="F317" s="43"/>
      <c r="G317" s="43"/>
      <c r="H317" s="44"/>
      <c r="I317" s="43"/>
      <c r="J317" s="37"/>
      <c r="K317" s="37"/>
      <c r="L317" s="37"/>
      <c r="M317" s="37"/>
      <c r="N317" s="37"/>
      <c r="O317" s="37"/>
      <c r="P317" s="37"/>
      <c r="Q317" s="37"/>
      <c r="R317" s="37"/>
      <c r="S317" s="37"/>
      <c r="T317" s="37"/>
      <c r="U317" s="37"/>
      <c r="V317" s="37"/>
      <c r="W317" s="37"/>
      <c r="X317" s="37"/>
      <c r="Y317" s="37"/>
      <c r="Z317" s="37"/>
      <c r="AA317" s="37"/>
      <c r="AB317" s="37"/>
      <c r="AC317" s="37"/>
      <c r="AD317" s="37"/>
      <c r="AE317" s="37"/>
      <c r="AF317" s="37"/>
      <c r="AG317" s="37"/>
      <c r="AH317" s="37"/>
      <c r="AI317" s="37"/>
      <c r="AJ317" s="37"/>
      <c r="AK317" s="37"/>
    </row>
    <row r="318" spans="1:37" ht="14.25">
      <c r="A318" s="43"/>
      <c r="B318" s="37"/>
      <c r="C318" s="37"/>
      <c r="D318" s="37"/>
      <c r="E318" s="37"/>
      <c r="F318" s="43"/>
      <c r="G318" s="43"/>
      <c r="H318" s="44"/>
      <c r="I318" s="43"/>
      <c r="J318" s="37"/>
      <c r="K318" s="37"/>
      <c r="L318" s="37"/>
      <c r="M318" s="37"/>
      <c r="N318" s="37"/>
      <c r="O318" s="37"/>
      <c r="P318" s="37"/>
      <c r="Q318" s="37"/>
      <c r="R318" s="37"/>
      <c r="S318" s="37"/>
      <c r="T318" s="37"/>
      <c r="U318" s="37"/>
      <c r="V318" s="37"/>
      <c r="W318" s="37"/>
      <c r="X318" s="37"/>
      <c r="Y318" s="37"/>
      <c r="Z318" s="37"/>
      <c r="AA318" s="37"/>
      <c r="AB318" s="37"/>
      <c r="AC318" s="37"/>
      <c r="AD318" s="37"/>
      <c r="AE318" s="37"/>
      <c r="AF318" s="37"/>
      <c r="AG318" s="37"/>
      <c r="AH318" s="37"/>
      <c r="AI318" s="37"/>
      <c r="AJ318" s="37"/>
      <c r="AK318" s="37"/>
    </row>
    <row r="319" spans="1:37" ht="14.25">
      <c r="A319" s="43"/>
      <c r="B319" s="37"/>
      <c r="C319" s="37"/>
      <c r="D319" s="37"/>
      <c r="E319" s="37"/>
      <c r="F319" s="43"/>
      <c r="G319" s="43"/>
      <c r="H319" s="44"/>
      <c r="I319" s="43"/>
      <c r="J319" s="37"/>
      <c r="K319" s="37"/>
      <c r="L319" s="37"/>
      <c r="M319" s="37"/>
      <c r="N319" s="37"/>
      <c r="O319" s="37"/>
      <c r="P319" s="37"/>
      <c r="Q319" s="37"/>
      <c r="R319" s="37"/>
      <c r="S319" s="37"/>
      <c r="T319" s="37"/>
      <c r="U319" s="37"/>
      <c r="V319" s="37"/>
      <c r="W319" s="37"/>
      <c r="X319" s="37"/>
      <c r="Y319" s="37"/>
      <c r="Z319" s="37"/>
      <c r="AA319" s="37"/>
      <c r="AB319" s="37"/>
      <c r="AC319" s="37"/>
      <c r="AD319" s="37"/>
      <c r="AE319" s="37"/>
      <c r="AF319" s="37"/>
      <c r="AG319" s="37"/>
      <c r="AH319" s="37"/>
      <c r="AI319" s="37"/>
      <c r="AJ319" s="37"/>
      <c r="AK319" s="37"/>
    </row>
    <row r="320" spans="1:37" ht="14.25">
      <c r="A320" s="43"/>
      <c r="B320" s="37"/>
      <c r="C320" s="37"/>
      <c r="D320" s="37"/>
      <c r="E320" s="37"/>
      <c r="F320" s="43"/>
      <c r="G320" s="43"/>
      <c r="H320" s="44"/>
      <c r="I320" s="43"/>
      <c r="J320" s="37"/>
      <c r="K320" s="37"/>
      <c r="L320" s="37"/>
      <c r="M320" s="37"/>
      <c r="N320" s="37"/>
      <c r="O320" s="37"/>
      <c r="P320" s="37"/>
      <c r="Q320" s="37"/>
      <c r="R320" s="37"/>
      <c r="S320" s="37"/>
      <c r="T320" s="37"/>
      <c r="U320" s="37"/>
      <c r="V320" s="37"/>
      <c r="W320" s="37"/>
      <c r="X320" s="37"/>
      <c r="Y320" s="37"/>
      <c r="Z320" s="37"/>
      <c r="AA320" s="37"/>
      <c r="AB320" s="37"/>
      <c r="AC320" s="37"/>
      <c r="AD320" s="37"/>
      <c r="AE320" s="37"/>
      <c r="AF320" s="37"/>
      <c r="AG320" s="37"/>
      <c r="AH320" s="37"/>
      <c r="AI320" s="37"/>
      <c r="AJ320" s="37"/>
      <c r="AK320" s="37"/>
    </row>
    <row r="321" spans="1:37" ht="14.25">
      <c r="A321" s="43"/>
      <c r="B321" s="37"/>
      <c r="C321" s="37"/>
      <c r="D321" s="37"/>
      <c r="E321" s="37"/>
      <c r="F321" s="43"/>
      <c r="G321" s="43"/>
      <c r="H321" s="44"/>
      <c r="I321" s="43"/>
      <c r="J321" s="37"/>
      <c r="K321" s="37"/>
      <c r="L321" s="37"/>
      <c r="M321" s="37"/>
      <c r="N321" s="37"/>
      <c r="O321" s="37"/>
      <c r="P321" s="37"/>
      <c r="Q321" s="37"/>
      <c r="R321" s="37"/>
      <c r="S321" s="37"/>
      <c r="T321" s="37"/>
      <c r="U321" s="37"/>
      <c r="V321" s="37"/>
      <c r="W321" s="37"/>
      <c r="X321" s="37"/>
      <c r="Y321" s="37"/>
      <c r="Z321" s="37"/>
      <c r="AA321" s="37"/>
      <c r="AB321" s="37"/>
      <c r="AC321" s="37"/>
      <c r="AD321" s="37"/>
      <c r="AE321" s="37"/>
      <c r="AF321" s="37"/>
      <c r="AG321" s="37"/>
      <c r="AH321" s="37"/>
      <c r="AI321" s="37"/>
      <c r="AJ321" s="37"/>
      <c r="AK321" s="37"/>
    </row>
    <row r="322" spans="1:37" ht="14.25">
      <c r="A322" s="43"/>
      <c r="B322" s="37"/>
      <c r="C322" s="37"/>
      <c r="D322" s="37"/>
      <c r="E322" s="37"/>
      <c r="F322" s="43"/>
      <c r="G322" s="43"/>
      <c r="H322" s="44"/>
      <c r="I322" s="43"/>
      <c r="J322" s="37"/>
      <c r="K322" s="37"/>
      <c r="L322" s="37"/>
      <c r="M322" s="37"/>
      <c r="N322" s="37"/>
      <c r="O322" s="37"/>
      <c r="P322" s="37"/>
      <c r="Q322" s="37"/>
      <c r="R322" s="37"/>
      <c r="S322" s="37"/>
      <c r="T322" s="37"/>
      <c r="U322" s="37"/>
      <c r="V322" s="37"/>
      <c r="W322" s="37"/>
      <c r="X322" s="37"/>
      <c r="Y322" s="37"/>
      <c r="Z322" s="37"/>
      <c r="AA322" s="37"/>
      <c r="AB322" s="37"/>
      <c r="AC322" s="37"/>
      <c r="AD322" s="37"/>
      <c r="AE322" s="37"/>
      <c r="AF322" s="37"/>
      <c r="AG322" s="37"/>
      <c r="AH322" s="37"/>
      <c r="AI322" s="37"/>
      <c r="AJ322" s="37"/>
      <c r="AK322" s="37"/>
    </row>
    <row r="323" spans="1:37" ht="14.25">
      <c r="A323" s="43"/>
      <c r="B323" s="37"/>
      <c r="C323" s="37"/>
      <c r="D323" s="37"/>
      <c r="E323" s="37"/>
      <c r="F323" s="43"/>
      <c r="G323" s="43"/>
      <c r="H323" s="44"/>
      <c r="I323" s="43"/>
      <c r="J323" s="37"/>
      <c r="K323" s="37"/>
      <c r="L323" s="37"/>
      <c r="M323" s="37"/>
      <c r="N323" s="37"/>
      <c r="O323" s="37"/>
      <c r="P323" s="37"/>
      <c r="Q323" s="37"/>
      <c r="R323" s="37"/>
      <c r="S323" s="37"/>
      <c r="T323" s="37"/>
      <c r="U323" s="37"/>
      <c r="V323" s="37"/>
      <c r="W323" s="37"/>
      <c r="X323" s="37"/>
      <c r="Y323" s="37"/>
      <c r="Z323" s="37"/>
      <c r="AA323" s="37"/>
      <c r="AB323" s="37"/>
      <c r="AC323" s="37"/>
      <c r="AD323" s="37"/>
      <c r="AE323" s="37"/>
      <c r="AF323" s="37"/>
      <c r="AG323" s="37"/>
      <c r="AH323" s="37"/>
      <c r="AI323" s="37"/>
      <c r="AJ323" s="37"/>
      <c r="AK323" s="37"/>
    </row>
    <row r="324" spans="1:37" ht="14.25">
      <c r="A324" s="43"/>
      <c r="B324" s="37"/>
      <c r="C324" s="37"/>
      <c r="D324" s="37"/>
      <c r="E324" s="37"/>
      <c r="F324" s="43"/>
      <c r="G324" s="43"/>
      <c r="H324" s="44"/>
      <c r="I324" s="43"/>
      <c r="J324" s="37"/>
      <c r="K324" s="37"/>
      <c r="L324" s="37"/>
      <c r="M324" s="37"/>
      <c r="N324" s="37"/>
      <c r="O324" s="37"/>
      <c r="P324" s="37"/>
      <c r="Q324" s="37"/>
      <c r="R324" s="37"/>
      <c r="S324" s="37"/>
      <c r="T324" s="37"/>
      <c r="U324" s="37"/>
      <c r="V324" s="37"/>
      <c r="W324" s="37"/>
      <c r="X324" s="37"/>
      <c r="Y324" s="37"/>
      <c r="Z324" s="37"/>
      <c r="AA324" s="37"/>
      <c r="AB324" s="37"/>
      <c r="AC324" s="37"/>
      <c r="AD324" s="37"/>
      <c r="AE324" s="37"/>
      <c r="AF324" s="37"/>
      <c r="AG324" s="37"/>
      <c r="AH324" s="37"/>
      <c r="AI324" s="37"/>
      <c r="AJ324" s="37"/>
      <c r="AK324" s="37"/>
    </row>
    <row r="325" spans="1:37" ht="14.25">
      <c r="A325" s="43"/>
      <c r="B325" s="37"/>
      <c r="C325" s="37"/>
      <c r="D325" s="37"/>
      <c r="E325" s="37"/>
      <c r="F325" s="43"/>
      <c r="G325" s="43"/>
      <c r="H325" s="44"/>
      <c r="I325" s="43"/>
      <c r="J325" s="37"/>
      <c r="K325" s="37"/>
      <c r="L325" s="37"/>
      <c r="M325" s="37"/>
      <c r="N325" s="37"/>
      <c r="O325" s="37"/>
      <c r="P325" s="37"/>
      <c r="Q325" s="37"/>
      <c r="R325" s="37"/>
      <c r="S325" s="37"/>
      <c r="T325" s="37"/>
      <c r="U325" s="37"/>
      <c r="V325" s="37"/>
      <c r="W325" s="37"/>
      <c r="X325" s="37"/>
      <c r="Y325" s="37"/>
      <c r="Z325" s="37"/>
      <c r="AA325" s="37"/>
      <c r="AB325" s="37"/>
      <c r="AC325" s="37"/>
      <c r="AD325" s="37"/>
      <c r="AE325" s="37"/>
      <c r="AF325" s="37"/>
      <c r="AG325" s="37"/>
      <c r="AH325" s="37"/>
      <c r="AI325" s="37"/>
      <c r="AJ325" s="37"/>
      <c r="AK325" s="37"/>
    </row>
    <row r="326" spans="1:37" ht="14.25">
      <c r="A326" s="43"/>
      <c r="B326" s="37"/>
      <c r="C326" s="37"/>
      <c r="D326" s="37"/>
      <c r="E326" s="37"/>
      <c r="F326" s="43"/>
      <c r="G326" s="43"/>
      <c r="H326" s="44"/>
      <c r="I326" s="43"/>
      <c r="J326" s="37"/>
      <c r="K326" s="37"/>
      <c r="L326" s="37"/>
      <c r="M326" s="37"/>
      <c r="N326" s="37"/>
      <c r="O326" s="37"/>
      <c r="P326" s="37"/>
      <c r="Q326" s="37"/>
      <c r="R326" s="37"/>
      <c r="S326" s="37"/>
      <c r="T326" s="37"/>
      <c r="U326" s="37"/>
      <c r="V326" s="37"/>
      <c r="W326" s="37"/>
      <c r="X326" s="37"/>
      <c r="Y326" s="37"/>
      <c r="Z326" s="37"/>
      <c r="AA326" s="37"/>
      <c r="AB326" s="37"/>
      <c r="AC326" s="37"/>
      <c r="AD326" s="37"/>
      <c r="AE326" s="37"/>
      <c r="AF326" s="37"/>
      <c r="AG326" s="37"/>
      <c r="AH326" s="37"/>
      <c r="AI326" s="37"/>
      <c r="AJ326" s="37"/>
      <c r="AK326" s="37"/>
    </row>
    <row r="327" spans="1:37" ht="14.25">
      <c r="A327" s="43"/>
      <c r="B327" s="37"/>
      <c r="C327" s="37"/>
      <c r="D327" s="37"/>
      <c r="E327" s="37"/>
      <c r="F327" s="43"/>
      <c r="G327" s="43"/>
      <c r="H327" s="44"/>
      <c r="I327" s="43"/>
      <c r="J327" s="37"/>
      <c r="K327" s="37"/>
      <c r="L327" s="37"/>
      <c r="M327" s="37"/>
      <c r="N327" s="37"/>
      <c r="O327" s="37"/>
      <c r="P327" s="37"/>
      <c r="Q327" s="37"/>
      <c r="R327" s="37"/>
      <c r="S327" s="37"/>
      <c r="T327" s="37"/>
      <c r="U327" s="37"/>
      <c r="V327" s="37"/>
      <c r="W327" s="37"/>
      <c r="X327" s="37"/>
      <c r="Y327" s="37"/>
      <c r="Z327" s="37"/>
      <c r="AA327" s="37"/>
      <c r="AB327" s="37"/>
      <c r="AC327" s="37"/>
      <c r="AD327" s="37"/>
      <c r="AE327" s="37"/>
      <c r="AF327" s="37"/>
      <c r="AG327" s="37"/>
      <c r="AH327" s="37"/>
      <c r="AI327" s="37"/>
      <c r="AJ327" s="37"/>
      <c r="AK327" s="37"/>
    </row>
    <row r="328" spans="1:37" ht="14.25">
      <c r="A328" s="43"/>
      <c r="B328" s="37"/>
      <c r="C328" s="37"/>
      <c r="D328" s="37"/>
      <c r="E328" s="37"/>
      <c r="F328" s="43"/>
      <c r="G328" s="43"/>
      <c r="H328" s="44"/>
      <c r="I328" s="43"/>
      <c r="J328" s="37"/>
      <c r="K328" s="37"/>
      <c r="L328" s="37"/>
      <c r="M328" s="37"/>
      <c r="N328" s="37"/>
      <c r="O328" s="37"/>
      <c r="P328" s="37"/>
      <c r="Q328" s="37"/>
      <c r="R328" s="37"/>
      <c r="S328" s="37"/>
      <c r="T328" s="37"/>
      <c r="U328" s="37"/>
      <c r="V328" s="37"/>
      <c r="W328" s="37"/>
      <c r="X328" s="37"/>
      <c r="Y328" s="37"/>
      <c r="Z328" s="37"/>
      <c r="AA328" s="37"/>
      <c r="AB328" s="37"/>
      <c r="AC328" s="37"/>
      <c r="AD328" s="37"/>
      <c r="AE328" s="37"/>
      <c r="AF328" s="37"/>
      <c r="AG328" s="37"/>
      <c r="AH328" s="37"/>
      <c r="AI328" s="37"/>
      <c r="AJ328" s="37"/>
      <c r="AK328" s="37"/>
    </row>
    <row r="329" spans="1:37" ht="14.25">
      <c r="A329" s="43"/>
      <c r="B329" s="37"/>
      <c r="C329" s="37"/>
      <c r="D329" s="37"/>
      <c r="E329" s="37"/>
      <c r="F329" s="43"/>
      <c r="G329" s="43"/>
      <c r="H329" s="44"/>
      <c r="I329" s="43"/>
      <c r="J329" s="37"/>
      <c r="K329" s="37"/>
      <c r="L329" s="37"/>
      <c r="M329" s="37"/>
      <c r="N329" s="37"/>
      <c r="O329" s="37"/>
      <c r="P329" s="37"/>
      <c r="Q329" s="37"/>
      <c r="R329" s="37"/>
      <c r="S329" s="37"/>
      <c r="T329" s="37"/>
      <c r="U329" s="37"/>
      <c r="V329" s="37"/>
      <c r="W329" s="37"/>
      <c r="X329" s="37"/>
      <c r="Y329" s="37"/>
      <c r="Z329" s="37"/>
      <c r="AA329" s="37"/>
      <c r="AB329" s="37"/>
      <c r="AC329" s="37"/>
      <c r="AD329" s="37"/>
      <c r="AE329" s="37"/>
      <c r="AF329" s="37"/>
      <c r="AG329" s="37"/>
      <c r="AH329" s="37"/>
      <c r="AI329" s="37"/>
      <c r="AJ329" s="37"/>
      <c r="AK329" s="37"/>
    </row>
    <row r="330" spans="1:37" ht="14.25">
      <c r="A330" s="43"/>
      <c r="B330" s="37"/>
      <c r="C330" s="37"/>
      <c r="D330" s="37"/>
      <c r="E330" s="37"/>
      <c r="F330" s="43"/>
      <c r="G330" s="43"/>
      <c r="H330" s="44"/>
      <c r="I330" s="43"/>
      <c r="J330" s="37"/>
      <c r="K330" s="37"/>
      <c r="L330" s="37"/>
      <c r="M330" s="37"/>
      <c r="N330" s="37"/>
      <c r="O330" s="37"/>
      <c r="P330" s="37"/>
      <c r="Q330" s="37"/>
      <c r="R330" s="37"/>
      <c r="S330" s="37"/>
      <c r="T330" s="37"/>
      <c r="U330" s="37"/>
      <c r="V330" s="37"/>
      <c r="W330" s="37"/>
      <c r="X330" s="37"/>
      <c r="Y330" s="37"/>
      <c r="Z330" s="37"/>
      <c r="AA330" s="37"/>
      <c r="AB330" s="37"/>
      <c r="AC330" s="37"/>
      <c r="AD330" s="37"/>
      <c r="AE330" s="37"/>
      <c r="AF330" s="37"/>
      <c r="AG330" s="37"/>
      <c r="AH330" s="37"/>
      <c r="AI330" s="37"/>
      <c r="AJ330" s="37"/>
      <c r="AK330" s="37"/>
    </row>
    <row r="331" spans="1:37" ht="14.25">
      <c r="A331" s="43"/>
      <c r="B331" s="37"/>
      <c r="C331" s="37"/>
      <c r="D331" s="37"/>
      <c r="E331" s="37"/>
      <c r="F331" s="43"/>
      <c r="G331" s="43"/>
      <c r="H331" s="44"/>
      <c r="I331" s="43"/>
      <c r="J331" s="37"/>
      <c r="K331" s="37"/>
      <c r="L331" s="37"/>
      <c r="M331" s="37"/>
      <c r="N331" s="37"/>
      <c r="O331" s="37"/>
      <c r="P331" s="37"/>
      <c r="Q331" s="37"/>
      <c r="R331" s="37"/>
      <c r="S331" s="37"/>
      <c r="T331" s="37"/>
      <c r="U331" s="37"/>
      <c r="V331" s="37"/>
      <c r="W331" s="37"/>
      <c r="X331" s="37"/>
      <c r="Y331" s="37"/>
      <c r="Z331" s="37"/>
      <c r="AA331" s="37"/>
      <c r="AB331" s="37"/>
      <c r="AC331" s="37"/>
      <c r="AD331" s="37"/>
      <c r="AE331" s="37"/>
      <c r="AF331" s="37"/>
      <c r="AG331" s="37"/>
      <c r="AH331" s="37"/>
      <c r="AI331" s="37"/>
      <c r="AJ331" s="37"/>
      <c r="AK331" s="37"/>
    </row>
    <row r="332" spans="1:37" ht="14.25">
      <c r="A332" s="43"/>
      <c r="B332" s="37"/>
      <c r="C332" s="37"/>
      <c r="D332" s="37"/>
      <c r="E332" s="37"/>
      <c r="F332" s="43"/>
      <c r="G332" s="43"/>
      <c r="H332" s="44"/>
      <c r="I332" s="43"/>
      <c r="J332" s="37"/>
      <c r="K332" s="37"/>
      <c r="L332" s="37"/>
      <c r="M332" s="37"/>
      <c r="N332" s="37"/>
      <c r="O332" s="37"/>
      <c r="P332" s="37"/>
      <c r="Q332" s="37"/>
      <c r="R332" s="37"/>
      <c r="S332" s="37"/>
      <c r="T332" s="37"/>
      <c r="U332" s="37"/>
      <c r="V332" s="37"/>
      <c r="W332" s="37"/>
      <c r="X332" s="37"/>
      <c r="Y332" s="37"/>
      <c r="Z332" s="37"/>
      <c r="AA332" s="37"/>
      <c r="AB332" s="37"/>
      <c r="AC332" s="37"/>
      <c r="AD332" s="37"/>
      <c r="AE332" s="37"/>
      <c r="AF332" s="37"/>
      <c r="AG332" s="37"/>
      <c r="AH332" s="37"/>
      <c r="AI332" s="37"/>
      <c r="AJ332" s="37"/>
      <c r="AK332" s="37"/>
    </row>
    <row r="333" spans="1:37" ht="14.25">
      <c r="A333" s="43"/>
      <c r="B333" s="37"/>
      <c r="C333" s="37"/>
      <c r="D333" s="37"/>
      <c r="E333" s="37"/>
      <c r="F333" s="43"/>
      <c r="G333" s="43"/>
      <c r="H333" s="44"/>
      <c r="I333" s="43"/>
      <c r="J333" s="37"/>
      <c r="K333" s="37"/>
      <c r="L333" s="37"/>
      <c r="M333" s="37"/>
      <c r="N333" s="37"/>
      <c r="O333" s="37"/>
      <c r="P333" s="37"/>
      <c r="Q333" s="37"/>
      <c r="R333" s="37"/>
      <c r="S333" s="37"/>
      <c r="T333" s="37"/>
      <c r="U333" s="37"/>
      <c r="V333" s="37"/>
      <c r="W333" s="37"/>
      <c r="X333" s="37"/>
      <c r="Y333" s="37"/>
      <c r="Z333" s="37"/>
      <c r="AA333" s="37"/>
      <c r="AB333" s="37"/>
      <c r="AC333" s="37"/>
      <c r="AD333" s="37"/>
      <c r="AE333" s="37"/>
      <c r="AF333" s="37"/>
      <c r="AG333" s="37"/>
      <c r="AH333" s="37"/>
      <c r="AI333" s="37"/>
      <c r="AJ333" s="37"/>
      <c r="AK333" s="37"/>
    </row>
    <row r="334" spans="1:37" ht="14.25">
      <c r="A334" s="43"/>
      <c r="B334" s="37"/>
      <c r="C334" s="37"/>
      <c r="D334" s="37"/>
      <c r="E334" s="37"/>
      <c r="F334" s="43"/>
      <c r="G334" s="43"/>
      <c r="H334" s="44"/>
      <c r="I334" s="43"/>
      <c r="J334" s="37"/>
      <c r="K334" s="37"/>
      <c r="L334" s="37"/>
      <c r="M334" s="37"/>
      <c r="N334" s="37"/>
      <c r="O334" s="37"/>
      <c r="P334" s="37"/>
      <c r="Q334" s="37"/>
      <c r="R334" s="37"/>
      <c r="S334" s="37"/>
      <c r="T334" s="37"/>
      <c r="U334" s="37"/>
      <c r="V334" s="37"/>
      <c r="W334" s="37"/>
      <c r="X334" s="37"/>
      <c r="Y334" s="37"/>
      <c r="Z334" s="37"/>
      <c r="AA334" s="37"/>
      <c r="AB334" s="37"/>
      <c r="AC334" s="37"/>
      <c r="AD334" s="37"/>
      <c r="AE334" s="37"/>
      <c r="AF334" s="37"/>
      <c r="AG334" s="37"/>
      <c r="AH334" s="37"/>
      <c r="AI334" s="37"/>
      <c r="AJ334" s="37"/>
      <c r="AK334" s="37"/>
    </row>
    <row r="335" spans="1:37" ht="14.25">
      <c r="A335" s="43"/>
      <c r="B335" s="37"/>
      <c r="C335" s="37"/>
      <c r="D335" s="37"/>
      <c r="E335" s="37"/>
      <c r="F335" s="43"/>
      <c r="G335" s="43"/>
      <c r="H335" s="44"/>
      <c r="I335" s="43"/>
      <c r="J335" s="37"/>
      <c r="K335" s="37"/>
      <c r="L335" s="37"/>
      <c r="M335" s="37"/>
      <c r="N335" s="37"/>
      <c r="O335" s="37"/>
      <c r="P335" s="37"/>
      <c r="Q335" s="37"/>
      <c r="R335" s="37"/>
      <c r="S335" s="37"/>
      <c r="T335" s="37"/>
      <c r="U335" s="37"/>
      <c r="V335" s="37"/>
      <c r="W335" s="37"/>
      <c r="X335" s="37"/>
      <c r="Y335" s="37"/>
      <c r="Z335" s="37"/>
      <c r="AA335" s="37"/>
      <c r="AB335" s="37"/>
      <c r="AC335" s="37"/>
      <c r="AD335" s="37"/>
      <c r="AE335" s="37"/>
      <c r="AF335" s="37"/>
      <c r="AG335" s="37"/>
      <c r="AH335" s="37"/>
      <c r="AI335" s="37"/>
      <c r="AJ335" s="37"/>
      <c r="AK335" s="37"/>
    </row>
    <row r="336" spans="1:37" ht="14.25">
      <c r="A336" s="43"/>
      <c r="B336" s="37"/>
      <c r="C336" s="37"/>
      <c r="D336" s="37"/>
      <c r="E336" s="37"/>
      <c r="F336" s="43"/>
      <c r="G336" s="43"/>
      <c r="H336" s="44"/>
      <c r="I336" s="43"/>
      <c r="J336" s="37"/>
      <c r="K336" s="37"/>
      <c r="L336" s="37"/>
      <c r="M336" s="37"/>
      <c r="N336" s="37"/>
      <c r="O336" s="37"/>
      <c r="P336" s="37"/>
      <c r="Q336" s="37"/>
      <c r="R336" s="37"/>
      <c r="S336" s="37"/>
      <c r="T336" s="37"/>
      <c r="U336" s="37"/>
      <c r="V336" s="37"/>
      <c r="W336" s="37"/>
      <c r="X336" s="37"/>
      <c r="Y336" s="37"/>
      <c r="Z336" s="37"/>
      <c r="AA336" s="37"/>
      <c r="AB336" s="37"/>
      <c r="AC336" s="37"/>
      <c r="AD336" s="37"/>
      <c r="AE336" s="37"/>
      <c r="AF336" s="37"/>
      <c r="AG336" s="37"/>
      <c r="AH336" s="37"/>
      <c r="AI336" s="37"/>
      <c r="AJ336" s="37"/>
      <c r="AK336" s="37"/>
    </row>
    <row r="337" spans="1:37" ht="14.25">
      <c r="A337" s="43"/>
      <c r="B337" s="37"/>
      <c r="C337" s="37"/>
      <c r="D337" s="37"/>
      <c r="E337" s="37"/>
      <c r="F337" s="43"/>
      <c r="G337" s="43"/>
      <c r="H337" s="44"/>
      <c r="I337" s="43"/>
      <c r="J337" s="37"/>
      <c r="K337" s="37"/>
      <c r="L337" s="37"/>
      <c r="M337" s="37"/>
      <c r="N337" s="37"/>
      <c r="O337" s="37"/>
      <c r="P337" s="37"/>
      <c r="Q337" s="37"/>
      <c r="R337" s="37"/>
      <c r="S337" s="37"/>
      <c r="T337" s="37"/>
      <c r="U337" s="37"/>
      <c r="V337" s="37"/>
      <c r="W337" s="37"/>
      <c r="X337" s="37"/>
      <c r="Y337" s="37"/>
      <c r="Z337" s="37"/>
      <c r="AA337" s="37"/>
      <c r="AB337" s="37"/>
      <c r="AC337" s="37"/>
      <c r="AD337" s="37"/>
      <c r="AE337" s="37"/>
      <c r="AF337" s="37"/>
      <c r="AG337" s="37"/>
      <c r="AH337" s="37"/>
      <c r="AI337" s="37"/>
      <c r="AJ337" s="37"/>
      <c r="AK337" s="37"/>
    </row>
    <row r="338" spans="1:37" ht="14.25">
      <c r="A338" s="43"/>
      <c r="B338" s="37"/>
      <c r="C338" s="37"/>
      <c r="D338" s="37"/>
      <c r="E338" s="37"/>
      <c r="F338" s="43"/>
      <c r="G338" s="43"/>
      <c r="H338" s="44"/>
      <c r="I338" s="43"/>
      <c r="J338" s="37"/>
      <c r="K338" s="37"/>
      <c r="L338" s="37"/>
      <c r="M338" s="37"/>
      <c r="N338" s="37"/>
      <c r="O338" s="37"/>
      <c r="P338" s="37"/>
      <c r="Q338" s="37"/>
      <c r="R338" s="37"/>
      <c r="S338" s="37"/>
      <c r="T338" s="37"/>
      <c r="U338" s="37"/>
      <c r="V338" s="37"/>
      <c r="W338" s="37"/>
      <c r="X338" s="37"/>
      <c r="Y338" s="37"/>
      <c r="Z338" s="37"/>
      <c r="AA338" s="37"/>
      <c r="AB338" s="37"/>
      <c r="AC338" s="37"/>
      <c r="AD338" s="37"/>
      <c r="AE338" s="37"/>
      <c r="AF338" s="37"/>
      <c r="AG338" s="37"/>
      <c r="AH338" s="37"/>
      <c r="AI338" s="37"/>
      <c r="AJ338" s="37"/>
      <c r="AK338" s="37"/>
    </row>
    <row r="339" spans="1:37" ht="14.25">
      <c r="A339" s="43"/>
      <c r="B339" s="37"/>
      <c r="C339" s="37"/>
      <c r="D339" s="37"/>
      <c r="E339" s="37"/>
      <c r="F339" s="43"/>
      <c r="G339" s="43"/>
      <c r="H339" s="44"/>
      <c r="I339" s="43"/>
      <c r="J339" s="37"/>
      <c r="K339" s="37"/>
      <c r="L339" s="37"/>
      <c r="M339" s="37"/>
      <c r="N339" s="37"/>
      <c r="O339" s="37"/>
      <c r="P339" s="37"/>
      <c r="Q339" s="37"/>
      <c r="R339" s="37"/>
      <c r="S339" s="37"/>
      <c r="T339" s="37"/>
      <c r="U339" s="37"/>
      <c r="V339" s="37"/>
      <c r="W339" s="37"/>
      <c r="X339" s="37"/>
      <c r="Y339" s="37"/>
      <c r="Z339" s="37"/>
      <c r="AA339" s="37"/>
      <c r="AB339" s="37"/>
      <c r="AC339" s="37"/>
      <c r="AD339" s="37"/>
      <c r="AE339" s="37"/>
      <c r="AF339" s="37"/>
      <c r="AG339" s="37"/>
      <c r="AH339" s="37"/>
      <c r="AI339" s="37"/>
      <c r="AJ339" s="37"/>
      <c r="AK339" s="37"/>
    </row>
    <row r="340" spans="1:37" ht="14.25">
      <c r="A340" s="43"/>
      <c r="B340" s="37"/>
      <c r="C340" s="37"/>
      <c r="D340" s="37"/>
      <c r="E340" s="37"/>
      <c r="F340" s="43"/>
      <c r="G340" s="43"/>
      <c r="H340" s="44"/>
      <c r="I340" s="43"/>
      <c r="J340" s="37"/>
      <c r="K340" s="37"/>
      <c r="L340" s="37"/>
      <c r="M340" s="37"/>
      <c r="N340" s="37"/>
      <c r="O340" s="37"/>
      <c r="P340" s="37"/>
      <c r="Q340" s="37"/>
      <c r="R340" s="37"/>
      <c r="S340" s="37"/>
      <c r="T340" s="37"/>
      <c r="U340" s="37"/>
      <c r="V340" s="37"/>
      <c r="W340" s="37"/>
      <c r="X340" s="37"/>
      <c r="Y340" s="37"/>
      <c r="Z340" s="37"/>
      <c r="AA340" s="37"/>
      <c r="AB340" s="37"/>
      <c r="AC340" s="37"/>
      <c r="AD340" s="37"/>
      <c r="AE340" s="37"/>
      <c r="AF340" s="37"/>
      <c r="AG340" s="37"/>
      <c r="AH340" s="37"/>
      <c r="AI340" s="37"/>
      <c r="AJ340" s="37"/>
      <c r="AK340" s="37"/>
    </row>
    <row r="341" spans="1:37" ht="14.25">
      <c r="A341" s="43"/>
      <c r="B341" s="37"/>
      <c r="C341" s="37"/>
      <c r="D341" s="37"/>
      <c r="E341" s="37"/>
      <c r="F341" s="43"/>
      <c r="G341" s="43"/>
      <c r="H341" s="44"/>
      <c r="I341" s="43"/>
      <c r="J341" s="37"/>
      <c r="K341" s="37"/>
      <c r="L341" s="37"/>
      <c r="M341" s="37"/>
      <c r="N341" s="37"/>
      <c r="O341" s="37"/>
      <c r="P341" s="37"/>
      <c r="Q341" s="37"/>
      <c r="R341" s="37"/>
      <c r="S341" s="37"/>
      <c r="T341" s="37"/>
      <c r="U341" s="37"/>
      <c r="V341" s="37"/>
      <c r="W341" s="37"/>
      <c r="X341" s="37"/>
      <c r="Y341" s="37"/>
      <c r="Z341" s="37"/>
      <c r="AA341" s="37"/>
      <c r="AB341" s="37"/>
      <c r="AC341" s="37"/>
      <c r="AD341" s="37"/>
      <c r="AE341" s="37"/>
      <c r="AF341" s="37"/>
      <c r="AG341" s="37"/>
      <c r="AH341" s="37"/>
      <c r="AI341" s="37"/>
      <c r="AJ341" s="37"/>
      <c r="AK341" s="37"/>
    </row>
    <row r="342" spans="1:37" ht="14.25">
      <c r="A342" s="43"/>
      <c r="B342" s="37"/>
      <c r="C342" s="37"/>
      <c r="D342" s="37"/>
      <c r="E342" s="37"/>
      <c r="F342" s="43"/>
      <c r="G342" s="43"/>
      <c r="H342" s="44"/>
      <c r="I342" s="43"/>
      <c r="J342" s="37"/>
      <c r="K342" s="37"/>
      <c r="L342" s="37"/>
      <c r="M342" s="37"/>
      <c r="N342" s="37"/>
      <c r="O342" s="37"/>
      <c r="P342" s="37"/>
      <c r="Q342" s="37"/>
      <c r="R342" s="37"/>
      <c r="S342" s="37"/>
      <c r="T342" s="37"/>
      <c r="U342" s="37"/>
      <c r="V342" s="37"/>
      <c r="W342" s="37"/>
      <c r="X342" s="37"/>
      <c r="Y342" s="37"/>
      <c r="Z342" s="37"/>
      <c r="AA342" s="37"/>
      <c r="AB342" s="37"/>
      <c r="AC342" s="37"/>
      <c r="AD342" s="37"/>
      <c r="AE342" s="37"/>
      <c r="AF342" s="37"/>
      <c r="AG342" s="37"/>
      <c r="AH342" s="37"/>
      <c r="AI342" s="37"/>
      <c r="AJ342" s="37"/>
      <c r="AK342" s="37"/>
    </row>
    <row r="343" spans="1:37" ht="14.25">
      <c r="A343" s="43"/>
      <c r="B343" s="37"/>
      <c r="C343" s="37"/>
      <c r="D343" s="37"/>
      <c r="E343" s="37"/>
      <c r="F343" s="43"/>
      <c r="G343" s="43"/>
      <c r="H343" s="44"/>
      <c r="I343" s="43"/>
      <c r="J343" s="37"/>
      <c r="K343" s="37"/>
      <c r="L343" s="37"/>
      <c r="M343" s="37"/>
      <c r="N343" s="37"/>
      <c r="O343" s="37"/>
      <c r="P343" s="37"/>
      <c r="Q343" s="37"/>
      <c r="R343" s="37"/>
      <c r="S343" s="37"/>
      <c r="T343" s="37"/>
      <c r="U343" s="37"/>
      <c r="V343" s="37"/>
      <c r="W343" s="37"/>
      <c r="X343" s="37"/>
      <c r="Y343" s="37"/>
      <c r="Z343" s="37"/>
      <c r="AA343" s="37"/>
      <c r="AB343" s="37"/>
      <c r="AC343" s="37"/>
      <c r="AD343" s="37"/>
      <c r="AE343" s="37"/>
      <c r="AF343" s="37"/>
      <c r="AG343" s="37"/>
      <c r="AH343" s="37"/>
      <c r="AI343" s="37"/>
      <c r="AJ343" s="37"/>
      <c r="AK343" s="37"/>
    </row>
    <row r="344" spans="1:37" ht="14.25">
      <c r="A344" s="43"/>
      <c r="B344" s="37"/>
      <c r="C344" s="37"/>
      <c r="D344" s="37"/>
      <c r="E344" s="37"/>
      <c r="F344" s="43"/>
      <c r="G344" s="43"/>
      <c r="H344" s="44"/>
      <c r="I344" s="43"/>
      <c r="J344" s="37"/>
      <c r="K344" s="37"/>
      <c r="L344" s="37"/>
      <c r="M344" s="37"/>
      <c r="N344" s="37"/>
      <c r="O344" s="37"/>
      <c r="P344" s="37"/>
      <c r="Q344" s="37"/>
      <c r="R344" s="37"/>
      <c r="S344" s="37"/>
      <c r="T344" s="37"/>
      <c r="U344" s="37"/>
      <c r="V344" s="37"/>
      <c r="W344" s="37"/>
      <c r="X344" s="37"/>
      <c r="Y344" s="37"/>
      <c r="Z344" s="37"/>
      <c r="AA344" s="37"/>
      <c r="AB344" s="37"/>
      <c r="AC344" s="37"/>
      <c r="AD344" s="37"/>
      <c r="AE344" s="37"/>
      <c r="AF344" s="37"/>
      <c r="AG344" s="37"/>
      <c r="AH344" s="37"/>
      <c r="AI344" s="37"/>
      <c r="AJ344" s="37"/>
      <c r="AK344" s="37"/>
    </row>
    <row r="345" spans="1:37" ht="14.25">
      <c r="A345" s="43"/>
      <c r="B345" s="37"/>
      <c r="C345" s="37"/>
      <c r="D345" s="37"/>
      <c r="E345" s="37"/>
      <c r="F345" s="43"/>
      <c r="G345" s="43"/>
      <c r="H345" s="44"/>
      <c r="I345" s="43"/>
      <c r="J345" s="37"/>
      <c r="K345" s="37"/>
      <c r="L345" s="37"/>
      <c r="M345" s="37"/>
      <c r="N345" s="37"/>
      <c r="O345" s="37"/>
      <c r="P345" s="37"/>
      <c r="Q345" s="37"/>
      <c r="R345" s="37"/>
      <c r="S345" s="37"/>
      <c r="T345" s="37"/>
      <c r="U345" s="37"/>
      <c r="V345" s="37"/>
      <c r="W345" s="37"/>
      <c r="X345" s="37"/>
      <c r="Y345" s="37"/>
      <c r="Z345" s="37"/>
      <c r="AA345" s="37"/>
      <c r="AB345" s="37"/>
      <c r="AC345" s="37"/>
      <c r="AD345" s="37"/>
      <c r="AE345" s="37"/>
      <c r="AF345" s="37"/>
      <c r="AG345" s="37"/>
      <c r="AH345" s="37"/>
      <c r="AI345" s="37"/>
      <c r="AJ345" s="37"/>
      <c r="AK345" s="37"/>
    </row>
    <row r="346" spans="1:37" ht="14.25">
      <c r="A346" s="43"/>
      <c r="B346" s="37"/>
      <c r="C346" s="37"/>
      <c r="D346" s="37"/>
      <c r="E346" s="37"/>
      <c r="F346" s="43"/>
      <c r="G346" s="43"/>
      <c r="H346" s="44"/>
      <c r="I346" s="43"/>
      <c r="J346" s="37"/>
      <c r="K346" s="37"/>
      <c r="L346" s="37"/>
      <c r="M346" s="37"/>
      <c r="N346" s="37"/>
      <c r="O346" s="37"/>
      <c r="P346" s="37"/>
      <c r="Q346" s="37"/>
      <c r="R346" s="37"/>
      <c r="S346" s="37"/>
      <c r="T346" s="37"/>
      <c r="U346" s="37"/>
      <c r="V346" s="37"/>
      <c r="W346" s="37"/>
      <c r="X346" s="37"/>
      <c r="Y346" s="37"/>
      <c r="Z346" s="37"/>
      <c r="AA346" s="37"/>
      <c r="AB346" s="37"/>
      <c r="AC346" s="37"/>
      <c r="AD346" s="37"/>
      <c r="AE346" s="37"/>
      <c r="AF346" s="37"/>
      <c r="AG346" s="37"/>
      <c r="AH346" s="37"/>
      <c r="AI346" s="37"/>
      <c r="AJ346" s="37"/>
      <c r="AK346" s="37"/>
    </row>
    <row r="347" spans="1:37" ht="14.25">
      <c r="A347" s="43"/>
      <c r="B347" s="37"/>
      <c r="C347" s="37"/>
      <c r="D347" s="37"/>
      <c r="E347" s="37"/>
      <c r="F347" s="43"/>
      <c r="G347" s="43"/>
      <c r="H347" s="44"/>
      <c r="I347" s="43"/>
      <c r="J347" s="37"/>
      <c r="K347" s="37"/>
      <c r="L347" s="37"/>
      <c r="M347" s="37"/>
      <c r="N347" s="37"/>
      <c r="O347" s="37"/>
      <c r="P347" s="37"/>
      <c r="Q347" s="37"/>
      <c r="R347" s="37"/>
      <c r="S347" s="37"/>
      <c r="T347" s="37"/>
      <c r="U347" s="37"/>
      <c r="V347" s="37"/>
      <c r="W347" s="37"/>
      <c r="X347" s="37"/>
      <c r="Y347" s="37"/>
      <c r="Z347" s="37"/>
      <c r="AA347" s="37"/>
      <c r="AB347" s="37"/>
      <c r="AC347" s="37"/>
      <c r="AD347" s="37"/>
      <c r="AE347" s="37"/>
      <c r="AF347" s="37"/>
      <c r="AG347" s="37"/>
      <c r="AH347" s="37"/>
      <c r="AI347" s="37"/>
      <c r="AJ347" s="37"/>
      <c r="AK347" s="37"/>
    </row>
    <row r="348" spans="1:37" ht="14.25">
      <c r="A348" s="43"/>
      <c r="B348" s="37"/>
      <c r="C348" s="37"/>
      <c r="D348" s="37"/>
      <c r="E348" s="37"/>
      <c r="F348" s="43"/>
      <c r="G348" s="43"/>
      <c r="H348" s="44"/>
      <c r="I348" s="43"/>
      <c r="J348" s="37"/>
      <c r="K348" s="37"/>
      <c r="L348" s="37"/>
      <c r="M348" s="37"/>
      <c r="N348" s="37"/>
      <c r="O348" s="37"/>
      <c r="P348" s="37"/>
      <c r="Q348" s="37"/>
      <c r="R348" s="37"/>
      <c r="S348" s="37"/>
      <c r="T348" s="37"/>
      <c r="U348" s="37"/>
      <c r="V348" s="37"/>
      <c r="W348" s="37"/>
      <c r="X348" s="37"/>
      <c r="Y348" s="37"/>
      <c r="Z348" s="37"/>
      <c r="AA348" s="37"/>
      <c r="AB348" s="37"/>
      <c r="AC348" s="37"/>
      <c r="AD348" s="37"/>
      <c r="AE348" s="37"/>
      <c r="AF348" s="37"/>
      <c r="AG348" s="37"/>
      <c r="AH348" s="37"/>
      <c r="AI348" s="37"/>
      <c r="AJ348" s="37"/>
      <c r="AK348" s="37"/>
    </row>
    <row r="349" spans="1:37" ht="14.25">
      <c r="A349" s="43"/>
      <c r="B349" s="37"/>
      <c r="C349" s="37"/>
      <c r="D349" s="37"/>
      <c r="E349" s="37"/>
      <c r="F349" s="43"/>
      <c r="G349" s="43"/>
      <c r="H349" s="44"/>
      <c r="I349" s="43"/>
      <c r="J349" s="37"/>
      <c r="K349" s="37"/>
      <c r="L349" s="37"/>
      <c r="M349" s="37"/>
      <c r="N349" s="37"/>
      <c r="O349" s="37"/>
      <c r="P349" s="37"/>
      <c r="Q349" s="37"/>
      <c r="R349" s="37"/>
      <c r="S349" s="37"/>
      <c r="T349" s="37"/>
      <c r="U349" s="37"/>
      <c r="V349" s="37"/>
      <c r="W349" s="37"/>
      <c r="X349" s="37"/>
      <c r="Y349" s="37"/>
      <c r="Z349" s="37"/>
      <c r="AA349" s="37"/>
      <c r="AB349" s="37"/>
      <c r="AC349" s="37"/>
      <c r="AD349" s="37"/>
      <c r="AE349" s="37"/>
      <c r="AF349" s="37"/>
      <c r="AG349" s="37"/>
      <c r="AH349" s="37"/>
      <c r="AI349" s="37"/>
      <c r="AJ349" s="37"/>
      <c r="AK349" s="37"/>
    </row>
    <row r="350" spans="1:37" ht="14.25">
      <c r="A350" s="43"/>
      <c r="B350" s="37"/>
      <c r="C350" s="37"/>
      <c r="D350" s="37"/>
      <c r="E350" s="37"/>
      <c r="F350" s="43"/>
      <c r="G350" s="43"/>
      <c r="H350" s="44"/>
      <c r="I350" s="43"/>
      <c r="J350" s="37"/>
      <c r="K350" s="37"/>
      <c r="L350" s="37"/>
      <c r="M350" s="37"/>
      <c r="N350" s="37"/>
      <c r="O350" s="37"/>
      <c r="P350" s="37"/>
      <c r="Q350" s="37"/>
      <c r="R350" s="37"/>
      <c r="S350" s="37"/>
      <c r="T350" s="37"/>
      <c r="U350" s="37"/>
      <c r="V350" s="37"/>
      <c r="W350" s="37"/>
      <c r="X350" s="37"/>
      <c r="Y350" s="37"/>
      <c r="Z350" s="37"/>
      <c r="AA350" s="37"/>
      <c r="AB350" s="37"/>
      <c r="AC350" s="37"/>
      <c r="AD350" s="37"/>
      <c r="AE350" s="37"/>
      <c r="AF350" s="37"/>
      <c r="AG350" s="37"/>
      <c r="AH350" s="37"/>
      <c r="AI350" s="37"/>
      <c r="AJ350" s="37"/>
      <c r="AK350" s="37"/>
    </row>
    <row r="351" spans="1:37" ht="14.25">
      <c r="A351" s="43"/>
      <c r="B351" s="37"/>
      <c r="C351" s="37"/>
      <c r="D351" s="37"/>
      <c r="E351" s="37"/>
      <c r="F351" s="43"/>
      <c r="G351" s="43"/>
      <c r="H351" s="44"/>
      <c r="I351" s="43"/>
      <c r="J351" s="37"/>
      <c r="K351" s="37"/>
      <c r="L351" s="37"/>
      <c r="M351" s="37"/>
      <c r="N351" s="37"/>
      <c r="O351" s="37"/>
      <c r="P351" s="37"/>
      <c r="Q351" s="37"/>
      <c r="R351" s="37"/>
      <c r="S351" s="37"/>
      <c r="T351" s="37"/>
      <c r="U351" s="37"/>
      <c r="V351" s="37"/>
      <c r="W351" s="37"/>
      <c r="X351" s="37"/>
      <c r="Y351" s="37"/>
      <c r="Z351" s="37"/>
      <c r="AA351" s="37"/>
      <c r="AB351" s="37"/>
      <c r="AC351" s="37"/>
      <c r="AD351" s="37"/>
      <c r="AE351" s="37"/>
      <c r="AF351" s="37"/>
      <c r="AG351" s="37"/>
      <c r="AH351" s="37"/>
      <c r="AI351" s="37"/>
      <c r="AJ351" s="37"/>
      <c r="AK351" s="37"/>
    </row>
    <row r="352" spans="1:37" ht="14.25">
      <c r="A352" s="43"/>
      <c r="B352" s="37"/>
      <c r="C352" s="37"/>
      <c r="D352" s="37"/>
      <c r="E352" s="37"/>
      <c r="F352" s="43"/>
      <c r="G352" s="43"/>
      <c r="H352" s="44"/>
      <c r="I352" s="43"/>
      <c r="J352" s="37"/>
      <c r="K352" s="37"/>
      <c r="L352" s="37"/>
      <c r="M352" s="37"/>
      <c r="N352" s="37"/>
      <c r="O352" s="37"/>
      <c r="P352" s="37"/>
      <c r="Q352" s="37"/>
      <c r="R352" s="37"/>
      <c r="S352" s="37"/>
      <c r="T352" s="37"/>
      <c r="U352" s="37"/>
      <c r="V352" s="37"/>
      <c r="W352" s="37"/>
      <c r="X352" s="37"/>
      <c r="Y352" s="37"/>
      <c r="Z352" s="37"/>
      <c r="AA352" s="37"/>
      <c r="AB352" s="37"/>
      <c r="AC352" s="37"/>
      <c r="AD352" s="37"/>
      <c r="AE352" s="37"/>
      <c r="AF352" s="37"/>
      <c r="AG352" s="37"/>
      <c r="AH352" s="37"/>
      <c r="AI352" s="37"/>
      <c r="AJ352" s="37"/>
      <c r="AK352" s="37"/>
    </row>
    <row r="353" spans="1:37" ht="14.25">
      <c r="A353" s="43"/>
      <c r="B353" s="37"/>
      <c r="C353" s="37"/>
      <c r="D353" s="37"/>
      <c r="E353" s="37"/>
      <c r="F353" s="43"/>
      <c r="G353" s="43"/>
      <c r="H353" s="44"/>
      <c r="I353" s="43"/>
      <c r="J353" s="37"/>
      <c r="K353" s="37"/>
      <c r="L353" s="37"/>
      <c r="M353" s="37"/>
      <c r="N353" s="37"/>
      <c r="O353" s="37"/>
      <c r="P353" s="37"/>
      <c r="Q353" s="37"/>
      <c r="R353" s="37"/>
      <c r="S353" s="37"/>
      <c r="T353" s="37"/>
      <c r="U353" s="37"/>
      <c r="V353" s="37"/>
      <c r="W353" s="37"/>
      <c r="X353" s="37"/>
      <c r="Y353" s="37"/>
      <c r="Z353" s="37"/>
      <c r="AA353" s="37"/>
      <c r="AB353" s="37"/>
      <c r="AC353" s="37"/>
      <c r="AD353" s="37"/>
      <c r="AE353" s="37"/>
      <c r="AF353" s="37"/>
      <c r="AG353" s="37"/>
      <c r="AH353" s="37"/>
      <c r="AI353" s="37"/>
      <c r="AJ353" s="37"/>
      <c r="AK353" s="37"/>
    </row>
    <row r="354" spans="1:37" ht="14.25">
      <c r="A354" s="43"/>
      <c r="B354" s="37"/>
      <c r="C354" s="37"/>
      <c r="D354" s="37"/>
      <c r="E354" s="37"/>
      <c r="F354" s="43"/>
      <c r="G354" s="43"/>
      <c r="H354" s="44"/>
      <c r="I354" s="43"/>
      <c r="J354" s="37"/>
      <c r="K354" s="37"/>
      <c r="L354" s="37"/>
      <c r="M354" s="37"/>
      <c r="N354" s="37"/>
      <c r="O354" s="37"/>
      <c r="P354" s="37"/>
      <c r="Q354" s="37"/>
      <c r="R354" s="37"/>
      <c r="S354" s="37"/>
      <c r="T354" s="37"/>
      <c r="U354" s="37"/>
      <c r="V354" s="37"/>
      <c r="W354" s="37"/>
      <c r="X354" s="37"/>
      <c r="Y354" s="37"/>
      <c r="Z354" s="37"/>
      <c r="AA354" s="37"/>
      <c r="AB354" s="37"/>
      <c r="AC354" s="37"/>
      <c r="AD354" s="37"/>
      <c r="AE354" s="37"/>
      <c r="AF354" s="37"/>
      <c r="AG354" s="37"/>
      <c r="AH354" s="37"/>
      <c r="AI354" s="37"/>
      <c r="AJ354" s="37"/>
      <c r="AK354" s="37"/>
    </row>
    <row r="355" spans="1:37" ht="14.25">
      <c r="A355" s="43"/>
      <c r="B355" s="37"/>
      <c r="C355" s="37"/>
      <c r="D355" s="37"/>
      <c r="E355" s="37"/>
      <c r="F355" s="43"/>
      <c r="G355" s="43"/>
      <c r="H355" s="44"/>
      <c r="I355" s="43"/>
      <c r="J355" s="37"/>
      <c r="K355" s="37"/>
      <c r="L355" s="37"/>
      <c r="M355" s="37"/>
      <c r="N355" s="37"/>
      <c r="O355" s="37"/>
      <c r="P355" s="37"/>
      <c r="Q355" s="37"/>
      <c r="R355" s="37"/>
      <c r="S355" s="37"/>
      <c r="T355" s="37"/>
      <c r="U355" s="37"/>
      <c r="V355" s="37"/>
      <c r="W355" s="37"/>
      <c r="X355" s="37"/>
      <c r="Y355" s="37"/>
      <c r="Z355" s="37"/>
      <c r="AA355" s="37"/>
      <c r="AB355" s="37"/>
      <c r="AC355" s="37"/>
      <c r="AD355" s="37"/>
      <c r="AE355" s="37"/>
      <c r="AF355" s="37"/>
      <c r="AG355" s="37"/>
      <c r="AH355" s="37"/>
      <c r="AI355" s="37"/>
      <c r="AJ355" s="37"/>
      <c r="AK355" s="37"/>
    </row>
    <row r="356" spans="1:37" ht="14.25">
      <c r="A356" s="43"/>
      <c r="B356" s="37"/>
      <c r="C356" s="37"/>
      <c r="D356" s="37"/>
      <c r="E356" s="37"/>
      <c r="F356" s="43"/>
      <c r="G356" s="43"/>
      <c r="H356" s="44"/>
      <c r="I356" s="43"/>
      <c r="J356" s="37"/>
      <c r="K356" s="37"/>
      <c r="L356" s="37"/>
      <c r="M356" s="37"/>
      <c r="N356" s="37"/>
      <c r="O356" s="37"/>
      <c r="P356" s="37"/>
      <c r="Q356" s="37"/>
      <c r="R356" s="37"/>
      <c r="S356" s="37"/>
      <c r="T356" s="37"/>
      <c r="U356" s="37"/>
      <c r="V356" s="37"/>
      <c r="W356" s="37"/>
      <c r="X356" s="37"/>
      <c r="Y356" s="37"/>
      <c r="Z356" s="37"/>
      <c r="AA356" s="37"/>
      <c r="AB356" s="37"/>
      <c r="AC356" s="37"/>
      <c r="AD356" s="37"/>
      <c r="AE356" s="37"/>
      <c r="AF356" s="37"/>
      <c r="AG356" s="37"/>
      <c r="AH356" s="37"/>
      <c r="AI356" s="37"/>
      <c r="AJ356" s="37"/>
      <c r="AK356" s="37"/>
    </row>
    <row r="357" spans="1:37" ht="14.25">
      <c r="A357" s="43"/>
      <c r="B357" s="37"/>
      <c r="C357" s="37"/>
      <c r="D357" s="37"/>
      <c r="E357" s="37"/>
      <c r="F357" s="43"/>
      <c r="G357" s="43"/>
      <c r="H357" s="44"/>
      <c r="I357" s="43"/>
      <c r="J357" s="37"/>
      <c r="K357" s="37"/>
      <c r="L357" s="37"/>
      <c r="M357" s="37"/>
      <c r="N357" s="37"/>
      <c r="O357" s="37"/>
      <c r="P357" s="37"/>
      <c r="Q357" s="37"/>
      <c r="R357" s="37"/>
      <c r="S357" s="37"/>
      <c r="T357" s="37"/>
      <c r="U357" s="37"/>
      <c r="V357" s="37"/>
      <c r="W357" s="37"/>
      <c r="X357" s="37"/>
      <c r="Y357" s="37"/>
      <c r="Z357" s="37"/>
      <c r="AA357" s="37"/>
      <c r="AB357" s="37"/>
      <c r="AC357" s="37"/>
      <c r="AD357" s="37"/>
      <c r="AE357" s="37"/>
      <c r="AF357" s="37"/>
      <c r="AG357" s="37"/>
      <c r="AH357" s="37"/>
      <c r="AI357" s="37"/>
      <c r="AJ357" s="37"/>
      <c r="AK357" s="37"/>
    </row>
    <row r="358" spans="1:37" ht="14.25">
      <c r="A358" s="43"/>
      <c r="B358" s="37"/>
      <c r="C358" s="37"/>
      <c r="D358" s="37"/>
      <c r="E358" s="37"/>
      <c r="F358" s="43"/>
      <c r="G358" s="43"/>
      <c r="H358" s="44"/>
      <c r="I358" s="43"/>
      <c r="J358" s="37"/>
      <c r="K358" s="37"/>
      <c r="L358" s="37"/>
      <c r="M358" s="37"/>
      <c r="N358" s="37"/>
      <c r="O358" s="37"/>
      <c r="P358" s="37"/>
      <c r="Q358" s="37"/>
      <c r="R358" s="37"/>
      <c r="S358" s="37"/>
      <c r="T358" s="37"/>
      <c r="U358" s="37"/>
      <c r="V358" s="37"/>
      <c r="W358" s="37"/>
      <c r="X358" s="37"/>
      <c r="Y358" s="37"/>
      <c r="Z358" s="37"/>
      <c r="AA358" s="37"/>
      <c r="AB358" s="37"/>
      <c r="AC358" s="37"/>
      <c r="AD358" s="37"/>
      <c r="AE358" s="37"/>
      <c r="AF358" s="37"/>
      <c r="AG358" s="37"/>
      <c r="AH358" s="37"/>
      <c r="AI358" s="37"/>
      <c r="AJ358" s="37"/>
      <c r="AK358" s="37"/>
    </row>
    <row r="359" spans="1:37" ht="14.25">
      <c r="A359" s="43"/>
      <c r="B359" s="37"/>
      <c r="C359" s="37"/>
      <c r="D359" s="37"/>
      <c r="E359" s="37"/>
      <c r="F359" s="43"/>
      <c r="G359" s="43"/>
      <c r="H359" s="44"/>
      <c r="I359" s="43"/>
      <c r="J359" s="37"/>
      <c r="K359" s="37"/>
      <c r="L359" s="37"/>
      <c r="M359" s="37"/>
      <c r="N359" s="37"/>
      <c r="O359" s="37"/>
      <c r="P359" s="37"/>
      <c r="Q359" s="37"/>
      <c r="R359" s="37"/>
      <c r="S359" s="37"/>
      <c r="T359" s="37"/>
      <c r="U359" s="37"/>
      <c r="V359" s="37"/>
      <c r="W359" s="37"/>
      <c r="X359" s="37"/>
      <c r="Y359" s="37"/>
      <c r="Z359" s="37"/>
      <c r="AA359" s="37"/>
      <c r="AB359" s="37"/>
      <c r="AC359" s="37"/>
      <c r="AD359" s="37"/>
      <c r="AE359" s="37"/>
      <c r="AF359" s="37"/>
      <c r="AG359" s="37"/>
      <c r="AH359" s="37"/>
      <c r="AI359" s="37"/>
      <c r="AJ359" s="37"/>
      <c r="AK359" s="37"/>
    </row>
    <row r="360" spans="1:37" ht="14.25">
      <c r="A360" s="43"/>
      <c r="B360" s="37"/>
      <c r="C360" s="37"/>
      <c r="D360" s="37"/>
      <c r="E360" s="37"/>
      <c r="F360" s="43"/>
      <c r="G360" s="43"/>
      <c r="H360" s="44"/>
      <c r="I360" s="43"/>
      <c r="J360" s="37"/>
      <c r="K360" s="37"/>
      <c r="L360" s="37"/>
      <c r="M360" s="37"/>
      <c r="N360" s="37"/>
      <c r="O360" s="37"/>
      <c r="P360" s="37"/>
      <c r="Q360" s="37"/>
      <c r="R360" s="37"/>
      <c r="S360" s="37"/>
      <c r="T360" s="37"/>
      <c r="U360" s="37"/>
      <c r="V360" s="37"/>
      <c r="W360" s="37"/>
      <c r="X360" s="37"/>
      <c r="Y360" s="37"/>
      <c r="Z360" s="37"/>
      <c r="AA360" s="37"/>
      <c r="AB360" s="37"/>
      <c r="AC360" s="37"/>
      <c r="AD360" s="37"/>
      <c r="AE360" s="37"/>
      <c r="AF360" s="37"/>
      <c r="AG360" s="37"/>
      <c r="AH360" s="37"/>
      <c r="AI360" s="37"/>
      <c r="AJ360" s="37"/>
      <c r="AK360" s="37"/>
    </row>
    <row r="361" spans="1:37" ht="14.25">
      <c r="A361" s="43"/>
      <c r="B361" s="37"/>
      <c r="C361" s="37"/>
      <c r="D361" s="37"/>
      <c r="E361" s="37"/>
      <c r="F361" s="43"/>
      <c r="G361" s="43"/>
      <c r="H361" s="44"/>
      <c r="I361" s="43"/>
      <c r="J361" s="37"/>
      <c r="K361" s="37"/>
      <c r="L361" s="37"/>
      <c r="M361" s="37"/>
      <c r="N361" s="37"/>
      <c r="O361" s="37"/>
      <c r="P361" s="37"/>
      <c r="Q361" s="37"/>
      <c r="R361" s="37"/>
      <c r="S361" s="37"/>
      <c r="T361" s="37"/>
      <c r="U361" s="37"/>
      <c r="V361" s="37"/>
      <c r="W361" s="37"/>
      <c r="X361" s="37"/>
      <c r="Y361" s="37"/>
      <c r="Z361" s="37"/>
      <c r="AA361" s="37"/>
      <c r="AB361" s="37"/>
      <c r="AC361" s="37"/>
      <c r="AD361" s="37"/>
      <c r="AE361" s="37"/>
      <c r="AF361" s="37"/>
      <c r="AG361" s="37"/>
      <c r="AH361" s="37"/>
      <c r="AI361" s="37"/>
      <c r="AJ361" s="37"/>
      <c r="AK361" s="37"/>
    </row>
    <row r="362" spans="1:37" ht="14.25">
      <c r="A362" s="43"/>
      <c r="B362" s="37"/>
      <c r="C362" s="37"/>
      <c r="D362" s="37"/>
      <c r="E362" s="37"/>
      <c r="F362" s="43"/>
      <c r="G362" s="43"/>
      <c r="H362" s="44"/>
      <c r="I362" s="43"/>
      <c r="J362" s="37"/>
      <c r="K362" s="37"/>
      <c r="L362" s="37"/>
      <c r="M362" s="37"/>
      <c r="N362" s="37"/>
      <c r="O362" s="37"/>
      <c r="P362" s="37"/>
      <c r="Q362" s="37"/>
      <c r="R362" s="37"/>
      <c r="S362" s="37"/>
      <c r="T362" s="37"/>
      <c r="U362" s="37"/>
      <c r="V362" s="37"/>
      <c r="W362" s="37"/>
      <c r="X362" s="37"/>
      <c r="Y362" s="37"/>
      <c r="Z362" s="37"/>
      <c r="AA362" s="37"/>
      <c r="AB362" s="37"/>
      <c r="AC362" s="37"/>
      <c r="AD362" s="37"/>
      <c r="AE362" s="37"/>
      <c r="AF362" s="37"/>
      <c r="AG362" s="37"/>
      <c r="AH362" s="37"/>
      <c r="AI362" s="37"/>
      <c r="AJ362" s="37"/>
      <c r="AK362" s="37"/>
    </row>
    <row r="363" spans="1:37" ht="14.25">
      <c r="A363" s="43"/>
      <c r="B363" s="37"/>
      <c r="C363" s="37"/>
      <c r="D363" s="37"/>
      <c r="E363" s="37"/>
      <c r="F363" s="43"/>
      <c r="G363" s="43"/>
      <c r="H363" s="44"/>
      <c r="I363" s="43"/>
      <c r="J363" s="37"/>
      <c r="K363" s="37"/>
      <c r="L363" s="37"/>
      <c r="M363" s="37"/>
      <c r="N363" s="37"/>
      <c r="O363" s="37"/>
      <c r="P363" s="37"/>
      <c r="Q363" s="37"/>
      <c r="R363" s="37"/>
      <c r="S363" s="37"/>
      <c r="T363" s="37"/>
      <c r="U363" s="37"/>
      <c r="V363" s="37"/>
      <c r="W363" s="37"/>
      <c r="X363" s="37"/>
      <c r="Y363" s="37"/>
      <c r="Z363" s="37"/>
      <c r="AA363" s="37"/>
      <c r="AB363" s="37"/>
      <c r="AC363" s="37"/>
      <c r="AD363" s="37"/>
      <c r="AE363" s="37"/>
      <c r="AF363" s="37"/>
      <c r="AG363" s="37"/>
      <c r="AH363" s="37"/>
      <c r="AI363" s="37"/>
      <c r="AJ363" s="37"/>
      <c r="AK363" s="37"/>
    </row>
    <row r="364" spans="1:37" ht="14.25">
      <c r="A364" s="43"/>
      <c r="B364" s="37"/>
      <c r="C364" s="37"/>
      <c r="D364" s="37"/>
      <c r="E364" s="37"/>
      <c r="F364" s="43"/>
      <c r="G364" s="43"/>
      <c r="H364" s="44"/>
      <c r="I364" s="43"/>
      <c r="J364" s="37"/>
      <c r="K364" s="37"/>
      <c r="L364" s="37"/>
      <c r="M364" s="37"/>
      <c r="N364" s="37"/>
      <c r="O364" s="37"/>
      <c r="P364" s="37"/>
      <c r="Q364" s="37"/>
      <c r="R364" s="37"/>
      <c r="S364" s="37"/>
      <c r="T364" s="37"/>
      <c r="U364" s="37"/>
      <c r="V364" s="37"/>
      <c r="W364" s="37"/>
      <c r="X364" s="37"/>
      <c r="Y364" s="37"/>
      <c r="Z364" s="37"/>
      <c r="AA364" s="37"/>
      <c r="AB364" s="37"/>
      <c r="AC364" s="37"/>
      <c r="AD364" s="37"/>
      <c r="AE364" s="37"/>
      <c r="AF364" s="37"/>
      <c r="AG364" s="37"/>
      <c r="AH364" s="37"/>
      <c r="AI364" s="37"/>
      <c r="AJ364" s="37"/>
      <c r="AK364" s="37"/>
    </row>
    <row r="365" spans="1:37" ht="14.25">
      <c r="A365" s="43"/>
      <c r="B365" s="37"/>
      <c r="C365" s="37"/>
      <c r="D365" s="37"/>
      <c r="E365" s="37"/>
      <c r="F365" s="43"/>
      <c r="G365" s="43"/>
      <c r="H365" s="44"/>
      <c r="I365" s="43"/>
      <c r="J365" s="37"/>
      <c r="K365" s="37"/>
      <c r="L365" s="37"/>
      <c r="M365" s="37"/>
      <c r="N365" s="37"/>
      <c r="O365" s="37"/>
      <c r="P365" s="37"/>
      <c r="Q365" s="37"/>
      <c r="R365" s="37"/>
      <c r="S365" s="37"/>
      <c r="T365" s="37"/>
      <c r="U365" s="37"/>
      <c r="V365" s="37"/>
      <c r="W365" s="37"/>
      <c r="X365" s="37"/>
      <c r="Y365" s="37"/>
      <c r="Z365" s="37"/>
      <c r="AA365" s="37"/>
      <c r="AB365" s="37"/>
      <c r="AC365" s="37"/>
      <c r="AD365" s="37"/>
      <c r="AE365" s="37"/>
      <c r="AF365" s="37"/>
      <c r="AG365" s="37"/>
      <c r="AH365" s="37"/>
      <c r="AI365" s="37"/>
      <c r="AJ365" s="37"/>
      <c r="AK365" s="37"/>
    </row>
    <row r="366" spans="1:37" ht="14.25">
      <c r="A366" s="43"/>
      <c r="B366" s="37"/>
      <c r="C366" s="37"/>
      <c r="D366" s="37"/>
      <c r="E366" s="37"/>
      <c r="F366" s="43"/>
      <c r="G366" s="43"/>
      <c r="H366" s="44"/>
      <c r="I366" s="43"/>
      <c r="J366" s="37"/>
      <c r="K366" s="37"/>
      <c r="L366" s="37"/>
      <c r="M366" s="37"/>
      <c r="N366" s="37"/>
      <c r="O366" s="37"/>
      <c r="P366" s="37"/>
      <c r="Q366" s="37"/>
      <c r="R366" s="37"/>
      <c r="S366" s="37"/>
      <c r="T366" s="37"/>
      <c r="U366" s="37"/>
      <c r="V366" s="37"/>
      <c r="W366" s="37"/>
      <c r="X366" s="37"/>
      <c r="Y366" s="37"/>
      <c r="Z366" s="37"/>
      <c r="AA366" s="37"/>
      <c r="AB366" s="37"/>
      <c r="AC366" s="37"/>
      <c r="AD366" s="37"/>
      <c r="AE366" s="37"/>
      <c r="AF366" s="37"/>
      <c r="AG366" s="37"/>
      <c r="AH366" s="37"/>
      <c r="AI366" s="37"/>
      <c r="AJ366" s="37"/>
      <c r="AK366" s="37"/>
    </row>
    <row r="367" spans="1:37" ht="14.25">
      <c r="A367" s="43"/>
      <c r="B367" s="37"/>
      <c r="C367" s="37"/>
      <c r="D367" s="37"/>
      <c r="E367" s="37"/>
      <c r="F367" s="43"/>
      <c r="G367" s="43"/>
      <c r="H367" s="44"/>
      <c r="I367" s="43"/>
      <c r="J367" s="37"/>
      <c r="K367" s="37"/>
      <c r="L367" s="37"/>
      <c r="M367" s="37"/>
      <c r="N367" s="37"/>
      <c r="O367" s="37"/>
      <c r="P367" s="37"/>
      <c r="Q367" s="37"/>
      <c r="R367" s="37"/>
      <c r="S367" s="37"/>
      <c r="T367" s="37"/>
      <c r="U367" s="37"/>
      <c r="V367" s="37"/>
      <c r="W367" s="37"/>
      <c r="X367" s="37"/>
      <c r="Y367" s="37"/>
      <c r="Z367" s="37"/>
      <c r="AA367" s="37"/>
      <c r="AB367" s="37"/>
      <c r="AC367" s="37"/>
      <c r="AD367" s="37"/>
      <c r="AE367" s="37"/>
      <c r="AF367" s="37"/>
      <c r="AG367" s="37"/>
      <c r="AH367" s="37"/>
      <c r="AI367" s="37"/>
      <c r="AJ367" s="37"/>
      <c r="AK367" s="37"/>
    </row>
    <row r="368" spans="1:37" ht="14.25">
      <c r="A368" s="43"/>
      <c r="B368" s="37"/>
      <c r="C368" s="37"/>
      <c r="D368" s="37"/>
      <c r="E368" s="37"/>
      <c r="F368" s="43"/>
      <c r="G368" s="43"/>
      <c r="H368" s="44"/>
      <c r="I368" s="43"/>
      <c r="J368" s="37"/>
      <c r="K368" s="37"/>
      <c r="L368" s="37"/>
      <c r="M368" s="37"/>
      <c r="N368" s="37"/>
      <c r="O368" s="37"/>
      <c r="P368" s="37"/>
      <c r="Q368" s="37"/>
      <c r="R368" s="37"/>
      <c r="S368" s="37"/>
      <c r="T368" s="37"/>
      <c r="U368" s="37"/>
      <c r="V368" s="37"/>
      <c r="W368" s="37"/>
      <c r="X368" s="37"/>
      <c r="Y368" s="37"/>
      <c r="Z368" s="37"/>
      <c r="AA368" s="37"/>
      <c r="AB368" s="37"/>
      <c r="AC368" s="37"/>
      <c r="AD368" s="37"/>
      <c r="AE368" s="37"/>
      <c r="AF368" s="37"/>
      <c r="AG368" s="37"/>
      <c r="AH368" s="37"/>
      <c r="AI368" s="37"/>
      <c r="AJ368" s="37"/>
      <c r="AK368" s="37"/>
    </row>
    <row r="369" spans="1:37" ht="14.25">
      <c r="A369" s="43"/>
      <c r="B369" s="37"/>
      <c r="C369" s="37"/>
      <c r="D369" s="37"/>
      <c r="E369" s="37"/>
      <c r="F369" s="43"/>
      <c r="G369" s="43"/>
      <c r="H369" s="44"/>
      <c r="I369" s="43"/>
      <c r="J369" s="37"/>
      <c r="K369" s="37"/>
      <c r="L369" s="37"/>
      <c r="M369" s="37"/>
      <c r="N369" s="37"/>
      <c r="O369" s="37"/>
      <c r="P369" s="37"/>
      <c r="Q369" s="37"/>
      <c r="R369" s="37"/>
      <c r="S369" s="37"/>
      <c r="T369" s="37"/>
      <c r="U369" s="37"/>
      <c r="V369" s="37"/>
      <c r="W369" s="37"/>
      <c r="X369" s="37"/>
      <c r="Y369" s="37"/>
      <c r="Z369" s="37"/>
      <c r="AA369" s="37"/>
      <c r="AB369" s="37"/>
      <c r="AC369" s="37"/>
      <c r="AD369" s="37"/>
      <c r="AE369" s="37"/>
      <c r="AF369" s="37"/>
      <c r="AG369" s="37"/>
      <c r="AH369" s="37"/>
      <c r="AI369" s="37"/>
      <c r="AJ369" s="37"/>
      <c r="AK369" s="37"/>
    </row>
    <row r="370" spans="1:37" ht="14.25">
      <c r="A370" s="43"/>
      <c r="B370" s="37"/>
      <c r="C370" s="37"/>
      <c r="D370" s="37"/>
      <c r="E370" s="37"/>
      <c r="F370" s="43"/>
      <c r="G370" s="43"/>
      <c r="H370" s="44"/>
      <c r="I370" s="43"/>
      <c r="J370" s="37"/>
      <c r="K370" s="37"/>
      <c r="L370" s="37"/>
      <c r="M370" s="37"/>
      <c r="N370" s="37"/>
      <c r="O370" s="37"/>
      <c r="P370" s="37"/>
      <c r="Q370" s="37"/>
      <c r="R370" s="37"/>
      <c r="S370" s="37"/>
      <c r="T370" s="37"/>
      <c r="U370" s="37"/>
      <c r="V370" s="37"/>
      <c r="W370" s="37"/>
      <c r="X370" s="37"/>
      <c r="Y370" s="37"/>
      <c r="Z370" s="37"/>
      <c r="AA370" s="37"/>
      <c r="AB370" s="37"/>
      <c r="AC370" s="37"/>
      <c r="AD370" s="37"/>
      <c r="AE370" s="37"/>
      <c r="AF370" s="37"/>
      <c r="AG370" s="37"/>
      <c r="AH370" s="37"/>
      <c r="AI370" s="37"/>
      <c r="AJ370" s="37"/>
      <c r="AK370" s="37"/>
    </row>
    <row r="371" spans="1:37" ht="14.25">
      <c r="A371" s="43"/>
      <c r="B371" s="37"/>
      <c r="C371" s="37"/>
      <c r="D371" s="37"/>
      <c r="E371" s="37"/>
      <c r="F371" s="43"/>
      <c r="G371" s="43"/>
      <c r="H371" s="44"/>
      <c r="I371" s="43"/>
      <c r="J371" s="37"/>
      <c r="K371" s="37"/>
      <c r="L371" s="37"/>
      <c r="M371" s="37"/>
      <c r="N371" s="37"/>
      <c r="O371" s="37"/>
      <c r="P371" s="37"/>
      <c r="Q371" s="37"/>
      <c r="R371" s="37"/>
      <c r="S371" s="37"/>
      <c r="T371" s="37"/>
      <c r="U371" s="37"/>
      <c r="V371" s="37"/>
      <c r="W371" s="37"/>
      <c r="X371" s="37"/>
      <c r="Y371" s="37"/>
      <c r="Z371" s="37"/>
      <c r="AA371" s="37"/>
      <c r="AB371" s="37"/>
      <c r="AC371" s="37"/>
      <c r="AD371" s="37"/>
      <c r="AE371" s="37"/>
      <c r="AF371" s="37"/>
      <c r="AG371" s="37"/>
      <c r="AH371" s="37"/>
      <c r="AI371" s="37"/>
      <c r="AJ371" s="37"/>
      <c r="AK371" s="37"/>
    </row>
    <row r="372" spans="1:37" ht="14.25">
      <c r="A372" s="43"/>
      <c r="B372" s="37"/>
      <c r="C372" s="37"/>
      <c r="D372" s="37"/>
      <c r="E372" s="37"/>
      <c r="F372" s="43"/>
      <c r="G372" s="43"/>
      <c r="H372" s="44"/>
      <c r="I372" s="43"/>
      <c r="J372" s="37"/>
      <c r="K372" s="37"/>
      <c r="L372" s="37"/>
      <c r="M372" s="37"/>
      <c r="N372" s="37"/>
      <c r="O372" s="37"/>
      <c r="P372" s="37"/>
      <c r="Q372" s="37"/>
      <c r="R372" s="37"/>
      <c r="S372" s="37"/>
      <c r="T372" s="37"/>
      <c r="U372" s="37"/>
      <c r="V372" s="37"/>
      <c r="W372" s="37"/>
      <c r="X372" s="37"/>
      <c r="Y372" s="37"/>
      <c r="Z372" s="37"/>
      <c r="AA372" s="37"/>
      <c r="AB372" s="37"/>
      <c r="AC372" s="37"/>
      <c r="AD372" s="37"/>
      <c r="AE372" s="37"/>
      <c r="AF372" s="37"/>
      <c r="AG372" s="37"/>
      <c r="AH372" s="37"/>
      <c r="AI372" s="37"/>
      <c r="AJ372" s="37"/>
      <c r="AK372" s="37"/>
    </row>
    <row r="373" spans="1:37" ht="14.25">
      <c r="A373" s="43"/>
      <c r="B373" s="37"/>
      <c r="C373" s="37"/>
      <c r="D373" s="37"/>
      <c r="E373" s="37"/>
      <c r="F373" s="43"/>
      <c r="G373" s="43"/>
      <c r="H373" s="44"/>
      <c r="I373" s="43"/>
      <c r="J373" s="37"/>
      <c r="K373" s="37"/>
      <c r="L373" s="37"/>
      <c r="M373" s="37"/>
      <c r="N373" s="37"/>
      <c r="O373" s="37"/>
      <c r="P373" s="37"/>
      <c r="Q373" s="37"/>
      <c r="R373" s="37"/>
      <c r="S373" s="37"/>
      <c r="T373" s="37"/>
      <c r="U373" s="37"/>
      <c r="V373" s="37"/>
      <c r="W373" s="37"/>
      <c r="X373" s="37"/>
      <c r="Y373" s="37"/>
      <c r="Z373" s="37"/>
      <c r="AA373" s="37"/>
      <c r="AB373" s="37"/>
      <c r="AC373" s="37"/>
      <c r="AD373" s="37"/>
      <c r="AE373" s="37"/>
      <c r="AF373" s="37"/>
      <c r="AG373" s="37"/>
      <c r="AH373" s="37"/>
      <c r="AI373" s="37"/>
      <c r="AJ373" s="37"/>
      <c r="AK373" s="37"/>
    </row>
    <row r="374" spans="1:37" ht="14.25">
      <c r="A374" s="43"/>
      <c r="B374" s="37"/>
      <c r="C374" s="37"/>
      <c r="D374" s="37"/>
      <c r="E374" s="37"/>
      <c r="F374" s="43"/>
      <c r="G374" s="43"/>
      <c r="H374" s="44"/>
      <c r="I374" s="43"/>
      <c r="J374" s="37"/>
      <c r="K374" s="37"/>
      <c r="L374" s="37"/>
      <c r="M374" s="37"/>
      <c r="N374" s="37"/>
      <c r="O374" s="37"/>
      <c r="P374" s="37"/>
      <c r="Q374" s="37"/>
      <c r="R374" s="37"/>
      <c r="S374" s="37"/>
      <c r="T374" s="37"/>
      <c r="U374" s="37"/>
      <c r="V374" s="37"/>
      <c r="W374" s="37"/>
      <c r="X374" s="37"/>
      <c r="Y374" s="37"/>
      <c r="Z374" s="37"/>
      <c r="AA374" s="37"/>
      <c r="AB374" s="37"/>
      <c r="AC374" s="37"/>
      <c r="AD374" s="37"/>
      <c r="AE374" s="37"/>
      <c r="AF374" s="37"/>
      <c r="AG374" s="37"/>
      <c r="AH374" s="37"/>
      <c r="AI374" s="37"/>
      <c r="AJ374" s="37"/>
      <c r="AK374" s="37"/>
    </row>
    <row r="375" spans="1:37" ht="14.25">
      <c r="A375" s="43"/>
      <c r="B375" s="37"/>
      <c r="C375" s="37"/>
      <c r="D375" s="37"/>
      <c r="E375" s="37"/>
      <c r="F375" s="43"/>
      <c r="G375" s="43"/>
      <c r="H375" s="44"/>
      <c r="I375" s="43"/>
      <c r="J375" s="37"/>
      <c r="K375" s="37"/>
      <c r="L375" s="37"/>
      <c r="M375" s="37"/>
      <c r="N375" s="37"/>
      <c r="O375" s="37"/>
      <c r="P375" s="37"/>
      <c r="Q375" s="37"/>
      <c r="R375" s="37"/>
      <c r="S375" s="37"/>
      <c r="T375" s="37"/>
      <c r="U375" s="37"/>
      <c r="V375" s="37"/>
      <c r="W375" s="37"/>
      <c r="X375" s="37"/>
      <c r="Y375" s="37"/>
      <c r="Z375" s="37"/>
      <c r="AA375" s="37"/>
      <c r="AB375" s="37"/>
      <c r="AC375" s="37"/>
      <c r="AD375" s="37"/>
      <c r="AE375" s="37"/>
      <c r="AF375" s="37"/>
      <c r="AG375" s="37"/>
      <c r="AH375" s="37"/>
      <c r="AI375" s="37"/>
      <c r="AJ375" s="37"/>
      <c r="AK375" s="37"/>
    </row>
    <row r="376" spans="1:37" ht="14.25">
      <c r="A376" s="43"/>
      <c r="B376" s="37"/>
      <c r="C376" s="37"/>
      <c r="D376" s="37"/>
      <c r="E376" s="37"/>
      <c r="F376" s="43"/>
      <c r="G376" s="43"/>
      <c r="H376" s="44"/>
      <c r="I376" s="43"/>
      <c r="J376" s="37"/>
      <c r="K376" s="37"/>
      <c r="L376" s="37"/>
      <c r="M376" s="37"/>
      <c r="N376" s="37"/>
      <c r="O376" s="37"/>
      <c r="P376" s="37"/>
      <c r="Q376" s="37"/>
      <c r="R376" s="37"/>
      <c r="S376" s="37"/>
      <c r="T376" s="37"/>
      <c r="U376" s="37"/>
      <c r="V376" s="37"/>
      <c r="W376" s="37"/>
      <c r="X376" s="37"/>
      <c r="Y376" s="37"/>
      <c r="Z376" s="37"/>
      <c r="AA376" s="37"/>
      <c r="AB376" s="37"/>
      <c r="AC376" s="37"/>
      <c r="AD376" s="37"/>
      <c r="AE376" s="37"/>
      <c r="AF376" s="37"/>
      <c r="AG376" s="37"/>
      <c r="AH376" s="37"/>
      <c r="AI376" s="37"/>
      <c r="AJ376" s="37"/>
      <c r="AK376" s="37"/>
    </row>
    <row r="377" spans="1:37" ht="14.25">
      <c r="A377" s="43"/>
      <c r="B377" s="37"/>
      <c r="C377" s="37"/>
      <c r="D377" s="37"/>
      <c r="E377" s="37"/>
      <c r="F377" s="43"/>
      <c r="G377" s="43"/>
      <c r="H377" s="44"/>
      <c r="I377" s="43"/>
      <c r="J377" s="37"/>
      <c r="K377" s="37"/>
      <c r="L377" s="37"/>
      <c r="M377" s="37"/>
      <c r="N377" s="37"/>
      <c r="O377" s="37"/>
      <c r="P377" s="37"/>
      <c r="Q377" s="37"/>
      <c r="R377" s="37"/>
      <c r="S377" s="37"/>
      <c r="T377" s="37"/>
      <c r="U377" s="37"/>
      <c r="V377" s="37"/>
      <c r="W377" s="37"/>
      <c r="X377" s="37"/>
      <c r="Y377" s="37"/>
      <c r="Z377" s="37"/>
      <c r="AA377" s="37"/>
      <c r="AB377" s="37"/>
      <c r="AC377" s="37"/>
      <c r="AD377" s="37"/>
      <c r="AE377" s="37"/>
      <c r="AF377" s="37"/>
      <c r="AG377" s="37"/>
      <c r="AH377" s="37"/>
      <c r="AI377" s="37"/>
      <c r="AJ377" s="37"/>
      <c r="AK377" s="37"/>
    </row>
    <row r="378" spans="1:37" ht="14.25">
      <c r="A378" s="43"/>
      <c r="B378" s="37"/>
      <c r="C378" s="37"/>
      <c r="D378" s="37"/>
      <c r="E378" s="37"/>
      <c r="F378" s="43"/>
      <c r="G378" s="43"/>
      <c r="H378" s="44"/>
      <c r="I378" s="43"/>
      <c r="J378" s="37"/>
      <c r="K378" s="37"/>
      <c r="L378" s="37"/>
      <c r="M378" s="37"/>
      <c r="N378" s="37"/>
      <c r="O378" s="37"/>
      <c r="P378" s="37"/>
      <c r="Q378" s="37"/>
      <c r="R378" s="37"/>
      <c r="S378" s="37"/>
      <c r="T378" s="37"/>
      <c r="U378" s="37"/>
      <c r="V378" s="37"/>
      <c r="W378" s="37"/>
      <c r="X378" s="37"/>
      <c r="Y378" s="37"/>
      <c r="Z378" s="37"/>
      <c r="AA378" s="37"/>
      <c r="AB378" s="37"/>
      <c r="AC378" s="37"/>
      <c r="AD378" s="37"/>
      <c r="AE378" s="37"/>
      <c r="AF378" s="37"/>
      <c r="AG378" s="37"/>
      <c r="AH378" s="37"/>
      <c r="AI378" s="37"/>
      <c r="AJ378" s="37"/>
      <c r="AK378" s="37"/>
    </row>
    <row r="379" spans="1:37" ht="14.25">
      <c r="A379" s="43"/>
      <c r="B379" s="37"/>
      <c r="C379" s="37"/>
      <c r="D379" s="37"/>
      <c r="E379" s="37"/>
      <c r="F379" s="43"/>
      <c r="G379" s="43"/>
      <c r="H379" s="44"/>
      <c r="I379" s="43"/>
      <c r="J379" s="37"/>
      <c r="K379" s="37"/>
      <c r="L379" s="37"/>
      <c r="M379" s="37"/>
      <c r="N379" s="37"/>
      <c r="O379" s="37"/>
      <c r="P379" s="37"/>
      <c r="Q379" s="37"/>
      <c r="R379" s="37"/>
      <c r="S379" s="37"/>
      <c r="T379" s="37"/>
      <c r="U379" s="37"/>
      <c r="V379" s="37"/>
      <c r="W379" s="37"/>
      <c r="X379" s="37"/>
      <c r="Y379" s="37"/>
      <c r="Z379" s="37"/>
      <c r="AA379" s="37"/>
      <c r="AB379" s="37"/>
      <c r="AC379" s="37"/>
      <c r="AD379" s="37"/>
      <c r="AE379" s="37"/>
      <c r="AF379" s="37"/>
      <c r="AG379" s="37"/>
      <c r="AH379" s="37"/>
      <c r="AI379" s="37"/>
      <c r="AJ379" s="37"/>
      <c r="AK379" s="37"/>
    </row>
    <row r="380" spans="1:37" ht="14.25">
      <c r="A380" s="43"/>
      <c r="B380" s="37"/>
      <c r="C380" s="37"/>
      <c r="D380" s="37"/>
      <c r="E380" s="37"/>
      <c r="F380" s="43"/>
      <c r="G380" s="43"/>
      <c r="H380" s="44"/>
      <c r="I380" s="43"/>
      <c r="J380" s="37"/>
      <c r="K380" s="37"/>
      <c r="L380" s="37"/>
      <c r="M380" s="37"/>
      <c r="N380" s="37"/>
      <c r="O380" s="37"/>
      <c r="P380" s="37"/>
      <c r="Q380" s="37"/>
      <c r="R380" s="37"/>
      <c r="S380" s="37"/>
      <c r="T380" s="37"/>
      <c r="U380" s="37"/>
      <c r="V380" s="37"/>
      <c r="W380" s="37"/>
      <c r="X380" s="37"/>
      <c r="Y380" s="37"/>
      <c r="Z380" s="37"/>
      <c r="AA380" s="37"/>
      <c r="AB380" s="37"/>
      <c r="AC380" s="37"/>
      <c r="AD380" s="37"/>
      <c r="AE380" s="37"/>
      <c r="AF380" s="37"/>
      <c r="AG380" s="37"/>
      <c r="AH380" s="37"/>
      <c r="AI380" s="37"/>
      <c r="AJ380" s="37"/>
      <c r="AK380" s="37"/>
    </row>
    <row r="381" spans="1:37" ht="14.25">
      <c r="A381" s="43"/>
      <c r="B381" s="37"/>
      <c r="C381" s="37"/>
      <c r="D381" s="37"/>
      <c r="E381" s="37"/>
      <c r="F381" s="43"/>
      <c r="G381" s="43"/>
      <c r="H381" s="44"/>
      <c r="I381" s="43"/>
      <c r="J381" s="37"/>
      <c r="K381" s="37"/>
      <c r="L381" s="37"/>
      <c r="M381" s="37"/>
      <c r="N381" s="37"/>
      <c r="O381" s="37"/>
      <c r="P381" s="37"/>
      <c r="Q381" s="37"/>
      <c r="R381" s="37"/>
      <c r="S381" s="37"/>
      <c r="T381" s="37"/>
      <c r="U381" s="37"/>
      <c r="V381" s="37"/>
      <c r="W381" s="37"/>
      <c r="X381" s="37"/>
      <c r="Y381" s="37"/>
      <c r="Z381" s="37"/>
      <c r="AA381" s="37"/>
      <c r="AB381" s="37"/>
      <c r="AC381" s="37"/>
      <c r="AD381" s="37"/>
      <c r="AE381" s="37"/>
      <c r="AF381" s="37"/>
      <c r="AG381" s="37"/>
      <c r="AH381" s="37"/>
      <c r="AI381" s="37"/>
      <c r="AJ381" s="37"/>
      <c r="AK381" s="37"/>
    </row>
    <row r="382" spans="1:37" ht="14.25">
      <c r="A382" s="43"/>
      <c r="B382" s="37"/>
      <c r="C382" s="37"/>
      <c r="D382" s="37"/>
      <c r="E382" s="37"/>
      <c r="F382" s="43"/>
      <c r="G382" s="43"/>
      <c r="H382" s="44"/>
      <c r="I382" s="43"/>
      <c r="J382" s="37"/>
      <c r="K382" s="37"/>
      <c r="L382" s="37"/>
      <c r="M382" s="37"/>
      <c r="N382" s="37"/>
      <c r="O382" s="37"/>
      <c r="P382" s="37"/>
      <c r="Q382" s="37"/>
      <c r="R382" s="37"/>
      <c r="S382" s="37"/>
      <c r="T382" s="37"/>
      <c r="U382" s="37"/>
      <c r="V382" s="37"/>
      <c r="W382" s="37"/>
      <c r="X382" s="37"/>
      <c r="Y382" s="37"/>
      <c r="Z382" s="37"/>
      <c r="AA382" s="37"/>
      <c r="AB382" s="37"/>
      <c r="AC382" s="37"/>
      <c r="AD382" s="37"/>
      <c r="AE382" s="37"/>
      <c r="AF382" s="37"/>
      <c r="AG382" s="37"/>
      <c r="AH382" s="37"/>
      <c r="AI382" s="37"/>
      <c r="AJ382" s="37"/>
      <c r="AK382" s="37"/>
    </row>
    <row r="383" spans="1:37" ht="14.25">
      <c r="A383" s="43"/>
      <c r="B383" s="37"/>
      <c r="C383" s="37"/>
      <c r="D383" s="37"/>
      <c r="E383" s="37"/>
      <c r="F383" s="43"/>
      <c r="G383" s="43"/>
      <c r="H383" s="44"/>
      <c r="I383" s="43"/>
      <c r="J383" s="37"/>
      <c r="K383" s="37"/>
      <c r="L383" s="37"/>
      <c r="M383" s="37"/>
      <c r="N383" s="37"/>
      <c r="O383" s="37"/>
      <c r="P383" s="37"/>
      <c r="Q383" s="37"/>
      <c r="R383" s="37"/>
      <c r="S383" s="37"/>
      <c r="T383" s="37"/>
      <c r="U383" s="37"/>
      <c r="V383" s="37"/>
      <c r="W383" s="37"/>
      <c r="X383" s="37"/>
      <c r="Y383" s="37"/>
      <c r="Z383" s="37"/>
      <c r="AA383" s="37"/>
      <c r="AB383" s="37"/>
      <c r="AC383" s="37"/>
      <c r="AD383" s="37"/>
      <c r="AE383" s="37"/>
      <c r="AF383" s="37"/>
      <c r="AG383" s="37"/>
      <c r="AH383" s="37"/>
      <c r="AI383" s="37"/>
      <c r="AJ383" s="37"/>
      <c r="AK383" s="37"/>
    </row>
    <row r="384" spans="1:37" ht="14.25">
      <c r="A384" s="43"/>
      <c r="B384" s="37"/>
      <c r="C384" s="37"/>
      <c r="D384" s="37"/>
      <c r="E384" s="37"/>
      <c r="F384" s="43"/>
      <c r="G384" s="43"/>
      <c r="H384" s="44"/>
      <c r="I384" s="43"/>
      <c r="J384" s="37"/>
      <c r="K384" s="37"/>
      <c r="L384" s="37"/>
      <c r="M384" s="37"/>
      <c r="N384" s="37"/>
      <c r="O384" s="37"/>
      <c r="P384" s="37"/>
      <c r="Q384" s="37"/>
      <c r="R384" s="37"/>
      <c r="S384" s="37"/>
      <c r="T384" s="37"/>
      <c r="U384" s="37"/>
      <c r="V384" s="37"/>
      <c r="W384" s="37"/>
      <c r="X384" s="37"/>
      <c r="Y384" s="37"/>
      <c r="Z384" s="37"/>
      <c r="AA384" s="37"/>
      <c r="AB384" s="37"/>
      <c r="AC384" s="37"/>
      <c r="AD384" s="37"/>
      <c r="AE384" s="37"/>
      <c r="AF384" s="37"/>
      <c r="AG384" s="37"/>
      <c r="AH384" s="37"/>
      <c r="AI384" s="37"/>
      <c r="AJ384" s="37"/>
      <c r="AK384" s="37"/>
    </row>
    <row r="385" spans="1:37" ht="14.25">
      <c r="A385" s="43"/>
      <c r="B385" s="37"/>
      <c r="C385" s="37"/>
      <c r="D385" s="37"/>
      <c r="E385" s="37"/>
      <c r="F385" s="43"/>
      <c r="G385" s="43"/>
      <c r="H385" s="44"/>
      <c r="I385" s="43"/>
      <c r="J385" s="37"/>
      <c r="K385" s="37"/>
      <c r="L385" s="37"/>
      <c r="M385" s="37"/>
      <c r="N385" s="37"/>
      <c r="O385" s="37"/>
      <c r="P385" s="37"/>
      <c r="Q385" s="37"/>
      <c r="R385" s="37"/>
      <c r="S385" s="37"/>
      <c r="T385" s="37"/>
      <c r="U385" s="37"/>
      <c r="V385" s="37"/>
      <c r="W385" s="37"/>
      <c r="X385" s="37"/>
      <c r="Y385" s="37"/>
      <c r="Z385" s="37"/>
      <c r="AA385" s="37"/>
      <c r="AB385" s="37"/>
      <c r="AC385" s="37"/>
      <c r="AD385" s="37"/>
      <c r="AE385" s="37"/>
      <c r="AF385" s="37"/>
      <c r="AG385" s="37"/>
      <c r="AH385" s="37"/>
      <c r="AI385" s="37"/>
      <c r="AJ385" s="37"/>
      <c r="AK385" s="37"/>
    </row>
    <row r="386" spans="1:37" ht="14.25">
      <c r="A386" s="43"/>
      <c r="B386" s="37"/>
      <c r="C386" s="37"/>
      <c r="D386" s="37"/>
      <c r="E386" s="37"/>
      <c r="F386" s="43"/>
      <c r="G386" s="43"/>
      <c r="H386" s="44"/>
      <c r="I386" s="43"/>
      <c r="J386" s="37"/>
      <c r="K386" s="37"/>
      <c r="L386" s="37"/>
      <c r="M386" s="37"/>
      <c r="N386" s="37"/>
      <c r="O386" s="37"/>
      <c r="P386" s="37"/>
      <c r="Q386" s="37"/>
      <c r="R386" s="37"/>
      <c r="S386" s="37"/>
      <c r="T386" s="37"/>
      <c r="U386" s="37"/>
      <c r="V386" s="37"/>
      <c r="W386" s="37"/>
      <c r="X386" s="37"/>
      <c r="Y386" s="37"/>
      <c r="Z386" s="37"/>
      <c r="AA386" s="37"/>
      <c r="AB386" s="37"/>
      <c r="AC386" s="37"/>
      <c r="AD386" s="37"/>
      <c r="AE386" s="37"/>
      <c r="AF386" s="37"/>
      <c r="AG386" s="37"/>
      <c r="AH386" s="37"/>
      <c r="AI386" s="37"/>
      <c r="AJ386" s="37"/>
      <c r="AK386" s="37"/>
    </row>
    <row r="387" spans="1:37" ht="14.25">
      <c r="A387" s="43"/>
      <c r="B387" s="37"/>
      <c r="C387" s="37"/>
      <c r="D387" s="37"/>
      <c r="E387" s="37"/>
      <c r="F387" s="43"/>
      <c r="G387" s="43"/>
      <c r="H387" s="44"/>
      <c r="I387" s="43"/>
      <c r="J387" s="37"/>
      <c r="K387" s="37"/>
      <c r="L387" s="37"/>
      <c r="M387" s="37"/>
      <c r="N387" s="37"/>
      <c r="O387" s="37"/>
      <c r="P387" s="37"/>
      <c r="Q387" s="37"/>
      <c r="R387" s="37"/>
      <c r="S387" s="37"/>
      <c r="T387" s="37"/>
      <c r="U387" s="37"/>
      <c r="V387" s="37"/>
      <c r="W387" s="37"/>
      <c r="X387" s="37"/>
      <c r="Y387" s="37"/>
      <c r="Z387" s="37"/>
      <c r="AA387" s="37"/>
      <c r="AB387" s="37"/>
      <c r="AC387" s="37"/>
      <c r="AD387" s="37"/>
      <c r="AE387" s="37"/>
      <c r="AF387" s="37"/>
      <c r="AG387" s="37"/>
      <c r="AH387" s="37"/>
      <c r="AI387" s="37"/>
      <c r="AJ387" s="37"/>
      <c r="AK387" s="37"/>
    </row>
    <row r="388" spans="1:37" ht="14.25">
      <c r="A388" s="43"/>
      <c r="B388" s="37"/>
      <c r="C388" s="37"/>
      <c r="D388" s="37"/>
      <c r="E388" s="37"/>
      <c r="F388" s="43"/>
      <c r="G388" s="43"/>
      <c r="H388" s="44"/>
      <c r="I388" s="43"/>
      <c r="J388" s="37"/>
      <c r="K388" s="37"/>
      <c r="L388" s="37"/>
      <c r="M388" s="37"/>
      <c r="N388" s="37"/>
      <c r="O388" s="37"/>
      <c r="P388" s="37"/>
      <c r="Q388" s="37"/>
      <c r="R388" s="37"/>
      <c r="S388" s="37"/>
      <c r="T388" s="37"/>
      <c r="U388" s="37"/>
      <c r="V388" s="37"/>
      <c r="W388" s="37"/>
      <c r="X388" s="37"/>
      <c r="Y388" s="37"/>
      <c r="Z388" s="37"/>
      <c r="AA388" s="37"/>
      <c r="AB388" s="37"/>
      <c r="AC388" s="37"/>
      <c r="AD388" s="37"/>
      <c r="AE388" s="37"/>
      <c r="AF388" s="37"/>
      <c r="AG388" s="37"/>
      <c r="AH388" s="37"/>
      <c r="AI388" s="37"/>
      <c r="AJ388" s="37"/>
      <c r="AK388" s="37"/>
    </row>
    <row r="389" spans="1:37" ht="14.25">
      <c r="A389" s="43"/>
      <c r="B389" s="37"/>
      <c r="C389" s="37"/>
      <c r="D389" s="37"/>
      <c r="E389" s="37"/>
      <c r="F389" s="43"/>
      <c r="G389" s="43"/>
      <c r="H389" s="44"/>
      <c r="I389" s="43"/>
      <c r="J389" s="37"/>
      <c r="K389" s="37"/>
      <c r="L389" s="37"/>
      <c r="M389" s="37"/>
      <c r="N389" s="37"/>
      <c r="O389" s="37"/>
      <c r="P389" s="37"/>
      <c r="Q389" s="37"/>
      <c r="R389" s="37"/>
      <c r="S389" s="37"/>
      <c r="T389" s="37"/>
      <c r="U389" s="37"/>
      <c r="V389" s="37"/>
      <c r="W389" s="37"/>
      <c r="X389" s="37"/>
      <c r="Y389" s="37"/>
      <c r="Z389" s="37"/>
      <c r="AA389" s="37"/>
      <c r="AB389" s="37"/>
      <c r="AC389" s="37"/>
      <c r="AD389" s="37"/>
      <c r="AE389" s="37"/>
      <c r="AF389" s="37"/>
      <c r="AG389" s="37"/>
      <c r="AH389" s="37"/>
      <c r="AI389" s="37"/>
      <c r="AJ389" s="37"/>
      <c r="AK389" s="37"/>
    </row>
    <row r="390" spans="1:37" ht="14.25">
      <c r="A390" s="43"/>
      <c r="B390" s="37"/>
      <c r="C390" s="37"/>
      <c r="D390" s="37"/>
      <c r="E390" s="37"/>
      <c r="F390" s="43"/>
      <c r="G390" s="43"/>
      <c r="H390" s="44"/>
      <c r="I390" s="43"/>
      <c r="J390" s="37"/>
      <c r="K390" s="37"/>
      <c r="L390" s="37"/>
      <c r="M390" s="37"/>
      <c r="N390" s="37"/>
      <c r="O390" s="37"/>
      <c r="P390" s="37"/>
      <c r="Q390" s="37"/>
      <c r="R390" s="37"/>
      <c r="S390" s="37"/>
      <c r="T390" s="37"/>
      <c r="U390" s="37"/>
      <c r="V390" s="37"/>
      <c r="W390" s="37"/>
      <c r="X390" s="37"/>
      <c r="Y390" s="37"/>
      <c r="Z390" s="37"/>
      <c r="AA390" s="37"/>
      <c r="AB390" s="37"/>
      <c r="AC390" s="37"/>
      <c r="AD390" s="37"/>
      <c r="AE390" s="37"/>
      <c r="AF390" s="37"/>
      <c r="AG390" s="37"/>
      <c r="AH390" s="37"/>
      <c r="AI390" s="37"/>
      <c r="AJ390" s="37"/>
      <c r="AK390" s="37"/>
    </row>
    <row r="391" spans="1:37" ht="14.25">
      <c r="A391" s="43"/>
      <c r="B391" s="37"/>
      <c r="C391" s="37"/>
      <c r="D391" s="37"/>
      <c r="E391" s="37"/>
      <c r="F391" s="43"/>
      <c r="G391" s="43"/>
      <c r="H391" s="44"/>
      <c r="I391" s="43"/>
      <c r="J391" s="37"/>
      <c r="K391" s="37"/>
      <c r="L391" s="37"/>
      <c r="M391" s="37"/>
      <c r="N391" s="37"/>
      <c r="O391" s="37"/>
      <c r="P391" s="37"/>
      <c r="Q391" s="37"/>
      <c r="R391" s="37"/>
      <c r="S391" s="37"/>
      <c r="T391" s="37"/>
      <c r="U391" s="37"/>
      <c r="V391" s="37"/>
      <c r="W391" s="37"/>
      <c r="X391" s="37"/>
      <c r="Y391" s="37"/>
      <c r="Z391" s="37"/>
      <c r="AA391" s="37"/>
      <c r="AB391" s="37"/>
      <c r="AC391" s="37"/>
      <c r="AD391" s="37"/>
      <c r="AE391" s="37"/>
      <c r="AF391" s="37"/>
      <c r="AG391" s="37"/>
      <c r="AH391" s="37"/>
      <c r="AI391" s="37"/>
      <c r="AJ391" s="37"/>
      <c r="AK391" s="37"/>
    </row>
    <row r="392" spans="1:37" ht="14.25">
      <c r="A392" s="43"/>
      <c r="B392" s="37"/>
      <c r="C392" s="37"/>
      <c r="D392" s="37"/>
      <c r="E392" s="37"/>
      <c r="F392" s="43"/>
      <c r="G392" s="43"/>
      <c r="H392" s="44"/>
      <c r="I392" s="43"/>
      <c r="J392" s="37"/>
      <c r="K392" s="37"/>
      <c r="L392" s="37"/>
      <c r="M392" s="37"/>
      <c r="N392" s="37"/>
      <c r="O392" s="37"/>
      <c r="P392" s="37"/>
      <c r="Q392" s="37"/>
      <c r="R392" s="37"/>
      <c r="S392" s="37"/>
      <c r="T392" s="37"/>
      <c r="U392" s="37"/>
      <c r="V392" s="37"/>
      <c r="W392" s="37"/>
      <c r="X392" s="37"/>
      <c r="Y392" s="37"/>
      <c r="Z392" s="37"/>
      <c r="AA392" s="37"/>
      <c r="AB392" s="37"/>
      <c r="AC392" s="37"/>
      <c r="AD392" s="37"/>
      <c r="AE392" s="37"/>
      <c r="AF392" s="37"/>
      <c r="AG392" s="37"/>
      <c r="AH392" s="37"/>
      <c r="AI392" s="37"/>
      <c r="AJ392" s="37"/>
      <c r="AK392" s="37"/>
    </row>
    <row r="393" spans="1:37" ht="14.25">
      <c r="A393" s="43"/>
      <c r="B393" s="37"/>
      <c r="C393" s="37"/>
      <c r="D393" s="37"/>
      <c r="E393" s="37"/>
      <c r="F393" s="43"/>
      <c r="G393" s="43"/>
      <c r="H393" s="44"/>
      <c r="I393" s="43"/>
      <c r="J393" s="37"/>
      <c r="K393" s="37"/>
      <c r="L393" s="37"/>
      <c r="M393" s="37"/>
      <c r="N393" s="37"/>
      <c r="O393" s="37"/>
      <c r="P393" s="37"/>
      <c r="Q393" s="37"/>
      <c r="R393" s="37"/>
      <c r="S393" s="37"/>
      <c r="T393" s="37"/>
      <c r="U393" s="37"/>
      <c r="V393" s="37"/>
      <c r="W393" s="37"/>
      <c r="X393" s="37"/>
      <c r="Y393" s="37"/>
      <c r="Z393" s="37"/>
      <c r="AA393" s="37"/>
      <c r="AB393" s="37"/>
      <c r="AC393" s="37"/>
      <c r="AD393" s="37"/>
      <c r="AE393" s="37"/>
      <c r="AF393" s="37"/>
      <c r="AG393" s="37"/>
      <c r="AH393" s="37"/>
      <c r="AI393" s="37"/>
      <c r="AJ393" s="37"/>
      <c r="AK393" s="37"/>
    </row>
    <row r="394" spans="1:37" ht="14.25">
      <c r="A394" s="43"/>
      <c r="B394" s="37"/>
      <c r="C394" s="37"/>
      <c r="D394" s="37"/>
      <c r="E394" s="37"/>
      <c r="F394" s="43"/>
      <c r="G394" s="43"/>
      <c r="H394" s="44"/>
      <c r="I394" s="43"/>
      <c r="J394" s="37"/>
      <c r="K394" s="37"/>
      <c r="L394" s="37"/>
      <c r="M394" s="37"/>
      <c r="N394" s="37"/>
      <c r="O394" s="37"/>
      <c r="P394" s="37"/>
      <c r="Q394" s="37"/>
      <c r="R394" s="37"/>
      <c r="S394" s="37"/>
      <c r="T394" s="37"/>
      <c r="U394" s="37"/>
      <c r="V394" s="37"/>
      <c r="W394" s="37"/>
      <c r="X394" s="37"/>
      <c r="Y394" s="37"/>
      <c r="Z394" s="37"/>
      <c r="AA394" s="37"/>
      <c r="AB394" s="37"/>
      <c r="AC394" s="37"/>
      <c r="AD394" s="37"/>
      <c r="AE394" s="37"/>
      <c r="AF394" s="37"/>
      <c r="AG394" s="37"/>
      <c r="AH394" s="37"/>
      <c r="AI394" s="37"/>
      <c r="AJ394" s="37"/>
      <c r="AK394" s="37"/>
    </row>
    <row r="395" spans="1:37" ht="14.25">
      <c r="A395" s="43"/>
      <c r="B395" s="37"/>
      <c r="C395" s="37"/>
      <c r="D395" s="37"/>
      <c r="E395" s="37"/>
      <c r="F395" s="43"/>
      <c r="G395" s="43"/>
      <c r="H395" s="44"/>
      <c r="I395" s="43"/>
      <c r="J395" s="37"/>
      <c r="K395" s="37"/>
      <c r="L395" s="37"/>
      <c r="M395" s="37"/>
      <c r="N395" s="37"/>
      <c r="O395" s="37"/>
      <c r="P395" s="37"/>
      <c r="Q395" s="37"/>
      <c r="R395" s="37"/>
      <c r="S395" s="37"/>
      <c r="T395" s="37"/>
      <c r="U395" s="37"/>
      <c r="V395" s="37"/>
      <c r="W395" s="37"/>
      <c r="X395" s="37"/>
      <c r="Y395" s="37"/>
      <c r="Z395" s="37"/>
      <c r="AA395" s="37"/>
      <c r="AB395" s="37"/>
      <c r="AC395" s="37"/>
      <c r="AD395" s="37"/>
      <c r="AE395" s="37"/>
      <c r="AF395" s="37"/>
      <c r="AG395" s="37"/>
      <c r="AH395" s="37"/>
      <c r="AI395" s="37"/>
      <c r="AJ395" s="37"/>
      <c r="AK395" s="37"/>
    </row>
    <row r="396" spans="1:37" ht="14.25">
      <c r="A396" s="43"/>
      <c r="B396" s="37"/>
      <c r="C396" s="37"/>
      <c r="D396" s="37"/>
      <c r="E396" s="37"/>
      <c r="F396" s="43"/>
      <c r="G396" s="43"/>
      <c r="H396" s="44"/>
      <c r="I396" s="43"/>
      <c r="J396" s="37"/>
      <c r="K396" s="37"/>
      <c r="L396" s="37"/>
      <c r="M396" s="37"/>
      <c r="N396" s="37"/>
      <c r="O396" s="37"/>
      <c r="P396" s="37"/>
      <c r="Q396" s="37"/>
      <c r="R396" s="37"/>
      <c r="S396" s="37"/>
      <c r="T396" s="37"/>
      <c r="U396" s="37"/>
      <c r="V396" s="37"/>
      <c r="W396" s="37"/>
      <c r="X396" s="37"/>
      <c r="Y396" s="37"/>
      <c r="Z396" s="37"/>
      <c r="AA396" s="37"/>
      <c r="AB396" s="37"/>
      <c r="AC396" s="37"/>
      <c r="AD396" s="37"/>
      <c r="AE396" s="37"/>
      <c r="AF396" s="37"/>
      <c r="AG396" s="37"/>
      <c r="AH396" s="37"/>
      <c r="AI396" s="37"/>
      <c r="AJ396" s="37"/>
      <c r="AK396" s="37"/>
    </row>
    <row r="397" spans="1:37" ht="14.25">
      <c r="A397" s="43"/>
      <c r="B397" s="37"/>
      <c r="C397" s="37"/>
      <c r="D397" s="37"/>
      <c r="E397" s="37"/>
      <c r="F397" s="43"/>
      <c r="G397" s="43"/>
      <c r="H397" s="44"/>
      <c r="I397" s="43"/>
      <c r="J397" s="37"/>
      <c r="K397" s="37"/>
      <c r="L397" s="37"/>
      <c r="M397" s="37"/>
      <c r="N397" s="37"/>
      <c r="O397" s="37"/>
      <c r="P397" s="37"/>
      <c r="Q397" s="37"/>
      <c r="R397" s="37"/>
      <c r="S397" s="37"/>
      <c r="T397" s="37"/>
      <c r="U397" s="37"/>
      <c r="V397" s="37"/>
      <c r="W397" s="37"/>
      <c r="X397" s="37"/>
      <c r="Y397" s="37"/>
      <c r="Z397" s="37"/>
      <c r="AA397" s="37"/>
      <c r="AB397" s="37"/>
      <c r="AC397" s="37"/>
      <c r="AD397" s="37"/>
      <c r="AE397" s="37"/>
      <c r="AF397" s="37"/>
      <c r="AG397" s="37"/>
      <c r="AH397" s="37"/>
      <c r="AI397" s="37"/>
      <c r="AJ397" s="37"/>
      <c r="AK397" s="37"/>
    </row>
    <row r="398" spans="1:37" ht="14.25">
      <c r="A398" s="43"/>
      <c r="B398" s="37"/>
      <c r="C398" s="37"/>
      <c r="D398" s="37"/>
      <c r="E398" s="37"/>
      <c r="F398" s="43"/>
      <c r="G398" s="43"/>
      <c r="H398" s="44"/>
      <c r="I398" s="43"/>
      <c r="J398" s="37"/>
      <c r="K398" s="37"/>
      <c r="L398" s="37"/>
      <c r="M398" s="37"/>
      <c r="N398" s="37"/>
      <c r="O398" s="37"/>
      <c r="P398" s="37"/>
      <c r="Q398" s="37"/>
      <c r="R398" s="37"/>
      <c r="S398" s="37"/>
      <c r="T398" s="37"/>
      <c r="U398" s="37"/>
      <c r="V398" s="37"/>
      <c r="W398" s="37"/>
      <c r="X398" s="37"/>
      <c r="Y398" s="37"/>
      <c r="Z398" s="37"/>
      <c r="AA398" s="37"/>
      <c r="AB398" s="37"/>
      <c r="AC398" s="37"/>
      <c r="AD398" s="37"/>
      <c r="AE398" s="37"/>
      <c r="AF398" s="37"/>
      <c r="AG398" s="37"/>
      <c r="AH398" s="37"/>
      <c r="AI398" s="37"/>
      <c r="AJ398" s="37"/>
      <c r="AK398" s="37"/>
    </row>
    <row r="399" spans="1:37" ht="14.25">
      <c r="A399" s="43"/>
      <c r="B399" s="37"/>
      <c r="C399" s="37"/>
      <c r="D399" s="37"/>
      <c r="E399" s="37"/>
      <c r="F399" s="43"/>
      <c r="G399" s="43"/>
      <c r="H399" s="44"/>
      <c r="I399" s="43"/>
      <c r="J399" s="37"/>
      <c r="K399" s="37"/>
      <c r="L399" s="37"/>
      <c r="M399" s="37"/>
      <c r="N399" s="37"/>
      <c r="O399" s="37"/>
      <c r="P399" s="37"/>
      <c r="Q399" s="37"/>
      <c r="R399" s="37"/>
      <c r="S399" s="37"/>
      <c r="T399" s="37"/>
      <c r="U399" s="37"/>
      <c r="V399" s="37"/>
      <c r="W399" s="37"/>
      <c r="X399" s="37"/>
      <c r="Y399" s="37"/>
      <c r="Z399" s="37"/>
      <c r="AA399" s="37"/>
      <c r="AB399" s="37"/>
      <c r="AC399" s="37"/>
      <c r="AD399" s="37"/>
      <c r="AE399" s="37"/>
      <c r="AF399" s="37"/>
      <c r="AG399" s="37"/>
      <c r="AH399" s="37"/>
      <c r="AI399" s="37"/>
      <c r="AJ399" s="37"/>
      <c r="AK399" s="37"/>
    </row>
    <row r="400" spans="1:37" ht="14.25">
      <c r="A400" s="43"/>
      <c r="B400" s="37"/>
      <c r="C400" s="37"/>
      <c r="D400" s="37"/>
      <c r="E400" s="37"/>
      <c r="F400" s="43"/>
      <c r="G400" s="43"/>
      <c r="H400" s="44"/>
      <c r="I400" s="43"/>
      <c r="J400" s="37"/>
      <c r="K400" s="37"/>
      <c r="L400" s="37"/>
      <c r="M400" s="37"/>
      <c r="N400" s="37"/>
      <c r="O400" s="37"/>
      <c r="P400" s="37"/>
      <c r="Q400" s="37"/>
      <c r="R400" s="37"/>
      <c r="S400" s="37"/>
      <c r="T400" s="37"/>
      <c r="U400" s="37"/>
      <c r="V400" s="37"/>
      <c r="W400" s="37"/>
      <c r="X400" s="37"/>
      <c r="Y400" s="37"/>
      <c r="Z400" s="37"/>
      <c r="AA400" s="37"/>
      <c r="AB400" s="37"/>
      <c r="AC400" s="37"/>
      <c r="AD400" s="37"/>
      <c r="AE400" s="37"/>
      <c r="AF400" s="37"/>
      <c r="AG400" s="37"/>
      <c r="AH400" s="37"/>
      <c r="AI400" s="37"/>
      <c r="AJ400" s="37"/>
      <c r="AK400" s="37"/>
    </row>
    <row r="401" spans="1:37" ht="14.25">
      <c r="A401" s="43"/>
      <c r="B401" s="37"/>
      <c r="C401" s="37"/>
      <c r="D401" s="37"/>
      <c r="E401" s="37"/>
      <c r="F401" s="43"/>
      <c r="G401" s="43"/>
      <c r="H401" s="44"/>
      <c r="I401" s="43"/>
      <c r="J401" s="37"/>
      <c r="K401" s="37"/>
      <c r="L401" s="37"/>
      <c r="M401" s="37"/>
      <c r="N401" s="37"/>
      <c r="O401" s="37"/>
      <c r="P401" s="37"/>
      <c r="Q401" s="37"/>
      <c r="R401" s="37"/>
      <c r="S401" s="37"/>
      <c r="T401" s="37"/>
      <c r="U401" s="37"/>
      <c r="V401" s="37"/>
      <c r="W401" s="37"/>
      <c r="X401" s="37"/>
      <c r="Y401" s="37"/>
      <c r="Z401" s="37"/>
      <c r="AA401" s="37"/>
      <c r="AB401" s="37"/>
      <c r="AC401" s="37"/>
      <c r="AD401" s="37"/>
      <c r="AE401" s="37"/>
      <c r="AF401" s="37"/>
      <c r="AG401" s="37"/>
      <c r="AH401" s="37"/>
      <c r="AI401" s="37"/>
      <c r="AJ401" s="37"/>
      <c r="AK401" s="37"/>
    </row>
    <row r="402" spans="1:37" ht="14.25">
      <c r="A402" s="43"/>
      <c r="B402" s="37"/>
      <c r="C402" s="37"/>
      <c r="D402" s="37"/>
      <c r="E402" s="37"/>
      <c r="F402" s="43"/>
      <c r="G402" s="43"/>
      <c r="H402" s="44"/>
      <c r="I402" s="43"/>
      <c r="J402" s="37"/>
      <c r="K402" s="37"/>
      <c r="L402" s="37"/>
      <c r="M402" s="37"/>
      <c r="N402" s="37"/>
      <c r="O402" s="37"/>
      <c r="P402" s="37"/>
      <c r="Q402" s="37"/>
      <c r="R402" s="37"/>
      <c r="S402" s="37"/>
      <c r="T402" s="37"/>
      <c r="U402" s="37"/>
      <c r="V402" s="37"/>
      <c r="W402" s="37"/>
      <c r="X402" s="37"/>
      <c r="Y402" s="37"/>
      <c r="Z402" s="37"/>
      <c r="AA402" s="37"/>
      <c r="AB402" s="37"/>
      <c r="AC402" s="37"/>
      <c r="AD402" s="37"/>
      <c r="AE402" s="37"/>
      <c r="AF402" s="37"/>
      <c r="AG402" s="37"/>
      <c r="AH402" s="37"/>
      <c r="AI402" s="37"/>
      <c r="AJ402" s="37"/>
      <c r="AK402" s="37"/>
    </row>
    <row r="403" spans="1:37" ht="14.25">
      <c r="A403" s="43"/>
      <c r="B403" s="37"/>
      <c r="C403" s="37"/>
      <c r="D403" s="37"/>
      <c r="E403" s="37"/>
      <c r="F403" s="43"/>
      <c r="G403" s="43"/>
      <c r="H403" s="44"/>
      <c r="I403" s="43"/>
      <c r="J403" s="37"/>
      <c r="K403" s="37"/>
      <c r="L403" s="37"/>
      <c r="M403" s="37"/>
      <c r="N403" s="37"/>
      <c r="O403" s="37"/>
      <c r="P403" s="37"/>
      <c r="Q403" s="37"/>
      <c r="R403" s="37"/>
      <c r="S403" s="37"/>
      <c r="T403" s="37"/>
      <c r="U403" s="37"/>
      <c r="V403" s="37"/>
      <c r="W403" s="37"/>
      <c r="X403" s="37"/>
      <c r="Y403" s="37"/>
      <c r="Z403" s="37"/>
      <c r="AA403" s="37"/>
      <c r="AB403" s="37"/>
      <c r="AC403" s="37"/>
      <c r="AD403" s="37"/>
      <c r="AE403" s="37"/>
      <c r="AF403" s="37"/>
      <c r="AG403" s="37"/>
      <c r="AH403" s="37"/>
      <c r="AI403" s="37"/>
      <c r="AJ403" s="37"/>
      <c r="AK403" s="37"/>
    </row>
    <row r="404" spans="1:37" ht="14.25">
      <c r="A404" s="43"/>
      <c r="B404" s="37"/>
      <c r="C404" s="37"/>
      <c r="D404" s="37"/>
      <c r="E404" s="37"/>
      <c r="F404" s="43"/>
      <c r="G404" s="43"/>
      <c r="H404" s="44"/>
      <c r="I404" s="43"/>
      <c r="J404" s="37"/>
      <c r="K404" s="37"/>
      <c r="L404" s="37"/>
      <c r="M404" s="37"/>
      <c r="N404" s="37"/>
      <c r="O404" s="37"/>
      <c r="P404" s="37"/>
      <c r="Q404" s="37"/>
      <c r="R404" s="37"/>
      <c r="S404" s="37"/>
      <c r="T404" s="37"/>
      <c r="U404" s="37"/>
      <c r="V404" s="37"/>
      <c r="W404" s="37"/>
      <c r="X404" s="37"/>
      <c r="Y404" s="37"/>
      <c r="Z404" s="37"/>
      <c r="AA404" s="37"/>
      <c r="AB404" s="37"/>
      <c r="AC404" s="37"/>
      <c r="AD404" s="37"/>
      <c r="AE404" s="37"/>
      <c r="AF404" s="37"/>
      <c r="AG404" s="37"/>
      <c r="AH404" s="37"/>
      <c r="AI404" s="37"/>
      <c r="AJ404" s="37"/>
      <c r="AK404" s="37"/>
    </row>
    <row r="405" spans="1:37" ht="14.25">
      <c r="A405" s="43"/>
      <c r="B405" s="37"/>
      <c r="C405" s="37"/>
      <c r="D405" s="37"/>
      <c r="E405" s="37"/>
      <c r="F405" s="43"/>
      <c r="G405" s="43"/>
      <c r="H405" s="44"/>
      <c r="I405" s="43"/>
      <c r="J405" s="37"/>
      <c r="K405" s="37"/>
      <c r="L405" s="37"/>
      <c r="M405" s="37"/>
      <c r="N405" s="37"/>
      <c r="O405" s="37"/>
      <c r="P405" s="37"/>
      <c r="Q405" s="37"/>
      <c r="R405" s="37"/>
      <c r="S405" s="37"/>
      <c r="T405" s="37"/>
      <c r="U405" s="37"/>
      <c r="V405" s="37"/>
      <c r="W405" s="37"/>
      <c r="X405" s="37"/>
      <c r="Y405" s="37"/>
      <c r="Z405" s="37"/>
      <c r="AA405" s="37"/>
      <c r="AB405" s="37"/>
      <c r="AC405" s="37"/>
      <c r="AD405" s="37"/>
      <c r="AE405" s="37"/>
      <c r="AF405" s="37"/>
      <c r="AG405" s="37"/>
      <c r="AH405" s="37"/>
      <c r="AI405" s="37"/>
      <c r="AJ405" s="37"/>
      <c r="AK405" s="37"/>
    </row>
    <row r="406" spans="1:37" ht="14.25">
      <c r="A406" s="43"/>
      <c r="B406" s="37"/>
      <c r="C406" s="37"/>
      <c r="D406" s="37"/>
      <c r="E406" s="37"/>
      <c r="F406" s="43"/>
      <c r="G406" s="43"/>
      <c r="H406" s="44"/>
      <c r="I406" s="43"/>
      <c r="J406" s="37"/>
      <c r="K406" s="37"/>
      <c r="L406" s="37"/>
      <c r="M406" s="37"/>
      <c r="N406" s="37"/>
      <c r="O406" s="37"/>
      <c r="P406" s="37"/>
      <c r="Q406" s="37"/>
      <c r="R406" s="37"/>
      <c r="S406" s="37"/>
      <c r="T406" s="37"/>
      <c r="U406" s="37"/>
      <c r="V406" s="37"/>
      <c r="W406" s="37"/>
      <c r="X406" s="37"/>
      <c r="Y406" s="37"/>
      <c r="Z406" s="37"/>
      <c r="AA406" s="37"/>
      <c r="AB406" s="37"/>
      <c r="AC406" s="37"/>
      <c r="AD406" s="37"/>
      <c r="AE406" s="37"/>
      <c r="AF406" s="37"/>
      <c r="AG406" s="37"/>
      <c r="AH406" s="37"/>
      <c r="AI406" s="37"/>
      <c r="AJ406" s="37"/>
      <c r="AK406" s="37"/>
    </row>
    <row r="407" spans="1:37" ht="14.25">
      <c r="A407" s="43"/>
      <c r="B407" s="37"/>
      <c r="C407" s="37"/>
      <c r="D407" s="37"/>
      <c r="E407" s="37"/>
      <c r="F407" s="43"/>
      <c r="G407" s="43"/>
      <c r="H407" s="44"/>
      <c r="I407" s="43"/>
      <c r="J407" s="37"/>
      <c r="K407" s="37"/>
      <c r="L407" s="37"/>
      <c r="M407" s="37"/>
      <c r="N407" s="37"/>
      <c r="O407" s="37"/>
      <c r="P407" s="37"/>
      <c r="Q407" s="37"/>
      <c r="R407" s="37"/>
      <c r="S407" s="37"/>
      <c r="T407" s="37"/>
      <c r="U407" s="37"/>
      <c r="V407" s="37"/>
      <c r="W407" s="37"/>
      <c r="X407" s="37"/>
      <c r="Y407" s="37"/>
      <c r="Z407" s="37"/>
      <c r="AA407" s="37"/>
      <c r="AB407" s="37"/>
      <c r="AC407" s="37"/>
      <c r="AD407" s="37"/>
      <c r="AE407" s="37"/>
      <c r="AF407" s="37"/>
      <c r="AG407" s="37"/>
      <c r="AH407" s="37"/>
      <c r="AI407" s="37"/>
      <c r="AJ407" s="37"/>
      <c r="AK407" s="37"/>
    </row>
    <row r="408" spans="1:37" ht="14.25">
      <c r="A408" s="43"/>
      <c r="B408" s="37"/>
      <c r="C408" s="37"/>
      <c r="D408" s="37"/>
      <c r="E408" s="37"/>
      <c r="F408" s="43"/>
      <c r="G408" s="43"/>
      <c r="H408" s="44"/>
      <c r="I408" s="43"/>
      <c r="J408" s="37"/>
      <c r="K408" s="37"/>
      <c r="L408" s="37"/>
      <c r="M408" s="37"/>
      <c r="N408" s="37"/>
      <c r="O408" s="37"/>
      <c r="P408" s="37"/>
      <c r="Q408" s="37"/>
      <c r="R408" s="37"/>
      <c r="S408" s="37"/>
      <c r="T408" s="37"/>
      <c r="U408" s="37"/>
      <c r="V408" s="37"/>
      <c r="W408" s="37"/>
      <c r="X408" s="37"/>
      <c r="Y408" s="37"/>
      <c r="Z408" s="37"/>
      <c r="AA408" s="37"/>
      <c r="AB408" s="37"/>
      <c r="AC408" s="37"/>
      <c r="AD408" s="37"/>
      <c r="AE408" s="37"/>
      <c r="AF408" s="37"/>
      <c r="AG408" s="37"/>
      <c r="AH408" s="37"/>
      <c r="AI408" s="37"/>
      <c r="AJ408" s="37"/>
      <c r="AK408" s="37"/>
    </row>
    <row r="409" spans="1:37" ht="14.25">
      <c r="A409" s="43"/>
      <c r="B409" s="37"/>
      <c r="C409" s="37"/>
      <c r="D409" s="37"/>
      <c r="E409" s="37"/>
      <c r="F409" s="43"/>
      <c r="G409" s="43"/>
      <c r="H409" s="44"/>
      <c r="I409" s="43"/>
      <c r="J409" s="37"/>
      <c r="K409" s="37"/>
      <c r="L409" s="37"/>
      <c r="M409" s="37"/>
      <c r="N409" s="37"/>
      <c r="O409" s="37"/>
      <c r="P409" s="37"/>
      <c r="Q409" s="37"/>
      <c r="R409" s="37"/>
      <c r="S409" s="37"/>
      <c r="T409" s="37"/>
      <c r="U409" s="37"/>
      <c r="V409" s="37"/>
      <c r="W409" s="37"/>
      <c r="X409" s="37"/>
      <c r="Y409" s="37"/>
      <c r="Z409" s="37"/>
      <c r="AA409" s="37"/>
      <c r="AB409" s="37"/>
      <c r="AC409" s="37"/>
      <c r="AD409" s="37"/>
      <c r="AE409" s="37"/>
      <c r="AF409" s="37"/>
      <c r="AG409" s="37"/>
      <c r="AH409" s="37"/>
      <c r="AI409" s="37"/>
      <c r="AJ409" s="37"/>
      <c r="AK409" s="37"/>
    </row>
    <row r="410" spans="1:37" ht="14.25">
      <c r="A410" s="43"/>
      <c r="B410" s="37"/>
      <c r="C410" s="37"/>
      <c r="D410" s="37"/>
      <c r="E410" s="37"/>
      <c r="F410" s="43"/>
      <c r="G410" s="43"/>
      <c r="H410" s="44"/>
      <c r="I410" s="43"/>
      <c r="J410" s="37"/>
      <c r="K410" s="37"/>
      <c r="L410" s="37"/>
      <c r="M410" s="37"/>
      <c r="N410" s="37"/>
      <c r="O410" s="37"/>
      <c r="P410" s="37"/>
      <c r="Q410" s="37"/>
      <c r="R410" s="37"/>
      <c r="S410" s="37"/>
      <c r="T410" s="37"/>
      <c r="U410" s="37"/>
      <c r="V410" s="37"/>
      <c r="W410" s="37"/>
      <c r="X410" s="37"/>
      <c r="Y410" s="37"/>
      <c r="Z410" s="37"/>
      <c r="AA410" s="37"/>
      <c r="AB410" s="37"/>
      <c r="AC410" s="37"/>
      <c r="AD410" s="37"/>
      <c r="AE410" s="37"/>
      <c r="AF410" s="37"/>
      <c r="AG410" s="37"/>
      <c r="AH410" s="37"/>
      <c r="AI410" s="37"/>
      <c r="AJ410" s="37"/>
      <c r="AK410" s="37"/>
    </row>
    <row r="411" spans="1:37" ht="14.25">
      <c r="A411" s="43"/>
      <c r="B411" s="37"/>
      <c r="C411" s="37"/>
      <c r="D411" s="37"/>
      <c r="E411" s="37"/>
      <c r="F411" s="43"/>
      <c r="G411" s="43"/>
      <c r="H411" s="44"/>
      <c r="I411" s="43"/>
      <c r="J411" s="37"/>
      <c r="K411" s="37"/>
      <c r="L411" s="37"/>
      <c r="M411" s="37"/>
      <c r="N411" s="37"/>
      <c r="O411" s="37"/>
      <c r="P411" s="37"/>
      <c r="Q411" s="37"/>
      <c r="R411" s="37"/>
      <c r="S411" s="37"/>
      <c r="T411" s="37"/>
      <c r="U411" s="37"/>
      <c r="V411" s="37"/>
      <c r="W411" s="37"/>
      <c r="X411" s="37"/>
      <c r="Y411" s="37"/>
      <c r="Z411" s="37"/>
      <c r="AA411" s="37"/>
      <c r="AB411" s="37"/>
      <c r="AC411" s="37"/>
      <c r="AD411" s="37"/>
      <c r="AE411" s="37"/>
      <c r="AF411" s="37"/>
      <c r="AG411" s="37"/>
      <c r="AH411" s="37"/>
      <c r="AI411" s="37"/>
      <c r="AJ411" s="37"/>
      <c r="AK411" s="37"/>
    </row>
    <row r="412" spans="1:37" ht="14.25">
      <c r="A412" s="43"/>
      <c r="B412" s="37"/>
      <c r="C412" s="37"/>
      <c r="D412" s="37"/>
      <c r="E412" s="37"/>
      <c r="F412" s="43"/>
      <c r="G412" s="43"/>
      <c r="H412" s="44"/>
      <c r="I412" s="43"/>
      <c r="J412" s="37"/>
      <c r="K412" s="37"/>
      <c r="L412" s="37"/>
      <c r="M412" s="37"/>
      <c r="N412" s="37"/>
      <c r="O412" s="37"/>
      <c r="P412" s="37"/>
      <c r="Q412" s="37"/>
      <c r="R412" s="37"/>
      <c r="S412" s="37"/>
      <c r="T412" s="37"/>
      <c r="U412" s="37"/>
      <c r="V412" s="37"/>
      <c r="W412" s="37"/>
      <c r="X412" s="37"/>
      <c r="Y412" s="37"/>
      <c r="Z412" s="37"/>
      <c r="AA412" s="37"/>
      <c r="AB412" s="37"/>
      <c r="AC412" s="37"/>
      <c r="AD412" s="37"/>
      <c r="AE412" s="37"/>
      <c r="AF412" s="37"/>
      <c r="AG412" s="37"/>
      <c r="AH412" s="37"/>
      <c r="AI412" s="37"/>
      <c r="AJ412" s="37"/>
      <c r="AK412" s="37"/>
    </row>
    <row r="413" spans="1:37" ht="14.25">
      <c r="A413" s="43"/>
      <c r="B413" s="37"/>
      <c r="C413" s="37"/>
      <c r="D413" s="37"/>
      <c r="E413" s="37"/>
      <c r="F413" s="43"/>
      <c r="G413" s="43"/>
      <c r="H413" s="44"/>
      <c r="I413" s="43"/>
      <c r="J413" s="37"/>
      <c r="K413" s="37"/>
      <c r="L413" s="37"/>
      <c r="M413" s="37"/>
      <c r="N413" s="37"/>
      <c r="O413" s="37"/>
      <c r="P413" s="37"/>
      <c r="Q413" s="37"/>
      <c r="R413" s="37"/>
      <c r="S413" s="37"/>
      <c r="T413" s="37"/>
      <c r="U413" s="37"/>
      <c r="V413" s="37"/>
      <c r="W413" s="37"/>
      <c r="X413" s="37"/>
      <c r="Y413" s="37"/>
      <c r="Z413" s="37"/>
      <c r="AA413" s="37"/>
      <c r="AB413" s="37"/>
      <c r="AC413" s="37"/>
      <c r="AD413" s="37"/>
      <c r="AE413" s="37"/>
      <c r="AF413" s="37"/>
      <c r="AG413" s="37"/>
      <c r="AH413" s="37"/>
      <c r="AI413" s="37"/>
      <c r="AJ413" s="37"/>
      <c r="AK413" s="37"/>
    </row>
    <row r="414" spans="1:37" ht="14.25">
      <c r="A414" s="43"/>
      <c r="B414" s="37"/>
      <c r="C414" s="37"/>
      <c r="D414" s="37"/>
      <c r="E414" s="37"/>
      <c r="F414" s="43"/>
      <c r="G414" s="43"/>
      <c r="H414" s="44"/>
      <c r="I414" s="43"/>
      <c r="J414" s="37"/>
      <c r="K414" s="37"/>
      <c r="L414" s="37"/>
      <c r="M414" s="37"/>
      <c r="N414" s="37"/>
      <c r="O414" s="37"/>
      <c r="P414" s="37"/>
      <c r="Q414" s="37"/>
      <c r="R414" s="37"/>
      <c r="S414" s="37"/>
      <c r="T414" s="37"/>
      <c r="U414" s="37"/>
      <c r="V414" s="37"/>
      <c r="W414" s="37"/>
      <c r="X414" s="37"/>
      <c r="Y414" s="37"/>
      <c r="Z414" s="37"/>
      <c r="AA414" s="37"/>
      <c r="AB414" s="37"/>
      <c r="AC414" s="37"/>
      <c r="AD414" s="37"/>
      <c r="AE414" s="37"/>
      <c r="AF414" s="37"/>
      <c r="AG414" s="37"/>
      <c r="AH414" s="37"/>
      <c r="AI414" s="37"/>
      <c r="AJ414" s="37"/>
      <c r="AK414" s="37"/>
    </row>
    <row r="415" spans="1:37" ht="14.25">
      <c r="A415" s="43"/>
      <c r="B415" s="37"/>
      <c r="C415" s="37"/>
      <c r="D415" s="37"/>
      <c r="E415" s="37"/>
      <c r="F415" s="43"/>
      <c r="G415" s="43"/>
      <c r="H415" s="44"/>
      <c r="I415" s="43"/>
      <c r="J415" s="37"/>
      <c r="K415" s="37"/>
      <c r="L415" s="37"/>
      <c r="M415" s="37"/>
      <c r="N415" s="37"/>
      <c r="O415" s="37"/>
      <c r="P415" s="37"/>
      <c r="Q415" s="37"/>
      <c r="R415" s="37"/>
      <c r="S415" s="37"/>
      <c r="T415" s="37"/>
      <c r="U415" s="37"/>
      <c r="V415" s="37"/>
      <c r="W415" s="37"/>
      <c r="X415" s="37"/>
      <c r="Y415" s="37"/>
      <c r="Z415" s="37"/>
      <c r="AA415" s="37"/>
      <c r="AB415" s="37"/>
      <c r="AC415" s="37"/>
      <c r="AD415" s="37"/>
      <c r="AE415" s="37"/>
      <c r="AF415" s="37"/>
      <c r="AG415" s="37"/>
      <c r="AH415" s="37"/>
      <c r="AI415" s="37"/>
      <c r="AJ415" s="37"/>
      <c r="AK415" s="37"/>
    </row>
    <row r="416" spans="1:37" ht="14.25">
      <c r="A416" s="43"/>
      <c r="B416" s="37"/>
      <c r="C416" s="37"/>
      <c r="D416" s="37"/>
      <c r="E416" s="37"/>
      <c r="F416" s="43"/>
      <c r="G416" s="43"/>
      <c r="H416" s="44"/>
      <c r="I416" s="43"/>
      <c r="J416" s="37"/>
      <c r="K416" s="37"/>
      <c r="L416" s="37"/>
      <c r="M416" s="37"/>
      <c r="N416" s="37"/>
      <c r="O416" s="37"/>
      <c r="P416" s="37"/>
      <c r="Q416" s="37"/>
      <c r="R416" s="37"/>
      <c r="S416" s="37"/>
      <c r="T416" s="37"/>
      <c r="U416" s="37"/>
      <c r="V416" s="37"/>
      <c r="W416" s="37"/>
      <c r="X416" s="37"/>
      <c r="Y416" s="37"/>
      <c r="Z416" s="37"/>
      <c r="AA416" s="37"/>
      <c r="AB416" s="37"/>
      <c r="AC416" s="37"/>
      <c r="AD416" s="37"/>
      <c r="AE416" s="37"/>
      <c r="AF416" s="37"/>
      <c r="AG416" s="37"/>
      <c r="AH416" s="37"/>
      <c r="AI416" s="37"/>
      <c r="AJ416" s="37"/>
      <c r="AK416" s="37"/>
    </row>
    <row r="417" spans="1:37" ht="14.25">
      <c r="A417" s="43"/>
      <c r="B417" s="37"/>
      <c r="C417" s="37"/>
      <c r="D417" s="37"/>
      <c r="E417" s="37"/>
      <c r="F417" s="43"/>
      <c r="G417" s="43"/>
      <c r="H417" s="44"/>
      <c r="I417" s="43"/>
      <c r="J417" s="37"/>
      <c r="K417" s="37"/>
      <c r="L417" s="37"/>
      <c r="M417" s="37"/>
      <c r="N417" s="37"/>
      <c r="O417" s="37"/>
      <c r="P417" s="37"/>
      <c r="Q417" s="37"/>
      <c r="R417" s="37"/>
      <c r="S417" s="37"/>
      <c r="T417" s="37"/>
      <c r="U417" s="37"/>
      <c r="V417" s="37"/>
      <c r="W417" s="37"/>
      <c r="X417" s="37"/>
      <c r="Y417" s="37"/>
      <c r="Z417" s="37"/>
      <c r="AA417" s="37"/>
      <c r="AB417" s="37"/>
      <c r="AC417" s="37"/>
      <c r="AD417" s="37"/>
      <c r="AE417" s="37"/>
      <c r="AF417" s="37"/>
      <c r="AG417" s="37"/>
      <c r="AH417" s="37"/>
      <c r="AI417" s="37"/>
      <c r="AJ417" s="37"/>
      <c r="AK417" s="37"/>
    </row>
    <row r="418" spans="1:37" ht="14.25">
      <c r="A418" s="43"/>
      <c r="B418" s="37"/>
      <c r="C418" s="37"/>
      <c r="D418" s="37"/>
      <c r="E418" s="37"/>
      <c r="F418" s="43"/>
      <c r="G418" s="43"/>
      <c r="H418" s="44"/>
      <c r="I418" s="43"/>
      <c r="J418" s="37"/>
      <c r="K418" s="37"/>
      <c r="L418" s="37"/>
      <c r="M418" s="37"/>
      <c r="N418" s="37"/>
      <c r="O418" s="37"/>
      <c r="P418" s="37"/>
      <c r="Q418" s="37"/>
      <c r="R418" s="37"/>
      <c r="S418" s="37"/>
      <c r="T418" s="37"/>
      <c r="U418" s="37"/>
      <c r="V418" s="37"/>
      <c r="W418" s="37"/>
      <c r="X418" s="37"/>
      <c r="Y418" s="37"/>
      <c r="Z418" s="37"/>
      <c r="AA418" s="37"/>
      <c r="AB418" s="37"/>
      <c r="AC418" s="37"/>
      <c r="AD418" s="37"/>
      <c r="AE418" s="37"/>
      <c r="AF418" s="37"/>
      <c r="AG418" s="37"/>
      <c r="AH418" s="37"/>
      <c r="AI418" s="37"/>
      <c r="AJ418" s="37"/>
      <c r="AK418" s="37"/>
    </row>
    <row r="419" spans="1:37" ht="14.25">
      <c r="A419" s="43"/>
      <c r="B419" s="37"/>
      <c r="C419" s="37"/>
      <c r="D419" s="37"/>
      <c r="E419" s="37"/>
      <c r="F419" s="43"/>
      <c r="G419" s="43"/>
      <c r="H419" s="44"/>
      <c r="I419" s="43"/>
      <c r="J419" s="37"/>
      <c r="K419" s="37"/>
      <c r="L419" s="37"/>
      <c r="M419" s="37"/>
      <c r="N419" s="37"/>
      <c r="O419" s="37"/>
      <c r="P419" s="37"/>
      <c r="Q419" s="37"/>
      <c r="R419" s="37"/>
      <c r="S419" s="37"/>
      <c r="T419" s="37"/>
      <c r="U419" s="37"/>
      <c r="V419" s="37"/>
      <c r="W419" s="37"/>
      <c r="X419" s="37"/>
      <c r="Y419" s="37"/>
      <c r="Z419" s="37"/>
      <c r="AA419" s="37"/>
      <c r="AB419" s="37"/>
      <c r="AC419" s="37"/>
      <c r="AD419" s="37"/>
      <c r="AE419" s="37"/>
      <c r="AF419" s="37"/>
      <c r="AG419" s="37"/>
      <c r="AH419" s="37"/>
      <c r="AI419" s="37"/>
      <c r="AJ419" s="37"/>
      <c r="AK419" s="37"/>
    </row>
    <row r="420" spans="1:37" ht="14.25">
      <c r="A420" s="43"/>
      <c r="B420" s="37"/>
      <c r="C420" s="37"/>
      <c r="D420" s="37"/>
      <c r="E420" s="37"/>
      <c r="F420" s="43"/>
      <c r="G420" s="43"/>
      <c r="H420" s="44"/>
      <c r="I420" s="43"/>
      <c r="J420" s="37"/>
      <c r="K420" s="37"/>
      <c r="L420" s="37"/>
      <c r="M420" s="37"/>
      <c r="N420" s="37"/>
      <c r="O420" s="37"/>
      <c r="P420" s="37"/>
      <c r="Q420" s="37"/>
      <c r="R420" s="37"/>
      <c r="S420" s="37"/>
      <c r="T420" s="37"/>
      <c r="U420" s="37"/>
      <c r="V420" s="37"/>
      <c r="W420" s="37"/>
      <c r="X420" s="37"/>
      <c r="Y420" s="37"/>
      <c r="Z420" s="37"/>
      <c r="AA420" s="37"/>
      <c r="AB420" s="37"/>
      <c r="AC420" s="37"/>
      <c r="AD420" s="37"/>
      <c r="AE420" s="37"/>
      <c r="AF420" s="37"/>
      <c r="AG420" s="37"/>
      <c r="AH420" s="37"/>
      <c r="AI420" s="37"/>
      <c r="AJ420" s="37"/>
      <c r="AK420" s="37"/>
    </row>
    <row r="421" spans="1:37" ht="14.25">
      <c r="A421" s="43"/>
      <c r="B421" s="37"/>
      <c r="C421" s="37"/>
      <c r="D421" s="37"/>
      <c r="E421" s="37"/>
      <c r="F421" s="43"/>
      <c r="G421" s="43"/>
      <c r="H421" s="44"/>
      <c r="I421" s="43"/>
      <c r="J421" s="37"/>
      <c r="K421" s="37"/>
      <c r="L421" s="37"/>
      <c r="M421" s="37"/>
      <c r="N421" s="37"/>
      <c r="O421" s="37"/>
      <c r="P421" s="37"/>
      <c r="Q421" s="37"/>
      <c r="R421" s="37"/>
      <c r="S421" s="37"/>
      <c r="T421" s="37"/>
      <c r="U421" s="37"/>
      <c r="V421" s="37"/>
      <c r="W421" s="37"/>
      <c r="X421" s="37"/>
      <c r="Y421" s="37"/>
      <c r="Z421" s="37"/>
      <c r="AA421" s="37"/>
      <c r="AB421" s="37"/>
      <c r="AC421" s="37"/>
      <c r="AD421" s="37"/>
      <c r="AE421" s="37"/>
      <c r="AF421" s="37"/>
      <c r="AG421" s="37"/>
      <c r="AH421" s="37"/>
      <c r="AI421" s="37"/>
      <c r="AJ421" s="37"/>
      <c r="AK421" s="37"/>
    </row>
    <row r="422" spans="1:37" ht="14.25">
      <c r="A422" s="43"/>
      <c r="B422" s="37"/>
      <c r="C422" s="37"/>
      <c r="D422" s="37"/>
      <c r="E422" s="37"/>
      <c r="F422" s="43"/>
      <c r="G422" s="43"/>
      <c r="H422" s="44"/>
      <c r="I422" s="43"/>
      <c r="J422" s="37"/>
      <c r="K422" s="37"/>
      <c r="L422" s="37"/>
      <c r="M422" s="37"/>
      <c r="N422" s="37"/>
      <c r="O422" s="37"/>
      <c r="P422" s="37"/>
      <c r="Q422" s="37"/>
      <c r="R422" s="37"/>
      <c r="S422" s="37"/>
      <c r="T422" s="37"/>
      <c r="U422" s="37"/>
      <c r="V422" s="37"/>
      <c r="W422" s="37"/>
      <c r="X422" s="37"/>
      <c r="Y422" s="37"/>
      <c r="Z422" s="37"/>
      <c r="AA422" s="37"/>
      <c r="AB422" s="37"/>
      <c r="AC422" s="37"/>
      <c r="AD422" s="37"/>
      <c r="AE422" s="37"/>
      <c r="AF422" s="37"/>
      <c r="AG422" s="37"/>
      <c r="AH422" s="37"/>
      <c r="AI422" s="37"/>
      <c r="AJ422" s="37"/>
      <c r="AK422" s="37"/>
    </row>
    <row r="423" spans="1:37" ht="14.25">
      <c r="A423" s="43"/>
      <c r="B423" s="37"/>
      <c r="C423" s="37"/>
      <c r="D423" s="37"/>
      <c r="E423" s="37"/>
      <c r="F423" s="43"/>
      <c r="G423" s="43"/>
      <c r="H423" s="44"/>
      <c r="I423" s="43"/>
      <c r="J423" s="37"/>
      <c r="K423" s="37"/>
      <c r="L423" s="37"/>
      <c r="M423" s="37"/>
      <c r="N423" s="37"/>
      <c r="O423" s="37"/>
      <c r="P423" s="37"/>
      <c r="Q423" s="37"/>
      <c r="R423" s="37"/>
      <c r="S423" s="37"/>
      <c r="T423" s="37"/>
      <c r="U423" s="37"/>
      <c r="V423" s="37"/>
      <c r="W423" s="37"/>
      <c r="X423" s="37"/>
      <c r="Y423" s="37"/>
      <c r="Z423" s="37"/>
      <c r="AA423" s="37"/>
      <c r="AB423" s="37"/>
      <c r="AC423" s="37"/>
      <c r="AD423" s="37"/>
      <c r="AE423" s="37"/>
      <c r="AF423" s="37"/>
      <c r="AG423" s="37"/>
      <c r="AH423" s="37"/>
      <c r="AI423" s="37"/>
      <c r="AJ423" s="37"/>
      <c r="AK423" s="37"/>
    </row>
    <row r="424" spans="1:37" ht="14.25">
      <c r="A424" s="43"/>
      <c r="B424" s="37"/>
      <c r="C424" s="37"/>
      <c r="D424" s="37"/>
      <c r="E424" s="37"/>
      <c r="F424" s="43"/>
      <c r="G424" s="43"/>
      <c r="H424" s="44"/>
      <c r="I424" s="43"/>
      <c r="J424" s="37"/>
      <c r="K424" s="37"/>
      <c r="L424" s="37"/>
      <c r="M424" s="37"/>
      <c r="N424" s="37"/>
      <c r="O424" s="37"/>
      <c r="P424" s="37"/>
      <c r="Q424" s="37"/>
      <c r="R424" s="37"/>
      <c r="S424" s="37"/>
      <c r="T424" s="37"/>
      <c r="U424" s="37"/>
      <c r="V424" s="37"/>
      <c r="W424" s="37"/>
      <c r="X424" s="37"/>
      <c r="Y424" s="37"/>
      <c r="Z424" s="37"/>
      <c r="AA424" s="37"/>
      <c r="AB424" s="37"/>
      <c r="AC424" s="37"/>
      <c r="AD424" s="37"/>
      <c r="AE424" s="37"/>
      <c r="AF424" s="37"/>
      <c r="AG424" s="37"/>
      <c r="AH424" s="37"/>
      <c r="AI424" s="37"/>
      <c r="AJ424" s="37"/>
      <c r="AK424" s="37"/>
    </row>
    <row r="425" spans="1:37" ht="14.25">
      <c r="A425" s="43"/>
      <c r="B425" s="37"/>
      <c r="C425" s="37"/>
      <c r="D425" s="37"/>
      <c r="E425" s="37"/>
      <c r="F425" s="43"/>
      <c r="G425" s="43"/>
      <c r="H425" s="44"/>
      <c r="I425" s="43"/>
      <c r="J425" s="37"/>
      <c r="K425" s="37"/>
      <c r="L425" s="37"/>
      <c r="M425" s="37"/>
      <c r="N425" s="37"/>
      <c r="O425" s="37"/>
      <c r="P425" s="37"/>
      <c r="Q425" s="37"/>
      <c r="R425" s="37"/>
      <c r="S425" s="37"/>
      <c r="T425" s="37"/>
      <c r="U425" s="37"/>
      <c r="V425" s="37"/>
      <c r="W425" s="37"/>
      <c r="X425" s="37"/>
      <c r="Y425" s="37"/>
      <c r="Z425" s="37"/>
      <c r="AA425" s="37"/>
      <c r="AB425" s="37"/>
      <c r="AC425" s="37"/>
      <c r="AD425" s="37"/>
      <c r="AE425" s="37"/>
      <c r="AF425" s="37"/>
      <c r="AG425" s="37"/>
      <c r="AH425" s="37"/>
      <c r="AI425" s="37"/>
      <c r="AJ425" s="37"/>
      <c r="AK425" s="37"/>
    </row>
    <row r="426" spans="1:37" ht="14.25">
      <c r="A426" s="43"/>
      <c r="B426" s="37"/>
      <c r="C426" s="37"/>
      <c r="D426" s="37"/>
      <c r="E426" s="37"/>
      <c r="F426" s="43"/>
      <c r="G426" s="43"/>
      <c r="H426" s="44"/>
      <c r="I426" s="43"/>
      <c r="J426" s="37"/>
      <c r="K426" s="37"/>
      <c r="L426" s="37"/>
      <c r="M426" s="37"/>
      <c r="N426" s="37"/>
      <c r="O426" s="37"/>
      <c r="P426" s="37"/>
      <c r="Q426" s="37"/>
      <c r="R426" s="37"/>
      <c r="S426" s="37"/>
      <c r="T426" s="37"/>
      <c r="U426" s="37"/>
      <c r="V426" s="37"/>
      <c r="W426" s="37"/>
      <c r="X426" s="37"/>
      <c r="Y426" s="37"/>
      <c r="Z426" s="37"/>
      <c r="AA426" s="37"/>
      <c r="AB426" s="37"/>
      <c r="AC426" s="37"/>
      <c r="AD426" s="37"/>
      <c r="AE426" s="37"/>
      <c r="AF426" s="37"/>
      <c r="AG426" s="37"/>
      <c r="AH426" s="37"/>
      <c r="AI426" s="37"/>
      <c r="AJ426" s="37"/>
      <c r="AK426" s="37"/>
    </row>
    <row r="427" spans="1:37" ht="14.25">
      <c r="A427" s="43"/>
      <c r="B427" s="37"/>
      <c r="C427" s="37"/>
      <c r="D427" s="37"/>
      <c r="E427" s="37"/>
      <c r="F427" s="43"/>
      <c r="G427" s="43"/>
      <c r="H427" s="44"/>
      <c r="I427" s="43"/>
      <c r="J427" s="37"/>
      <c r="K427" s="37"/>
      <c r="L427" s="37"/>
      <c r="M427" s="37"/>
      <c r="N427" s="37"/>
      <c r="O427" s="37"/>
      <c r="P427" s="37"/>
      <c r="Q427" s="37"/>
      <c r="R427" s="37"/>
      <c r="S427" s="37"/>
      <c r="T427" s="37"/>
      <c r="U427" s="37"/>
      <c r="V427" s="37"/>
      <c r="W427" s="37"/>
      <c r="X427" s="37"/>
      <c r="Y427" s="37"/>
      <c r="Z427" s="37"/>
      <c r="AA427" s="37"/>
      <c r="AB427" s="37"/>
      <c r="AC427" s="37"/>
      <c r="AD427" s="37"/>
      <c r="AE427" s="37"/>
      <c r="AF427" s="37"/>
      <c r="AG427" s="37"/>
      <c r="AH427" s="37"/>
      <c r="AI427" s="37"/>
      <c r="AJ427" s="37"/>
      <c r="AK427" s="37"/>
    </row>
    <row r="428" spans="1:37" ht="14.25">
      <c r="A428" s="43"/>
      <c r="B428" s="37"/>
      <c r="C428" s="37"/>
      <c r="D428" s="37"/>
      <c r="E428" s="37"/>
      <c r="F428" s="43"/>
      <c r="G428" s="43"/>
      <c r="H428" s="44"/>
      <c r="I428" s="43"/>
      <c r="J428" s="37"/>
      <c r="K428" s="37"/>
      <c r="L428" s="37"/>
      <c r="M428" s="37"/>
      <c r="N428" s="37"/>
      <c r="O428" s="37"/>
      <c r="P428" s="37"/>
      <c r="Q428" s="37"/>
      <c r="R428" s="37"/>
      <c r="S428" s="37"/>
      <c r="T428" s="37"/>
      <c r="U428" s="37"/>
      <c r="V428" s="37"/>
      <c r="W428" s="37"/>
      <c r="X428" s="37"/>
      <c r="Y428" s="37"/>
      <c r="Z428" s="37"/>
      <c r="AA428" s="37"/>
      <c r="AB428" s="37"/>
      <c r="AC428" s="37"/>
      <c r="AD428" s="37"/>
      <c r="AE428" s="37"/>
      <c r="AF428" s="37"/>
      <c r="AG428" s="37"/>
      <c r="AH428" s="37"/>
      <c r="AI428" s="37"/>
      <c r="AJ428" s="37"/>
      <c r="AK428" s="37"/>
    </row>
    <row r="429" spans="1:37" ht="14.25">
      <c r="A429" s="43"/>
      <c r="B429" s="37"/>
      <c r="C429" s="37"/>
      <c r="D429" s="37"/>
      <c r="E429" s="37"/>
      <c r="F429" s="43"/>
      <c r="G429" s="43"/>
      <c r="H429" s="44"/>
      <c r="I429" s="43"/>
      <c r="J429" s="37"/>
      <c r="K429" s="37"/>
      <c r="L429" s="37"/>
      <c r="M429" s="37"/>
      <c r="N429" s="37"/>
      <c r="O429" s="37"/>
      <c r="P429" s="37"/>
      <c r="Q429" s="37"/>
      <c r="R429" s="37"/>
      <c r="S429" s="37"/>
      <c r="T429" s="37"/>
      <c r="U429" s="37"/>
      <c r="V429" s="37"/>
      <c r="W429" s="37"/>
      <c r="X429" s="37"/>
      <c r="Y429" s="37"/>
      <c r="Z429" s="37"/>
      <c r="AA429" s="37"/>
      <c r="AB429" s="37"/>
      <c r="AC429" s="37"/>
      <c r="AD429" s="37"/>
      <c r="AE429" s="37"/>
      <c r="AF429" s="37"/>
      <c r="AG429" s="37"/>
      <c r="AH429" s="37"/>
      <c r="AI429" s="37"/>
      <c r="AJ429" s="37"/>
      <c r="AK429" s="37"/>
    </row>
    <row r="430" spans="1:37" ht="14.25">
      <c r="A430" s="43"/>
      <c r="B430" s="37"/>
      <c r="C430" s="37"/>
      <c r="D430" s="37"/>
      <c r="E430" s="37"/>
      <c r="F430" s="43"/>
      <c r="G430" s="43"/>
      <c r="H430" s="44"/>
      <c r="I430" s="43"/>
      <c r="J430" s="37"/>
      <c r="K430" s="37"/>
      <c r="L430" s="37"/>
      <c r="M430" s="37"/>
      <c r="N430" s="37"/>
      <c r="O430" s="37"/>
      <c r="P430" s="37"/>
      <c r="Q430" s="37"/>
      <c r="R430" s="37"/>
      <c r="S430" s="37"/>
      <c r="T430" s="37"/>
      <c r="U430" s="37"/>
      <c r="V430" s="37"/>
      <c r="W430" s="37"/>
      <c r="X430" s="37"/>
      <c r="Y430" s="37"/>
      <c r="Z430" s="37"/>
      <c r="AA430" s="37"/>
      <c r="AB430" s="37"/>
      <c r="AC430" s="37"/>
      <c r="AD430" s="37"/>
      <c r="AE430" s="37"/>
      <c r="AF430" s="37"/>
      <c r="AG430" s="37"/>
      <c r="AH430" s="37"/>
      <c r="AI430" s="37"/>
      <c r="AJ430" s="37"/>
      <c r="AK430" s="37"/>
    </row>
    <row r="431" spans="1:37" ht="14.25">
      <c r="A431" s="43"/>
      <c r="B431" s="37"/>
      <c r="C431" s="37"/>
      <c r="D431" s="37"/>
      <c r="E431" s="37"/>
      <c r="F431" s="43"/>
      <c r="G431" s="43"/>
      <c r="H431" s="44"/>
      <c r="I431" s="43"/>
      <c r="J431" s="37"/>
      <c r="K431" s="37"/>
      <c r="L431" s="37"/>
      <c r="M431" s="37"/>
      <c r="N431" s="37"/>
      <c r="O431" s="37"/>
      <c r="P431" s="37"/>
      <c r="Q431" s="37"/>
      <c r="R431" s="37"/>
      <c r="S431" s="37"/>
      <c r="T431" s="37"/>
      <c r="U431" s="37"/>
      <c r="V431" s="37"/>
      <c r="W431" s="37"/>
      <c r="X431" s="37"/>
      <c r="Y431" s="37"/>
      <c r="Z431" s="37"/>
      <c r="AA431" s="37"/>
      <c r="AB431" s="37"/>
      <c r="AC431" s="37"/>
      <c r="AD431" s="37"/>
      <c r="AE431" s="37"/>
      <c r="AF431" s="37"/>
      <c r="AG431" s="37"/>
      <c r="AH431" s="37"/>
      <c r="AI431" s="37"/>
      <c r="AJ431" s="37"/>
      <c r="AK431" s="37"/>
    </row>
    <row r="432" spans="1:37" ht="14.25">
      <c r="A432" s="43"/>
      <c r="B432" s="37"/>
      <c r="C432" s="37"/>
      <c r="D432" s="37"/>
      <c r="E432" s="37"/>
      <c r="F432" s="43"/>
      <c r="G432" s="43"/>
      <c r="H432" s="44"/>
      <c r="I432" s="43"/>
      <c r="J432" s="37"/>
      <c r="K432" s="37"/>
      <c r="L432" s="37"/>
      <c r="M432" s="37"/>
      <c r="N432" s="37"/>
      <c r="O432" s="37"/>
      <c r="P432" s="37"/>
      <c r="Q432" s="37"/>
      <c r="R432" s="37"/>
      <c r="S432" s="37"/>
      <c r="T432" s="37"/>
      <c r="U432" s="37"/>
      <c r="V432" s="37"/>
      <c r="W432" s="37"/>
      <c r="X432" s="37"/>
      <c r="Y432" s="37"/>
      <c r="Z432" s="37"/>
      <c r="AA432" s="37"/>
      <c r="AB432" s="37"/>
      <c r="AC432" s="37"/>
      <c r="AD432" s="37"/>
      <c r="AE432" s="37"/>
      <c r="AF432" s="37"/>
      <c r="AG432" s="37"/>
      <c r="AH432" s="37"/>
      <c r="AI432" s="37"/>
      <c r="AJ432" s="37"/>
      <c r="AK432" s="37"/>
    </row>
    <row r="433" spans="1:37" ht="14.25">
      <c r="A433" s="43"/>
      <c r="B433" s="37"/>
      <c r="C433" s="37"/>
      <c r="D433" s="37"/>
      <c r="E433" s="37"/>
      <c r="F433" s="43"/>
      <c r="G433" s="43"/>
      <c r="H433" s="44"/>
      <c r="I433" s="43"/>
      <c r="J433" s="37"/>
      <c r="K433" s="37"/>
      <c r="L433" s="37"/>
      <c r="M433" s="37"/>
      <c r="N433" s="37"/>
      <c r="O433" s="37"/>
      <c r="P433" s="37"/>
      <c r="Q433" s="37"/>
      <c r="R433" s="37"/>
      <c r="S433" s="37"/>
      <c r="T433" s="37"/>
      <c r="U433" s="37"/>
      <c r="V433" s="37"/>
      <c r="W433" s="37"/>
      <c r="X433" s="37"/>
      <c r="Y433" s="37"/>
      <c r="Z433" s="37"/>
      <c r="AA433" s="37"/>
      <c r="AB433" s="37"/>
      <c r="AC433" s="37"/>
      <c r="AD433" s="37"/>
      <c r="AE433" s="37"/>
      <c r="AF433" s="37"/>
      <c r="AG433" s="37"/>
      <c r="AH433" s="37"/>
      <c r="AI433" s="37"/>
      <c r="AJ433" s="37"/>
      <c r="AK433" s="37"/>
    </row>
    <row r="434" spans="1:37" ht="14.25">
      <c r="A434" s="43"/>
      <c r="B434" s="37"/>
      <c r="C434" s="37"/>
      <c r="D434" s="37"/>
      <c r="E434" s="37"/>
      <c r="F434" s="43"/>
      <c r="G434" s="43"/>
      <c r="H434" s="44"/>
      <c r="I434" s="43"/>
      <c r="J434" s="37"/>
      <c r="K434" s="37"/>
      <c r="L434" s="37"/>
      <c r="M434" s="37"/>
      <c r="N434" s="37"/>
      <c r="O434" s="37"/>
      <c r="P434" s="37"/>
      <c r="Q434" s="37"/>
      <c r="R434" s="37"/>
      <c r="S434" s="37"/>
      <c r="T434" s="37"/>
      <c r="U434" s="37"/>
      <c r="V434" s="37"/>
      <c r="W434" s="37"/>
      <c r="X434" s="37"/>
      <c r="Y434" s="37"/>
      <c r="Z434" s="37"/>
      <c r="AA434" s="37"/>
      <c r="AB434" s="37"/>
      <c r="AC434" s="37"/>
      <c r="AD434" s="37"/>
      <c r="AE434" s="37"/>
      <c r="AF434" s="37"/>
      <c r="AG434" s="37"/>
      <c r="AH434" s="37"/>
      <c r="AI434" s="37"/>
      <c r="AJ434" s="37"/>
      <c r="AK434" s="37"/>
    </row>
    <row r="435" spans="1:37" ht="14.25">
      <c r="A435" s="43"/>
      <c r="B435" s="37"/>
      <c r="C435" s="37"/>
      <c r="D435" s="37"/>
      <c r="E435" s="37"/>
      <c r="F435" s="43"/>
      <c r="G435" s="43"/>
      <c r="H435" s="44"/>
      <c r="I435" s="43"/>
      <c r="J435" s="37"/>
      <c r="K435" s="37"/>
      <c r="L435" s="37"/>
      <c r="M435" s="37"/>
      <c r="N435" s="37"/>
      <c r="O435" s="37"/>
      <c r="P435" s="37"/>
      <c r="Q435" s="37"/>
      <c r="R435" s="37"/>
      <c r="S435" s="37"/>
      <c r="T435" s="37"/>
      <c r="U435" s="37"/>
      <c r="V435" s="37"/>
      <c r="W435" s="37"/>
      <c r="X435" s="37"/>
      <c r="Y435" s="37"/>
      <c r="Z435" s="37"/>
      <c r="AA435" s="37"/>
      <c r="AB435" s="37"/>
      <c r="AC435" s="37"/>
      <c r="AD435" s="37"/>
      <c r="AE435" s="37"/>
      <c r="AF435" s="37"/>
      <c r="AG435" s="37"/>
      <c r="AH435" s="37"/>
      <c r="AI435" s="37"/>
      <c r="AJ435" s="37"/>
      <c r="AK435" s="37"/>
    </row>
    <row r="436" spans="1:37" ht="14.25">
      <c r="A436" s="43"/>
      <c r="B436" s="37"/>
      <c r="C436" s="37"/>
      <c r="D436" s="37"/>
      <c r="E436" s="37"/>
      <c r="F436" s="43"/>
      <c r="G436" s="43"/>
      <c r="H436" s="44"/>
      <c r="I436" s="43"/>
      <c r="J436" s="37"/>
      <c r="K436" s="37"/>
      <c r="L436" s="37"/>
      <c r="M436" s="37"/>
      <c r="N436" s="37"/>
      <c r="O436" s="37"/>
      <c r="P436" s="37"/>
      <c r="Q436" s="37"/>
      <c r="R436" s="37"/>
      <c r="S436" s="37"/>
      <c r="T436" s="37"/>
      <c r="U436" s="37"/>
      <c r="V436" s="37"/>
      <c r="W436" s="37"/>
      <c r="X436" s="37"/>
      <c r="Y436" s="37"/>
      <c r="Z436" s="37"/>
      <c r="AA436" s="37"/>
      <c r="AB436" s="37"/>
      <c r="AC436" s="37"/>
      <c r="AD436" s="37"/>
      <c r="AE436" s="37"/>
      <c r="AF436" s="37"/>
      <c r="AG436" s="37"/>
      <c r="AH436" s="37"/>
      <c r="AI436" s="37"/>
      <c r="AJ436" s="37"/>
      <c r="AK436" s="37"/>
    </row>
    <row r="437" spans="1:37" ht="14.25">
      <c r="A437" s="43"/>
      <c r="B437" s="37"/>
      <c r="C437" s="37"/>
      <c r="D437" s="37"/>
      <c r="E437" s="37"/>
      <c r="F437" s="43"/>
      <c r="G437" s="43"/>
      <c r="H437" s="44"/>
      <c r="I437" s="43"/>
      <c r="J437" s="37"/>
      <c r="K437" s="37"/>
      <c r="L437" s="37"/>
      <c r="M437" s="37"/>
      <c r="N437" s="37"/>
      <c r="O437" s="37"/>
      <c r="P437" s="37"/>
      <c r="Q437" s="37"/>
      <c r="R437" s="37"/>
      <c r="S437" s="37"/>
      <c r="T437" s="37"/>
      <c r="U437" s="37"/>
      <c r="V437" s="37"/>
      <c r="W437" s="37"/>
      <c r="X437" s="37"/>
      <c r="Y437" s="37"/>
      <c r="Z437" s="37"/>
      <c r="AA437" s="37"/>
      <c r="AB437" s="37"/>
      <c r="AC437" s="37"/>
      <c r="AD437" s="37"/>
      <c r="AE437" s="37"/>
      <c r="AF437" s="37"/>
      <c r="AG437" s="37"/>
      <c r="AH437" s="37"/>
      <c r="AI437" s="37"/>
      <c r="AJ437" s="37"/>
      <c r="AK437" s="37"/>
    </row>
    <row r="438" spans="1:37" ht="14.25">
      <c r="A438" s="43"/>
      <c r="B438" s="37"/>
      <c r="C438" s="37"/>
      <c r="D438" s="37"/>
      <c r="E438" s="37"/>
      <c r="F438" s="43"/>
      <c r="G438" s="43"/>
      <c r="H438" s="44"/>
      <c r="I438" s="43"/>
      <c r="J438" s="37"/>
      <c r="K438" s="37"/>
      <c r="L438" s="37"/>
      <c r="M438" s="37"/>
      <c r="N438" s="37"/>
      <c r="O438" s="37"/>
      <c r="P438" s="37"/>
      <c r="Q438" s="37"/>
      <c r="R438" s="37"/>
      <c r="S438" s="37"/>
      <c r="T438" s="37"/>
      <c r="U438" s="37"/>
      <c r="V438" s="37"/>
      <c r="W438" s="37"/>
      <c r="X438" s="37"/>
      <c r="Y438" s="37"/>
      <c r="Z438" s="37"/>
      <c r="AA438" s="37"/>
      <c r="AB438" s="37"/>
      <c r="AC438" s="37"/>
      <c r="AD438" s="37"/>
      <c r="AE438" s="37"/>
      <c r="AF438" s="37"/>
      <c r="AG438" s="37"/>
      <c r="AH438" s="37"/>
      <c r="AI438" s="37"/>
      <c r="AJ438" s="37"/>
      <c r="AK438" s="37"/>
    </row>
    <row r="439" spans="1:37" ht="14.25">
      <c r="A439" s="43"/>
      <c r="B439" s="37"/>
      <c r="C439" s="37"/>
      <c r="D439" s="37"/>
      <c r="E439" s="37"/>
      <c r="F439" s="43"/>
      <c r="G439" s="43"/>
      <c r="H439" s="44"/>
      <c r="I439" s="43"/>
      <c r="J439" s="37"/>
      <c r="K439" s="37"/>
      <c r="L439" s="37"/>
      <c r="M439" s="37"/>
      <c r="N439" s="37"/>
      <c r="O439" s="37"/>
      <c r="P439" s="37"/>
      <c r="Q439" s="37"/>
      <c r="R439" s="37"/>
      <c r="S439" s="37"/>
      <c r="T439" s="37"/>
      <c r="U439" s="37"/>
      <c r="V439" s="37"/>
      <c r="W439" s="37"/>
      <c r="X439" s="37"/>
      <c r="Y439" s="37"/>
      <c r="Z439" s="37"/>
      <c r="AA439" s="37"/>
      <c r="AB439" s="37"/>
      <c r="AC439" s="37"/>
      <c r="AD439" s="37"/>
      <c r="AE439" s="37"/>
      <c r="AF439" s="37"/>
      <c r="AG439" s="37"/>
      <c r="AH439" s="37"/>
      <c r="AI439" s="37"/>
      <c r="AJ439" s="37"/>
      <c r="AK439" s="37"/>
    </row>
    <row r="440" spans="1:37" ht="14.25">
      <c r="A440" s="43"/>
      <c r="B440" s="37"/>
      <c r="C440" s="37"/>
      <c r="D440" s="37"/>
      <c r="E440" s="37"/>
      <c r="F440" s="43"/>
      <c r="G440" s="43"/>
      <c r="H440" s="44"/>
      <c r="I440" s="43"/>
      <c r="J440" s="37"/>
      <c r="K440" s="37"/>
      <c r="L440" s="37"/>
      <c r="M440" s="37"/>
      <c r="N440" s="37"/>
      <c r="O440" s="37"/>
      <c r="P440" s="37"/>
      <c r="Q440" s="37"/>
      <c r="R440" s="37"/>
      <c r="S440" s="37"/>
      <c r="T440" s="37"/>
      <c r="U440" s="37"/>
      <c r="V440" s="37"/>
      <c r="W440" s="37"/>
      <c r="X440" s="37"/>
      <c r="Y440" s="37"/>
      <c r="Z440" s="37"/>
      <c r="AA440" s="37"/>
      <c r="AB440" s="37"/>
      <c r="AC440" s="37"/>
      <c r="AD440" s="37"/>
      <c r="AE440" s="37"/>
      <c r="AF440" s="37"/>
      <c r="AG440" s="37"/>
      <c r="AH440" s="37"/>
      <c r="AI440" s="37"/>
      <c r="AJ440" s="37"/>
      <c r="AK440" s="37"/>
    </row>
    <row r="441" spans="1:37" ht="14.25">
      <c r="A441" s="43"/>
      <c r="B441" s="37"/>
      <c r="C441" s="37"/>
      <c r="D441" s="37"/>
      <c r="E441" s="37"/>
      <c r="F441" s="43"/>
      <c r="G441" s="43"/>
      <c r="H441" s="44"/>
      <c r="I441" s="43"/>
      <c r="J441" s="37"/>
      <c r="K441" s="37"/>
      <c r="L441" s="37"/>
      <c r="M441" s="37"/>
      <c r="N441" s="37"/>
      <c r="O441" s="37"/>
      <c r="P441" s="37"/>
      <c r="Q441" s="37"/>
      <c r="R441" s="37"/>
      <c r="S441" s="37"/>
      <c r="T441" s="37"/>
      <c r="U441" s="37"/>
      <c r="V441" s="37"/>
      <c r="W441" s="37"/>
      <c r="X441" s="37"/>
      <c r="Y441" s="37"/>
      <c r="Z441" s="37"/>
      <c r="AA441" s="37"/>
      <c r="AB441" s="37"/>
      <c r="AC441" s="37"/>
      <c r="AD441" s="37"/>
      <c r="AE441" s="37"/>
      <c r="AF441" s="37"/>
      <c r="AG441" s="37"/>
      <c r="AH441" s="37"/>
      <c r="AI441" s="37"/>
      <c r="AJ441" s="37"/>
      <c r="AK441" s="37"/>
    </row>
    <row r="442" spans="1:37" ht="14.25">
      <c r="A442" s="43"/>
      <c r="B442" s="37"/>
      <c r="C442" s="37"/>
      <c r="D442" s="37"/>
      <c r="E442" s="37"/>
      <c r="F442" s="43"/>
      <c r="G442" s="43"/>
      <c r="H442" s="44"/>
      <c r="I442" s="43"/>
      <c r="J442" s="37"/>
      <c r="K442" s="37"/>
      <c r="L442" s="37"/>
      <c r="M442" s="37"/>
      <c r="N442" s="37"/>
      <c r="O442" s="37"/>
      <c r="P442" s="37"/>
      <c r="Q442" s="37"/>
      <c r="R442" s="37"/>
      <c r="S442" s="37"/>
      <c r="T442" s="37"/>
      <c r="U442" s="37"/>
      <c r="V442" s="37"/>
      <c r="W442" s="37"/>
      <c r="X442" s="37"/>
      <c r="Y442" s="37"/>
      <c r="Z442" s="37"/>
      <c r="AA442" s="37"/>
      <c r="AB442" s="37"/>
      <c r="AC442" s="37"/>
      <c r="AD442" s="37"/>
      <c r="AE442" s="37"/>
      <c r="AF442" s="37"/>
      <c r="AG442" s="37"/>
      <c r="AH442" s="37"/>
      <c r="AI442" s="37"/>
      <c r="AJ442" s="37"/>
      <c r="AK442" s="37"/>
    </row>
    <row r="443" spans="1:37" ht="14.25">
      <c r="A443" s="43"/>
      <c r="B443" s="37"/>
      <c r="C443" s="37"/>
      <c r="D443" s="37"/>
      <c r="E443" s="37"/>
      <c r="F443" s="43"/>
      <c r="G443" s="43"/>
      <c r="H443" s="44"/>
      <c r="I443" s="43"/>
      <c r="J443" s="37"/>
      <c r="K443" s="37"/>
      <c r="L443" s="37"/>
      <c r="M443" s="37"/>
      <c r="N443" s="37"/>
      <c r="O443" s="37"/>
      <c r="P443" s="37"/>
      <c r="Q443" s="37"/>
      <c r="R443" s="37"/>
      <c r="S443" s="37"/>
      <c r="T443" s="37"/>
      <c r="U443" s="37"/>
      <c r="V443" s="37"/>
      <c r="W443" s="37"/>
      <c r="X443" s="37"/>
      <c r="Y443" s="37"/>
      <c r="Z443" s="37"/>
      <c r="AA443" s="37"/>
      <c r="AB443" s="37"/>
      <c r="AC443" s="37"/>
      <c r="AD443" s="37"/>
      <c r="AE443" s="37"/>
      <c r="AF443" s="37"/>
      <c r="AG443" s="37"/>
      <c r="AH443" s="37"/>
      <c r="AI443" s="37"/>
      <c r="AJ443" s="37"/>
      <c r="AK443" s="37"/>
    </row>
    <row r="444" spans="1:37" ht="14.25">
      <c r="A444" s="43"/>
      <c r="B444" s="37"/>
      <c r="C444" s="37"/>
      <c r="D444" s="37"/>
      <c r="E444" s="37"/>
      <c r="F444" s="43"/>
      <c r="G444" s="43"/>
      <c r="H444" s="44"/>
      <c r="I444" s="43"/>
      <c r="J444" s="37"/>
      <c r="K444" s="37"/>
      <c r="L444" s="37"/>
      <c r="M444" s="37"/>
      <c r="N444" s="37"/>
      <c r="O444" s="37"/>
      <c r="P444" s="37"/>
      <c r="Q444" s="37"/>
      <c r="R444" s="37"/>
      <c r="S444" s="37"/>
      <c r="T444" s="37"/>
      <c r="U444" s="37"/>
      <c r="V444" s="37"/>
      <c r="W444" s="37"/>
      <c r="X444" s="37"/>
      <c r="Y444" s="37"/>
      <c r="Z444" s="37"/>
      <c r="AA444" s="37"/>
      <c r="AB444" s="37"/>
      <c r="AC444" s="37"/>
      <c r="AD444" s="37"/>
      <c r="AE444" s="37"/>
      <c r="AF444" s="37"/>
      <c r="AG444" s="37"/>
      <c r="AH444" s="37"/>
      <c r="AI444" s="37"/>
      <c r="AJ444" s="37"/>
      <c r="AK444" s="37"/>
    </row>
    <row r="445" spans="1:37" ht="14.25">
      <c r="A445" s="43"/>
      <c r="B445" s="37"/>
      <c r="C445" s="37"/>
      <c r="D445" s="37"/>
      <c r="E445" s="37"/>
      <c r="F445" s="43"/>
      <c r="G445" s="43"/>
      <c r="H445" s="44"/>
      <c r="I445" s="43"/>
      <c r="J445" s="37"/>
      <c r="K445" s="37"/>
      <c r="L445" s="37"/>
      <c r="M445" s="37"/>
      <c r="N445" s="37"/>
      <c r="O445" s="37"/>
      <c r="P445" s="37"/>
      <c r="Q445" s="37"/>
      <c r="R445" s="37"/>
      <c r="S445" s="37"/>
      <c r="T445" s="37"/>
      <c r="U445" s="37"/>
      <c r="V445" s="37"/>
      <c r="W445" s="37"/>
      <c r="X445" s="37"/>
      <c r="Y445" s="37"/>
      <c r="Z445" s="37"/>
      <c r="AA445" s="37"/>
      <c r="AB445" s="37"/>
      <c r="AC445" s="37"/>
      <c r="AD445" s="37"/>
      <c r="AE445" s="37"/>
      <c r="AF445" s="37"/>
      <c r="AG445" s="37"/>
      <c r="AH445" s="37"/>
      <c r="AI445" s="37"/>
      <c r="AJ445" s="37"/>
      <c r="AK445" s="37"/>
    </row>
    <row r="446" spans="1:37" ht="14.25">
      <c r="A446" s="43"/>
      <c r="B446" s="37"/>
      <c r="C446" s="37"/>
      <c r="D446" s="37"/>
      <c r="E446" s="37"/>
      <c r="F446" s="43"/>
      <c r="G446" s="43"/>
      <c r="H446" s="44"/>
      <c r="I446" s="43"/>
      <c r="J446" s="37"/>
      <c r="K446" s="37"/>
      <c r="L446" s="37"/>
      <c r="M446" s="37"/>
      <c r="N446" s="37"/>
      <c r="O446" s="37"/>
      <c r="P446" s="37"/>
      <c r="Q446" s="37"/>
      <c r="R446" s="37"/>
      <c r="S446" s="37"/>
      <c r="T446" s="37"/>
      <c r="U446" s="37"/>
      <c r="V446" s="37"/>
      <c r="W446" s="37"/>
      <c r="X446" s="37"/>
      <c r="Y446" s="37"/>
      <c r="Z446" s="37"/>
      <c r="AA446" s="37"/>
      <c r="AB446" s="37"/>
      <c r="AC446" s="37"/>
      <c r="AD446" s="37"/>
      <c r="AE446" s="37"/>
      <c r="AF446" s="37"/>
      <c r="AG446" s="37"/>
      <c r="AH446" s="37"/>
      <c r="AI446" s="37"/>
      <c r="AJ446" s="37"/>
      <c r="AK446" s="37"/>
    </row>
    <row r="447" spans="1:37" ht="14.25">
      <c r="A447" s="43"/>
      <c r="B447" s="37"/>
      <c r="C447" s="37"/>
      <c r="D447" s="37"/>
      <c r="E447" s="37"/>
      <c r="F447" s="43"/>
      <c r="G447" s="43"/>
      <c r="H447" s="44"/>
      <c r="I447" s="43"/>
      <c r="J447" s="37"/>
      <c r="K447" s="37"/>
      <c r="L447" s="37"/>
      <c r="M447" s="37"/>
      <c r="N447" s="37"/>
      <c r="O447" s="37"/>
      <c r="P447" s="37"/>
      <c r="Q447" s="37"/>
      <c r="R447" s="37"/>
      <c r="S447" s="37"/>
      <c r="T447" s="37"/>
      <c r="U447" s="37"/>
      <c r="V447" s="37"/>
      <c r="W447" s="37"/>
      <c r="X447" s="37"/>
      <c r="Y447" s="37"/>
      <c r="Z447" s="37"/>
      <c r="AA447" s="37"/>
      <c r="AB447" s="37"/>
      <c r="AC447" s="37"/>
      <c r="AD447" s="37"/>
      <c r="AE447" s="37"/>
      <c r="AF447" s="37"/>
      <c r="AG447" s="37"/>
      <c r="AH447" s="37"/>
      <c r="AI447" s="37"/>
      <c r="AJ447" s="37"/>
      <c r="AK447" s="37"/>
    </row>
    <row r="448" spans="1:37" ht="14.25">
      <c r="A448" s="43"/>
      <c r="B448" s="37"/>
      <c r="C448" s="37"/>
      <c r="D448" s="37"/>
      <c r="E448" s="37"/>
      <c r="F448" s="43"/>
      <c r="G448" s="43"/>
      <c r="H448" s="44"/>
      <c r="I448" s="43"/>
      <c r="J448" s="37"/>
      <c r="K448" s="37"/>
      <c r="L448" s="37"/>
      <c r="M448" s="37"/>
      <c r="N448" s="37"/>
      <c r="O448" s="37"/>
      <c r="P448" s="37"/>
      <c r="Q448" s="37"/>
      <c r="R448" s="37"/>
      <c r="S448" s="37"/>
      <c r="T448" s="37"/>
      <c r="U448" s="37"/>
      <c r="V448" s="37"/>
      <c r="W448" s="37"/>
      <c r="X448" s="37"/>
      <c r="Y448" s="37"/>
      <c r="Z448" s="37"/>
      <c r="AA448" s="37"/>
      <c r="AB448" s="37"/>
      <c r="AC448" s="37"/>
      <c r="AD448" s="37"/>
      <c r="AE448" s="37"/>
      <c r="AF448" s="37"/>
      <c r="AG448" s="37"/>
      <c r="AH448" s="37"/>
      <c r="AI448" s="37"/>
      <c r="AJ448" s="37"/>
      <c r="AK448" s="37"/>
    </row>
    <row r="449" spans="1:37" ht="14.25">
      <c r="A449" s="43"/>
      <c r="B449" s="37"/>
      <c r="C449" s="37"/>
      <c r="D449" s="37"/>
      <c r="E449" s="37"/>
      <c r="F449" s="43"/>
      <c r="G449" s="43"/>
      <c r="H449" s="44"/>
      <c r="I449" s="43"/>
      <c r="J449" s="37"/>
      <c r="K449" s="37"/>
      <c r="L449" s="37"/>
      <c r="M449" s="37"/>
      <c r="N449" s="37"/>
      <c r="O449" s="37"/>
      <c r="P449" s="37"/>
      <c r="Q449" s="37"/>
      <c r="R449" s="37"/>
      <c r="S449" s="37"/>
      <c r="T449" s="37"/>
      <c r="U449" s="37"/>
      <c r="V449" s="37"/>
      <c r="W449" s="37"/>
      <c r="X449" s="37"/>
      <c r="Y449" s="37"/>
      <c r="Z449" s="37"/>
      <c r="AA449" s="37"/>
      <c r="AB449" s="37"/>
      <c r="AC449" s="37"/>
      <c r="AD449" s="37"/>
      <c r="AE449" s="37"/>
      <c r="AF449" s="37"/>
      <c r="AG449" s="37"/>
      <c r="AH449" s="37"/>
      <c r="AI449" s="37"/>
      <c r="AJ449" s="37"/>
      <c r="AK449" s="37"/>
    </row>
    <row r="450" spans="1:37" ht="14.25">
      <c r="A450" s="43"/>
      <c r="B450" s="37"/>
      <c r="C450" s="37"/>
      <c r="D450" s="37"/>
      <c r="E450" s="37"/>
      <c r="F450" s="43"/>
      <c r="G450" s="43"/>
      <c r="H450" s="44"/>
      <c r="I450" s="43"/>
      <c r="J450" s="37"/>
      <c r="K450" s="37"/>
      <c r="L450" s="37"/>
      <c r="M450" s="37"/>
      <c r="N450" s="37"/>
      <c r="O450" s="37"/>
      <c r="P450" s="37"/>
      <c r="Q450" s="37"/>
      <c r="R450" s="37"/>
      <c r="S450" s="37"/>
      <c r="T450" s="37"/>
      <c r="U450" s="37"/>
      <c r="V450" s="37"/>
      <c r="W450" s="37"/>
      <c r="X450" s="37"/>
      <c r="Y450" s="37"/>
      <c r="Z450" s="37"/>
      <c r="AA450" s="37"/>
      <c r="AB450" s="37"/>
      <c r="AC450" s="37"/>
      <c r="AD450" s="37"/>
      <c r="AE450" s="37"/>
      <c r="AF450" s="37"/>
      <c r="AG450" s="37"/>
      <c r="AH450" s="37"/>
      <c r="AI450" s="37"/>
      <c r="AJ450" s="37"/>
      <c r="AK450" s="37"/>
    </row>
    <row r="451" spans="1:37" ht="14.25">
      <c r="A451" s="43"/>
      <c r="B451" s="37"/>
      <c r="C451" s="37"/>
      <c r="D451" s="37"/>
      <c r="E451" s="37"/>
      <c r="F451" s="43"/>
      <c r="G451" s="43"/>
      <c r="H451" s="44"/>
      <c r="I451" s="43"/>
      <c r="J451" s="37"/>
      <c r="K451" s="37"/>
      <c r="L451" s="37"/>
      <c r="M451" s="37"/>
      <c r="N451" s="37"/>
      <c r="O451" s="37"/>
      <c r="P451" s="37"/>
      <c r="Q451" s="37"/>
      <c r="R451" s="37"/>
      <c r="S451" s="37"/>
      <c r="T451" s="37"/>
      <c r="U451" s="37"/>
      <c r="V451" s="37"/>
      <c r="W451" s="37"/>
      <c r="X451" s="37"/>
      <c r="Y451" s="37"/>
      <c r="Z451" s="37"/>
      <c r="AA451" s="37"/>
      <c r="AB451" s="37"/>
      <c r="AC451" s="37"/>
      <c r="AD451" s="37"/>
      <c r="AE451" s="37"/>
      <c r="AF451" s="37"/>
      <c r="AG451" s="37"/>
      <c r="AH451" s="37"/>
      <c r="AI451" s="37"/>
      <c r="AJ451" s="37"/>
      <c r="AK451" s="37"/>
    </row>
    <row r="452" spans="1:37" ht="14.25">
      <c r="A452" s="43"/>
      <c r="B452" s="37"/>
      <c r="C452" s="37"/>
      <c r="D452" s="37"/>
      <c r="E452" s="37"/>
      <c r="F452" s="43"/>
      <c r="G452" s="43"/>
      <c r="H452" s="44"/>
      <c r="I452" s="43"/>
      <c r="J452" s="37"/>
      <c r="K452" s="37"/>
      <c r="L452" s="37"/>
      <c r="M452" s="37"/>
      <c r="N452" s="37"/>
      <c r="O452" s="37"/>
      <c r="P452" s="37"/>
      <c r="Q452" s="37"/>
      <c r="R452" s="37"/>
      <c r="S452" s="37"/>
      <c r="T452" s="37"/>
      <c r="U452" s="37"/>
      <c r="V452" s="37"/>
      <c r="W452" s="37"/>
      <c r="X452" s="37"/>
      <c r="Y452" s="37"/>
      <c r="Z452" s="37"/>
      <c r="AA452" s="37"/>
      <c r="AB452" s="37"/>
      <c r="AC452" s="37"/>
      <c r="AD452" s="37"/>
      <c r="AE452" s="37"/>
      <c r="AF452" s="37"/>
      <c r="AG452" s="37"/>
      <c r="AH452" s="37"/>
      <c r="AI452" s="37"/>
      <c r="AJ452" s="37"/>
      <c r="AK452" s="37"/>
    </row>
    <row r="453" spans="1:37" ht="14.25">
      <c r="A453" s="43"/>
      <c r="B453" s="37"/>
      <c r="C453" s="37"/>
      <c r="D453" s="37"/>
      <c r="E453" s="37"/>
      <c r="F453" s="43"/>
      <c r="G453" s="43"/>
      <c r="H453" s="44"/>
      <c r="I453" s="43"/>
      <c r="J453" s="37"/>
      <c r="K453" s="37"/>
      <c r="L453" s="37"/>
      <c r="M453" s="37"/>
      <c r="N453" s="37"/>
      <c r="O453" s="37"/>
      <c r="P453" s="37"/>
      <c r="Q453" s="37"/>
      <c r="R453" s="37"/>
      <c r="S453" s="37"/>
      <c r="T453" s="37"/>
      <c r="U453" s="37"/>
      <c r="V453" s="37"/>
      <c r="W453" s="37"/>
      <c r="X453" s="37"/>
      <c r="Y453" s="37"/>
      <c r="Z453" s="37"/>
      <c r="AA453" s="37"/>
      <c r="AB453" s="37"/>
      <c r="AC453" s="37"/>
      <c r="AD453" s="37"/>
      <c r="AE453" s="37"/>
      <c r="AF453" s="37"/>
      <c r="AG453" s="37"/>
      <c r="AH453" s="37"/>
      <c r="AI453" s="37"/>
      <c r="AJ453" s="37"/>
      <c r="AK453" s="37"/>
    </row>
    <row r="454" spans="1:37" ht="14.25">
      <c r="A454" s="43"/>
      <c r="B454" s="37"/>
      <c r="C454" s="37"/>
      <c r="D454" s="37"/>
      <c r="E454" s="37"/>
      <c r="F454" s="43"/>
      <c r="G454" s="43"/>
      <c r="H454" s="44"/>
      <c r="I454" s="43"/>
      <c r="J454" s="37"/>
      <c r="K454" s="37"/>
      <c r="L454" s="37"/>
      <c r="M454" s="37"/>
      <c r="N454" s="37"/>
      <c r="O454" s="37"/>
      <c r="P454" s="37"/>
      <c r="Q454" s="37"/>
      <c r="R454" s="37"/>
      <c r="S454" s="37"/>
      <c r="T454" s="37"/>
      <c r="U454" s="37"/>
      <c r="V454" s="37"/>
      <c r="W454" s="37"/>
      <c r="X454" s="37"/>
      <c r="Y454" s="37"/>
      <c r="Z454" s="37"/>
      <c r="AA454" s="37"/>
      <c r="AB454" s="37"/>
      <c r="AC454" s="37"/>
      <c r="AD454" s="37"/>
      <c r="AE454" s="37"/>
      <c r="AF454" s="37"/>
      <c r="AG454" s="37"/>
      <c r="AH454" s="37"/>
      <c r="AI454" s="37"/>
      <c r="AJ454" s="37"/>
      <c r="AK454" s="37"/>
    </row>
    <row r="455" spans="1:37" ht="14.25">
      <c r="A455" s="43"/>
      <c r="B455" s="37"/>
      <c r="C455" s="37"/>
      <c r="D455" s="37"/>
      <c r="E455" s="37"/>
      <c r="F455" s="43"/>
      <c r="G455" s="43"/>
      <c r="H455" s="44"/>
      <c r="I455" s="43"/>
      <c r="J455" s="37"/>
      <c r="K455" s="37"/>
      <c r="L455" s="37"/>
      <c r="M455" s="37"/>
      <c r="N455" s="37"/>
      <c r="O455" s="37"/>
      <c r="P455" s="37"/>
      <c r="Q455" s="37"/>
      <c r="R455" s="37"/>
      <c r="S455" s="37"/>
      <c r="T455" s="37"/>
      <c r="U455" s="37"/>
      <c r="V455" s="37"/>
      <c r="W455" s="37"/>
      <c r="X455" s="37"/>
      <c r="Y455" s="37"/>
      <c r="Z455" s="37"/>
      <c r="AA455" s="37"/>
      <c r="AB455" s="37"/>
      <c r="AC455" s="37"/>
      <c r="AD455" s="37"/>
      <c r="AE455" s="37"/>
      <c r="AF455" s="37"/>
      <c r="AG455" s="37"/>
      <c r="AH455" s="37"/>
      <c r="AI455" s="37"/>
      <c r="AJ455" s="37"/>
      <c r="AK455" s="37"/>
    </row>
    <row r="456" spans="1:37" ht="14.25">
      <c r="A456" s="43"/>
      <c r="B456" s="37"/>
      <c r="C456" s="37"/>
      <c r="D456" s="37"/>
      <c r="E456" s="37"/>
      <c r="F456" s="43"/>
      <c r="G456" s="43"/>
      <c r="H456" s="44"/>
      <c r="I456" s="43"/>
      <c r="J456" s="37"/>
      <c r="K456" s="37"/>
      <c r="L456" s="37"/>
      <c r="M456" s="37"/>
      <c r="N456" s="37"/>
      <c r="O456" s="37"/>
      <c r="P456" s="37"/>
      <c r="Q456" s="37"/>
      <c r="R456" s="37"/>
      <c r="S456" s="37"/>
      <c r="T456" s="37"/>
      <c r="U456" s="37"/>
      <c r="V456" s="37"/>
      <c r="W456" s="37"/>
      <c r="X456" s="37"/>
      <c r="Y456" s="37"/>
      <c r="Z456" s="37"/>
      <c r="AA456" s="37"/>
      <c r="AB456" s="37"/>
      <c r="AC456" s="37"/>
      <c r="AD456" s="37"/>
      <c r="AE456" s="37"/>
      <c r="AF456" s="37"/>
      <c r="AG456" s="37"/>
      <c r="AH456" s="37"/>
      <c r="AI456" s="37"/>
      <c r="AJ456" s="37"/>
      <c r="AK456" s="37"/>
    </row>
    <row r="457" spans="1:37" ht="14.25">
      <c r="A457" s="43"/>
      <c r="B457" s="37"/>
      <c r="C457" s="37"/>
      <c r="D457" s="37"/>
      <c r="E457" s="37"/>
      <c r="F457" s="43"/>
      <c r="G457" s="43"/>
      <c r="H457" s="44"/>
      <c r="I457" s="43"/>
      <c r="J457" s="37"/>
      <c r="K457" s="37"/>
      <c r="L457" s="37"/>
      <c r="M457" s="37"/>
      <c r="N457" s="37"/>
      <c r="O457" s="37"/>
      <c r="P457" s="37"/>
      <c r="Q457" s="37"/>
      <c r="R457" s="37"/>
      <c r="S457" s="37"/>
      <c r="T457" s="37"/>
      <c r="U457" s="37"/>
      <c r="V457" s="37"/>
      <c r="W457" s="37"/>
      <c r="X457" s="37"/>
      <c r="Y457" s="37"/>
      <c r="Z457" s="37"/>
      <c r="AA457" s="37"/>
      <c r="AB457" s="37"/>
      <c r="AC457" s="37"/>
      <c r="AD457" s="37"/>
      <c r="AE457" s="37"/>
      <c r="AF457" s="37"/>
      <c r="AG457" s="37"/>
      <c r="AH457" s="37"/>
      <c r="AI457" s="37"/>
      <c r="AJ457" s="37"/>
      <c r="AK457" s="37"/>
    </row>
    <row r="458" spans="1:37" ht="14.25">
      <c r="A458" s="43"/>
      <c r="B458" s="37"/>
      <c r="C458" s="37"/>
      <c r="D458" s="37"/>
      <c r="E458" s="37"/>
      <c r="F458" s="43"/>
      <c r="G458" s="43"/>
      <c r="H458" s="44"/>
      <c r="I458" s="43"/>
      <c r="J458" s="37"/>
      <c r="K458" s="37"/>
      <c r="L458" s="37"/>
      <c r="M458" s="37"/>
      <c r="N458" s="37"/>
      <c r="O458" s="37"/>
      <c r="P458" s="37"/>
      <c r="Q458" s="37"/>
      <c r="R458" s="37"/>
      <c r="S458" s="37"/>
      <c r="T458" s="37"/>
      <c r="U458" s="37"/>
      <c r="V458" s="37"/>
      <c r="W458" s="37"/>
      <c r="X458" s="37"/>
      <c r="Y458" s="37"/>
      <c r="Z458" s="37"/>
      <c r="AA458" s="37"/>
      <c r="AB458" s="37"/>
      <c r="AC458" s="37"/>
      <c r="AD458" s="37"/>
      <c r="AE458" s="37"/>
      <c r="AF458" s="37"/>
      <c r="AG458" s="37"/>
      <c r="AH458" s="37"/>
      <c r="AI458" s="37"/>
      <c r="AJ458" s="37"/>
      <c r="AK458" s="37"/>
    </row>
    <row r="459" spans="1:37" ht="14.25">
      <c r="A459" s="43"/>
      <c r="B459" s="37"/>
      <c r="C459" s="37"/>
      <c r="D459" s="37"/>
      <c r="E459" s="37"/>
      <c r="F459" s="43"/>
      <c r="G459" s="43"/>
      <c r="H459" s="44"/>
      <c r="I459" s="43"/>
      <c r="J459" s="37"/>
      <c r="K459" s="37"/>
      <c r="L459" s="37"/>
      <c r="M459" s="37"/>
      <c r="N459" s="37"/>
      <c r="O459" s="37"/>
      <c r="P459" s="37"/>
      <c r="Q459" s="37"/>
      <c r="R459" s="37"/>
      <c r="S459" s="37"/>
      <c r="T459" s="37"/>
      <c r="U459" s="37"/>
      <c r="V459" s="37"/>
      <c r="W459" s="37"/>
      <c r="X459" s="37"/>
      <c r="Y459" s="37"/>
      <c r="Z459" s="37"/>
      <c r="AA459" s="37"/>
      <c r="AB459" s="37"/>
      <c r="AC459" s="37"/>
      <c r="AD459" s="37"/>
      <c r="AE459" s="37"/>
      <c r="AF459" s="37"/>
      <c r="AG459" s="37"/>
      <c r="AH459" s="37"/>
      <c r="AI459" s="37"/>
      <c r="AJ459" s="37"/>
      <c r="AK459" s="37"/>
    </row>
    <row r="460" spans="1:37" ht="14.25">
      <c r="A460" s="43"/>
      <c r="B460" s="37"/>
      <c r="C460" s="37"/>
      <c r="D460" s="37"/>
      <c r="E460" s="37"/>
      <c r="F460" s="43"/>
      <c r="G460" s="43"/>
      <c r="H460" s="44"/>
      <c r="I460" s="43"/>
      <c r="J460" s="37"/>
      <c r="K460" s="37"/>
      <c r="L460" s="37"/>
      <c r="M460" s="37"/>
      <c r="N460" s="37"/>
      <c r="O460" s="37"/>
      <c r="P460" s="37"/>
      <c r="Q460" s="37"/>
      <c r="R460" s="37"/>
      <c r="S460" s="37"/>
      <c r="T460" s="37"/>
      <c r="U460" s="37"/>
      <c r="V460" s="37"/>
      <c r="W460" s="37"/>
      <c r="X460" s="37"/>
      <c r="Y460" s="37"/>
      <c r="Z460" s="37"/>
      <c r="AA460" s="37"/>
      <c r="AB460" s="37"/>
      <c r="AC460" s="37"/>
      <c r="AD460" s="37"/>
      <c r="AE460" s="37"/>
      <c r="AF460" s="37"/>
      <c r="AG460" s="37"/>
      <c r="AH460" s="37"/>
      <c r="AI460" s="37"/>
      <c r="AJ460" s="37"/>
      <c r="AK460" s="37"/>
    </row>
    <row r="461" spans="1:37" ht="14.25">
      <c r="A461" s="43"/>
      <c r="B461" s="37"/>
      <c r="C461" s="37"/>
      <c r="D461" s="37"/>
      <c r="E461" s="37"/>
      <c r="F461" s="43"/>
      <c r="G461" s="43"/>
      <c r="H461" s="44"/>
      <c r="I461" s="43"/>
      <c r="J461" s="37"/>
      <c r="K461" s="37"/>
      <c r="L461" s="37"/>
      <c r="M461" s="37"/>
      <c r="N461" s="37"/>
      <c r="O461" s="37"/>
      <c r="P461" s="37"/>
      <c r="Q461" s="37"/>
      <c r="R461" s="37"/>
      <c r="S461" s="37"/>
      <c r="T461" s="37"/>
      <c r="U461" s="37"/>
      <c r="V461" s="37"/>
      <c r="W461" s="37"/>
      <c r="X461" s="37"/>
      <c r="Y461" s="37"/>
      <c r="Z461" s="37"/>
      <c r="AA461" s="37"/>
      <c r="AB461" s="37"/>
      <c r="AC461" s="37"/>
      <c r="AD461" s="37"/>
      <c r="AE461" s="37"/>
      <c r="AF461" s="37"/>
      <c r="AG461" s="37"/>
      <c r="AH461" s="37"/>
      <c r="AI461" s="37"/>
      <c r="AJ461" s="37"/>
      <c r="AK461" s="37"/>
    </row>
    <row r="462" spans="1:37" ht="14.25">
      <c r="A462" s="43"/>
      <c r="B462" s="37"/>
      <c r="C462" s="37"/>
      <c r="D462" s="37"/>
      <c r="E462" s="37"/>
      <c r="F462" s="43"/>
      <c r="G462" s="43"/>
      <c r="H462" s="44"/>
      <c r="I462" s="43"/>
      <c r="J462" s="37"/>
      <c r="K462" s="37"/>
      <c r="L462" s="37"/>
      <c r="M462" s="37"/>
      <c r="N462" s="37"/>
      <c r="O462" s="37"/>
      <c r="P462" s="37"/>
      <c r="Q462" s="37"/>
      <c r="R462" s="37"/>
      <c r="S462" s="37"/>
      <c r="T462" s="37"/>
      <c r="U462" s="37"/>
      <c r="V462" s="37"/>
      <c r="W462" s="37"/>
      <c r="X462" s="37"/>
      <c r="Y462" s="37"/>
      <c r="Z462" s="37"/>
      <c r="AA462" s="37"/>
      <c r="AB462" s="37"/>
      <c r="AC462" s="37"/>
      <c r="AD462" s="37"/>
      <c r="AE462" s="37"/>
      <c r="AF462" s="37"/>
      <c r="AG462" s="37"/>
      <c r="AH462" s="37"/>
      <c r="AI462" s="37"/>
      <c r="AJ462" s="37"/>
      <c r="AK462" s="37"/>
    </row>
    <row r="463" spans="1:37" ht="14.25">
      <c r="A463" s="43"/>
      <c r="B463" s="37"/>
      <c r="C463" s="37"/>
      <c r="D463" s="37"/>
      <c r="E463" s="37"/>
      <c r="F463" s="43"/>
      <c r="G463" s="43"/>
      <c r="H463" s="44"/>
      <c r="I463" s="43"/>
      <c r="J463" s="37"/>
      <c r="K463" s="37"/>
      <c r="L463" s="37"/>
      <c r="M463" s="37"/>
      <c r="N463" s="37"/>
      <c r="O463" s="37"/>
      <c r="P463" s="37"/>
      <c r="Q463" s="37"/>
      <c r="R463" s="37"/>
      <c r="S463" s="37"/>
      <c r="T463" s="37"/>
      <c r="U463" s="37"/>
      <c r="V463" s="37"/>
      <c r="W463" s="37"/>
      <c r="X463" s="37"/>
      <c r="Y463" s="37"/>
      <c r="Z463" s="37"/>
      <c r="AA463" s="37"/>
      <c r="AB463" s="37"/>
      <c r="AC463" s="37"/>
      <c r="AD463" s="37"/>
      <c r="AE463" s="37"/>
      <c r="AF463" s="37"/>
      <c r="AG463" s="37"/>
      <c r="AH463" s="37"/>
      <c r="AI463" s="37"/>
      <c r="AJ463" s="37"/>
      <c r="AK463" s="37"/>
    </row>
    <row r="464" spans="1:37" ht="14.25">
      <c r="A464" s="43"/>
      <c r="B464" s="37"/>
      <c r="C464" s="37"/>
      <c r="D464" s="37"/>
      <c r="E464" s="37"/>
      <c r="F464" s="43"/>
      <c r="G464" s="43"/>
      <c r="H464" s="44"/>
      <c r="I464" s="43"/>
      <c r="J464" s="37"/>
      <c r="K464" s="37"/>
      <c r="L464" s="37"/>
      <c r="M464" s="37"/>
      <c r="N464" s="37"/>
      <c r="O464" s="37"/>
      <c r="P464" s="37"/>
      <c r="Q464" s="37"/>
      <c r="R464" s="37"/>
      <c r="S464" s="37"/>
      <c r="T464" s="37"/>
      <c r="U464" s="37"/>
      <c r="V464" s="37"/>
      <c r="W464" s="37"/>
      <c r="X464" s="37"/>
      <c r="Y464" s="37"/>
      <c r="Z464" s="37"/>
      <c r="AA464" s="37"/>
      <c r="AB464" s="37"/>
      <c r="AC464" s="37"/>
      <c r="AD464" s="37"/>
      <c r="AE464" s="37"/>
      <c r="AF464" s="37"/>
      <c r="AG464" s="37"/>
      <c r="AH464" s="37"/>
      <c r="AI464" s="37"/>
      <c r="AJ464" s="37"/>
      <c r="AK464" s="37"/>
    </row>
    <row r="465" spans="1:37" ht="14.25">
      <c r="A465" s="43"/>
      <c r="B465" s="37"/>
      <c r="C465" s="37"/>
      <c r="D465" s="37"/>
      <c r="E465" s="37"/>
      <c r="F465" s="43"/>
      <c r="G465" s="43"/>
      <c r="H465" s="44"/>
      <c r="I465" s="43"/>
      <c r="J465" s="37"/>
      <c r="K465" s="37"/>
      <c r="L465" s="37"/>
      <c r="M465" s="37"/>
      <c r="N465" s="37"/>
      <c r="O465" s="37"/>
      <c r="P465" s="37"/>
      <c r="Q465" s="37"/>
      <c r="R465" s="37"/>
      <c r="S465" s="37"/>
      <c r="T465" s="37"/>
      <c r="U465" s="37"/>
      <c r="V465" s="37"/>
      <c r="W465" s="37"/>
      <c r="X465" s="37"/>
      <c r="Y465" s="37"/>
      <c r="Z465" s="37"/>
      <c r="AA465" s="37"/>
      <c r="AB465" s="37"/>
      <c r="AC465" s="37"/>
      <c r="AD465" s="37"/>
      <c r="AE465" s="37"/>
      <c r="AF465" s="37"/>
      <c r="AG465" s="37"/>
      <c r="AH465" s="37"/>
      <c r="AI465" s="37"/>
      <c r="AJ465" s="37"/>
      <c r="AK465" s="37"/>
    </row>
    <row r="466" spans="1:37" ht="14.25">
      <c r="A466" s="43"/>
      <c r="B466" s="37"/>
      <c r="C466" s="37"/>
      <c r="D466" s="37"/>
      <c r="E466" s="37"/>
      <c r="F466" s="43"/>
      <c r="G466" s="43"/>
      <c r="H466" s="44"/>
      <c r="I466" s="43"/>
      <c r="J466" s="37"/>
      <c r="K466" s="37"/>
      <c r="L466" s="37"/>
      <c r="M466" s="37"/>
      <c r="N466" s="37"/>
      <c r="O466" s="37"/>
      <c r="P466" s="37"/>
      <c r="Q466" s="37"/>
      <c r="R466" s="37"/>
      <c r="S466" s="37"/>
      <c r="T466" s="37"/>
      <c r="U466" s="37"/>
      <c r="V466" s="37"/>
      <c r="W466" s="37"/>
      <c r="X466" s="37"/>
      <c r="Y466" s="37"/>
      <c r="Z466" s="37"/>
      <c r="AA466" s="37"/>
      <c r="AB466" s="37"/>
      <c r="AC466" s="37"/>
      <c r="AD466" s="37"/>
      <c r="AE466" s="37"/>
      <c r="AF466" s="37"/>
      <c r="AG466" s="37"/>
      <c r="AH466" s="37"/>
      <c r="AI466" s="37"/>
      <c r="AJ466" s="37"/>
      <c r="AK466" s="37"/>
    </row>
    <row r="467" spans="1:37" ht="14.25">
      <c r="A467" s="43"/>
      <c r="B467" s="37"/>
      <c r="C467" s="37"/>
      <c r="D467" s="37"/>
      <c r="E467" s="37"/>
      <c r="F467" s="43"/>
      <c r="G467" s="43"/>
      <c r="H467" s="44"/>
      <c r="I467" s="43"/>
      <c r="J467" s="37"/>
      <c r="K467" s="37"/>
      <c r="L467" s="37"/>
      <c r="M467" s="37"/>
      <c r="N467" s="37"/>
      <c r="O467" s="37"/>
      <c r="P467" s="37"/>
      <c r="Q467" s="37"/>
      <c r="R467" s="37"/>
      <c r="S467" s="37"/>
      <c r="T467" s="37"/>
      <c r="U467" s="37"/>
      <c r="V467" s="37"/>
      <c r="W467" s="37"/>
      <c r="X467" s="37"/>
      <c r="Y467" s="37"/>
      <c r="Z467" s="37"/>
      <c r="AA467" s="37"/>
      <c r="AB467" s="37"/>
      <c r="AC467" s="37"/>
      <c r="AD467" s="37"/>
      <c r="AE467" s="37"/>
      <c r="AF467" s="37"/>
      <c r="AG467" s="37"/>
      <c r="AH467" s="37"/>
      <c r="AI467" s="37"/>
      <c r="AJ467" s="37"/>
      <c r="AK467" s="37"/>
    </row>
    <row r="468" spans="1:37" ht="14.25">
      <c r="A468" s="43"/>
      <c r="B468" s="37"/>
      <c r="C468" s="37"/>
      <c r="D468" s="37"/>
      <c r="E468" s="37"/>
      <c r="F468" s="43"/>
      <c r="G468" s="43"/>
      <c r="H468" s="44"/>
      <c r="I468" s="43"/>
      <c r="J468" s="37"/>
      <c r="K468" s="37"/>
      <c r="L468" s="37"/>
      <c r="M468" s="37"/>
      <c r="N468" s="37"/>
      <c r="O468" s="37"/>
      <c r="P468" s="37"/>
      <c r="Q468" s="37"/>
      <c r="R468" s="37"/>
      <c r="S468" s="37"/>
      <c r="T468" s="37"/>
      <c r="U468" s="37"/>
      <c r="V468" s="37"/>
      <c r="W468" s="37"/>
      <c r="X468" s="37"/>
      <c r="Y468" s="37"/>
      <c r="Z468" s="37"/>
      <c r="AA468" s="37"/>
      <c r="AB468" s="37"/>
      <c r="AC468" s="37"/>
      <c r="AD468" s="37"/>
      <c r="AE468" s="37"/>
      <c r="AF468" s="37"/>
      <c r="AG468" s="37"/>
      <c r="AH468" s="37"/>
      <c r="AI468" s="37"/>
      <c r="AJ468" s="37"/>
      <c r="AK468" s="37"/>
    </row>
    <row r="469" spans="1:37" ht="14.25">
      <c r="A469" s="43"/>
      <c r="B469" s="37"/>
      <c r="C469" s="37"/>
      <c r="D469" s="37"/>
      <c r="E469" s="37"/>
      <c r="F469" s="43"/>
      <c r="G469" s="43"/>
      <c r="H469" s="44"/>
      <c r="I469" s="43"/>
      <c r="J469" s="37"/>
      <c r="K469" s="37"/>
      <c r="L469" s="37"/>
      <c r="M469" s="37"/>
      <c r="N469" s="37"/>
      <c r="O469" s="37"/>
      <c r="P469" s="37"/>
      <c r="Q469" s="37"/>
      <c r="R469" s="37"/>
      <c r="S469" s="37"/>
      <c r="T469" s="37"/>
      <c r="U469" s="37"/>
      <c r="V469" s="37"/>
      <c r="W469" s="37"/>
      <c r="X469" s="37"/>
      <c r="Y469" s="37"/>
      <c r="Z469" s="37"/>
      <c r="AA469" s="37"/>
      <c r="AB469" s="37"/>
      <c r="AC469" s="37"/>
      <c r="AD469" s="37"/>
      <c r="AE469" s="37"/>
      <c r="AF469" s="37"/>
      <c r="AG469" s="37"/>
      <c r="AH469" s="37"/>
      <c r="AI469" s="37"/>
      <c r="AJ469" s="37"/>
      <c r="AK469" s="37"/>
    </row>
    <row r="470" spans="1:37" ht="14.25">
      <c r="A470" s="43"/>
      <c r="B470" s="37"/>
      <c r="C470" s="37"/>
      <c r="D470" s="37"/>
      <c r="E470" s="37"/>
      <c r="F470" s="43"/>
      <c r="G470" s="43"/>
      <c r="H470" s="44"/>
      <c r="I470" s="43"/>
      <c r="J470" s="37"/>
      <c r="K470" s="37"/>
      <c r="L470" s="37"/>
      <c r="M470" s="37"/>
      <c r="N470" s="37"/>
      <c r="O470" s="37"/>
      <c r="P470" s="37"/>
      <c r="Q470" s="37"/>
      <c r="R470" s="37"/>
      <c r="S470" s="37"/>
      <c r="T470" s="37"/>
      <c r="U470" s="37"/>
      <c r="V470" s="37"/>
      <c r="W470" s="37"/>
      <c r="X470" s="37"/>
      <c r="Y470" s="37"/>
      <c r="Z470" s="37"/>
      <c r="AA470" s="37"/>
      <c r="AB470" s="37"/>
      <c r="AC470" s="37"/>
      <c r="AD470" s="37"/>
      <c r="AE470" s="37"/>
      <c r="AF470" s="37"/>
      <c r="AG470" s="37"/>
      <c r="AH470" s="37"/>
      <c r="AI470" s="37"/>
      <c r="AJ470" s="37"/>
      <c r="AK470" s="37"/>
    </row>
    <row r="471" spans="1:37" ht="14.25">
      <c r="A471" s="43"/>
      <c r="B471" s="37"/>
      <c r="C471" s="37"/>
      <c r="D471" s="37"/>
      <c r="E471" s="37"/>
      <c r="F471" s="43"/>
      <c r="G471" s="43"/>
      <c r="H471" s="44"/>
      <c r="I471" s="43"/>
      <c r="J471" s="37"/>
      <c r="K471" s="37"/>
      <c r="L471" s="37"/>
      <c r="M471" s="37"/>
      <c r="N471" s="37"/>
      <c r="O471" s="37"/>
      <c r="P471" s="37"/>
      <c r="Q471" s="37"/>
      <c r="R471" s="37"/>
      <c r="S471" s="37"/>
      <c r="T471" s="37"/>
      <c r="U471" s="37"/>
      <c r="V471" s="37"/>
      <c r="W471" s="37"/>
      <c r="X471" s="37"/>
      <c r="Y471" s="37"/>
      <c r="Z471" s="37"/>
      <c r="AA471" s="37"/>
      <c r="AB471" s="37"/>
      <c r="AC471" s="37"/>
      <c r="AD471" s="37"/>
      <c r="AE471" s="37"/>
      <c r="AF471" s="37"/>
      <c r="AG471" s="37"/>
      <c r="AH471" s="37"/>
      <c r="AI471" s="37"/>
      <c r="AJ471" s="37"/>
      <c r="AK471" s="37"/>
    </row>
    <row r="472" spans="1:37" ht="14.25">
      <c r="A472" s="43"/>
      <c r="B472" s="37"/>
      <c r="C472" s="37"/>
      <c r="D472" s="37"/>
      <c r="E472" s="37"/>
      <c r="F472" s="43"/>
      <c r="G472" s="43"/>
      <c r="H472" s="44"/>
      <c r="I472" s="43"/>
      <c r="J472" s="37"/>
      <c r="K472" s="37"/>
      <c r="L472" s="37"/>
      <c r="M472" s="37"/>
      <c r="N472" s="37"/>
      <c r="O472" s="37"/>
      <c r="P472" s="37"/>
      <c r="Q472" s="37"/>
      <c r="R472" s="37"/>
      <c r="S472" s="37"/>
      <c r="T472" s="37"/>
      <c r="U472" s="37"/>
      <c r="V472" s="37"/>
      <c r="W472" s="37"/>
      <c r="X472" s="37"/>
      <c r="Y472" s="37"/>
      <c r="Z472" s="37"/>
      <c r="AA472" s="37"/>
      <c r="AB472" s="37"/>
      <c r="AC472" s="37"/>
      <c r="AD472" s="37"/>
      <c r="AE472" s="37"/>
      <c r="AF472" s="37"/>
      <c r="AG472" s="37"/>
      <c r="AH472" s="37"/>
      <c r="AI472" s="37"/>
      <c r="AJ472" s="37"/>
      <c r="AK472" s="37"/>
    </row>
    <row r="473" spans="1:37" ht="14.25">
      <c r="A473" s="43"/>
      <c r="B473" s="37"/>
      <c r="C473" s="37"/>
      <c r="D473" s="37"/>
      <c r="E473" s="37"/>
      <c r="F473" s="43"/>
      <c r="G473" s="43"/>
      <c r="H473" s="44"/>
      <c r="I473" s="43"/>
      <c r="J473" s="37"/>
      <c r="K473" s="37"/>
      <c r="L473" s="37"/>
      <c r="M473" s="37"/>
      <c r="N473" s="37"/>
      <c r="O473" s="37"/>
      <c r="P473" s="37"/>
      <c r="Q473" s="37"/>
      <c r="R473" s="37"/>
      <c r="S473" s="37"/>
      <c r="T473" s="37"/>
      <c r="U473" s="37"/>
      <c r="V473" s="37"/>
      <c r="W473" s="37"/>
      <c r="X473" s="37"/>
      <c r="Y473" s="37"/>
      <c r="Z473" s="37"/>
      <c r="AA473" s="37"/>
      <c r="AB473" s="37"/>
      <c r="AC473" s="37"/>
      <c r="AD473" s="37"/>
      <c r="AE473" s="37"/>
      <c r="AF473" s="37"/>
      <c r="AG473" s="37"/>
      <c r="AH473" s="37"/>
      <c r="AI473" s="37"/>
      <c r="AJ473" s="37"/>
      <c r="AK473" s="37"/>
    </row>
    <row r="474" spans="1:37" ht="14.25">
      <c r="A474" s="43"/>
      <c r="B474" s="37"/>
      <c r="C474" s="37"/>
      <c r="D474" s="37"/>
      <c r="E474" s="37"/>
      <c r="F474" s="43"/>
      <c r="G474" s="43"/>
      <c r="H474" s="44"/>
      <c r="I474" s="43"/>
      <c r="J474" s="37"/>
      <c r="K474" s="37"/>
      <c r="L474" s="37"/>
      <c r="M474" s="37"/>
      <c r="N474" s="37"/>
      <c r="O474" s="37"/>
      <c r="P474" s="37"/>
      <c r="Q474" s="37"/>
      <c r="R474" s="37"/>
      <c r="S474" s="37"/>
      <c r="T474" s="37"/>
      <c r="U474" s="37"/>
      <c r="V474" s="37"/>
      <c r="W474" s="37"/>
      <c r="X474" s="37"/>
      <c r="Y474" s="37"/>
      <c r="Z474" s="37"/>
      <c r="AA474" s="37"/>
      <c r="AB474" s="37"/>
      <c r="AC474" s="37"/>
      <c r="AD474" s="37"/>
      <c r="AE474" s="37"/>
      <c r="AF474" s="37"/>
      <c r="AG474" s="37"/>
      <c r="AH474" s="37"/>
      <c r="AI474" s="37"/>
      <c r="AJ474" s="37"/>
      <c r="AK474" s="37"/>
    </row>
    <row r="475" spans="1:37" ht="14.25">
      <c r="A475" s="43"/>
      <c r="B475" s="37"/>
      <c r="C475" s="37"/>
      <c r="D475" s="37"/>
      <c r="E475" s="37"/>
      <c r="F475" s="43"/>
      <c r="G475" s="43"/>
      <c r="H475" s="44"/>
      <c r="I475" s="43"/>
      <c r="J475" s="37"/>
      <c r="K475" s="37"/>
      <c r="L475" s="37"/>
      <c r="M475" s="37"/>
      <c r="N475" s="37"/>
      <c r="O475" s="37"/>
      <c r="P475" s="37"/>
      <c r="Q475" s="37"/>
      <c r="R475" s="37"/>
      <c r="S475" s="37"/>
      <c r="T475" s="37"/>
      <c r="U475" s="37"/>
      <c r="V475" s="37"/>
      <c r="W475" s="37"/>
      <c r="X475" s="37"/>
      <c r="Y475" s="37"/>
      <c r="Z475" s="37"/>
      <c r="AA475" s="37"/>
      <c r="AB475" s="37"/>
      <c r="AC475" s="37"/>
      <c r="AD475" s="37"/>
      <c r="AE475" s="37"/>
      <c r="AF475" s="37"/>
      <c r="AG475" s="37"/>
      <c r="AH475" s="37"/>
      <c r="AI475" s="37"/>
      <c r="AJ475" s="37"/>
      <c r="AK475" s="37"/>
    </row>
    <row r="476" spans="1:37" ht="14.25">
      <c r="A476" s="43"/>
      <c r="B476" s="37"/>
      <c r="C476" s="37"/>
      <c r="D476" s="37"/>
      <c r="E476" s="37"/>
      <c r="F476" s="43"/>
      <c r="G476" s="43"/>
      <c r="H476" s="44"/>
      <c r="I476" s="43"/>
      <c r="J476" s="37"/>
      <c r="K476" s="37"/>
      <c r="L476" s="37"/>
      <c r="M476" s="37"/>
      <c r="N476" s="37"/>
      <c r="O476" s="37"/>
      <c r="P476" s="37"/>
      <c r="Q476" s="37"/>
      <c r="R476" s="37"/>
      <c r="S476" s="37"/>
      <c r="T476" s="37"/>
      <c r="U476" s="37"/>
      <c r="V476" s="37"/>
      <c r="W476" s="37"/>
      <c r="X476" s="37"/>
      <c r="Y476" s="37"/>
      <c r="Z476" s="37"/>
      <c r="AA476" s="37"/>
      <c r="AB476" s="37"/>
      <c r="AC476" s="37"/>
      <c r="AD476" s="37"/>
      <c r="AE476" s="37"/>
      <c r="AF476" s="37"/>
      <c r="AG476" s="37"/>
      <c r="AH476" s="37"/>
      <c r="AI476" s="37"/>
      <c r="AJ476" s="37"/>
      <c r="AK476" s="37"/>
    </row>
    <row r="477" spans="1:37" ht="14.25">
      <c r="A477" s="43"/>
      <c r="B477" s="37"/>
      <c r="C477" s="37"/>
      <c r="D477" s="37"/>
      <c r="E477" s="37"/>
      <c r="F477" s="43"/>
      <c r="G477" s="43"/>
      <c r="H477" s="44"/>
      <c r="I477" s="43"/>
      <c r="J477" s="37"/>
      <c r="K477" s="37"/>
      <c r="L477" s="37"/>
      <c r="M477" s="37"/>
      <c r="N477" s="37"/>
      <c r="O477" s="37"/>
      <c r="P477" s="37"/>
      <c r="Q477" s="37"/>
      <c r="R477" s="37"/>
      <c r="S477" s="37"/>
      <c r="T477" s="37"/>
      <c r="U477" s="37"/>
      <c r="V477" s="37"/>
      <c r="W477" s="37"/>
      <c r="X477" s="37"/>
      <c r="Y477" s="37"/>
      <c r="Z477" s="37"/>
      <c r="AA477" s="37"/>
      <c r="AB477" s="37"/>
      <c r="AC477" s="37"/>
      <c r="AD477" s="37"/>
      <c r="AE477" s="37"/>
      <c r="AF477" s="37"/>
      <c r="AG477" s="37"/>
      <c r="AH477" s="37"/>
      <c r="AI477" s="37"/>
      <c r="AJ477" s="37"/>
      <c r="AK477" s="37"/>
    </row>
    <row r="478" spans="1:37" ht="14.25">
      <c r="A478" s="43"/>
      <c r="B478" s="37"/>
      <c r="C478" s="37"/>
      <c r="D478" s="37"/>
      <c r="E478" s="37"/>
      <c r="F478" s="43"/>
      <c r="G478" s="43"/>
      <c r="H478" s="44"/>
      <c r="I478" s="43"/>
      <c r="J478" s="37"/>
      <c r="K478" s="37"/>
      <c r="L478" s="37"/>
      <c r="M478" s="37"/>
      <c r="N478" s="37"/>
      <c r="O478" s="37"/>
      <c r="P478" s="37"/>
      <c r="Q478" s="37"/>
      <c r="R478" s="37"/>
      <c r="S478" s="37"/>
      <c r="T478" s="37"/>
      <c r="U478" s="37"/>
      <c r="V478" s="37"/>
      <c r="W478" s="37"/>
      <c r="X478" s="37"/>
      <c r="Y478" s="37"/>
      <c r="Z478" s="37"/>
      <c r="AA478" s="37"/>
      <c r="AB478" s="37"/>
      <c r="AC478" s="37"/>
      <c r="AD478" s="37"/>
      <c r="AE478" s="37"/>
      <c r="AF478" s="37"/>
      <c r="AG478" s="37"/>
      <c r="AH478" s="37"/>
      <c r="AI478" s="37"/>
      <c r="AJ478" s="37"/>
      <c r="AK478" s="37"/>
    </row>
    <row r="479" spans="1:37" ht="14.25">
      <c r="A479" s="43"/>
      <c r="B479" s="37"/>
      <c r="C479" s="37"/>
      <c r="D479" s="37"/>
      <c r="E479" s="37"/>
      <c r="F479" s="43"/>
      <c r="G479" s="43"/>
      <c r="H479" s="44"/>
      <c r="I479" s="43"/>
      <c r="J479" s="37"/>
      <c r="K479" s="37"/>
      <c r="L479" s="37"/>
      <c r="M479" s="37"/>
      <c r="N479" s="37"/>
      <c r="O479" s="37"/>
      <c r="P479" s="37"/>
      <c r="Q479" s="37"/>
      <c r="R479" s="37"/>
      <c r="S479" s="37"/>
      <c r="T479" s="37"/>
      <c r="U479" s="37"/>
      <c r="V479" s="37"/>
      <c r="W479" s="37"/>
      <c r="X479" s="37"/>
      <c r="Y479" s="37"/>
      <c r="Z479" s="37"/>
      <c r="AA479" s="37"/>
      <c r="AB479" s="37"/>
      <c r="AC479" s="37"/>
      <c r="AD479" s="37"/>
      <c r="AE479" s="37"/>
      <c r="AF479" s="37"/>
      <c r="AG479" s="37"/>
      <c r="AH479" s="37"/>
      <c r="AI479" s="37"/>
      <c r="AJ479" s="37"/>
      <c r="AK479" s="37"/>
    </row>
    <row r="480" spans="1:37" ht="14.25">
      <c r="A480" s="43"/>
      <c r="B480" s="37"/>
      <c r="C480" s="37"/>
      <c r="D480" s="37"/>
      <c r="E480" s="37"/>
      <c r="F480" s="43"/>
      <c r="G480" s="43"/>
      <c r="H480" s="44"/>
      <c r="I480" s="43"/>
      <c r="J480" s="37"/>
      <c r="K480" s="37"/>
      <c r="L480" s="37"/>
      <c r="M480" s="37"/>
      <c r="N480" s="37"/>
      <c r="O480" s="37"/>
      <c r="P480" s="37"/>
      <c r="Q480" s="37"/>
      <c r="R480" s="37"/>
      <c r="S480" s="37"/>
      <c r="T480" s="37"/>
      <c r="U480" s="37"/>
      <c r="V480" s="37"/>
      <c r="W480" s="37"/>
      <c r="X480" s="37"/>
      <c r="Y480" s="37"/>
      <c r="Z480" s="37"/>
      <c r="AA480" s="37"/>
      <c r="AB480" s="37"/>
      <c r="AC480" s="37"/>
      <c r="AD480" s="37"/>
      <c r="AE480" s="37"/>
      <c r="AF480" s="37"/>
      <c r="AG480" s="37"/>
      <c r="AH480" s="37"/>
      <c r="AI480" s="37"/>
      <c r="AJ480" s="37"/>
      <c r="AK480" s="37"/>
    </row>
    <row r="481" spans="1:37" ht="14.25">
      <c r="A481" s="43"/>
      <c r="B481" s="37"/>
      <c r="C481" s="37"/>
      <c r="D481" s="37"/>
      <c r="E481" s="37"/>
      <c r="F481" s="43"/>
      <c r="G481" s="43"/>
      <c r="H481" s="44"/>
      <c r="I481" s="43"/>
      <c r="J481" s="37"/>
      <c r="K481" s="37"/>
      <c r="L481" s="37"/>
      <c r="M481" s="37"/>
      <c r="N481" s="37"/>
      <c r="O481" s="37"/>
      <c r="P481" s="37"/>
      <c r="Q481" s="37"/>
      <c r="R481" s="37"/>
      <c r="S481" s="37"/>
      <c r="T481" s="37"/>
      <c r="U481" s="37"/>
      <c r="V481" s="37"/>
      <c r="W481" s="37"/>
      <c r="X481" s="37"/>
      <c r="Y481" s="37"/>
      <c r="Z481" s="37"/>
      <c r="AA481" s="37"/>
      <c r="AB481" s="37"/>
      <c r="AC481" s="37"/>
      <c r="AD481" s="37"/>
      <c r="AE481" s="37"/>
      <c r="AF481" s="37"/>
      <c r="AG481" s="37"/>
      <c r="AH481" s="37"/>
      <c r="AI481" s="37"/>
      <c r="AJ481" s="37"/>
      <c r="AK481" s="37"/>
    </row>
    <row r="482" spans="1:37" ht="14.25">
      <c r="A482" s="43"/>
      <c r="B482" s="37"/>
      <c r="C482" s="37"/>
      <c r="D482" s="37"/>
      <c r="E482" s="37"/>
      <c r="F482" s="43"/>
      <c r="G482" s="43"/>
      <c r="H482" s="44"/>
      <c r="I482" s="43"/>
      <c r="J482" s="37"/>
      <c r="K482" s="37"/>
      <c r="L482" s="37"/>
      <c r="M482" s="37"/>
      <c r="N482" s="37"/>
      <c r="O482" s="37"/>
      <c r="P482" s="37"/>
      <c r="Q482" s="37"/>
      <c r="R482" s="37"/>
      <c r="S482" s="37"/>
      <c r="T482" s="37"/>
      <c r="U482" s="37"/>
      <c r="V482" s="37"/>
      <c r="W482" s="37"/>
      <c r="X482" s="37"/>
      <c r="Y482" s="37"/>
      <c r="Z482" s="37"/>
      <c r="AA482" s="37"/>
      <c r="AB482" s="37"/>
      <c r="AC482" s="37"/>
      <c r="AD482" s="37"/>
      <c r="AE482" s="37"/>
      <c r="AF482" s="37"/>
      <c r="AG482" s="37"/>
      <c r="AH482" s="37"/>
      <c r="AI482" s="37"/>
      <c r="AJ482" s="37"/>
      <c r="AK482" s="37"/>
    </row>
    <row r="483" spans="1:37" ht="14.25">
      <c r="A483" s="43"/>
      <c r="B483" s="37"/>
      <c r="C483" s="37"/>
      <c r="D483" s="37"/>
      <c r="E483" s="37"/>
      <c r="F483" s="43"/>
      <c r="G483" s="43"/>
      <c r="H483" s="44"/>
      <c r="I483" s="43"/>
      <c r="J483" s="37"/>
      <c r="K483" s="37"/>
      <c r="L483" s="37"/>
      <c r="M483" s="37"/>
      <c r="N483" s="37"/>
      <c r="O483" s="37"/>
      <c r="P483" s="37"/>
      <c r="Q483" s="37"/>
      <c r="R483" s="37"/>
      <c r="S483" s="37"/>
      <c r="T483" s="37"/>
      <c r="U483" s="37"/>
      <c r="V483" s="37"/>
      <c r="W483" s="37"/>
      <c r="X483" s="37"/>
      <c r="Y483" s="37"/>
      <c r="Z483" s="37"/>
      <c r="AA483" s="37"/>
      <c r="AB483" s="37"/>
      <c r="AC483" s="37"/>
      <c r="AD483" s="37"/>
      <c r="AE483" s="37"/>
      <c r="AF483" s="37"/>
      <c r="AG483" s="37"/>
      <c r="AH483" s="37"/>
      <c r="AI483" s="37"/>
      <c r="AJ483" s="37"/>
      <c r="AK483" s="37"/>
    </row>
    <row r="484" spans="1:37" ht="14.25">
      <c r="A484" s="43"/>
      <c r="B484" s="37"/>
      <c r="C484" s="37"/>
      <c r="D484" s="37"/>
      <c r="E484" s="37"/>
      <c r="F484" s="43"/>
      <c r="G484" s="43"/>
      <c r="H484" s="44"/>
      <c r="I484" s="43"/>
      <c r="J484" s="37"/>
      <c r="K484" s="37"/>
      <c r="L484" s="37"/>
      <c r="M484" s="37"/>
      <c r="N484" s="37"/>
      <c r="O484" s="37"/>
      <c r="P484" s="37"/>
      <c r="Q484" s="37"/>
      <c r="R484" s="37"/>
      <c r="S484" s="37"/>
      <c r="T484" s="37"/>
      <c r="U484" s="37"/>
      <c r="V484" s="37"/>
      <c r="W484" s="37"/>
      <c r="X484" s="37"/>
      <c r="Y484" s="37"/>
      <c r="Z484" s="37"/>
      <c r="AA484" s="37"/>
      <c r="AB484" s="37"/>
      <c r="AC484" s="37"/>
      <c r="AD484" s="37"/>
      <c r="AE484" s="37"/>
      <c r="AF484" s="37"/>
      <c r="AG484" s="37"/>
      <c r="AH484" s="37"/>
      <c r="AI484" s="37"/>
      <c r="AJ484" s="37"/>
      <c r="AK484" s="37"/>
    </row>
    <row r="485" spans="1:37" ht="14.25">
      <c r="A485" s="43"/>
      <c r="B485" s="37"/>
      <c r="C485" s="37"/>
      <c r="D485" s="37"/>
      <c r="E485" s="37"/>
      <c r="F485" s="43"/>
      <c r="G485" s="43"/>
      <c r="H485" s="44"/>
      <c r="I485" s="43"/>
      <c r="J485" s="37"/>
      <c r="K485" s="37"/>
      <c r="L485" s="37"/>
      <c r="M485" s="37"/>
      <c r="N485" s="37"/>
      <c r="O485" s="37"/>
      <c r="P485" s="37"/>
      <c r="Q485" s="37"/>
      <c r="R485" s="37"/>
      <c r="S485" s="37"/>
      <c r="T485" s="37"/>
      <c r="U485" s="37"/>
      <c r="V485" s="37"/>
      <c r="W485" s="37"/>
      <c r="X485" s="37"/>
      <c r="Y485" s="37"/>
      <c r="Z485" s="37"/>
      <c r="AA485" s="37"/>
      <c r="AB485" s="37"/>
      <c r="AC485" s="37"/>
      <c r="AD485" s="37"/>
      <c r="AE485" s="37"/>
      <c r="AF485" s="37"/>
      <c r="AG485" s="37"/>
      <c r="AH485" s="37"/>
      <c r="AI485" s="37"/>
      <c r="AJ485" s="37"/>
      <c r="AK485" s="37"/>
    </row>
    <row r="486" spans="1:37" ht="14.25">
      <c r="A486" s="43"/>
      <c r="B486" s="37"/>
      <c r="C486" s="37"/>
      <c r="D486" s="37"/>
      <c r="E486" s="37"/>
      <c r="F486" s="43"/>
      <c r="G486" s="43"/>
      <c r="H486" s="44"/>
      <c r="I486" s="43"/>
      <c r="J486" s="37"/>
      <c r="K486" s="37"/>
      <c r="L486" s="37"/>
      <c r="M486" s="37"/>
      <c r="N486" s="37"/>
      <c r="O486" s="37"/>
      <c r="P486" s="37"/>
      <c r="Q486" s="37"/>
      <c r="R486" s="37"/>
      <c r="S486" s="37"/>
      <c r="T486" s="37"/>
      <c r="U486" s="37"/>
      <c r="V486" s="37"/>
      <c r="W486" s="37"/>
      <c r="X486" s="37"/>
      <c r="Y486" s="37"/>
      <c r="Z486" s="37"/>
      <c r="AA486" s="37"/>
      <c r="AB486" s="37"/>
      <c r="AC486" s="37"/>
      <c r="AD486" s="37"/>
      <c r="AE486" s="37"/>
      <c r="AF486" s="37"/>
      <c r="AG486" s="37"/>
      <c r="AH486" s="37"/>
      <c r="AI486" s="37"/>
      <c r="AJ486" s="37"/>
      <c r="AK486" s="37"/>
    </row>
    <row r="487" spans="1:37" ht="14.25">
      <c r="A487" s="43"/>
      <c r="B487" s="37"/>
      <c r="C487" s="37"/>
      <c r="D487" s="37"/>
      <c r="E487" s="37"/>
      <c r="F487" s="43"/>
      <c r="G487" s="43"/>
      <c r="H487" s="44"/>
      <c r="I487" s="43"/>
      <c r="J487" s="37"/>
      <c r="K487" s="37"/>
      <c r="L487" s="37"/>
      <c r="M487" s="37"/>
      <c r="N487" s="37"/>
      <c r="O487" s="37"/>
      <c r="P487" s="37"/>
      <c r="Q487" s="37"/>
      <c r="R487" s="37"/>
      <c r="S487" s="37"/>
      <c r="T487" s="37"/>
      <c r="U487" s="37"/>
      <c r="V487" s="37"/>
      <c r="W487" s="37"/>
      <c r="X487" s="37"/>
      <c r="Y487" s="37"/>
      <c r="Z487" s="37"/>
      <c r="AA487" s="37"/>
      <c r="AB487" s="37"/>
      <c r="AC487" s="37"/>
      <c r="AD487" s="37"/>
      <c r="AE487" s="37"/>
      <c r="AF487" s="37"/>
      <c r="AG487" s="37"/>
      <c r="AH487" s="37"/>
      <c r="AI487" s="37"/>
      <c r="AJ487" s="37"/>
      <c r="AK487" s="37"/>
    </row>
    <row r="488" spans="1:37" ht="14.25">
      <c r="A488" s="43"/>
      <c r="B488" s="37"/>
      <c r="C488" s="37"/>
      <c r="D488" s="37"/>
      <c r="E488" s="37"/>
      <c r="F488" s="43"/>
      <c r="G488" s="43"/>
      <c r="H488" s="44"/>
      <c r="I488" s="43"/>
      <c r="J488" s="37"/>
      <c r="K488" s="37"/>
      <c r="L488" s="37"/>
      <c r="M488" s="37"/>
      <c r="N488" s="37"/>
      <c r="O488" s="37"/>
      <c r="P488" s="37"/>
      <c r="Q488" s="37"/>
      <c r="R488" s="37"/>
      <c r="S488" s="37"/>
      <c r="T488" s="37"/>
      <c r="U488" s="37"/>
      <c r="V488" s="37"/>
      <c r="W488" s="37"/>
      <c r="X488" s="37"/>
      <c r="Y488" s="37"/>
      <c r="Z488" s="37"/>
      <c r="AA488" s="37"/>
      <c r="AB488" s="37"/>
      <c r="AC488" s="37"/>
      <c r="AD488" s="37"/>
      <c r="AE488" s="37"/>
      <c r="AF488" s="37"/>
      <c r="AG488" s="37"/>
      <c r="AH488" s="37"/>
      <c r="AI488" s="37"/>
      <c r="AJ488" s="37"/>
      <c r="AK488" s="37"/>
    </row>
    <row r="489" spans="1:37" ht="14.25">
      <c r="A489" s="43"/>
      <c r="B489" s="37"/>
      <c r="C489" s="37"/>
      <c r="D489" s="37"/>
      <c r="E489" s="37"/>
      <c r="F489" s="43"/>
      <c r="G489" s="43"/>
      <c r="H489" s="44"/>
      <c r="I489" s="43"/>
      <c r="J489" s="37"/>
      <c r="K489" s="37"/>
      <c r="L489" s="37"/>
      <c r="M489" s="37"/>
      <c r="N489" s="37"/>
      <c r="O489" s="37"/>
      <c r="P489" s="37"/>
      <c r="Q489" s="37"/>
      <c r="R489" s="37"/>
      <c r="S489" s="37"/>
      <c r="T489" s="37"/>
      <c r="U489" s="37"/>
      <c r="V489" s="37"/>
      <c r="W489" s="37"/>
      <c r="X489" s="37"/>
      <c r="Y489" s="37"/>
      <c r="Z489" s="37"/>
      <c r="AA489" s="37"/>
      <c r="AB489" s="37"/>
      <c r="AC489" s="37"/>
      <c r="AD489" s="37"/>
      <c r="AE489" s="37"/>
      <c r="AF489" s="37"/>
      <c r="AG489" s="37"/>
      <c r="AH489" s="37"/>
      <c r="AI489" s="37"/>
      <c r="AJ489" s="37"/>
      <c r="AK489" s="37"/>
    </row>
    <row r="490" spans="1:37" ht="14.25">
      <c r="A490" s="43"/>
      <c r="B490" s="37"/>
      <c r="C490" s="37"/>
      <c r="D490" s="37"/>
      <c r="E490" s="37"/>
      <c r="F490" s="43"/>
      <c r="G490" s="43"/>
      <c r="H490" s="44"/>
      <c r="I490" s="43"/>
      <c r="J490" s="37"/>
      <c r="K490" s="37"/>
      <c r="L490" s="37"/>
      <c r="M490" s="37"/>
      <c r="N490" s="37"/>
      <c r="O490" s="37"/>
      <c r="P490" s="37"/>
      <c r="Q490" s="37"/>
      <c r="R490" s="37"/>
      <c r="S490" s="37"/>
      <c r="T490" s="37"/>
      <c r="U490" s="37"/>
      <c r="V490" s="37"/>
      <c r="W490" s="37"/>
      <c r="X490" s="37"/>
      <c r="Y490" s="37"/>
      <c r="Z490" s="37"/>
      <c r="AA490" s="37"/>
      <c r="AB490" s="37"/>
      <c r="AC490" s="37"/>
      <c r="AD490" s="37"/>
      <c r="AE490" s="37"/>
      <c r="AF490" s="37"/>
      <c r="AG490" s="37"/>
      <c r="AH490" s="37"/>
      <c r="AI490" s="37"/>
      <c r="AJ490" s="37"/>
      <c r="AK490" s="37"/>
    </row>
    <row r="491" spans="1:37" ht="14.25">
      <c r="A491" s="43"/>
      <c r="B491" s="37"/>
      <c r="C491" s="37"/>
      <c r="D491" s="37"/>
      <c r="E491" s="37"/>
      <c r="F491" s="43"/>
      <c r="G491" s="43"/>
      <c r="H491" s="44"/>
      <c r="I491" s="43"/>
      <c r="J491" s="37"/>
      <c r="K491" s="37"/>
      <c r="L491" s="37"/>
      <c r="M491" s="37"/>
      <c r="N491" s="37"/>
      <c r="O491" s="37"/>
      <c r="P491" s="37"/>
      <c r="Q491" s="37"/>
      <c r="R491" s="37"/>
      <c r="S491" s="37"/>
      <c r="T491" s="37"/>
      <c r="U491" s="37"/>
      <c r="V491" s="37"/>
      <c r="W491" s="37"/>
      <c r="X491" s="37"/>
      <c r="Y491" s="37"/>
      <c r="Z491" s="37"/>
      <c r="AA491" s="37"/>
      <c r="AB491" s="37"/>
      <c r="AC491" s="37"/>
      <c r="AD491" s="37"/>
      <c r="AE491" s="37"/>
      <c r="AF491" s="37"/>
      <c r="AG491" s="37"/>
      <c r="AH491" s="37"/>
      <c r="AI491" s="37"/>
      <c r="AJ491" s="37"/>
      <c r="AK491" s="37"/>
    </row>
    <row r="492" spans="1:37" ht="14.25">
      <c r="A492" s="43"/>
      <c r="B492" s="37"/>
      <c r="C492" s="37"/>
      <c r="D492" s="37"/>
      <c r="E492" s="37"/>
      <c r="F492" s="43"/>
      <c r="G492" s="43"/>
      <c r="H492" s="44"/>
      <c r="I492" s="43"/>
      <c r="J492" s="37"/>
      <c r="K492" s="37"/>
      <c r="L492" s="37"/>
      <c r="M492" s="37"/>
      <c r="N492" s="37"/>
      <c r="O492" s="37"/>
      <c r="P492" s="37"/>
      <c r="Q492" s="37"/>
      <c r="R492" s="37"/>
      <c r="S492" s="37"/>
      <c r="T492" s="37"/>
      <c r="U492" s="37"/>
      <c r="V492" s="37"/>
      <c r="W492" s="37"/>
      <c r="X492" s="37"/>
      <c r="Y492" s="37"/>
      <c r="Z492" s="37"/>
      <c r="AA492" s="37"/>
      <c r="AB492" s="37"/>
      <c r="AC492" s="37"/>
      <c r="AD492" s="37"/>
      <c r="AE492" s="37"/>
      <c r="AF492" s="37"/>
      <c r="AG492" s="37"/>
      <c r="AH492" s="37"/>
      <c r="AI492" s="37"/>
      <c r="AJ492" s="37"/>
      <c r="AK492" s="37"/>
    </row>
    <row r="493" spans="1:37" ht="14.25">
      <c r="A493" s="43"/>
      <c r="B493" s="37"/>
      <c r="C493" s="37"/>
      <c r="D493" s="37"/>
      <c r="E493" s="37"/>
      <c r="F493" s="43"/>
      <c r="G493" s="43"/>
      <c r="H493" s="44"/>
      <c r="I493" s="43"/>
      <c r="J493" s="37"/>
      <c r="K493" s="37"/>
      <c r="L493" s="37"/>
      <c r="M493" s="37"/>
      <c r="N493" s="37"/>
      <c r="O493" s="37"/>
      <c r="P493" s="37"/>
      <c r="Q493" s="37"/>
      <c r="R493" s="37"/>
      <c r="S493" s="37"/>
      <c r="T493" s="37"/>
      <c r="U493" s="37"/>
      <c r="V493" s="37"/>
      <c r="W493" s="37"/>
      <c r="X493" s="37"/>
      <c r="Y493" s="37"/>
      <c r="Z493" s="37"/>
      <c r="AA493" s="37"/>
      <c r="AB493" s="37"/>
      <c r="AC493" s="37"/>
      <c r="AD493" s="37"/>
      <c r="AE493" s="37"/>
      <c r="AF493" s="37"/>
      <c r="AG493" s="37"/>
      <c r="AH493" s="37"/>
      <c r="AI493" s="37"/>
      <c r="AJ493" s="37"/>
      <c r="AK493" s="37"/>
    </row>
    <row r="494" spans="1:37" ht="14.25">
      <c r="A494" s="43"/>
      <c r="B494" s="37"/>
      <c r="C494" s="37"/>
      <c r="D494" s="37"/>
      <c r="E494" s="37"/>
      <c r="F494" s="43"/>
      <c r="G494" s="43"/>
      <c r="H494" s="44"/>
      <c r="I494" s="43"/>
      <c r="J494" s="37"/>
      <c r="K494" s="37"/>
      <c r="L494" s="37"/>
      <c r="M494" s="37"/>
      <c r="N494" s="37"/>
      <c r="O494" s="37"/>
      <c r="P494" s="37"/>
      <c r="Q494" s="37"/>
      <c r="R494" s="37"/>
      <c r="S494" s="37"/>
      <c r="T494" s="37"/>
      <c r="U494" s="37"/>
      <c r="V494" s="37"/>
      <c r="W494" s="37"/>
      <c r="X494" s="37"/>
      <c r="Y494" s="37"/>
      <c r="Z494" s="37"/>
      <c r="AA494" s="37"/>
      <c r="AB494" s="37"/>
      <c r="AC494" s="37"/>
      <c r="AD494" s="37"/>
      <c r="AE494" s="37"/>
      <c r="AF494" s="37"/>
      <c r="AG494" s="37"/>
      <c r="AH494" s="37"/>
      <c r="AI494" s="37"/>
      <c r="AJ494" s="37"/>
      <c r="AK494" s="37"/>
    </row>
    <row r="495" spans="1:37" ht="14.25">
      <c r="A495" s="43"/>
      <c r="B495" s="37"/>
      <c r="C495" s="37"/>
      <c r="D495" s="37"/>
      <c r="E495" s="37"/>
      <c r="F495" s="43"/>
      <c r="G495" s="43"/>
      <c r="H495" s="44"/>
      <c r="I495" s="43"/>
      <c r="J495" s="37"/>
      <c r="K495" s="37"/>
      <c r="L495" s="37"/>
      <c r="M495" s="37"/>
      <c r="N495" s="37"/>
      <c r="O495" s="37"/>
      <c r="P495" s="37"/>
      <c r="Q495" s="37"/>
      <c r="R495" s="37"/>
      <c r="S495" s="37"/>
      <c r="T495" s="37"/>
      <c r="U495" s="37"/>
      <c r="V495" s="37"/>
      <c r="W495" s="37"/>
      <c r="X495" s="37"/>
      <c r="Y495" s="37"/>
      <c r="Z495" s="37"/>
      <c r="AA495" s="37"/>
      <c r="AB495" s="37"/>
      <c r="AC495" s="37"/>
      <c r="AD495" s="37"/>
      <c r="AE495" s="37"/>
      <c r="AF495" s="37"/>
      <c r="AG495" s="37"/>
      <c r="AH495" s="37"/>
      <c r="AI495" s="37"/>
      <c r="AJ495" s="37"/>
      <c r="AK495" s="37"/>
    </row>
    <row r="496" spans="1:37" ht="14.25">
      <c r="A496" s="43"/>
      <c r="B496" s="37"/>
      <c r="C496" s="37"/>
      <c r="D496" s="37"/>
      <c r="E496" s="37"/>
      <c r="F496" s="43"/>
      <c r="G496" s="43"/>
      <c r="H496" s="44"/>
      <c r="I496" s="43"/>
      <c r="J496" s="37"/>
      <c r="K496" s="37"/>
      <c r="L496" s="37"/>
      <c r="M496" s="37"/>
      <c r="N496" s="37"/>
      <c r="O496" s="37"/>
      <c r="P496" s="37"/>
      <c r="Q496" s="37"/>
      <c r="R496" s="37"/>
      <c r="S496" s="37"/>
      <c r="T496" s="37"/>
      <c r="U496" s="37"/>
      <c r="V496" s="37"/>
      <c r="W496" s="37"/>
      <c r="X496" s="37"/>
      <c r="Y496" s="37"/>
      <c r="Z496" s="37"/>
      <c r="AA496" s="37"/>
      <c r="AB496" s="37"/>
      <c r="AC496" s="37"/>
      <c r="AD496" s="37"/>
      <c r="AE496" s="37"/>
      <c r="AF496" s="37"/>
      <c r="AG496" s="37"/>
      <c r="AH496" s="37"/>
      <c r="AI496" s="37"/>
      <c r="AJ496" s="37"/>
      <c r="AK496" s="37"/>
    </row>
    <row r="497" spans="1:37" ht="14.25">
      <c r="A497" s="43"/>
      <c r="B497" s="37"/>
      <c r="C497" s="37"/>
      <c r="D497" s="37"/>
      <c r="E497" s="37"/>
      <c r="F497" s="43"/>
      <c r="G497" s="43"/>
      <c r="H497" s="44"/>
      <c r="I497" s="43"/>
      <c r="J497" s="37"/>
      <c r="K497" s="37"/>
      <c r="L497" s="37"/>
      <c r="M497" s="37"/>
      <c r="N497" s="37"/>
      <c r="O497" s="37"/>
      <c r="P497" s="37"/>
      <c r="Q497" s="37"/>
      <c r="R497" s="37"/>
      <c r="S497" s="37"/>
      <c r="T497" s="37"/>
      <c r="U497" s="37"/>
      <c r="V497" s="37"/>
      <c r="W497" s="37"/>
      <c r="X497" s="37"/>
      <c r="Y497" s="37"/>
      <c r="Z497" s="37"/>
      <c r="AA497" s="37"/>
      <c r="AB497" s="37"/>
      <c r="AC497" s="37"/>
      <c r="AD497" s="37"/>
      <c r="AE497" s="37"/>
      <c r="AF497" s="37"/>
      <c r="AG497" s="37"/>
      <c r="AH497" s="37"/>
      <c r="AI497" s="37"/>
      <c r="AJ497" s="37"/>
      <c r="AK497" s="37"/>
    </row>
    <row r="498" spans="1:37" ht="14.25">
      <c r="A498" s="43"/>
      <c r="B498" s="37"/>
      <c r="C498" s="37"/>
      <c r="D498" s="37"/>
      <c r="E498" s="37"/>
      <c r="F498" s="43"/>
      <c r="G498" s="43"/>
      <c r="H498" s="44"/>
      <c r="I498" s="43"/>
      <c r="J498" s="37"/>
      <c r="K498" s="37"/>
      <c r="L498" s="37"/>
      <c r="M498" s="37"/>
      <c r="N498" s="37"/>
      <c r="O498" s="37"/>
      <c r="P498" s="37"/>
      <c r="Q498" s="37"/>
      <c r="R498" s="37"/>
      <c r="S498" s="37"/>
      <c r="T498" s="37"/>
      <c r="U498" s="37"/>
      <c r="V498" s="37"/>
      <c r="W498" s="37"/>
      <c r="X498" s="37"/>
      <c r="Y498" s="37"/>
      <c r="Z498" s="37"/>
      <c r="AA498" s="37"/>
      <c r="AB498" s="37"/>
      <c r="AC498" s="37"/>
      <c r="AD498" s="37"/>
      <c r="AE498" s="37"/>
      <c r="AF498" s="37"/>
      <c r="AG498" s="37"/>
      <c r="AH498" s="37"/>
      <c r="AI498" s="37"/>
      <c r="AJ498" s="37"/>
      <c r="AK498" s="37"/>
    </row>
    <row r="499" spans="1:37" ht="14.25">
      <c r="A499" s="43"/>
      <c r="B499" s="37"/>
      <c r="C499" s="37"/>
      <c r="D499" s="37"/>
      <c r="E499" s="37"/>
      <c r="F499" s="43"/>
      <c r="G499" s="43"/>
      <c r="H499" s="44"/>
      <c r="I499" s="43"/>
      <c r="J499" s="37"/>
      <c r="K499" s="37"/>
      <c r="L499" s="37"/>
      <c r="M499" s="37"/>
      <c r="N499" s="37"/>
      <c r="O499" s="37"/>
      <c r="P499" s="37"/>
      <c r="Q499" s="37"/>
      <c r="R499" s="37"/>
      <c r="S499" s="37"/>
      <c r="T499" s="37"/>
      <c r="U499" s="37"/>
      <c r="V499" s="37"/>
      <c r="W499" s="37"/>
      <c r="X499" s="37"/>
      <c r="Y499" s="37"/>
      <c r="Z499" s="37"/>
      <c r="AA499" s="37"/>
      <c r="AB499" s="37"/>
      <c r="AC499" s="37"/>
      <c r="AD499" s="37"/>
      <c r="AE499" s="37"/>
      <c r="AF499" s="37"/>
      <c r="AG499" s="37"/>
      <c r="AH499" s="37"/>
      <c r="AI499" s="37"/>
      <c r="AJ499" s="37"/>
      <c r="AK499" s="37"/>
    </row>
    <row r="500" spans="1:37" ht="14.25">
      <c r="A500" s="43"/>
      <c r="B500" s="37"/>
      <c r="C500" s="37"/>
      <c r="D500" s="37"/>
      <c r="E500" s="37"/>
      <c r="F500" s="43"/>
      <c r="G500" s="43"/>
      <c r="H500" s="44"/>
      <c r="I500" s="43"/>
      <c r="J500" s="37"/>
      <c r="K500" s="37"/>
      <c r="L500" s="37"/>
      <c r="M500" s="37"/>
      <c r="N500" s="37"/>
      <c r="O500" s="37"/>
      <c r="P500" s="37"/>
      <c r="Q500" s="37"/>
      <c r="R500" s="37"/>
      <c r="S500" s="37"/>
      <c r="T500" s="37"/>
      <c r="U500" s="37"/>
      <c r="V500" s="37"/>
      <c r="W500" s="37"/>
      <c r="X500" s="37"/>
      <c r="Y500" s="37"/>
      <c r="Z500" s="37"/>
      <c r="AA500" s="37"/>
      <c r="AB500" s="37"/>
      <c r="AC500" s="37"/>
      <c r="AD500" s="37"/>
      <c r="AE500" s="37"/>
      <c r="AF500" s="37"/>
      <c r="AG500" s="37"/>
      <c r="AH500" s="37"/>
      <c r="AI500" s="37"/>
      <c r="AJ500" s="37"/>
      <c r="AK500" s="37"/>
    </row>
    <row r="501" spans="1:37" ht="14.25">
      <c r="A501" s="43"/>
      <c r="B501" s="37"/>
      <c r="C501" s="37"/>
      <c r="D501" s="37"/>
      <c r="E501" s="37"/>
      <c r="F501" s="43"/>
      <c r="G501" s="43"/>
      <c r="H501" s="44"/>
      <c r="I501" s="43"/>
      <c r="J501" s="37"/>
      <c r="K501" s="37"/>
      <c r="L501" s="37"/>
      <c r="M501" s="37"/>
      <c r="N501" s="37"/>
      <c r="O501" s="37"/>
      <c r="P501" s="37"/>
      <c r="Q501" s="37"/>
      <c r="R501" s="37"/>
      <c r="S501" s="37"/>
      <c r="T501" s="37"/>
      <c r="U501" s="37"/>
      <c r="V501" s="37"/>
      <c r="W501" s="37"/>
      <c r="X501" s="37"/>
      <c r="Y501" s="37"/>
      <c r="Z501" s="37"/>
      <c r="AA501" s="37"/>
      <c r="AB501" s="37"/>
      <c r="AC501" s="37"/>
      <c r="AD501" s="37"/>
      <c r="AE501" s="37"/>
      <c r="AF501" s="37"/>
      <c r="AG501" s="37"/>
      <c r="AH501" s="37"/>
      <c r="AI501" s="37"/>
      <c r="AJ501" s="37"/>
      <c r="AK501" s="37"/>
    </row>
    <row r="502" spans="1:37" ht="14.25">
      <c r="A502" s="43"/>
      <c r="B502" s="37"/>
      <c r="C502" s="37"/>
      <c r="D502" s="37"/>
      <c r="E502" s="37"/>
      <c r="F502" s="43"/>
      <c r="G502" s="43"/>
      <c r="H502" s="44"/>
      <c r="I502" s="43"/>
      <c r="J502" s="37"/>
      <c r="K502" s="37"/>
      <c r="L502" s="37"/>
      <c r="M502" s="37"/>
      <c r="N502" s="37"/>
      <c r="O502" s="37"/>
      <c r="P502" s="37"/>
      <c r="Q502" s="37"/>
      <c r="R502" s="37"/>
      <c r="S502" s="37"/>
      <c r="T502" s="37"/>
      <c r="U502" s="37"/>
      <c r="V502" s="37"/>
      <c r="W502" s="37"/>
      <c r="X502" s="37"/>
      <c r="Y502" s="37"/>
      <c r="Z502" s="37"/>
      <c r="AA502" s="37"/>
      <c r="AB502" s="37"/>
      <c r="AC502" s="37"/>
      <c r="AD502" s="37"/>
      <c r="AE502" s="37"/>
      <c r="AF502" s="37"/>
      <c r="AG502" s="37"/>
      <c r="AH502" s="37"/>
      <c r="AI502" s="37"/>
      <c r="AJ502" s="37"/>
      <c r="AK502" s="37"/>
    </row>
    <row r="503" spans="1:37" ht="14.25">
      <c r="A503" s="43"/>
      <c r="B503" s="37"/>
      <c r="C503" s="37"/>
      <c r="D503" s="37"/>
      <c r="E503" s="37"/>
      <c r="F503" s="43"/>
      <c r="G503" s="43"/>
      <c r="H503" s="44"/>
      <c r="I503" s="43"/>
      <c r="J503" s="37"/>
      <c r="K503" s="37"/>
      <c r="L503" s="37"/>
      <c r="M503" s="37"/>
      <c r="N503" s="37"/>
      <c r="O503" s="37"/>
      <c r="P503" s="37"/>
      <c r="Q503" s="37"/>
      <c r="R503" s="37"/>
      <c r="S503" s="37"/>
      <c r="T503" s="37"/>
      <c r="U503" s="37"/>
      <c r="V503" s="37"/>
      <c r="W503" s="37"/>
      <c r="X503" s="37"/>
      <c r="Y503" s="37"/>
      <c r="Z503" s="37"/>
      <c r="AA503" s="37"/>
      <c r="AB503" s="37"/>
      <c r="AC503" s="37"/>
      <c r="AD503" s="37"/>
      <c r="AE503" s="37"/>
      <c r="AF503" s="37"/>
      <c r="AG503" s="37"/>
      <c r="AH503" s="37"/>
      <c r="AI503" s="37"/>
      <c r="AJ503" s="37"/>
      <c r="AK503" s="37"/>
    </row>
    <row r="504" spans="1:37" ht="14.25">
      <c r="A504" s="43"/>
      <c r="B504" s="37"/>
      <c r="C504" s="37"/>
      <c r="D504" s="37"/>
      <c r="E504" s="37"/>
      <c r="F504" s="43"/>
      <c r="G504" s="43"/>
      <c r="H504" s="44"/>
      <c r="I504" s="43"/>
      <c r="J504" s="37"/>
      <c r="K504" s="37"/>
      <c r="L504" s="37"/>
      <c r="M504" s="37"/>
      <c r="N504" s="37"/>
      <c r="O504" s="37"/>
      <c r="P504" s="37"/>
      <c r="Q504" s="37"/>
      <c r="R504" s="37"/>
      <c r="S504" s="37"/>
      <c r="T504" s="37"/>
      <c r="U504" s="37"/>
      <c r="V504" s="37"/>
      <c r="W504" s="37"/>
      <c r="X504" s="37"/>
      <c r="Y504" s="37"/>
      <c r="Z504" s="37"/>
      <c r="AA504" s="37"/>
      <c r="AB504" s="37"/>
      <c r="AC504" s="37"/>
      <c r="AD504" s="37"/>
      <c r="AE504" s="37"/>
      <c r="AF504" s="37"/>
      <c r="AG504" s="37"/>
      <c r="AH504" s="37"/>
      <c r="AI504" s="37"/>
      <c r="AJ504" s="37"/>
      <c r="AK504" s="37"/>
    </row>
    <row r="505" spans="1:37" ht="14.25">
      <c r="A505" s="43"/>
      <c r="B505" s="37"/>
      <c r="C505" s="37"/>
      <c r="D505" s="37"/>
      <c r="E505" s="37"/>
      <c r="F505" s="43"/>
      <c r="G505" s="43"/>
      <c r="H505" s="44"/>
      <c r="I505" s="43"/>
      <c r="J505" s="37"/>
      <c r="K505" s="37"/>
      <c r="L505" s="37"/>
      <c r="M505" s="37"/>
      <c r="N505" s="37"/>
      <c r="O505" s="37"/>
      <c r="P505" s="37"/>
      <c r="Q505" s="37"/>
      <c r="R505" s="37"/>
      <c r="S505" s="37"/>
      <c r="T505" s="37"/>
      <c r="U505" s="37"/>
      <c r="V505" s="37"/>
      <c r="W505" s="37"/>
      <c r="X505" s="37"/>
      <c r="Y505" s="37"/>
      <c r="Z505" s="37"/>
      <c r="AA505" s="37"/>
      <c r="AB505" s="37"/>
      <c r="AC505" s="37"/>
      <c r="AD505" s="37"/>
      <c r="AE505" s="37"/>
      <c r="AF505" s="37"/>
      <c r="AG505" s="37"/>
      <c r="AH505" s="37"/>
      <c r="AI505" s="37"/>
      <c r="AJ505" s="37"/>
      <c r="AK505" s="37"/>
    </row>
    <row r="506" spans="1:37" ht="14.25">
      <c r="A506" s="43"/>
      <c r="B506" s="37"/>
      <c r="C506" s="37"/>
      <c r="D506" s="37"/>
      <c r="E506" s="37"/>
      <c r="F506" s="43"/>
      <c r="G506" s="43"/>
      <c r="H506" s="44"/>
      <c r="I506" s="43"/>
      <c r="J506" s="37"/>
      <c r="K506" s="37"/>
      <c r="L506" s="37"/>
      <c r="M506" s="37"/>
      <c r="N506" s="37"/>
      <c r="O506" s="37"/>
      <c r="P506" s="37"/>
      <c r="Q506" s="37"/>
      <c r="R506" s="37"/>
      <c r="S506" s="37"/>
      <c r="T506" s="37"/>
      <c r="U506" s="37"/>
      <c r="V506" s="37"/>
      <c r="W506" s="37"/>
      <c r="X506" s="37"/>
      <c r="Y506" s="37"/>
      <c r="Z506" s="37"/>
      <c r="AA506" s="37"/>
      <c r="AB506" s="37"/>
      <c r="AC506" s="37"/>
      <c r="AD506" s="37"/>
      <c r="AE506" s="37"/>
      <c r="AF506" s="37"/>
      <c r="AG506" s="37"/>
      <c r="AH506" s="37"/>
      <c r="AI506" s="37"/>
      <c r="AJ506" s="37"/>
      <c r="AK506" s="37"/>
    </row>
    <row r="507" spans="1:37" ht="14.25">
      <c r="A507" s="43"/>
      <c r="B507" s="37"/>
      <c r="C507" s="37"/>
      <c r="D507" s="37"/>
      <c r="E507" s="37"/>
      <c r="F507" s="43"/>
      <c r="G507" s="43"/>
      <c r="H507" s="44"/>
      <c r="I507" s="43"/>
      <c r="J507" s="37"/>
      <c r="K507" s="37"/>
      <c r="L507" s="37"/>
      <c r="M507" s="37"/>
      <c r="N507" s="37"/>
      <c r="O507" s="37"/>
      <c r="P507" s="37"/>
      <c r="Q507" s="37"/>
      <c r="R507" s="37"/>
      <c r="S507" s="37"/>
      <c r="T507" s="37"/>
      <c r="U507" s="37"/>
      <c r="V507" s="37"/>
      <c r="W507" s="37"/>
      <c r="X507" s="37"/>
      <c r="Y507" s="37"/>
      <c r="Z507" s="37"/>
      <c r="AA507" s="37"/>
      <c r="AB507" s="37"/>
      <c r="AC507" s="37"/>
      <c r="AD507" s="37"/>
      <c r="AE507" s="37"/>
      <c r="AF507" s="37"/>
      <c r="AG507" s="37"/>
      <c r="AH507" s="37"/>
      <c r="AI507" s="37"/>
      <c r="AJ507" s="37"/>
      <c r="AK507" s="37"/>
    </row>
    <row r="508" spans="1:37" ht="14.25">
      <c r="A508" s="43"/>
      <c r="B508" s="37"/>
      <c r="C508" s="37"/>
      <c r="D508" s="37"/>
      <c r="E508" s="37"/>
      <c r="F508" s="43"/>
      <c r="G508" s="43"/>
      <c r="H508" s="44"/>
      <c r="I508" s="43"/>
      <c r="J508" s="37"/>
      <c r="K508" s="37"/>
      <c r="L508" s="37"/>
      <c r="M508" s="37"/>
      <c r="N508" s="37"/>
      <c r="O508" s="37"/>
      <c r="P508" s="37"/>
      <c r="Q508" s="37"/>
      <c r="R508" s="37"/>
      <c r="S508" s="37"/>
      <c r="T508" s="37"/>
      <c r="U508" s="37"/>
      <c r="V508" s="37"/>
      <c r="W508" s="37"/>
      <c r="X508" s="37"/>
      <c r="Y508" s="37"/>
      <c r="Z508" s="37"/>
      <c r="AA508" s="37"/>
      <c r="AB508" s="37"/>
      <c r="AC508" s="37"/>
      <c r="AD508" s="37"/>
      <c r="AE508" s="37"/>
      <c r="AF508" s="37"/>
      <c r="AG508" s="37"/>
      <c r="AH508" s="37"/>
      <c r="AI508" s="37"/>
      <c r="AJ508" s="37"/>
      <c r="AK508" s="37"/>
    </row>
    <row r="509" spans="1:37" ht="14.25">
      <c r="A509" s="43"/>
      <c r="B509" s="37"/>
      <c r="C509" s="37"/>
      <c r="D509" s="37"/>
      <c r="E509" s="37"/>
      <c r="F509" s="43"/>
      <c r="G509" s="43"/>
      <c r="H509" s="44"/>
      <c r="I509" s="43"/>
      <c r="J509" s="37"/>
      <c r="K509" s="37"/>
      <c r="L509" s="37"/>
      <c r="M509" s="37"/>
      <c r="N509" s="37"/>
      <c r="O509" s="37"/>
      <c r="P509" s="37"/>
      <c r="Q509" s="37"/>
      <c r="R509" s="37"/>
      <c r="S509" s="37"/>
      <c r="T509" s="37"/>
      <c r="U509" s="37"/>
      <c r="V509" s="37"/>
      <c r="W509" s="37"/>
      <c r="X509" s="37"/>
      <c r="Y509" s="37"/>
      <c r="Z509" s="37"/>
      <c r="AA509" s="37"/>
      <c r="AB509" s="37"/>
      <c r="AC509" s="37"/>
      <c r="AD509" s="37"/>
      <c r="AE509" s="37"/>
      <c r="AF509" s="37"/>
      <c r="AG509" s="37"/>
      <c r="AH509" s="37"/>
      <c r="AI509" s="37"/>
      <c r="AJ509" s="37"/>
      <c r="AK509" s="37"/>
    </row>
    <row r="510" spans="1:37" ht="14.25">
      <c r="A510" s="43"/>
      <c r="B510" s="37"/>
      <c r="C510" s="37"/>
      <c r="D510" s="37"/>
      <c r="E510" s="37"/>
      <c r="F510" s="43"/>
      <c r="G510" s="43"/>
      <c r="H510" s="44"/>
      <c r="I510" s="43"/>
      <c r="J510" s="37"/>
      <c r="K510" s="37"/>
      <c r="L510" s="37"/>
      <c r="M510" s="37"/>
      <c r="N510" s="37"/>
      <c r="O510" s="37"/>
      <c r="P510" s="37"/>
      <c r="Q510" s="37"/>
      <c r="R510" s="37"/>
      <c r="S510" s="37"/>
      <c r="T510" s="37"/>
      <c r="U510" s="37"/>
      <c r="V510" s="37"/>
      <c r="W510" s="37"/>
      <c r="X510" s="37"/>
      <c r="Y510" s="37"/>
      <c r="Z510" s="37"/>
      <c r="AA510" s="37"/>
      <c r="AB510" s="37"/>
      <c r="AC510" s="37"/>
      <c r="AD510" s="37"/>
      <c r="AE510" s="37"/>
      <c r="AF510" s="37"/>
      <c r="AG510" s="37"/>
      <c r="AH510" s="37"/>
      <c r="AI510" s="37"/>
      <c r="AJ510" s="37"/>
      <c r="AK510" s="37"/>
    </row>
    <row r="511" spans="1:37" ht="14.25">
      <c r="A511" s="43"/>
      <c r="B511" s="37"/>
      <c r="C511" s="37"/>
      <c r="D511" s="37"/>
      <c r="E511" s="37"/>
      <c r="F511" s="43"/>
      <c r="G511" s="43"/>
      <c r="H511" s="44"/>
      <c r="I511" s="43"/>
      <c r="J511" s="37"/>
      <c r="K511" s="37"/>
      <c r="L511" s="37"/>
      <c r="M511" s="37"/>
      <c r="N511" s="37"/>
      <c r="O511" s="37"/>
      <c r="P511" s="37"/>
      <c r="Q511" s="37"/>
      <c r="R511" s="37"/>
      <c r="S511" s="37"/>
      <c r="T511" s="37"/>
      <c r="U511" s="37"/>
      <c r="V511" s="37"/>
      <c r="W511" s="37"/>
      <c r="X511" s="37"/>
      <c r="Y511" s="37"/>
      <c r="Z511" s="37"/>
      <c r="AA511" s="37"/>
      <c r="AB511" s="37"/>
      <c r="AC511" s="37"/>
      <c r="AD511" s="37"/>
      <c r="AE511" s="37"/>
      <c r="AF511" s="37"/>
      <c r="AG511" s="37"/>
      <c r="AH511" s="37"/>
      <c r="AI511" s="37"/>
      <c r="AJ511" s="37"/>
      <c r="AK511" s="37"/>
    </row>
    <row r="512" spans="1:37" ht="14.25">
      <c r="A512" s="43"/>
      <c r="B512" s="37"/>
      <c r="C512" s="37"/>
      <c r="D512" s="37"/>
      <c r="E512" s="37"/>
      <c r="F512" s="43"/>
      <c r="G512" s="43"/>
      <c r="H512" s="44"/>
      <c r="I512" s="43"/>
      <c r="J512" s="37"/>
      <c r="K512" s="37"/>
      <c r="L512" s="37"/>
      <c r="M512" s="37"/>
      <c r="N512" s="37"/>
      <c r="O512" s="37"/>
      <c r="P512" s="37"/>
      <c r="Q512" s="37"/>
      <c r="R512" s="37"/>
      <c r="S512" s="37"/>
      <c r="T512" s="37"/>
      <c r="U512" s="37"/>
      <c r="V512" s="37"/>
      <c r="W512" s="37"/>
      <c r="X512" s="37"/>
      <c r="Y512" s="37"/>
      <c r="Z512" s="37"/>
      <c r="AA512" s="37"/>
      <c r="AB512" s="37"/>
      <c r="AC512" s="37"/>
      <c r="AD512" s="37"/>
      <c r="AE512" s="37"/>
      <c r="AF512" s="37"/>
      <c r="AG512" s="37"/>
      <c r="AH512" s="37"/>
      <c r="AI512" s="37"/>
      <c r="AJ512" s="37"/>
      <c r="AK512" s="37"/>
    </row>
    <row r="513" spans="1:37" ht="14.25">
      <c r="A513" s="43"/>
      <c r="B513" s="37"/>
      <c r="C513" s="37"/>
      <c r="D513" s="37"/>
      <c r="E513" s="37"/>
      <c r="F513" s="43"/>
      <c r="G513" s="43"/>
      <c r="H513" s="44"/>
      <c r="I513" s="43"/>
      <c r="J513" s="37"/>
      <c r="K513" s="37"/>
      <c r="L513" s="37"/>
      <c r="M513" s="37"/>
      <c r="N513" s="37"/>
      <c r="O513" s="37"/>
      <c r="P513" s="37"/>
      <c r="Q513" s="37"/>
      <c r="R513" s="37"/>
      <c r="S513" s="37"/>
      <c r="T513" s="37"/>
      <c r="U513" s="37"/>
      <c r="V513" s="37"/>
      <c r="W513" s="37"/>
      <c r="X513" s="37"/>
      <c r="Y513" s="37"/>
      <c r="Z513" s="37"/>
      <c r="AA513" s="37"/>
      <c r="AB513" s="37"/>
      <c r="AC513" s="37"/>
      <c r="AD513" s="37"/>
      <c r="AE513" s="37"/>
      <c r="AF513" s="37"/>
      <c r="AG513" s="37"/>
      <c r="AH513" s="37"/>
      <c r="AI513" s="37"/>
      <c r="AJ513" s="37"/>
      <c r="AK513" s="37"/>
    </row>
    <row r="514" spans="1:37" ht="14.25">
      <c r="A514" s="43"/>
      <c r="B514" s="37"/>
      <c r="C514" s="37"/>
      <c r="D514" s="37"/>
      <c r="E514" s="37"/>
      <c r="F514" s="43"/>
      <c r="G514" s="43"/>
      <c r="H514" s="44"/>
      <c r="I514" s="43"/>
      <c r="J514" s="37"/>
      <c r="K514" s="37"/>
      <c r="L514" s="37"/>
      <c r="M514" s="37"/>
      <c r="N514" s="37"/>
      <c r="O514" s="37"/>
      <c r="P514" s="37"/>
      <c r="Q514" s="37"/>
      <c r="R514" s="37"/>
      <c r="S514" s="37"/>
      <c r="T514" s="37"/>
      <c r="U514" s="37"/>
      <c r="V514" s="37"/>
      <c r="W514" s="37"/>
      <c r="X514" s="37"/>
      <c r="Y514" s="37"/>
      <c r="Z514" s="37"/>
      <c r="AA514" s="37"/>
      <c r="AB514" s="37"/>
      <c r="AC514" s="37"/>
      <c r="AD514" s="37"/>
      <c r="AE514" s="37"/>
      <c r="AF514" s="37"/>
      <c r="AG514" s="37"/>
      <c r="AH514" s="37"/>
      <c r="AI514" s="37"/>
      <c r="AJ514" s="37"/>
      <c r="AK514" s="37"/>
    </row>
    <row r="515" spans="1:37" ht="14.25">
      <c r="A515" s="43"/>
      <c r="B515" s="37"/>
      <c r="C515" s="37"/>
      <c r="D515" s="37"/>
      <c r="E515" s="37"/>
      <c r="F515" s="43"/>
      <c r="G515" s="43"/>
      <c r="H515" s="44"/>
      <c r="I515" s="43"/>
      <c r="J515" s="37"/>
      <c r="K515" s="37"/>
      <c r="L515" s="37"/>
      <c r="M515" s="37"/>
      <c r="N515" s="37"/>
      <c r="O515" s="37"/>
      <c r="P515" s="37"/>
      <c r="Q515" s="37"/>
      <c r="R515" s="37"/>
      <c r="S515" s="37"/>
      <c r="T515" s="37"/>
      <c r="U515" s="37"/>
      <c r="V515" s="37"/>
      <c r="W515" s="37"/>
      <c r="X515" s="37"/>
      <c r="Y515" s="37"/>
      <c r="Z515" s="37"/>
      <c r="AA515" s="37"/>
      <c r="AB515" s="37"/>
      <c r="AC515" s="37"/>
      <c r="AD515" s="37"/>
      <c r="AE515" s="37"/>
      <c r="AF515" s="37"/>
      <c r="AG515" s="37"/>
      <c r="AH515" s="37"/>
      <c r="AI515" s="37"/>
      <c r="AJ515" s="37"/>
      <c r="AK515" s="37"/>
    </row>
    <row r="516" spans="1:37" ht="14.25">
      <c r="A516" s="43"/>
      <c r="B516" s="37"/>
      <c r="C516" s="37"/>
      <c r="D516" s="37"/>
      <c r="E516" s="37"/>
      <c r="F516" s="43"/>
      <c r="G516" s="43"/>
      <c r="H516" s="44"/>
      <c r="I516" s="43"/>
      <c r="J516" s="37"/>
      <c r="K516" s="37"/>
      <c r="L516" s="37"/>
      <c r="M516" s="37"/>
      <c r="N516" s="37"/>
      <c r="O516" s="37"/>
      <c r="P516" s="37"/>
      <c r="Q516" s="37"/>
      <c r="R516" s="37"/>
      <c r="S516" s="37"/>
      <c r="T516" s="37"/>
      <c r="U516" s="37"/>
      <c r="V516" s="37"/>
      <c r="W516" s="37"/>
      <c r="X516" s="37"/>
      <c r="Y516" s="37"/>
      <c r="Z516" s="37"/>
      <c r="AA516" s="37"/>
      <c r="AB516" s="37"/>
      <c r="AC516" s="37"/>
      <c r="AD516" s="37"/>
      <c r="AE516" s="37"/>
      <c r="AF516" s="37"/>
      <c r="AG516" s="37"/>
      <c r="AH516" s="37"/>
      <c r="AI516" s="37"/>
      <c r="AJ516" s="37"/>
      <c r="AK516" s="37"/>
    </row>
    <row r="517" spans="1:37" ht="14.25">
      <c r="A517" s="43"/>
      <c r="B517" s="37"/>
      <c r="C517" s="37"/>
      <c r="D517" s="37"/>
      <c r="E517" s="37"/>
      <c r="F517" s="43"/>
      <c r="G517" s="43"/>
      <c r="H517" s="44"/>
      <c r="I517" s="43"/>
      <c r="J517" s="37"/>
      <c r="K517" s="37"/>
      <c r="L517" s="37"/>
      <c r="M517" s="37"/>
      <c r="N517" s="37"/>
      <c r="O517" s="37"/>
      <c r="P517" s="37"/>
      <c r="Q517" s="37"/>
      <c r="R517" s="37"/>
      <c r="S517" s="37"/>
      <c r="T517" s="37"/>
      <c r="U517" s="37"/>
      <c r="V517" s="37"/>
      <c r="W517" s="37"/>
      <c r="X517" s="37"/>
      <c r="Y517" s="37"/>
      <c r="Z517" s="37"/>
      <c r="AA517" s="37"/>
      <c r="AB517" s="37"/>
      <c r="AC517" s="37"/>
      <c r="AD517" s="37"/>
      <c r="AE517" s="37"/>
      <c r="AF517" s="37"/>
      <c r="AG517" s="37"/>
      <c r="AH517" s="37"/>
      <c r="AI517" s="37"/>
      <c r="AJ517" s="37"/>
      <c r="AK517" s="37"/>
    </row>
    <row r="518" spans="1:37" ht="14.25">
      <c r="A518" s="43"/>
      <c r="B518" s="37"/>
      <c r="C518" s="37"/>
      <c r="D518" s="37"/>
      <c r="E518" s="37"/>
      <c r="F518" s="43"/>
      <c r="G518" s="43"/>
      <c r="H518" s="44"/>
      <c r="I518" s="43"/>
      <c r="J518" s="37"/>
      <c r="K518" s="37"/>
      <c r="L518" s="37"/>
      <c r="M518" s="37"/>
      <c r="N518" s="37"/>
      <c r="O518" s="37"/>
      <c r="P518" s="37"/>
      <c r="Q518" s="37"/>
      <c r="R518" s="37"/>
      <c r="S518" s="37"/>
      <c r="T518" s="37"/>
      <c r="U518" s="37"/>
      <c r="V518" s="37"/>
      <c r="W518" s="37"/>
      <c r="X518" s="37"/>
      <c r="Y518" s="37"/>
      <c r="Z518" s="37"/>
      <c r="AA518" s="37"/>
      <c r="AB518" s="37"/>
      <c r="AC518" s="37"/>
      <c r="AD518" s="37"/>
      <c r="AE518" s="37"/>
      <c r="AF518" s="37"/>
      <c r="AG518" s="37"/>
      <c r="AH518" s="37"/>
      <c r="AI518" s="37"/>
      <c r="AJ518" s="37"/>
      <c r="AK518" s="37"/>
    </row>
    <row r="519" spans="1:37" ht="14.25">
      <c r="A519" s="43"/>
      <c r="B519" s="37"/>
      <c r="C519" s="37"/>
      <c r="D519" s="37"/>
      <c r="E519" s="37"/>
      <c r="F519" s="43"/>
      <c r="G519" s="43"/>
      <c r="H519" s="44"/>
      <c r="I519" s="43"/>
      <c r="J519" s="37"/>
      <c r="K519" s="37"/>
      <c r="L519" s="37"/>
      <c r="M519" s="37"/>
      <c r="N519" s="37"/>
      <c r="O519" s="37"/>
      <c r="P519" s="37"/>
      <c r="Q519" s="37"/>
      <c r="R519" s="37"/>
      <c r="S519" s="37"/>
      <c r="T519" s="37"/>
      <c r="U519" s="37"/>
      <c r="V519" s="37"/>
      <c r="W519" s="37"/>
      <c r="X519" s="37"/>
      <c r="Y519" s="37"/>
      <c r="Z519" s="37"/>
      <c r="AA519" s="37"/>
      <c r="AB519" s="37"/>
      <c r="AC519" s="37"/>
      <c r="AD519" s="37"/>
      <c r="AE519" s="37"/>
      <c r="AF519" s="37"/>
      <c r="AG519" s="37"/>
      <c r="AH519" s="37"/>
      <c r="AI519" s="37"/>
      <c r="AJ519" s="37"/>
      <c r="AK519" s="37"/>
    </row>
    <row r="520" spans="1:37" ht="14.25">
      <c r="A520" s="43"/>
      <c r="B520" s="37"/>
      <c r="C520" s="37"/>
      <c r="D520" s="37"/>
      <c r="E520" s="37"/>
      <c r="F520" s="43"/>
      <c r="G520" s="43"/>
      <c r="H520" s="44"/>
      <c r="I520" s="43"/>
      <c r="J520" s="37"/>
      <c r="K520" s="37"/>
      <c r="L520" s="37"/>
      <c r="M520" s="37"/>
      <c r="N520" s="37"/>
      <c r="O520" s="37"/>
      <c r="P520" s="37"/>
      <c r="Q520" s="37"/>
      <c r="R520" s="37"/>
      <c r="S520" s="37"/>
      <c r="T520" s="37"/>
      <c r="U520" s="37"/>
      <c r="V520" s="37"/>
      <c r="W520" s="37"/>
      <c r="X520" s="37"/>
      <c r="Y520" s="37"/>
      <c r="Z520" s="37"/>
      <c r="AA520" s="37"/>
      <c r="AB520" s="37"/>
      <c r="AC520" s="37"/>
      <c r="AD520" s="37"/>
      <c r="AE520" s="37"/>
      <c r="AF520" s="37"/>
      <c r="AG520" s="37"/>
      <c r="AH520" s="37"/>
      <c r="AI520" s="37"/>
      <c r="AJ520" s="37"/>
      <c r="AK520" s="37"/>
    </row>
    <row r="521" spans="1:37" ht="14.25">
      <c r="A521" s="43"/>
      <c r="B521" s="37"/>
      <c r="C521" s="37"/>
      <c r="D521" s="37"/>
      <c r="E521" s="37"/>
      <c r="F521" s="43"/>
      <c r="G521" s="43"/>
      <c r="H521" s="44"/>
      <c r="I521" s="43"/>
      <c r="J521" s="37"/>
      <c r="K521" s="37"/>
      <c r="L521" s="37"/>
      <c r="M521" s="37"/>
      <c r="N521" s="37"/>
      <c r="O521" s="37"/>
      <c r="P521" s="37"/>
      <c r="Q521" s="37"/>
      <c r="R521" s="37"/>
      <c r="S521" s="37"/>
      <c r="T521" s="37"/>
      <c r="U521" s="37"/>
      <c r="V521" s="37"/>
      <c r="W521" s="37"/>
      <c r="X521" s="37"/>
      <c r="Y521" s="37"/>
      <c r="Z521" s="37"/>
      <c r="AA521" s="37"/>
      <c r="AB521" s="37"/>
      <c r="AC521" s="37"/>
      <c r="AD521" s="37"/>
      <c r="AE521" s="37"/>
      <c r="AF521" s="37"/>
      <c r="AG521" s="37"/>
      <c r="AH521" s="37"/>
      <c r="AI521" s="37"/>
      <c r="AJ521" s="37"/>
      <c r="AK521" s="37"/>
    </row>
    <row r="522" spans="1:37" ht="14.25">
      <c r="A522" s="43"/>
      <c r="B522" s="37"/>
      <c r="C522" s="37"/>
      <c r="D522" s="37"/>
      <c r="E522" s="37"/>
      <c r="F522" s="43"/>
      <c r="G522" s="43"/>
      <c r="H522" s="44"/>
      <c r="I522" s="43"/>
      <c r="J522" s="37"/>
      <c r="K522" s="37"/>
      <c r="L522" s="37"/>
      <c r="M522" s="37"/>
      <c r="N522" s="37"/>
      <c r="O522" s="37"/>
      <c r="P522" s="37"/>
      <c r="Q522" s="37"/>
      <c r="R522" s="37"/>
      <c r="S522" s="37"/>
      <c r="T522" s="37"/>
      <c r="U522" s="37"/>
      <c r="V522" s="37"/>
      <c r="W522" s="37"/>
      <c r="X522" s="37"/>
      <c r="Y522" s="37"/>
      <c r="Z522" s="37"/>
      <c r="AA522" s="37"/>
      <c r="AB522" s="37"/>
      <c r="AC522" s="37"/>
      <c r="AD522" s="37"/>
      <c r="AE522" s="37"/>
      <c r="AF522" s="37"/>
      <c r="AG522" s="37"/>
      <c r="AH522" s="37"/>
      <c r="AI522" s="37"/>
      <c r="AJ522" s="37"/>
      <c r="AK522" s="37"/>
    </row>
    <row r="523" spans="1:37" ht="14.25">
      <c r="A523" s="43"/>
      <c r="B523" s="37"/>
      <c r="C523" s="37"/>
      <c r="D523" s="37"/>
      <c r="E523" s="37"/>
      <c r="F523" s="43"/>
      <c r="G523" s="43"/>
      <c r="H523" s="44"/>
      <c r="I523" s="43"/>
      <c r="J523" s="37"/>
      <c r="K523" s="37"/>
      <c r="L523" s="37"/>
      <c r="M523" s="37"/>
      <c r="N523" s="37"/>
      <c r="O523" s="37"/>
      <c r="P523" s="37"/>
      <c r="Q523" s="37"/>
      <c r="R523" s="37"/>
      <c r="S523" s="37"/>
      <c r="T523" s="37"/>
      <c r="U523" s="37"/>
      <c r="V523" s="37"/>
      <c r="W523" s="37"/>
      <c r="X523" s="37"/>
      <c r="Y523" s="37"/>
      <c r="Z523" s="37"/>
      <c r="AA523" s="37"/>
      <c r="AB523" s="37"/>
      <c r="AC523" s="37"/>
      <c r="AD523" s="37"/>
      <c r="AE523" s="37"/>
      <c r="AF523" s="37"/>
      <c r="AG523" s="37"/>
      <c r="AH523" s="37"/>
      <c r="AI523" s="37"/>
      <c r="AJ523" s="37"/>
      <c r="AK523" s="37"/>
    </row>
    <row r="524" spans="1:37" ht="14.25">
      <c r="A524" s="43"/>
      <c r="B524" s="37"/>
      <c r="C524" s="37"/>
      <c r="D524" s="37"/>
      <c r="E524" s="37"/>
      <c r="F524" s="43"/>
      <c r="G524" s="43"/>
      <c r="H524" s="44"/>
      <c r="I524" s="43"/>
      <c r="J524" s="37"/>
      <c r="K524" s="37"/>
      <c r="L524" s="37"/>
      <c r="M524" s="37"/>
      <c r="N524" s="37"/>
      <c r="O524" s="37"/>
      <c r="P524" s="37"/>
      <c r="Q524" s="37"/>
      <c r="R524" s="37"/>
      <c r="S524" s="37"/>
      <c r="T524" s="37"/>
      <c r="U524" s="37"/>
      <c r="V524" s="37"/>
      <c r="W524" s="37"/>
      <c r="X524" s="37"/>
      <c r="Y524" s="37"/>
      <c r="Z524" s="37"/>
      <c r="AA524" s="37"/>
      <c r="AB524" s="37"/>
      <c r="AC524" s="37"/>
      <c r="AD524" s="37"/>
      <c r="AE524" s="37"/>
      <c r="AF524" s="37"/>
      <c r="AG524" s="37"/>
      <c r="AH524" s="37"/>
      <c r="AI524" s="37"/>
      <c r="AJ524" s="37"/>
      <c r="AK524" s="37"/>
    </row>
    <row r="525" spans="1:37" ht="14.25">
      <c r="A525" s="43"/>
      <c r="B525" s="37"/>
      <c r="C525" s="37"/>
      <c r="D525" s="37"/>
      <c r="E525" s="37"/>
      <c r="F525" s="43"/>
      <c r="G525" s="43"/>
      <c r="H525" s="44"/>
      <c r="I525" s="43"/>
      <c r="J525" s="37"/>
      <c r="K525" s="37"/>
      <c r="L525" s="37"/>
      <c r="M525" s="37"/>
      <c r="N525" s="37"/>
      <c r="O525" s="37"/>
      <c r="P525" s="37"/>
      <c r="Q525" s="37"/>
      <c r="R525" s="37"/>
      <c r="S525" s="37"/>
      <c r="T525" s="37"/>
      <c r="U525" s="37"/>
      <c r="V525" s="37"/>
      <c r="W525" s="37"/>
      <c r="X525" s="37"/>
      <c r="Y525" s="37"/>
      <c r="Z525" s="37"/>
      <c r="AA525" s="37"/>
      <c r="AB525" s="37"/>
      <c r="AC525" s="37"/>
      <c r="AD525" s="37"/>
      <c r="AE525" s="37"/>
      <c r="AF525" s="37"/>
      <c r="AG525" s="37"/>
      <c r="AH525" s="37"/>
      <c r="AI525" s="37"/>
      <c r="AJ525" s="37"/>
      <c r="AK525" s="37"/>
    </row>
    <row r="526" spans="1:37" ht="14.25">
      <c r="A526" s="43"/>
      <c r="B526" s="37"/>
      <c r="C526" s="37"/>
      <c r="D526" s="37"/>
      <c r="E526" s="37"/>
      <c r="F526" s="43"/>
      <c r="G526" s="43"/>
      <c r="H526" s="44"/>
      <c r="I526" s="43"/>
      <c r="J526" s="37"/>
      <c r="K526" s="37"/>
      <c r="L526" s="37"/>
      <c r="M526" s="37"/>
      <c r="N526" s="37"/>
      <c r="O526" s="37"/>
      <c r="P526" s="37"/>
      <c r="Q526" s="37"/>
      <c r="R526" s="37"/>
      <c r="S526" s="37"/>
      <c r="T526" s="37"/>
      <c r="U526" s="37"/>
      <c r="V526" s="37"/>
      <c r="W526" s="37"/>
      <c r="X526" s="37"/>
      <c r="Y526" s="37"/>
      <c r="Z526" s="37"/>
      <c r="AA526" s="37"/>
      <c r="AB526" s="37"/>
      <c r="AC526" s="37"/>
      <c r="AD526" s="37"/>
      <c r="AE526" s="37"/>
      <c r="AF526" s="37"/>
      <c r="AG526" s="37"/>
      <c r="AH526" s="37"/>
      <c r="AI526" s="37"/>
      <c r="AJ526" s="37"/>
      <c r="AK526" s="37"/>
    </row>
    <row r="527" spans="1:37" ht="14.25">
      <c r="A527" s="43"/>
      <c r="B527" s="37"/>
      <c r="C527" s="37"/>
      <c r="D527" s="37"/>
      <c r="E527" s="37"/>
      <c r="F527" s="43"/>
      <c r="G527" s="43"/>
      <c r="H527" s="44"/>
      <c r="I527" s="43"/>
      <c r="J527" s="37"/>
      <c r="K527" s="37"/>
      <c r="L527" s="37"/>
      <c r="M527" s="37"/>
      <c r="N527" s="37"/>
      <c r="O527" s="37"/>
      <c r="P527" s="37"/>
      <c r="Q527" s="37"/>
      <c r="R527" s="37"/>
      <c r="S527" s="37"/>
      <c r="T527" s="37"/>
      <c r="U527" s="37"/>
      <c r="V527" s="37"/>
      <c r="W527" s="37"/>
      <c r="X527" s="37"/>
      <c r="Y527" s="37"/>
      <c r="Z527" s="37"/>
      <c r="AA527" s="37"/>
      <c r="AB527" s="37"/>
      <c r="AC527" s="37"/>
      <c r="AD527" s="37"/>
      <c r="AE527" s="37"/>
      <c r="AF527" s="37"/>
      <c r="AG527" s="37"/>
      <c r="AH527" s="37"/>
      <c r="AI527" s="37"/>
      <c r="AJ527" s="37"/>
      <c r="AK527" s="37"/>
    </row>
    <row r="528" spans="1:37" ht="14.25">
      <c r="A528" s="43"/>
      <c r="B528" s="37"/>
      <c r="C528" s="37"/>
      <c r="D528" s="37"/>
      <c r="E528" s="37"/>
      <c r="F528" s="43"/>
      <c r="G528" s="43"/>
      <c r="H528" s="44"/>
      <c r="I528" s="43"/>
      <c r="J528" s="37"/>
      <c r="K528" s="37"/>
      <c r="L528" s="37"/>
      <c r="M528" s="37"/>
      <c r="N528" s="37"/>
      <c r="O528" s="37"/>
      <c r="P528" s="37"/>
      <c r="Q528" s="37"/>
      <c r="R528" s="37"/>
      <c r="S528" s="37"/>
      <c r="T528" s="37"/>
      <c r="U528" s="37"/>
      <c r="V528" s="37"/>
      <c r="W528" s="37"/>
      <c r="X528" s="37"/>
      <c r="Y528" s="37"/>
      <c r="Z528" s="37"/>
      <c r="AA528" s="37"/>
      <c r="AB528" s="37"/>
      <c r="AC528" s="37"/>
      <c r="AD528" s="37"/>
      <c r="AE528" s="37"/>
      <c r="AF528" s="37"/>
      <c r="AG528" s="37"/>
      <c r="AH528" s="37"/>
      <c r="AI528" s="37"/>
      <c r="AJ528" s="37"/>
      <c r="AK528" s="37"/>
    </row>
    <row r="529" spans="1:37" ht="14.25">
      <c r="A529" s="43"/>
      <c r="B529" s="37"/>
      <c r="C529" s="37"/>
      <c r="D529" s="37"/>
      <c r="E529" s="37"/>
      <c r="F529" s="43"/>
      <c r="G529" s="43"/>
      <c r="H529" s="44"/>
      <c r="I529" s="43"/>
      <c r="J529" s="37"/>
      <c r="K529" s="37"/>
      <c r="L529" s="37"/>
      <c r="M529" s="37"/>
      <c r="N529" s="37"/>
      <c r="O529" s="37"/>
      <c r="P529" s="37"/>
      <c r="Q529" s="37"/>
      <c r="R529" s="37"/>
      <c r="S529" s="37"/>
      <c r="T529" s="37"/>
      <c r="U529" s="37"/>
      <c r="V529" s="37"/>
      <c r="W529" s="37"/>
      <c r="X529" s="37"/>
      <c r="Y529" s="37"/>
      <c r="Z529" s="37"/>
      <c r="AA529" s="37"/>
      <c r="AB529" s="37"/>
      <c r="AC529" s="37"/>
      <c r="AD529" s="37"/>
      <c r="AE529" s="37"/>
      <c r="AF529" s="37"/>
      <c r="AG529" s="37"/>
      <c r="AH529" s="37"/>
      <c r="AI529" s="37"/>
      <c r="AJ529" s="37"/>
      <c r="AK529" s="37"/>
    </row>
    <row r="530" spans="1:37" ht="14.25">
      <c r="A530" s="43"/>
      <c r="B530" s="37"/>
      <c r="C530" s="37"/>
      <c r="D530" s="37"/>
      <c r="E530" s="37"/>
      <c r="F530" s="43"/>
      <c r="G530" s="43"/>
      <c r="H530" s="44"/>
      <c r="I530" s="43"/>
      <c r="J530" s="37"/>
      <c r="K530" s="37"/>
      <c r="L530" s="37"/>
      <c r="M530" s="37"/>
      <c r="N530" s="37"/>
      <c r="O530" s="37"/>
      <c r="P530" s="37"/>
      <c r="Q530" s="37"/>
      <c r="R530" s="37"/>
      <c r="S530" s="37"/>
      <c r="T530" s="37"/>
      <c r="U530" s="37"/>
      <c r="V530" s="37"/>
      <c r="W530" s="37"/>
      <c r="X530" s="37"/>
      <c r="Y530" s="37"/>
      <c r="Z530" s="37"/>
      <c r="AA530" s="37"/>
      <c r="AB530" s="37"/>
      <c r="AC530" s="37"/>
      <c r="AD530" s="37"/>
      <c r="AE530" s="37"/>
      <c r="AF530" s="37"/>
      <c r="AG530" s="37"/>
      <c r="AH530" s="37"/>
      <c r="AI530" s="37"/>
      <c r="AJ530" s="37"/>
      <c r="AK530" s="37"/>
    </row>
    <row r="531" spans="1:37" ht="14.25">
      <c r="A531" s="43"/>
      <c r="B531" s="37"/>
      <c r="C531" s="37"/>
      <c r="D531" s="37"/>
      <c r="E531" s="37"/>
      <c r="F531" s="43"/>
      <c r="G531" s="43"/>
      <c r="H531" s="44"/>
      <c r="I531" s="43"/>
      <c r="J531" s="37"/>
      <c r="K531" s="37"/>
      <c r="L531" s="37"/>
      <c r="M531" s="37"/>
      <c r="N531" s="37"/>
      <c r="O531" s="37"/>
      <c r="P531" s="37"/>
      <c r="Q531" s="37"/>
      <c r="R531" s="37"/>
      <c r="S531" s="37"/>
      <c r="T531" s="37"/>
      <c r="U531" s="37"/>
      <c r="V531" s="37"/>
      <c r="W531" s="37"/>
      <c r="X531" s="37"/>
      <c r="Y531" s="37"/>
      <c r="Z531" s="37"/>
      <c r="AA531" s="37"/>
      <c r="AB531" s="37"/>
      <c r="AC531" s="37"/>
      <c r="AD531" s="37"/>
      <c r="AE531" s="37"/>
      <c r="AF531" s="37"/>
      <c r="AG531" s="37"/>
      <c r="AH531" s="37"/>
      <c r="AI531" s="37"/>
      <c r="AJ531" s="37"/>
      <c r="AK531" s="37"/>
    </row>
    <row r="532" spans="1:37" ht="14.25">
      <c r="A532" s="43"/>
      <c r="B532" s="37"/>
      <c r="C532" s="37"/>
      <c r="D532" s="37"/>
      <c r="E532" s="37"/>
      <c r="F532" s="43"/>
      <c r="G532" s="43"/>
      <c r="H532" s="44"/>
      <c r="I532" s="43"/>
      <c r="J532" s="37"/>
      <c r="K532" s="37"/>
      <c r="L532" s="37"/>
      <c r="M532" s="37"/>
      <c r="N532" s="37"/>
      <c r="O532" s="37"/>
      <c r="P532" s="37"/>
      <c r="Q532" s="37"/>
      <c r="R532" s="37"/>
      <c r="S532" s="37"/>
      <c r="T532" s="37"/>
      <c r="U532" s="37"/>
      <c r="V532" s="37"/>
      <c r="W532" s="37"/>
      <c r="X532" s="37"/>
      <c r="Y532" s="37"/>
      <c r="Z532" s="37"/>
      <c r="AA532" s="37"/>
      <c r="AB532" s="37"/>
      <c r="AC532" s="37"/>
      <c r="AD532" s="37"/>
      <c r="AE532" s="37"/>
      <c r="AF532" s="37"/>
      <c r="AG532" s="37"/>
      <c r="AH532" s="37"/>
      <c r="AI532" s="37"/>
      <c r="AJ532" s="37"/>
      <c r="AK532" s="37"/>
    </row>
    <row r="533" spans="1:37" ht="14.25">
      <c r="A533" s="43"/>
      <c r="B533" s="37"/>
      <c r="C533" s="37"/>
      <c r="D533" s="37"/>
      <c r="E533" s="37"/>
      <c r="F533" s="43"/>
      <c r="G533" s="43"/>
      <c r="H533" s="44"/>
      <c r="I533" s="43"/>
      <c r="J533" s="37"/>
      <c r="K533" s="37"/>
      <c r="L533" s="37"/>
      <c r="M533" s="37"/>
      <c r="N533" s="37"/>
      <c r="O533" s="37"/>
      <c r="P533" s="37"/>
      <c r="Q533" s="37"/>
      <c r="R533" s="37"/>
      <c r="S533" s="37"/>
      <c r="T533" s="37"/>
      <c r="U533" s="37"/>
      <c r="V533" s="37"/>
      <c r="W533" s="37"/>
      <c r="X533" s="37"/>
      <c r="Y533" s="37"/>
      <c r="Z533" s="37"/>
      <c r="AA533" s="37"/>
      <c r="AB533" s="37"/>
      <c r="AC533" s="37"/>
      <c r="AD533" s="37"/>
      <c r="AE533" s="37"/>
      <c r="AF533" s="37"/>
      <c r="AG533" s="37"/>
      <c r="AH533" s="37"/>
      <c r="AI533" s="37"/>
      <c r="AJ533" s="37"/>
      <c r="AK533" s="37"/>
    </row>
    <row r="534" spans="1:37" ht="14.25">
      <c r="A534" s="43"/>
      <c r="B534" s="37"/>
      <c r="C534" s="37"/>
      <c r="D534" s="37"/>
      <c r="E534" s="37"/>
      <c r="F534" s="43"/>
      <c r="G534" s="43"/>
      <c r="H534" s="44"/>
      <c r="I534" s="43"/>
      <c r="J534" s="37"/>
      <c r="K534" s="37"/>
      <c r="L534" s="37"/>
      <c r="M534" s="37"/>
      <c r="N534" s="37"/>
      <c r="O534" s="37"/>
      <c r="P534" s="37"/>
      <c r="Q534" s="37"/>
      <c r="R534" s="37"/>
      <c r="S534" s="37"/>
      <c r="T534" s="37"/>
      <c r="U534" s="37"/>
      <c r="V534" s="37"/>
      <c r="W534" s="37"/>
      <c r="X534" s="37"/>
      <c r="Y534" s="37"/>
      <c r="Z534" s="37"/>
      <c r="AA534" s="37"/>
      <c r="AB534" s="37"/>
      <c r="AC534" s="37"/>
      <c r="AD534" s="37"/>
      <c r="AE534" s="37"/>
      <c r="AF534" s="37"/>
      <c r="AG534" s="37"/>
      <c r="AH534" s="37"/>
      <c r="AI534" s="37"/>
      <c r="AJ534" s="37"/>
      <c r="AK534" s="37"/>
    </row>
    <row r="535" spans="1:37" ht="14.25">
      <c r="A535" s="43"/>
      <c r="B535" s="37"/>
      <c r="C535" s="37"/>
      <c r="D535" s="37"/>
      <c r="E535" s="37"/>
      <c r="F535" s="43"/>
      <c r="G535" s="43"/>
      <c r="H535" s="44"/>
      <c r="I535" s="43"/>
      <c r="J535" s="37"/>
      <c r="K535" s="37"/>
      <c r="L535" s="37"/>
      <c r="M535" s="37"/>
      <c r="N535" s="37"/>
      <c r="O535" s="37"/>
      <c r="P535" s="37"/>
      <c r="Q535" s="37"/>
      <c r="R535" s="37"/>
      <c r="S535" s="37"/>
      <c r="T535" s="37"/>
      <c r="U535" s="37"/>
      <c r="V535" s="37"/>
      <c r="W535" s="37"/>
      <c r="X535" s="37"/>
      <c r="Y535" s="37"/>
      <c r="Z535" s="37"/>
      <c r="AA535" s="37"/>
      <c r="AB535" s="37"/>
      <c r="AC535" s="37"/>
      <c r="AD535" s="37"/>
      <c r="AE535" s="37"/>
      <c r="AF535" s="37"/>
      <c r="AG535" s="37"/>
      <c r="AH535" s="37"/>
      <c r="AI535" s="37"/>
      <c r="AJ535" s="37"/>
      <c r="AK535" s="37"/>
    </row>
    <row r="536" spans="1:37" ht="14.25">
      <c r="A536" s="43"/>
      <c r="B536" s="37"/>
      <c r="C536" s="37"/>
      <c r="D536" s="37"/>
      <c r="E536" s="37"/>
      <c r="F536" s="43"/>
      <c r="G536" s="43"/>
      <c r="H536" s="44"/>
      <c r="I536" s="43"/>
      <c r="J536" s="37"/>
      <c r="K536" s="37"/>
      <c r="L536" s="37"/>
      <c r="M536" s="37"/>
      <c r="N536" s="37"/>
      <c r="O536" s="37"/>
      <c r="P536" s="37"/>
      <c r="Q536" s="37"/>
      <c r="R536" s="37"/>
      <c r="S536" s="37"/>
      <c r="T536" s="37"/>
      <c r="U536" s="37"/>
      <c r="V536" s="37"/>
      <c r="W536" s="37"/>
      <c r="X536" s="37"/>
      <c r="Y536" s="37"/>
      <c r="Z536" s="37"/>
      <c r="AA536" s="37"/>
      <c r="AB536" s="37"/>
      <c r="AC536" s="37"/>
      <c r="AD536" s="37"/>
      <c r="AE536" s="37"/>
      <c r="AF536" s="37"/>
      <c r="AG536" s="37"/>
      <c r="AH536" s="37"/>
      <c r="AI536" s="37"/>
      <c r="AJ536" s="37"/>
      <c r="AK536" s="37"/>
    </row>
    <row r="537" spans="1:37" ht="14.25">
      <c r="A537" s="43"/>
      <c r="B537" s="37"/>
      <c r="C537" s="37"/>
      <c r="D537" s="37"/>
      <c r="E537" s="37"/>
      <c r="F537" s="43"/>
      <c r="G537" s="43"/>
      <c r="H537" s="44"/>
      <c r="I537" s="43"/>
      <c r="J537" s="37"/>
      <c r="K537" s="37"/>
      <c r="L537" s="37"/>
      <c r="M537" s="37"/>
      <c r="N537" s="37"/>
      <c r="O537" s="37"/>
      <c r="P537" s="37"/>
      <c r="Q537" s="37"/>
      <c r="R537" s="37"/>
      <c r="S537" s="37"/>
      <c r="T537" s="37"/>
      <c r="U537" s="37"/>
      <c r="V537" s="37"/>
      <c r="W537" s="37"/>
      <c r="X537" s="37"/>
      <c r="Y537" s="37"/>
      <c r="Z537" s="37"/>
      <c r="AA537" s="37"/>
      <c r="AB537" s="37"/>
      <c r="AC537" s="37"/>
      <c r="AD537" s="37"/>
      <c r="AE537" s="37"/>
      <c r="AF537" s="37"/>
      <c r="AG537" s="37"/>
      <c r="AH537" s="37"/>
      <c r="AI537" s="37"/>
      <c r="AJ537" s="37"/>
      <c r="AK537" s="37"/>
    </row>
    <row r="538" spans="1:37" ht="14.25">
      <c r="A538" s="43"/>
      <c r="B538" s="37"/>
      <c r="C538" s="37"/>
      <c r="D538" s="37"/>
      <c r="E538" s="37"/>
      <c r="F538" s="43"/>
      <c r="G538" s="43"/>
      <c r="H538" s="44"/>
      <c r="I538" s="43"/>
      <c r="J538" s="37"/>
      <c r="K538" s="37"/>
      <c r="L538" s="37"/>
      <c r="M538" s="37"/>
      <c r="N538" s="37"/>
      <c r="O538" s="37"/>
      <c r="P538" s="37"/>
      <c r="Q538" s="37"/>
      <c r="R538" s="37"/>
      <c r="S538" s="37"/>
      <c r="T538" s="37"/>
      <c r="U538" s="37"/>
      <c r="V538" s="37"/>
      <c r="W538" s="37"/>
      <c r="X538" s="37"/>
      <c r="Y538" s="37"/>
      <c r="Z538" s="37"/>
      <c r="AA538" s="37"/>
      <c r="AB538" s="37"/>
      <c r="AC538" s="37"/>
      <c r="AD538" s="37"/>
      <c r="AE538" s="37"/>
      <c r="AF538" s="37"/>
      <c r="AG538" s="37"/>
      <c r="AH538" s="37"/>
      <c r="AI538" s="37"/>
      <c r="AJ538" s="37"/>
      <c r="AK538" s="37"/>
    </row>
    <row r="539" spans="1:37" ht="14.25">
      <c r="A539" s="43"/>
      <c r="B539" s="37"/>
      <c r="C539" s="37"/>
      <c r="D539" s="37"/>
      <c r="E539" s="37"/>
      <c r="F539" s="43"/>
      <c r="G539" s="43"/>
      <c r="H539" s="44"/>
      <c r="I539" s="43"/>
      <c r="J539" s="37"/>
      <c r="K539" s="37"/>
      <c r="L539" s="37"/>
      <c r="M539" s="37"/>
      <c r="N539" s="37"/>
      <c r="O539" s="37"/>
      <c r="P539" s="37"/>
      <c r="Q539" s="37"/>
      <c r="R539" s="37"/>
      <c r="S539" s="37"/>
      <c r="T539" s="37"/>
      <c r="U539" s="37"/>
      <c r="V539" s="37"/>
      <c r="W539" s="37"/>
      <c r="X539" s="37"/>
      <c r="Y539" s="37"/>
      <c r="Z539" s="37"/>
      <c r="AA539" s="37"/>
      <c r="AB539" s="37"/>
      <c r="AC539" s="37"/>
      <c r="AD539" s="37"/>
      <c r="AE539" s="37"/>
      <c r="AF539" s="37"/>
      <c r="AG539" s="37"/>
      <c r="AH539" s="37"/>
      <c r="AI539" s="37"/>
      <c r="AJ539" s="37"/>
      <c r="AK539" s="37"/>
    </row>
    <row r="540" spans="1:37" ht="14.25">
      <c r="A540" s="43"/>
      <c r="B540" s="37"/>
      <c r="C540" s="37"/>
      <c r="D540" s="37"/>
      <c r="E540" s="37"/>
      <c r="F540" s="43"/>
      <c r="G540" s="43"/>
      <c r="H540" s="44"/>
      <c r="I540" s="43"/>
      <c r="J540" s="37"/>
      <c r="K540" s="37"/>
      <c r="L540" s="37"/>
      <c r="M540" s="37"/>
      <c r="N540" s="37"/>
      <c r="O540" s="37"/>
      <c r="P540" s="37"/>
      <c r="Q540" s="37"/>
      <c r="R540" s="37"/>
      <c r="S540" s="37"/>
      <c r="T540" s="37"/>
      <c r="U540" s="37"/>
      <c r="V540" s="37"/>
      <c r="W540" s="37"/>
      <c r="X540" s="37"/>
      <c r="Y540" s="37"/>
      <c r="Z540" s="37"/>
      <c r="AA540" s="37"/>
      <c r="AB540" s="37"/>
      <c r="AC540" s="37"/>
      <c r="AD540" s="37"/>
      <c r="AE540" s="37"/>
      <c r="AF540" s="37"/>
      <c r="AG540" s="37"/>
      <c r="AH540" s="37"/>
      <c r="AI540" s="37"/>
      <c r="AJ540" s="37"/>
      <c r="AK540" s="37"/>
    </row>
    <row r="541" spans="1:37" ht="14.25">
      <c r="A541" s="43"/>
      <c r="B541" s="37"/>
      <c r="C541" s="37"/>
      <c r="D541" s="37"/>
      <c r="E541" s="37"/>
      <c r="F541" s="43"/>
      <c r="G541" s="43"/>
      <c r="H541" s="44"/>
      <c r="I541" s="43"/>
      <c r="J541" s="37"/>
      <c r="K541" s="37"/>
      <c r="L541" s="37"/>
      <c r="M541" s="37"/>
      <c r="N541" s="37"/>
      <c r="O541" s="37"/>
      <c r="P541" s="37"/>
      <c r="Q541" s="37"/>
      <c r="R541" s="37"/>
      <c r="S541" s="37"/>
      <c r="T541" s="37"/>
      <c r="U541" s="37"/>
      <c r="V541" s="37"/>
      <c r="W541" s="37"/>
      <c r="X541" s="37"/>
      <c r="Y541" s="37"/>
      <c r="Z541" s="37"/>
      <c r="AA541" s="37"/>
      <c r="AB541" s="37"/>
      <c r="AC541" s="37"/>
      <c r="AD541" s="37"/>
      <c r="AE541" s="37"/>
      <c r="AF541" s="37"/>
      <c r="AG541" s="37"/>
      <c r="AH541" s="37"/>
      <c r="AI541" s="37"/>
      <c r="AJ541" s="37"/>
      <c r="AK541" s="37"/>
    </row>
    <row r="542" spans="1:37" ht="14.25">
      <c r="A542" s="43"/>
      <c r="B542" s="37"/>
      <c r="C542" s="37"/>
      <c r="D542" s="37"/>
      <c r="E542" s="37"/>
      <c r="F542" s="43"/>
      <c r="G542" s="43"/>
      <c r="H542" s="44"/>
      <c r="I542" s="43"/>
      <c r="J542" s="37"/>
      <c r="K542" s="37"/>
      <c r="L542" s="37"/>
      <c r="M542" s="37"/>
      <c r="N542" s="37"/>
      <c r="O542" s="37"/>
      <c r="P542" s="37"/>
      <c r="Q542" s="37"/>
      <c r="R542" s="37"/>
      <c r="S542" s="37"/>
      <c r="T542" s="37"/>
      <c r="U542" s="37"/>
      <c r="V542" s="37"/>
      <c r="W542" s="37"/>
      <c r="X542" s="37"/>
      <c r="Y542" s="37"/>
      <c r="Z542" s="37"/>
      <c r="AA542" s="37"/>
      <c r="AB542" s="37"/>
      <c r="AC542" s="37"/>
      <c r="AD542" s="37"/>
      <c r="AE542" s="37"/>
      <c r="AF542" s="37"/>
      <c r="AG542" s="37"/>
      <c r="AH542" s="37"/>
      <c r="AI542" s="37"/>
      <c r="AJ542" s="37"/>
      <c r="AK542" s="37"/>
    </row>
    <row r="543" spans="1:37" ht="14.25">
      <c r="A543" s="43"/>
      <c r="B543" s="37"/>
      <c r="C543" s="37"/>
      <c r="D543" s="37"/>
      <c r="E543" s="37"/>
      <c r="F543" s="43"/>
      <c r="G543" s="43"/>
      <c r="H543" s="44"/>
      <c r="I543" s="43"/>
      <c r="J543" s="37"/>
      <c r="K543" s="37"/>
      <c r="L543" s="37"/>
      <c r="M543" s="37"/>
      <c r="N543" s="37"/>
      <c r="O543" s="37"/>
      <c r="P543" s="37"/>
      <c r="Q543" s="37"/>
      <c r="R543" s="37"/>
      <c r="S543" s="37"/>
      <c r="T543" s="37"/>
      <c r="U543" s="37"/>
      <c r="V543" s="37"/>
      <c r="W543" s="37"/>
      <c r="X543" s="37"/>
      <c r="Y543" s="37"/>
      <c r="Z543" s="37"/>
      <c r="AA543" s="37"/>
      <c r="AB543" s="37"/>
      <c r="AC543" s="37"/>
      <c r="AD543" s="37"/>
      <c r="AE543" s="37"/>
      <c r="AF543" s="37"/>
      <c r="AG543" s="37"/>
      <c r="AH543" s="37"/>
      <c r="AI543" s="37"/>
      <c r="AJ543" s="37"/>
      <c r="AK543" s="37"/>
    </row>
    <row r="544" spans="1:37" ht="14.25">
      <c r="A544" s="43"/>
      <c r="B544" s="37"/>
      <c r="C544" s="37"/>
      <c r="D544" s="37"/>
      <c r="E544" s="37"/>
      <c r="F544" s="43"/>
      <c r="G544" s="43"/>
      <c r="H544" s="44"/>
      <c r="I544" s="43"/>
      <c r="J544" s="37"/>
      <c r="K544" s="37"/>
      <c r="L544" s="37"/>
      <c r="M544" s="37"/>
      <c r="N544" s="37"/>
      <c r="O544" s="37"/>
      <c r="P544" s="37"/>
      <c r="Q544" s="37"/>
      <c r="R544" s="37"/>
      <c r="S544" s="37"/>
      <c r="T544" s="37"/>
      <c r="U544" s="37"/>
      <c r="V544" s="37"/>
      <c r="W544" s="37"/>
      <c r="X544" s="37"/>
      <c r="Y544" s="37"/>
      <c r="Z544" s="37"/>
      <c r="AA544" s="37"/>
      <c r="AB544" s="37"/>
      <c r="AC544" s="37"/>
      <c r="AD544" s="37"/>
      <c r="AE544" s="37"/>
      <c r="AF544" s="37"/>
      <c r="AG544" s="37"/>
      <c r="AH544" s="37"/>
      <c r="AI544" s="37"/>
      <c r="AJ544" s="37"/>
      <c r="AK544" s="37"/>
    </row>
    <row r="545" spans="1:37" ht="14.25">
      <c r="A545" s="43"/>
      <c r="B545" s="37"/>
      <c r="C545" s="37"/>
      <c r="D545" s="37"/>
      <c r="E545" s="37"/>
      <c r="F545" s="43"/>
      <c r="G545" s="43"/>
      <c r="H545" s="44"/>
      <c r="I545" s="43"/>
      <c r="J545" s="37"/>
      <c r="K545" s="37"/>
      <c r="L545" s="37"/>
      <c r="M545" s="37"/>
      <c r="N545" s="37"/>
      <c r="O545" s="37"/>
      <c r="P545" s="37"/>
      <c r="Q545" s="37"/>
      <c r="R545" s="37"/>
      <c r="S545" s="37"/>
      <c r="T545" s="37"/>
      <c r="U545" s="37"/>
      <c r="V545" s="37"/>
      <c r="W545" s="37"/>
      <c r="X545" s="37"/>
      <c r="Y545" s="37"/>
      <c r="Z545" s="37"/>
      <c r="AA545" s="37"/>
      <c r="AB545" s="37"/>
      <c r="AC545" s="37"/>
      <c r="AD545" s="37"/>
      <c r="AE545" s="37"/>
      <c r="AF545" s="37"/>
      <c r="AG545" s="37"/>
      <c r="AH545" s="37"/>
      <c r="AI545" s="37"/>
      <c r="AJ545" s="37"/>
      <c r="AK545" s="37"/>
    </row>
    <row r="546" spans="1:37" ht="14.25">
      <c r="A546" s="43"/>
      <c r="B546" s="37"/>
      <c r="C546" s="37"/>
      <c r="D546" s="37"/>
      <c r="E546" s="37"/>
      <c r="F546" s="43"/>
      <c r="G546" s="43"/>
      <c r="H546" s="44"/>
      <c r="I546" s="43"/>
      <c r="J546" s="37"/>
      <c r="K546" s="37"/>
      <c r="L546" s="37"/>
      <c r="M546" s="37"/>
      <c r="N546" s="37"/>
      <c r="O546" s="37"/>
      <c r="P546" s="37"/>
      <c r="Q546" s="37"/>
      <c r="R546" s="37"/>
      <c r="S546" s="37"/>
      <c r="T546" s="37"/>
      <c r="U546" s="37"/>
      <c r="V546" s="37"/>
      <c r="W546" s="37"/>
      <c r="X546" s="37"/>
      <c r="Y546" s="37"/>
      <c r="Z546" s="37"/>
      <c r="AA546" s="37"/>
      <c r="AB546" s="37"/>
      <c r="AC546" s="37"/>
      <c r="AD546" s="37"/>
      <c r="AE546" s="37"/>
      <c r="AF546" s="37"/>
      <c r="AG546" s="37"/>
      <c r="AH546" s="37"/>
      <c r="AI546" s="37"/>
      <c r="AJ546" s="37"/>
      <c r="AK546" s="37"/>
    </row>
    <row r="547" spans="1:37" ht="14.25">
      <c r="A547" s="43"/>
      <c r="B547" s="37"/>
      <c r="C547" s="37"/>
      <c r="D547" s="37"/>
      <c r="E547" s="37"/>
      <c r="F547" s="43"/>
      <c r="G547" s="43"/>
      <c r="H547" s="44"/>
      <c r="I547" s="43"/>
      <c r="J547" s="37"/>
      <c r="K547" s="37"/>
      <c r="L547" s="37"/>
      <c r="M547" s="37"/>
      <c r="N547" s="37"/>
      <c r="O547" s="37"/>
      <c r="P547" s="37"/>
      <c r="Q547" s="37"/>
      <c r="R547" s="37"/>
      <c r="S547" s="37"/>
      <c r="T547" s="37"/>
      <c r="U547" s="37"/>
      <c r="V547" s="37"/>
      <c r="W547" s="37"/>
      <c r="X547" s="37"/>
      <c r="Y547" s="37"/>
      <c r="Z547" s="37"/>
      <c r="AA547" s="37"/>
      <c r="AB547" s="37"/>
      <c r="AC547" s="37"/>
      <c r="AD547" s="37"/>
      <c r="AE547" s="37"/>
      <c r="AF547" s="37"/>
      <c r="AG547" s="37"/>
      <c r="AH547" s="37"/>
      <c r="AI547" s="37"/>
      <c r="AJ547" s="37"/>
      <c r="AK547" s="37"/>
    </row>
    <row r="548" spans="1:37" ht="14.25">
      <c r="A548" s="43"/>
      <c r="B548" s="37"/>
      <c r="C548" s="37"/>
      <c r="D548" s="37"/>
      <c r="E548" s="37"/>
      <c r="F548" s="43"/>
      <c r="G548" s="43"/>
      <c r="H548" s="44"/>
      <c r="I548" s="43"/>
      <c r="J548" s="37"/>
      <c r="K548" s="37"/>
      <c r="L548" s="37"/>
      <c r="M548" s="37"/>
      <c r="N548" s="37"/>
      <c r="O548" s="37"/>
      <c r="P548" s="37"/>
      <c r="Q548" s="37"/>
      <c r="R548" s="37"/>
      <c r="S548" s="37"/>
      <c r="T548" s="37"/>
      <c r="U548" s="37"/>
      <c r="V548" s="37"/>
      <c r="W548" s="37"/>
      <c r="X548" s="37"/>
      <c r="Y548" s="37"/>
      <c r="Z548" s="37"/>
      <c r="AA548" s="37"/>
      <c r="AB548" s="37"/>
      <c r="AC548" s="37"/>
      <c r="AD548" s="37"/>
      <c r="AE548" s="37"/>
      <c r="AF548" s="37"/>
      <c r="AG548" s="37"/>
      <c r="AH548" s="37"/>
      <c r="AI548" s="37"/>
      <c r="AJ548" s="37"/>
      <c r="AK548" s="37"/>
    </row>
    <row r="549" spans="1:37" ht="14.25">
      <c r="A549" s="43"/>
      <c r="B549" s="37"/>
      <c r="C549" s="37"/>
      <c r="D549" s="37"/>
      <c r="E549" s="37"/>
      <c r="F549" s="43"/>
      <c r="G549" s="43"/>
      <c r="H549" s="44"/>
      <c r="I549" s="43"/>
      <c r="J549" s="37"/>
      <c r="K549" s="37"/>
      <c r="L549" s="37"/>
      <c r="M549" s="37"/>
      <c r="N549" s="37"/>
      <c r="O549" s="37"/>
      <c r="P549" s="37"/>
      <c r="Q549" s="37"/>
      <c r="R549" s="37"/>
      <c r="S549" s="37"/>
      <c r="T549" s="37"/>
      <c r="U549" s="37"/>
      <c r="V549" s="37"/>
      <c r="W549" s="37"/>
      <c r="X549" s="37"/>
      <c r="Y549" s="37"/>
      <c r="Z549" s="37"/>
      <c r="AA549" s="37"/>
      <c r="AB549" s="37"/>
      <c r="AC549" s="37"/>
      <c r="AD549" s="37"/>
      <c r="AE549" s="37"/>
      <c r="AF549" s="37"/>
      <c r="AG549" s="37"/>
      <c r="AH549" s="37"/>
      <c r="AI549" s="37"/>
      <c r="AJ549" s="37"/>
      <c r="AK549" s="37"/>
    </row>
    <row r="550" spans="1:37" ht="14.25">
      <c r="A550" s="43"/>
      <c r="B550" s="37"/>
      <c r="C550" s="37"/>
      <c r="D550" s="37"/>
      <c r="E550" s="37"/>
      <c r="F550" s="43"/>
      <c r="G550" s="43"/>
      <c r="H550" s="44"/>
      <c r="I550" s="43"/>
      <c r="J550" s="37"/>
      <c r="K550" s="37"/>
      <c r="L550" s="37"/>
      <c r="M550" s="37"/>
      <c r="N550" s="37"/>
      <c r="O550" s="37"/>
      <c r="P550" s="37"/>
      <c r="Q550" s="37"/>
      <c r="R550" s="37"/>
      <c r="S550" s="37"/>
      <c r="T550" s="37"/>
      <c r="U550" s="37"/>
      <c r="V550" s="37"/>
      <c r="W550" s="37"/>
      <c r="X550" s="37"/>
      <c r="Y550" s="37"/>
      <c r="Z550" s="37"/>
      <c r="AA550" s="37"/>
      <c r="AB550" s="37"/>
      <c r="AC550" s="37"/>
      <c r="AD550" s="37"/>
      <c r="AE550" s="37"/>
      <c r="AF550" s="37"/>
      <c r="AG550" s="37"/>
      <c r="AH550" s="37"/>
      <c r="AI550" s="37"/>
      <c r="AJ550" s="37"/>
      <c r="AK550" s="37"/>
    </row>
    <row r="551" spans="1:37" ht="14.25">
      <c r="A551" s="43"/>
      <c r="B551" s="37"/>
      <c r="C551" s="37"/>
      <c r="D551" s="37"/>
      <c r="E551" s="37"/>
      <c r="F551" s="43"/>
      <c r="G551" s="43"/>
      <c r="H551" s="44"/>
      <c r="I551" s="43"/>
      <c r="J551" s="37"/>
      <c r="K551" s="37"/>
      <c r="L551" s="37"/>
      <c r="M551" s="37"/>
      <c r="N551" s="37"/>
      <c r="O551" s="37"/>
      <c r="P551" s="37"/>
      <c r="Q551" s="37"/>
      <c r="R551" s="37"/>
      <c r="S551" s="37"/>
      <c r="T551" s="37"/>
      <c r="U551" s="37"/>
      <c r="V551" s="37"/>
      <c r="W551" s="37"/>
      <c r="X551" s="37"/>
      <c r="Y551" s="37"/>
      <c r="Z551" s="37"/>
      <c r="AA551" s="37"/>
      <c r="AB551" s="37"/>
      <c r="AC551" s="37"/>
      <c r="AD551" s="37"/>
      <c r="AE551" s="37"/>
      <c r="AF551" s="37"/>
      <c r="AG551" s="37"/>
      <c r="AH551" s="37"/>
      <c r="AI551" s="37"/>
      <c r="AJ551" s="37"/>
      <c r="AK551" s="37"/>
    </row>
    <row r="552" spans="1:37" ht="14.25">
      <c r="A552" s="43"/>
      <c r="B552" s="37"/>
      <c r="C552" s="37"/>
      <c r="D552" s="37"/>
      <c r="E552" s="37"/>
      <c r="F552" s="43"/>
      <c r="G552" s="43"/>
      <c r="H552" s="44"/>
      <c r="I552" s="43"/>
      <c r="J552" s="37"/>
      <c r="K552" s="37"/>
      <c r="L552" s="37"/>
      <c r="M552" s="37"/>
      <c r="N552" s="37"/>
      <c r="O552" s="37"/>
      <c r="P552" s="37"/>
      <c r="Q552" s="37"/>
      <c r="R552" s="37"/>
      <c r="S552" s="37"/>
      <c r="T552" s="37"/>
      <c r="U552" s="37"/>
      <c r="V552" s="37"/>
      <c r="W552" s="37"/>
      <c r="X552" s="37"/>
      <c r="Y552" s="37"/>
      <c r="Z552" s="37"/>
      <c r="AA552" s="37"/>
      <c r="AB552" s="37"/>
      <c r="AC552" s="37"/>
      <c r="AD552" s="37"/>
      <c r="AE552" s="37"/>
      <c r="AF552" s="37"/>
      <c r="AG552" s="37"/>
      <c r="AH552" s="37"/>
      <c r="AI552" s="37"/>
      <c r="AJ552" s="37"/>
      <c r="AK552" s="37"/>
    </row>
    <row r="553" spans="1:37" ht="14.25">
      <c r="A553" s="43"/>
      <c r="B553" s="37"/>
      <c r="C553" s="37"/>
      <c r="D553" s="37"/>
      <c r="E553" s="37"/>
      <c r="F553" s="43"/>
      <c r="G553" s="43"/>
      <c r="H553" s="44"/>
      <c r="I553" s="43"/>
      <c r="J553" s="37"/>
      <c r="K553" s="37"/>
      <c r="L553" s="37"/>
      <c r="M553" s="37"/>
      <c r="N553" s="37"/>
      <c r="O553" s="37"/>
      <c r="P553" s="37"/>
      <c r="Q553" s="37"/>
      <c r="R553" s="37"/>
      <c r="S553" s="37"/>
      <c r="T553" s="37"/>
      <c r="U553" s="37"/>
      <c r="V553" s="37"/>
      <c r="W553" s="37"/>
      <c r="X553" s="37"/>
      <c r="Y553" s="37"/>
      <c r="Z553" s="37"/>
      <c r="AA553" s="37"/>
      <c r="AB553" s="37"/>
      <c r="AC553" s="37"/>
      <c r="AD553" s="37"/>
      <c r="AE553" s="37"/>
      <c r="AF553" s="37"/>
      <c r="AG553" s="37"/>
      <c r="AH553" s="37"/>
      <c r="AI553" s="37"/>
      <c r="AJ553" s="37"/>
      <c r="AK553" s="37"/>
    </row>
    <row r="554" spans="1:37" ht="14.25">
      <c r="A554" s="43"/>
      <c r="B554" s="37"/>
      <c r="C554" s="37"/>
      <c r="D554" s="37"/>
      <c r="E554" s="37"/>
      <c r="F554" s="43"/>
      <c r="G554" s="43"/>
      <c r="H554" s="44"/>
      <c r="I554" s="43"/>
      <c r="J554" s="37"/>
      <c r="K554" s="37"/>
      <c r="L554" s="37"/>
      <c r="M554" s="37"/>
      <c r="N554" s="37"/>
      <c r="O554" s="37"/>
      <c r="P554" s="37"/>
      <c r="Q554" s="37"/>
      <c r="R554" s="37"/>
      <c r="S554" s="37"/>
      <c r="T554" s="37"/>
      <c r="U554" s="37"/>
      <c r="V554" s="37"/>
      <c r="W554" s="37"/>
      <c r="X554" s="37"/>
      <c r="Y554" s="37"/>
      <c r="Z554" s="37"/>
      <c r="AA554" s="37"/>
      <c r="AB554" s="37"/>
      <c r="AC554" s="37"/>
      <c r="AD554" s="37"/>
      <c r="AE554" s="37"/>
      <c r="AF554" s="37"/>
      <c r="AG554" s="37"/>
      <c r="AH554" s="37"/>
      <c r="AI554" s="37"/>
      <c r="AJ554" s="37"/>
      <c r="AK554" s="37"/>
    </row>
    <row r="555" spans="1:37" ht="14.25">
      <c r="A555" s="43"/>
      <c r="B555" s="37"/>
      <c r="C555" s="37"/>
      <c r="D555" s="37"/>
      <c r="E555" s="37"/>
      <c r="F555" s="43"/>
      <c r="G555" s="43"/>
      <c r="H555" s="44"/>
      <c r="I555" s="43"/>
      <c r="J555" s="37"/>
      <c r="K555" s="37"/>
      <c r="L555" s="37"/>
      <c r="M555" s="37"/>
      <c r="N555" s="37"/>
      <c r="O555" s="37"/>
      <c r="P555" s="37"/>
      <c r="Q555" s="37"/>
      <c r="R555" s="37"/>
      <c r="S555" s="37"/>
      <c r="T555" s="37"/>
      <c r="U555" s="37"/>
      <c r="V555" s="37"/>
      <c r="W555" s="37"/>
      <c r="X555" s="37"/>
      <c r="Y555" s="37"/>
      <c r="Z555" s="37"/>
      <c r="AA555" s="37"/>
      <c r="AB555" s="37"/>
      <c r="AC555" s="37"/>
      <c r="AD555" s="37"/>
      <c r="AE555" s="37"/>
      <c r="AF555" s="37"/>
      <c r="AG555" s="37"/>
      <c r="AH555" s="37"/>
      <c r="AI555" s="37"/>
      <c r="AJ555" s="37"/>
      <c r="AK555" s="37"/>
    </row>
    <row r="556" spans="1:37" ht="14.25">
      <c r="A556" s="43"/>
      <c r="B556" s="37"/>
      <c r="C556" s="37"/>
      <c r="D556" s="37"/>
      <c r="E556" s="37"/>
      <c r="F556" s="43"/>
      <c r="G556" s="43"/>
      <c r="H556" s="44"/>
      <c r="I556" s="43"/>
      <c r="J556" s="37"/>
      <c r="K556" s="37"/>
      <c r="L556" s="37"/>
      <c r="M556" s="37"/>
      <c r="N556" s="37"/>
      <c r="O556" s="37"/>
      <c r="P556" s="37"/>
      <c r="Q556" s="37"/>
      <c r="R556" s="37"/>
      <c r="S556" s="37"/>
      <c r="T556" s="37"/>
      <c r="U556" s="37"/>
      <c r="V556" s="37"/>
      <c r="W556" s="37"/>
      <c r="X556" s="37"/>
      <c r="Y556" s="37"/>
      <c r="Z556" s="37"/>
      <c r="AA556" s="37"/>
      <c r="AB556" s="37"/>
      <c r="AC556" s="37"/>
      <c r="AD556" s="37"/>
      <c r="AE556" s="37"/>
      <c r="AF556" s="37"/>
      <c r="AG556" s="37"/>
      <c r="AH556" s="37"/>
      <c r="AI556" s="37"/>
      <c r="AJ556" s="37"/>
      <c r="AK556" s="37"/>
    </row>
    <row r="557" spans="1:37" ht="14.25">
      <c r="A557" s="43"/>
      <c r="B557" s="37"/>
      <c r="C557" s="37"/>
      <c r="D557" s="37"/>
      <c r="E557" s="37"/>
      <c r="F557" s="43"/>
      <c r="G557" s="43"/>
      <c r="H557" s="44"/>
      <c r="I557" s="43"/>
      <c r="J557" s="37"/>
      <c r="K557" s="37"/>
      <c r="L557" s="37"/>
      <c r="M557" s="37"/>
      <c r="N557" s="37"/>
      <c r="O557" s="37"/>
      <c r="P557" s="37"/>
      <c r="Q557" s="37"/>
      <c r="R557" s="37"/>
      <c r="S557" s="37"/>
      <c r="T557" s="37"/>
      <c r="U557" s="37"/>
      <c r="V557" s="37"/>
      <c r="W557" s="37"/>
      <c r="X557" s="37"/>
      <c r="Y557" s="37"/>
      <c r="Z557" s="37"/>
      <c r="AA557" s="37"/>
      <c r="AB557" s="37"/>
      <c r="AC557" s="37"/>
      <c r="AD557" s="37"/>
      <c r="AE557" s="37"/>
      <c r="AF557" s="37"/>
      <c r="AG557" s="37"/>
      <c r="AH557" s="37"/>
      <c r="AI557" s="37"/>
      <c r="AJ557" s="37"/>
      <c r="AK557" s="37"/>
    </row>
    <row r="558" spans="1:37" ht="14.25">
      <c r="A558" s="43"/>
      <c r="B558" s="37"/>
      <c r="C558" s="37"/>
      <c r="D558" s="37"/>
      <c r="E558" s="37"/>
      <c r="F558" s="43"/>
      <c r="G558" s="43"/>
      <c r="H558" s="44"/>
      <c r="I558" s="43"/>
      <c r="J558" s="37"/>
      <c r="K558" s="37"/>
      <c r="L558" s="37"/>
      <c r="M558" s="37"/>
      <c r="N558" s="37"/>
      <c r="O558" s="37"/>
      <c r="P558" s="37"/>
      <c r="Q558" s="37"/>
      <c r="R558" s="37"/>
      <c r="S558" s="37"/>
      <c r="T558" s="37"/>
      <c r="U558" s="37"/>
      <c r="V558" s="37"/>
      <c r="W558" s="37"/>
      <c r="X558" s="37"/>
      <c r="Y558" s="37"/>
      <c r="Z558" s="37"/>
      <c r="AA558" s="37"/>
      <c r="AB558" s="37"/>
      <c r="AC558" s="37"/>
      <c r="AD558" s="37"/>
      <c r="AE558" s="37"/>
      <c r="AF558" s="37"/>
      <c r="AG558" s="37"/>
      <c r="AH558" s="37"/>
      <c r="AI558" s="37"/>
      <c r="AJ558" s="37"/>
      <c r="AK558" s="37"/>
    </row>
    <row r="559" spans="1:37" ht="14.25">
      <c r="A559" s="43"/>
      <c r="B559" s="37"/>
      <c r="C559" s="37"/>
      <c r="D559" s="37"/>
      <c r="E559" s="37"/>
      <c r="F559" s="43"/>
      <c r="G559" s="43"/>
      <c r="H559" s="44"/>
      <c r="I559" s="43"/>
      <c r="J559" s="37"/>
      <c r="K559" s="37"/>
      <c r="L559" s="37"/>
      <c r="M559" s="37"/>
      <c r="N559" s="37"/>
      <c r="O559" s="37"/>
      <c r="P559" s="37"/>
      <c r="Q559" s="37"/>
      <c r="R559" s="37"/>
      <c r="S559" s="37"/>
      <c r="T559" s="37"/>
      <c r="U559" s="37"/>
      <c r="V559" s="37"/>
      <c r="W559" s="37"/>
      <c r="X559" s="37"/>
      <c r="Y559" s="37"/>
      <c r="Z559" s="37"/>
      <c r="AA559" s="37"/>
      <c r="AB559" s="37"/>
      <c r="AC559" s="37"/>
      <c r="AD559" s="37"/>
      <c r="AE559" s="37"/>
      <c r="AF559" s="37"/>
      <c r="AG559" s="37"/>
      <c r="AH559" s="37"/>
      <c r="AI559" s="37"/>
      <c r="AJ559" s="37"/>
      <c r="AK559" s="37"/>
    </row>
    <row r="560" spans="1:37" ht="14.25">
      <c r="A560" s="43"/>
      <c r="B560" s="37"/>
      <c r="C560" s="37"/>
      <c r="D560" s="37"/>
      <c r="E560" s="37"/>
      <c r="F560" s="43"/>
      <c r="G560" s="43"/>
      <c r="H560" s="44"/>
      <c r="I560" s="43"/>
      <c r="J560" s="37"/>
      <c r="K560" s="37"/>
      <c r="L560" s="37"/>
      <c r="M560" s="37"/>
      <c r="N560" s="37"/>
      <c r="O560" s="37"/>
      <c r="P560" s="37"/>
      <c r="Q560" s="37"/>
      <c r="R560" s="37"/>
      <c r="S560" s="37"/>
      <c r="T560" s="37"/>
      <c r="U560" s="37"/>
      <c r="V560" s="37"/>
      <c r="W560" s="37"/>
      <c r="X560" s="37"/>
      <c r="Y560" s="37"/>
      <c r="Z560" s="37"/>
      <c r="AA560" s="37"/>
      <c r="AB560" s="37"/>
      <c r="AC560" s="37"/>
      <c r="AD560" s="37"/>
      <c r="AE560" s="37"/>
      <c r="AF560" s="37"/>
      <c r="AG560" s="37"/>
      <c r="AH560" s="37"/>
      <c r="AI560" s="37"/>
      <c r="AJ560" s="37"/>
      <c r="AK560" s="37"/>
    </row>
    <row r="561" spans="1:37" ht="14.25">
      <c r="A561" s="43"/>
      <c r="B561" s="37"/>
      <c r="C561" s="37"/>
      <c r="D561" s="37"/>
      <c r="E561" s="37"/>
      <c r="F561" s="43"/>
      <c r="G561" s="43"/>
      <c r="H561" s="44"/>
      <c r="I561" s="43"/>
      <c r="J561" s="37"/>
      <c r="K561" s="37"/>
      <c r="L561" s="37"/>
      <c r="M561" s="37"/>
      <c r="N561" s="37"/>
      <c r="O561" s="37"/>
      <c r="P561" s="37"/>
      <c r="Q561" s="37"/>
      <c r="R561" s="37"/>
      <c r="S561" s="37"/>
      <c r="T561" s="37"/>
      <c r="U561" s="37"/>
      <c r="V561" s="37"/>
      <c r="W561" s="37"/>
      <c r="X561" s="37"/>
      <c r="Y561" s="37"/>
      <c r="Z561" s="37"/>
      <c r="AA561" s="37"/>
      <c r="AB561" s="37"/>
      <c r="AC561" s="37"/>
      <c r="AD561" s="37"/>
      <c r="AE561" s="37"/>
      <c r="AF561" s="37"/>
      <c r="AG561" s="37"/>
      <c r="AH561" s="37"/>
      <c r="AI561" s="37"/>
      <c r="AJ561" s="37"/>
      <c r="AK561" s="37"/>
    </row>
    <row r="562" spans="1:37" ht="14.25">
      <c r="A562" s="43"/>
      <c r="B562" s="37"/>
      <c r="C562" s="37"/>
      <c r="D562" s="37"/>
      <c r="E562" s="37"/>
      <c r="F562" s="43"/>
      <c r="G562" s="43"/>
      <c r="H562" s="44"/>
      <c r="I562" s="43"/>
      <c r="J562" s="37"/>
      <c r="K562" s="37"/>
      <c r="L562" s="37"/>
      <c r="M562" s="37"/>
      <c r="N562" s="37"/>
      <c r="O562" s="37"/>
      <c r="P562" s="37"/>
      <c r="Q562" s="37"/>
      <c r="R562" s="37"/>
      <c r="S562" s="37"/>
      <c r="T562" s="37"/>
      <c r="U562" s="37"/>
      <c r="V562" s="37"/>
      <c r="W562" s="37"/>
      <c r="X562" s="37"/>
      <c r="Y562" s="37"/>
      <c r="Z562" s="37"/>
      <c r="AA562" s="37"/>
      <c r="AB562" s="37"/>
      <c r="AC562" s="37"/>
      <c r="AD562" s="37"/>
      <c r="AE562" s="37"/>
      <c r="AF562" s="37"/>
      <c r="AG562" s="37"/>
      <c r="AH562" s="37"/>
      <c r="AI562" s="37"/>
      <c r="AJ562" s="37"/>
      <c r="AK562" s="37"/>
    </row>
    <row r="563" spans="1:37" ht="14.25">
      <c r="A563" s="43"/>
      <c r="B563" s="37"/>
      <c r="C563" s="37"/>
      <c r="D563" s="37"/>
      <c r="E563" s="37"/>
      <c r="F563" s="43"/>
      <c r="G563" s="43"/>
      <c r="H563" s="44"/>
      <c r="I563" s="43"/>
      <c r="J563" s="37"/>
      <c r="K563" s="37"/>
      <c r="L563" s="37"/>
      <c r="M563" s="37"/>
      <c r="N563" s="37"/>
      <c r="O563" s="37"/>
      <c r="P563" s="37"/>
      <c r="Q563" s="37"/>
      <c r="R563" s="37"/>
      <c r="S563" s="37"/>
      <c r="T563" s="37"/>
      <c r="U563" s="37"/>
      <c r="V563" s="37"/>
      <c r="W563" s="37"/>
      <c r="X563" s="37"/>
      <c r="Y563" s="37"/>
      <c r="Z563" s="37"/>
      <c r="AA563" s="37"/>
      <c r="AB563" s="37"/>
      <c r="AC563" s="37"/>
      <c r="AD563" s="37"/>
      <c r="AE563" s="37"/>
      <c r="AF563" s="37"/>
      <c r="AG563" s="37"/>
      <c r="AH563" s="37"/>
      <c r="AI563" s="37"/>
      <c r="AJ563" s="37"/>
      <c r="AK563" s="37"/>
    </row>
    <row r="564" spans="1:37" ht="14.25">
      <c r="A564" s="43"/>
      <c r="B564" s="37"/>
      <c r="C564" s="37"/>
      <c r="D564" s="37"/>
      <c r="E564" s="37"/>
      <c r="F564" s="43"/>
      <c r="G564" s="43"/>
      <c r="H564" s="44"/>
      <c r="I564" s="43"/>
      <c r="J564" s="37"/>
      <c r="K564" s="37"/>
      <c r="L564" s="37"/>
      <c r="M564" s="37"/>
      <c r="N564" s="37"/>
      <c r="O564" s="37"/>
      <c r="P564" s="37"/>
      <c r="Q564" s="37"/>
      <c r="R564" s="37"/>
      <c r="S564" s="37"/>
      <c r="T564" s="37"/>
      <c r="U564" s="37"/>
      <c r="V564" s="37"/>
      <c r="W564" s="37"/>
      <c r="X564" s="37"/>
      <c r="Y564" s="37"/>
      <c r="Z564" s="37"/>
      <c r="AA564" s="37"/>
      <c r="AB564" s="37"/>
      <c r="AC564" s="37"/>
      <c r="AD564" s="37"/>
      <c r="AE564" s="37"/>
      <c r="AF564" s="37"/>
      <c r="AG564" s="37"/>
      <c r="AH564" s="37"/>
      <c r="AI564" s="37"/>
      <c r="AJ564" s="37"/>
      <c r="AK564" s="37"/>
    </row>
    <row r="565" spans="1:37" ht="14.25">
      <c r="A565" s="43"/>
      <c r="B565" s="37"/>
      <c r="C565" s="37"/>
      <c r="D565" s="37"/>
      <c r="E565" s="37"/>
      <c r="F565" s="43"/>
      <c r="G565" s="43"/>
      <c r="H565" s="44"/>
      <c r="I565" s="43"/>
      <c r="J565" s="37"/>
      <c r="K565" s="37"/>
      <c r="L565" s="37"/>
      <c r="M565" s="37"/>
      <c r="N565" s="37"/>
      <c r="O565" s="37"/>
      <c r="P565" s="37"/>
      <c r="Q565" s="37"/>
      <c r="R565" s="37"/>
      <c r="S565" s="37"/>
      <c r="T565" s="37"/>
      <c r="U565" s="37"/>
      <c r="V565" s="37"/>
      <c r="W565" s="37"/>
      <c r="X565" s="37"/>
      <c r="Y565" s="37"/>
      <c r="Z565" s="37"/>
      <c r="AA565" s="37"/>
      <c r="AB565" s="37"/>
      <c r="AC565" s="37"/>
      <c r="AD565" s="37"/>
      <c r="AE565" s="37"/>
      <c r="AF565" s="37"/>
      <c r="AG565" s="37"/>
      <c r="AH565" s="37"/>
      <c r="AI565" s="37"/>
      <c r="AJ565" s="37"/>
      <c r="AK565" s="37"/>
    </row>
    <row r="566" spans="1:37" ht="14.25">
      <c r="A566" s="43"/>
      <c r="B566" s="37"/>
      <c r="C566" s="37"/>
      <c r="D566" s="37"/>
      <c r="E566" s="37"/>
      <c r="F566" s="43"/>
      <c r="G566" s="43"/>
      <c r="H566" s="44"/>
      <c r="I566" s="43"/>
      <c r="J566" s="37"/>
      <c r="K566" s="37"/>
      <c r="L566" s="37"/>
      <c r="M566" s="37"/>
      <c r="N566" s="37"/>
      <c r="O566" s="37"/>
      <c r="P566" s="37"/>
      <c r="Q566" s="37"/>
      <c r="R566" s="37"/>
      <c r="S566" s="37"/>
      <c r="T566" s="37"/>
      <c r="U566" s="37"/>
      <c r="V566" s="37"/>
      <c r="W566" s="37"/>
      <c r="X566" s="37"/>
      <c r="Y566" s="37"/>
      <c r="Z566" s="37"/>
      <c r="AA566" s="37"/>
      <c r="AB566" s="37"/>
      <c r="AC566" s="37"/>
      <c r="AD566" s="37"/>
      <c r="AE566" s="37"/>
      <c r="AF566" s="37"/>
      <c r="AG566" s="37"/>
      <c r="AH566" s="37"/>
      <c r="AI566" s="37"/>
      <c r="AJ566" s="37"/>
      <c r="AK566" s="37"/>
    </row>
    <row r="567" spans="1:37" ht="14.25">
      <c r="A567" s="43"/>
      <c r="B567" s="37"/>
      <c r="C567" s="37"/>
      <c r="D567" s="37"/>
      <c r="E567" s="37"/>
      <c r="F567" s="43"/>
      <c r="G567" s="43"/>
      <c r="H567" s="44"/>
      <c r="I567" s="43"/>
      <c r="J567" s="37"/>
      <c r="K567" s="37"/>
      <c r="L567" s="37"/>
      <c r="M567" s="37"/>
      <c r="N567" s="37"/>
      <c r="O567" s="37"/>
      <c r="P567" s="37"/>
      <c r="Q567" s="37"/>
      <c r="R567" s="37"/>
      <c r="S567" s="37"/>
      <c r="T567" s="37"/>
      <c r="U567" s="37"/>
      <c r="V567" s="37"/>
      <c r="W567" s="37"/>
      <c r="X567" s="37"/>
      <c r="Y567" s="37"/>
      <c r="Z567" s="37"/>
      <c r="AA567" s="37"/>
      <c r="AB567" s="37"/>
      <c r="AC567" s="37"/>
      <c r="AD567" s="37"/>
      <c r="AE567" s="37"/>
      <c r="AF567" s="37"/>
      <c r="AG567" s="37"/>
      <c r="AH567" s="37"/>
      <c r="AI567" s="37"/>
      <c r="AJ567" s="37"/>
      <c r="AK567" s="37"/>
    </row>
    <row r="568" spans="1:37" ht="14.25">
      <c r="A568" s="43"/>
      <c r="B568" s="37"/>
      <c r="C568" s="37"/>
      <c r="D568" s="37"/>
      <c r="E568" s="37"/>
      <c r="F568" s="43"/>
      <c r="G568" s="43"/>
      <c r="H568" s="44"/>
      <c r="I568" s="43"/>
      <c r="J568" s="37"/>
      <c r="K568" s="37"/>
      <c r="L568" s="37"/>
      <c r="M568" s="37"/>
      <c r="N568" s="37"/>
      <c r="O568" s="37"/>
      <c r="P568" s="37"/>
      <c r="Q568" s="37"/>
      <c r="R568" s="37"/>
      <c r="S568" s="37"/>
      <c r="T568" s="37"/>
      <c r="U568" s="37"/>
      <c r="V568" s="37"/>
      <c r="W568" s="37"/>
      <c r="X568" s="37"/>
      <c r="Y568" s="37"/>
      <c r="Z568" s="37"/>
      <c r="AA568" s="37"/>
      <c r="AB568" s="37"/>
      <c r="AC568" s="37"/>
      <c r="AD568" s="37"/>
      <c r="AE568" s="37"/>
      <c r="AF568" s="37"/>
      <c r="AG568" s="37"/>
      <c r="AH568" s="37"/>
      <c r="AI568" s="37"/>
      <c r="AJ568" s="37"/>
      <c r="AK568" s="37"/>
    </row>
    <row r="569" spans="1:37" ht="14.25">
      <c r="A569" s="43"/>
      <c r="B569" s="37"/>
      <c r="C569" s="37"/>
      <c r="D569" s="37"/>
      <c r="E569" s="37"/>
      <c r="F569" s="43"/>
      <c r="G569" s="43"/>
      <c r="H569" s="44"/>
      <c r="I569" s="43"/>
      <c r="J569" s="37"/>
      <c r="K569" s="37"/>
      <c r="L569" s="37"/>
      <c r="M569" s="37"/>
      <c r="N569" s="37"/>
      <c r="O569" s="37"/>
      <c r="P569" s="37"/>
      <c r="Q569" s="37"/>
      <c r="R569" s="37"/>
      <c r="S569" s="37"/>
      <c r="T569" s="37"/>
      <c r="U569" s="37"/>
      <c r="V569" s="37"/>
      <c r="W569" s="37"/>
      <c r="X569" s="37"/>
      <c r="Y569" s="37"/>
      <c r="Z569" s="37"/>
      <c r="AA569" s="37"/>
      <c r="AB569" s="37"/>
      <c r="AC569" s="37"/>
      <c r="AD569" s="37"/>
      <c r="AE569" s="37"/>
      <c r="AF569" s="37"/>
      <c r="AG569" s="37"/>
      <c r="AH569" s="37"/>
      <c r="AI569" s="37"/>
      <c r="AJ569" s="37"/>
      <c r="AK569" s="37"/>
    </row>
    <row r="570" spans="1:37" ht="14.25">
      <c r="A570" s="43"/>
      <c r="B570" s="37"/>
      <c r="C570" s="37"/>
      <c r="D570" s="37"/>
      <c r="E570" s="37"/>
      <c r="F570" s="43"/>
      <c r="G570" s="43"/>
      <c r="H570" s="44"/>
      <c r="I570" s="43"/>
      <c r="J570" s="37"/>
      <c r="K570" s="37"/>
      <c r="L570" s="37"/>
      <c r="M570" s="37"/>
      <c r="N570" s="37"/>
      <c r="O570" s="37"/>
      <c r="P570" s="37"/>
      <c r="Q570" s="37"/>
      <c r="R570" s="37"/>
      <c r="S570" s="37"/>
      <c r="T570" s="37"/>
      <c r="U570" s="37"/>
      <c r="V570" s="37"/>
      <c r="W570" s="37"/>
      <c r="X570" s="37"/>
      <c r="Y570" s="37"/>
      <c r="Z570" s="37"/>
      <c r="AA570" s="37"/>
      <c r="AB570" s="37"/>
      <c r="AC570" s="37"/>
      <c r="AD570" s="37"/>
      <c r="AE570" s="37"/>
      <c r="AF570" s="37"/>
      <c r="AG570" s="37"/>
      <c r="AH570" s="37"/>
      <c r="AI570" s="37"/>
      <c r="AJ570" s="37"/>
      <c r="AK570" s="37"/>
    </row>
    <row r="571" spans="1:37" ht="14.25">
      <c r="A571" s="43"/>
      <c r="B571" s="37"/>
      <c r="C571" s="37"/>
      <c r="D571" s="37"/>
      <c r="E571" s="37"/>
      <c r="F571" s="43"/>
      <c r="G571" s="43"/>
      <c r="H571" s="44"/>
      <c r="I571" s="43"/>
      <c r="J571" s="37"/>
      <c r="K571" s="37"/>
      <c r="L571" s="37"/>
      <c r="M571" s="37"/>
      <c r="N571" s="37"/>
      <c r="O571" s="37"/>
      <c r="P571" s="37"/>
      <c r="Q571" s="37"/>
      <c r="R571" s="37"/>
      <c r="S571" s="37"/>
      <c r="T571" s="37"/>
      <c r="U571" s="37"/>
      <c r="V571" s="37"/>
      <c r="W571" s="37"/>
      <c r="X571" s="37"/>
      <c r="Y571" s="37"/>
      <c r="Z571" s="37"/>
      <c r="AA571" s="37"/>
      <c r="AB571" s="37"/>
      <c r="AC571" s="37"/>
      <c r="AD571" s="37"/>
      <c r="AE571" s="37"/>
      <c r="AF571" s="37"/>
      <c r="AG571" s="37"/>
      <c r="AH571" s="37"/>
      <c r="AI571" s="37"/>
      <c r="AJ571" s="37"/>
      <c r="AK571" s="37"/>
    </row>
    <row r="572" spans="1:37" ht="14.25">
      <c r="A572" s="43"/>
      <c r="B572" s="37"/>
      <c r="C572" s="37"/>
      <c r="D572" s="37"/>
      <c r="E572" s="37"/>
      <c r="F572" s="43"/>
      <c r="G572" s="43"/>
      <c r="H572" s="44"/>
      <c r="I572" s="43"/>
      <c r="J572" s="37"/>
      <c r="K572" s="37"/>
      <c r="L572" s="37"/>
      <c r="M572" s="37"/>
      <c r="N572" s="37"/>
      <c r="O572" s="37"/>
      <c r="P572" s="37"/>
      <c r="Q572" s="37"/>
      <c r="R572" s="37"/>
      <c r="S572" s="37"/>
      <c r="T572" s="37"/>
      <c r="U572" s="37"/>
      <c r="V572" s="37"/>
      <c r="W572" s="37"/>
      <c r="X572" s="37"/>
      <c r="Y572" s="37"/>
      <c r="Z572" s="37"/>
      <c r="AA572" s="37"/>
      <c r="AB572" s="37"/>
      <c r="AC572" s="37"/>
      <c r="AD572" s="37"/>
      <c r="AE572" s="37"/>
      <c r="AF572" s="37"/>
      <c r="AG572" s="37"/>
      <c r="AH572" s="37"/>
      <c r="AI572" s="37"/>
      <c r="AJ572" s="37"/>
      <c r="AK572" s="37"/>
    </row>
    <row r="573" spans="1:37" ht="14.25">
      <c r="A573" s="43"/>
      <c r="B573" s="37"/>
      <c r="C573" s="37"/>
      <c r="D573" s="37"/>
      <c r="E573" s="37"/>
      <c r="F573" s="43"/>
      <c r="G573" s="43"/>
      <c r="H573" s="44"/>
      <c r="I573" s="43"/>
      <c r="J573" s="37"/>
      <c r="K573" s="37"/>
      <c r="L573" s="37"/>
      <c r="M573" s="37"/>
      <c r="N573" s="37"/>
      <c r="O573" s="37"/>
      <c r="P573" s="37"/>
      <c r="Q573" s="37"/>
      <c r="R573" s="37"/>
      <c r="S573" s="37"/>
      <c r="T573" s="37"/>
      <c r="U573" s="37"/>
      <c r="V573" s="37"/>
      <c r="W573" s="37"/>
      <c r="X573" s="37"/>
      <c r="Y573" s="37"/>
      <c r="Z573" s="37"/>
      <c r="AA573" s="37"/>
      <c r="AB573" s="37"/>
      <c r="AC573" s="37"/>
      <c r="AD573" s="37"/>
      <c r="AE573" s="37"/>
      <c r="AF573" s="37"/>
      <c r="AG573" s="37"/>
      <c r="AH573" s="37"/>
      <c r="AI573" s="37"/>
      <c r="AJ573" s="37"/>
      <c r="AK573" s="37"/>
    </row>
    <row r="574" spans="1:37" ht="14.25">
      <c r="A574" s="43"/>
      <c r="B574" s="37"/>
      <c r="C574" s="37"/>
      <c r="D574" s="37"/>
      <c r="E574" s="37"/>
      <c r="F574" s="43"/>
      <c r="G574" s="43"/>
      <c r="H574" s="44"/>
      <c r="I574" s="43"/>
      <c r="J574" s="37"/>
      <c r="K574" s="37"/>
      <c r="L574" s="37"/>
      <c r="M574" s="37"/>
      <c r="N574" s="37"/>
      <c r="O574" s="37"/>
      <c r="P574" s="37"/>
      <c r="Q574" s="37"/>
      <c r="R574" s="37"/>
      <c r="S574" s="37"/>
      <c r="T574" s="37"/>
      <c r="U574" s="37"/>
      <c r="V574" s="37"/>
      <c r="W574" s="37"/>
      <c r="X574" s="37"/>
      <c r="Y574" s="37"/>
      <c r="Z574" s="37"/>
      <c r="AA574" s="37"/>
      <c r="AB574" s="37"/>
      <c r="AC574" s="37"/>
      <c r="AD574" s="37"/>
      <c r="AE574" s="37"/>
      <c r="AF574" s="37"/>
      <c r="AG574" s="37"/>
      <c r="AH574" s="37"/>
      <c r="AI574" s="37"/>
      <c r="AJ574" s="37"/>
      <c r="AK574" s="37"/>
    </row>
    <row r="575" spans="1:37" ht="14.25">
      <c r="A575" s="43"/>
      <c r="B575" s="37"/>
      <c r="C575" s="37"/>
      <c r="D575" s="37"/>
      <c r="E575" s="37"/>
      <c r="F575" s="43"/>
      <c r="G575" s="43"/>
      <c r="H575" s="44"/>
      <c r="I575" s="43"/>
      <c r="J575" s="37"/>
      <c r="K575" s="37"/>
      <c r="L575" s="37"/>
      <c r="M575" s="37"/>
      <c r="N575" s="37"/>
      <c r="O575" s="37"/>
      <c r="P575" s="37"/>
      <c r="Q575" s="37"/>
      <c r="R575" s="37"/>
      <c r="S575" s="37"/>
      <c r="T575" s="37"/>
      <c r="U575" s="37"/>
      <c r="V575" s="37"/>
      <c r="W575" s="37"/>
      <c r="X575" s="37"/>
      <c r="Y575" s="37"/>
      <c r="Z575" s="37"/>
      <c r="AA575" s="37"/>
      <c r="AB575" s="37"/>
      <c r="AC575" s="37"/>
      <c r="AD575" s="37"/>
      <c r="AE575" s="37"/>
      <c r="AF575" s="37"/>
      <c r="AG575" s="37"/>
      <c r="AH575" s="37"/>
      <c r="AI575" s="37"/>
      <c r="AJ575" s="37"/>
      <c r="AK575" s="37"/>
    </row>
    <row r="576" spans="1:37" ht="14.25">
      <c r="A576" s="43"/>
      <c r="B576" s="37"/>
      <c r="C576" s="37"/>
      <c r="D576" s="37"/>
      <c r="E576" s="37"/>
      <c r="F576" s="43"/>
      <c r="G576" s="43"/>
      <c r="H576" s="44"/>
      <c r="I576" s="43"/>
      <c r="J576" s="37"/>
      <c r="K576" s="37"/>
      <c r="L576" s="37"/>
      <c r="M576" s="37"/>
      <c r="N576" s="37"/>
      <c r="O576" s="37"/>
      <c r="P576" s="37"/>
      <c r="Q576" s="37"/>
      <c r="R576" s="37"/>
      <c r="S576" s="37"/>
      <c r="T576" s="37"/>
      <c r="U576" s="37"/>
      <c r="V576" s="37"/>
      <c r="W576" s="37"/>
      <c r="X576" s="37"/>
      <c r="Y576" s="37"/>
      <c r="Z576" s="37"/>
      <c r="AA576" s="37"/>
      <c r="AB576" s="37"/>
      <c r="AC576" s="37"/>
      <c r="AD576" s="37"/>
      <c r="AE576" s="37"/>
      <c r="AF576" s="37"/>
      <c r="AG576" s="37"/>
      <c r="AH576" s="37"/>
      <c r="AI576" s="37"/>
      <c r="AJ576" s="37"/>
      <c r="AK576" s="37"/>
    </row>
    <row r="577" spans="1:37" ht="14.25">
      <c r="A577" s="43"/>
      <c r="B577" s="37"/>
      <c r="C577" s="37"/>
      <c r="D577" s="37"/>
      <c r="E577" s="37"/>
      <c r="F577" s="43"/>
      <c r="G577" s="43"/>
      <c r="H577" s="44"/>
      <c r="I577" s="43"/>
      <c r="J577" s="37"/>
      <c r="K577" s="37"/>
      <c r="L577" s="37"/>
      <c r="M577" s="37"/>
      <c r="N577" s="37"/>
      <c r="O577" s="37"/>
      <c r="P577" s="37"/>
      <c r="Q577" s="37"/>
      <c r="R577" s="37"/>
      <c r="S577" s="37"/>
      <c r="T577" s="37"/>
      <c r="U577" s="37"/>
      <c r="V577" s="37"/>
      <c r="W577" s="37"/>
      <c r="X577" s="37"/>
      <c r="Y577" s="37"/>
      <c r="Z577" s="37"/>
      <c r="AA577" s="37"/>
      <c r="AB577" s="37"/>
      <c r="AC577" s="37"/>
      <c r="AD577" s="37"/>
      <c r="AE577" s="37"/>
      <c r="AF577" s="37"/>
      <c r="AG577" s="37"/>
      <c r="AH577" s="37"/>
      <c r="AI577" s="37"/>
      <c r="AJ577" s="37"/>
      <c r="AK577" s="37"/>
    </row>
    <row r="578" spans="1:37" ht="14.25">
      <c r="A578" s="43"/>
      <c r="B578" s="37"/>
      <c r="C578" s="37"/>
      <c r="D578" s="37"/>
      <c r="E578" s="37"/>
      <c r="F578" s="43"/>
      <c r="G578" s="43"/>
      <c r="H578" s="44"/>
      <c r="I578" s="43"/>
      <c r="J578" s="37"/>
      <c r="K578" s="37"/>
      <c r="L578" s="37"/>
      <c r="M578" s="37"/>
      <c r="N578" s="37"/>
      <c r="O578" s="37"/>
      <c r="P578" s="37"/>
      <c r="Q578" s="37"/>
      <c r="R578" s="37"/>
      <c r="S578" s="37"/>
      <c r="T578" s="37"/>
      <c r="U578" s="37"/>
      <c r="V578" s="37"/>
      <c r="W578" s="37"/>
      <c r="X578" s="37"/>
      <c r="Y578" s="37"/>
      <c r="Z578" s="37"/>
      <c r="AA578" s="37"/>
      <c r="AB578" s="37"/>
      <c r="AC578" s="37"/>
      <c r="AD578" s="37"/>
      <c r="AE578" s="37"/>
      <c r="AF578" s="37"/>
      <c r="AG578" s="37"/>
      <c r="AH578" s="37"/>
      <c r="AI578" s="37"/>
      <c r="AJ578" s="37"/>
      <c r="AK578" s="37"/>
    </row>
    <row r="579" spans="1:37" ht="14.25">
      <c r="A579" s="43"/>
      <c r="B579" s="37"/>
      <c r="C579" s="37"/>
      <c r="D579" s="37"/>
      <c r="E579" s="37"/>
      <c r="F579" s="43"/>
      <c r="G579" s="43"/>
      <c r="H579" s="44"/>
      <c r="I579" s="43"/>
      <c r="J579" s="37"/>
      <c r="K579" s="37"/>
      <c r="L579" s="37"/>
      <c r="M579" s="37"/>
      <c r="N579" s="37"/>
      <c r="O579" s="37"/>
      <c r="P579" s="37"/>
      <c r="Q579" s="37"/>
      <c r="R579" s="37"/>
      <c r="S579" s="37"/>
      <c r="T579" s="37"/>
      <c r="U579" s="37"/>
      <c r="V579" s="37"/>
      <c r="W579" s="37"/>
      <c r="X579" s="37"/>
      <c r="Y579" s="37"/>
      <c r="Z579" s="37"/>
      <c r="AA579" s="37"/>
      <c r="AB579" s="37"/>
      <c r="AC579" s="37"/>
      <c r="AD579" s="37"/>
      <c r="AE579" s="37"/>
      <c r="AF579" s="37"/>
      <c r="AG579" s="37"/>
      <c r="AH579" s="37"/>
      <c r="AI579" s="37"/>
      <c r="AJ579" s="37"/>
      <c r="AK579" s="37"/>
    </row>
    <row r="580" spans="1:37" ht="14.25">
      <c r="A580" s="43"/>
      <c r="B580" s="37"/>
      <c r="C580" s="37"/>
      <c r="D580" s="37"/>
      <c r="E580" s="37"/>
      <c r="F580" s="43"/>
      <c r="G580" s="43"/>
      <c r="H580" s="44"/>
      <c r="I580" s="43"/>
      <c r="J580" s="37"/>
      <c r="K580" s="37"/>
      <c r="L580" s="37"/>
      <c r="M580" s="37"/>
      <c r="N580" s="37"/>
      <c r="O580" s="37"/>
      <c r="P580" s="37"/>
      <c r="Q580" s="37"/>
      <c r="R580" s="37"/>
      <c r="S580" s="37"/>
      <c r="T580" s="37"/>
      <c r="U580" s="37"/>
      <c r="V580" s="37"/>
      <c r="W580" s="37"/>
      <c r="X580" s="37"/>
      <c r="Y580" s="37"/>
      <c r="Z580" s="37"/>
      <c r="AA580" s="37"/>
      <c r="AB580" s="37"/>
      <c r="AC580" s="37"/>
      <c r="AD580" s="37"/>
      <c r="AE580" s="37"/>
      <c r="AF580" s="37"/>
      <c r="AG580" s="37"/>
      <c r="AH580" s="37"/>
      <c r="AI580" s="37"/>
      <c r="AJ580" s="37"/>
      <c r="AK580" s="37"/>
    </row>
    <row r="581" spans="1:37" ht="14.25">
      <c r="A581" s="43"/>
      <c r="B581" s="37"/>
      <c r="C581" s="37"/>
      <c r="D581" s="37"/>
      <c r="E581" s="37"/>
      <c r="F581" s="43"/>
      <c r="G581" s="43"/>
      <c r="H581" s="44"/>
      <c r="I581" s="43"/>
      <c r="J581" s="37"/>
      <c r="K581" s="37"/>
      <c r="L581" s="37"/>
      <c r="M581" s="37"/>
      <c r="N581" s="37"/>
      <c r="O581" s="37"/>
      <c r="P581" s="37"/>
      <c r="Q581" s="37"/>
      <c r="R581" s="37"/>
      <c r="S581" s="37"/>
      <c r="T581" s="37"/>
      <c r="U581" s="37"/>
      <c r="V581" s="37"/>
      <c r="W581" s="37"/>
      <c r="X581" s="37"/>
      <c r="Y581" s="37"/>
      <c r="Z581" s="37"/>
      <c r="AA581" s="37"/>
      <c r="AB581" s="37"/>
      <c r="AC581" s="37"/>
      <c r="AD581" s="37"/>
      <c r="AE581" s="37"/>
      <c r="AF581" s="37"/>
      <c r="AG581" s="37"/>
      <c r="AH581" s="37"/>
      <c r="AI581" s="37"/>
      <c r="AJ581" s="37"/>
      <c r="AK581" s="37"/>
    </row>
    <row r="582" spans="1:37" ht="14.25">
      <c r="A582" s="43"/>
      <c r="B582" s="37"/>
      <c r="C582" s="37"/>
      <c r="D582" s="37"/>
      <c r="E582" s="37"/>
      <c r="F582" s="43"/>
      <c r="G582" s="43"/>
      <c r="H582" s="44"/>
      <c r="I582" s="43"/>
      <c r="J582" s="37"/>
      <c r="K582" s="37"/>
      <c r="L582" s="37"/>
      <c r="M582" s="37"/>
      <c r="N582" s="37"/>
      <c r="O582" s="37"/>
      <c r="P582" s="37"/>
      <c r="Q582" s="37"/>
      <c r="R582" s="37"/>
      <c r="S582" s="37"/>
      <c r="T582" s="37"/>
      <c r="U582" s="37"/>
      <c r="V582" s="37"/>
      <c r="W582" s="37"/>
      <c r="X582" s="37"/>
      <c r="Y582" s="37"/>
      <c r="Z582" s="37"/>
      <c r="AA582" s="37"/>
      <c r="AB582" s="37"/>
      <c r="AC582" s="37"/>
      <c r="AD582" s="37"/>
      <c r="AE582" s="37"/>
      <c r="AF582" s="37"/>
      <c r="AG582" s="37"/>
      <c r="AH582" s="37"/>
      <c r="AI582" s="37"/>
      <c r="AJ582" s="37"/>
      <c r="AK582" s="37"/>
    </row>
    <row r="583" spans="1:37" ht="14.25">
      <c r="A583" s="43"/>
      <c r="B583" s="37"/>
      <c r="C583" s="37"/>
      <c r="D583" s="37"/>
      <c r="E583" s="37"/>
      <c r="F583" s="43"/>
      <c r="G583" s="43"/>
      <c r="H583" s="44"/>
      <c r="I583" s="43"/>
      <c r="J583" s="37"/>
      <c r="K583" s="37"/>
      <c r="L583" s="37"/>
      <c r="M583" s="37"/>
      <c r="N583" s="37"/>
      <c r="O583" s="37"/>
      <c r="P583" s="37"/>
      <c r="Q583" s="37"/>
      <c r="R583" s="37"/>
      <c r="S583" s="37"/>
      <c r="T583" s="37"/>
      <c r="U583" s="37"/>
      <c r="V583" s="37"/>
      <c r="W583" s="37"/>
      <c r="X583" s="37"/>
      <c r="Y583" s="37"/>
      <c r="Z583" s="37"/>
      <c r="AA583" s="37"/>
      <c r="AB583" s="37"/>
      <c r="AC583" s="37"/>
      <c r="AD583" s="37"/>
      <c r="AE583" s="37"/>
      <c r="AF583" s="37"/>
      <c r="AG583" s="37"/>
      <c r="AH583" s="37"/>
      <c r="AI583" s="37"/>
      <c r="AJ583" s="37"/>
      <c r="AK583" s="37"/>
    </row>
    <row r="584" spans="1:37" ht="14.25">
      <c r="A584" s="43"/>
      <c r="B584" s="37"/>
      <c r="C584" s="37"/>
      <c r="D584" s="37"/>
      <c r="E584" s="37"/>
      <c r="F584" s="43"/>
      <c r="G584" s="43"/>
      <c r="H584" s="44"/>
      <c r="I584" s="43"/>
      <c r="J584" s="37"/>
      <c r="K584" s="37"/>
      <c r="L584" s="37"/>
      <c r="M584" s="37"/>
      <c r="N584" s="37"/>
      <c r="O584" s="37"/>
      <c r="P584" s="37"/>
      <c r="Q584" s="37"/>
      <c r="R584" s="37"/>
      <c r="S584" s="37"/>
      <c r="T584" s="37"/>
      <c r="U584" s="37"/>
      <c r="V584" s="37"/>
      <c r="W584" s="37"/>
      <c r="X584" s="37"/>
      <c r="Y584" s="37"/>
      <c r="Z584" s="37"/>
      <c r="AA584" s="37"/>
      <c r="AB584" s="37"/>
      <c r="AC584" s="37"/>
      <c r="AD584" s="37"/>
      <c r="AE584" s="37"/>
      <c r="AF584" s="37"/>
      <c r="AG584" s="37"/>
      <c r="AH584" s="37"/>
      <c r="AI584" s="37"/>
      <c r="AJ584" s="37"/>
      <c r="AK584" s="37"/>
    </row>
    <row r="585" spans="1:37" ht="14.25">
      <c r="A585" s="43"/>
      <c r="B585" s="37"/>
      <c r="C585" s="37"/>
      <c r="D585" s="37"/>
      <c r="E585" s="37"/>
      <c r="F585" s="43"/>
      <c r="G585" s="43"/>
      <c r="H585" s="44"/>
      <c r="I585" s="43"/>
      <c r="J585" s="37"/>
      <c r="K585" s="37"/>
      <c r="L585" s="37"/>
      <c r="M585" s="37"/>
      <c r="N585" s="37"/>
      <c r="O585" s="37"/>
      <c r="P585" s="37"/>
      <c r="Q585" s="37"/>
      <c r="R585" s="37"/>
      <c r="S585" s="37"/>
      <c r="T585" s="37"/>
      <c r="U585" s="37"/>
      <c r="V585" s="37"/>
      <c r="W585" s="37"/>
      <c r="X585" s="37"/>
      <c r="Y585" s="37"/>
      <c r="Z585" s="37"/>
      <c r="AA585" s="37"/>
      <c r="AB585" s="37"/>
      <c r="AC585" s="37"/>
      <c r="AD585" s="37"/>
      <c r="AE585" s="37"/>
      <c r="AF585" s="37"/>
      <c r="AG585" s="37"/>
      <c r="AH585" s="37"/>
      <c r="AI585" s="37"/>
      <c r="AJ585" s="37"/>
      <c r="AK585" s="37"/>
    </row>
    <row r="586" spans="1:37" ht="14.25">
      <c r="A586" s="43"/>
      <c r="B586" s="37"/>
      <c r="C586" s="37"/>
      <c r="D586" s="37"/>
      <c r="E586" s="37"/>
      <c r="F586" s="43"/>
      <c r="G586" s="43"/>
      <c r="H586" s="44"/>
      <c r="I586" s="43"/>
      <c r="J586" s="37"/>
      <c r="K586" s="37"/>
      <c r="L586" s="37"/>
      <c r="M586" s="37"/>
      <c r="N586" s="37"/>
      <c r="O586" s="37"/>
      <c r="P586" s="37"/>
      <c r="Q586" s="37"/>
      <c r="R586" s="37"/>
      <c r="S586" s="37"/>
      <c r="T586" s="37"/>
      <c r="U586" s="37"/>
      <c r="V586" s="37"/>
      <c r="W586" s="37"/>
      <c r="X586" s="37"/>
      <c r="Y586" s="37"/>
      <c r="Z586" s="37"/>
      <c r="AA586" s="37"/>
      <c r="AB586" s="37"/>
      <c r="AC586" s="37"/>
      <c r="AD586" s="37"/>
      <c r="AE586" s="37"/>
      <c r="AF586" s="37"/>
      <c r="AG586" s="37"/>
      <c r="AH586" s="37"/>
      <c r="AI586" s="37"/>
      <c r="AJ586" s="37"/>
      <c r="AK586" s="37"/>
    </row>
    <row r="587" spans="1:37" ht="14.25">
      <c r="A587" s="43"/>
      <c r="B587" s="37"/>
      <c r="C587" s="37"/>
      <c r="D587" s="37"/>
      <c r="E587" s="37"/>
      <c r="F587" s="43"/>
      <c r="G587" s="43"/>
      <c r="H587" s="44"/>
      <c r="I587" s="43"/>
      <c r="J587" s="37"/>
      <c r="K587" s="37"/>
      <c r="L587" s="37"/>
      <c r="M587" s="37"/>
      <c r="N587" s="37"/>
      <c r="O587" s="37"/>
      <c r="P587" s="37"/>
      <c r="Q587" s="37"/>
      <c r="R587" s="37"/>
      <c r="S587" s="37"/>
      <c r="T587" s="37"/>
      <c r="U587" s="37"/>
      <c r="V587" s="37"/>
      <c r="W587" s="37"/>
      <c r="X587" s="37"/>
      <c r="Y587" s="37"/>
      <c r="Z587" s="37"/>
      <c r="AA587" s="37"/>
      <c r="AB587" s="37"/>
      <c r="AC587" s="37"/>
      <c r="AD587" s="37"/>
      <c r="AE587" s="37"/>
      <c r="AF587" s="37"/>
      <c r="AG587" s="37"/>
      <c r="AH587" s="37"/>
      <c r="AI587" s="37"/>
      <c r="AJ587" s="37"/>
      <c r="AK587" s="37"/>
    </row>
    <row r="588" spans="1:37" ht="14.25">
      <c r="A588" s="43"/>
      <c r="B588" s="37"/>
      <c r="C588" s="37"/>
      <c r="D588" s="37"/>
      <c r="E588" s="37"/>
      <c r="F588" s="43"/>
      <c r="G588" s="43"/>
      <c r="H588" s="44"/>
      <c r="I588" s="43"/>
      <c r="J588" s="37"/>
      <c r="K588" s="37"/>
      <c r="L588" s="37"/>
      <c r="M588" s="37"/>
      <c r="N588" s="37"/>
      <c r="O588" s="37"/>
      <c r="P588" s="37"/>
      <c r="Q588" s="37"/>
      <c r="R588" s="37"/>
      <c r="S588" s="37"/>
      <c r="T588" s="37"/>
      <c r="U588" s="37"/>
      <c r="V588" s="37"/>
      <c r="W588" s="37"/>
      <c r="X588" s="37"/>
      <c r="Y588" s="37"/>
      <c r="Z588" s="37"/>
      <c r="AA588" s="37"/>
      <c r="AB588" s="37"/>
      <c r="AC588" s="37"/>
      <c r="AD588" s="37"/>
      <c r="AE588" s="37"/>
      <c r="AF588" s="37"/>
      <c r="AG588" s="37"/>
      <c r="AH588" s="37"/>
      <c r="AI588" s="37"/>
      <c r="AJ588" s="37"/>
      <c r="AK588" s="37"/>
    </row>
    <row r="589" spans="1:37" ht="14.25">
      <c r="A589" s="43"/>
      <c r="B589" s="37"/>
      <c r="C589" s="37"/>
      <c r="D589" s="37"/>
      <c r="E589" s="37"/>
      <c r="F589" s="43"/>
      <c r="G589" s="43"/>
      <c r="H589" s="44"/>
      <c r="I589" s="43"/>
      <c r="J589" s="37"/>
      <c r="K589" s="37"/>
      <c r="L589" s="37"/>
      <c r="M589" s="37"/>
      <c r="N589" s="37"/>
      <c r="O589" s="37"/>
      <c r="P589" s="37"/>
      <c r="Q589" s="37"/>
      <c r="R589" s="37"/>
      <c r="S589" s="37"/>
      <c r="T589" s="37"/>
      <c r="U589" s="37"/>
      <c r="V589" s="37"/>
      <c r="W589" s="37"/>
      <c r="X589" s="37"/>
      <c r="Y589" s="37"/>
      <c r="Z589" s="37"/>
      <c r="AA589" s="37"/>
      <c r="AB589" s="37"/>
      <c r="AC589" s="37"/>
      <c r="AD589" s="37"/>
      <c r="AE589" s="37"/>
      <c r="AF589" s="37"/>
      <c r="AG589" s="37"/>
      <c r="AH589" s="37"/>
      <c r="AI589" s="37"/>
      <c r="AJ589" s="37"/>
      <c r="AK589" s="37"/>
    </row>
    <row r="590" spans="1:37" ht="14.25">
      <c r="A590" s="43"/>
      <c r="B590" s="37"/>
      <c r="C590" s="37"/>
      <c r="D590" s="37"/>
      <c r="E590" s="37"/>
      <c r="F590" s="43"/>
      <c r="G590" s="43"/>
      <c r="H590" s="44"/>
      <c r="I590" s="43"/>
      <c r="J590" s="37"/>
      <c r="K590" s="37"/>
      <c r="L590" s="37"/>
      <c r="M590" s="37"/>
      <c r="N590" s="37"/>
      <c r="O590" s="37"/>
      <c r="P590" s="37"/>
      <c r="Q590" s="37"/>
      <c r="R590" s="37"/>
      <c r="S590" s="37"/>
      <c r="T590" s="37"/>
      <c r="U590" s="37"/>
      <c r="V590" s="37"/>
      <c r="W590" s="37"/>
      <c r="X590" s="37"/>
      <c r="Y590" s="37"/>
      <c r="Z590" s="37"/>
      <c r="AA590" s="37"/>
      <c r="AB590" s="37"/>
      <c r="AC590" s="37"/>
      <c r="AD590" s="37"/>
      <c r="AE590" s="37"/>
      <c r="AF590" s="37"/>
      <c r="AG590" s="37"/>
      <c r="AH590" s="37"/>
      <c r="AI590" s="37"/>
      <c r="AJ590" s="37"/>
      <c r="AK590" s="37"/>
    </row>
    <row r="591" spans="1:37" ht="14.25">
      <c r="A591" s="43"/>
      <c r="B591" s="37"/>
      <c r="C591" s="37"/>
      <c r="D591" s="37"/>
      <c r="E591" s="37"/>
      <c r="F591" s="43"/>
      <c r="G591" s="43"/>
      <c r="H591" s="44"/>
      <c r="I591" s="43"/>
      <c r="J591" s="37"/>
      <c r="K591" s="37"/>
      <c r="L591" s="37"/>
      <c r="M591" s="37"/>
      <c r="N591" s="37"/>
      <c r="O591" s="37"/>
      <c r="P591" s="37"/>
      <c r="Q591" s="37"/>
      <c r="R591" s="37"/>
      <c r="S591" s="37"/>
      <c r="T591" s="37"/>
      <c r="U591" s="37"/>
      <c r="V591" s="37"/>
      <c r="W591" s="37"/>
      <c r="X591" s="37"/>
      <c r="Y591" s="37"/>
      <c r="Z591" s="37"/>
      <c r="AA591" s="37"/>
      <c r="AB591" s="37"/>
      <c r="AC591" s="37"/>
      <c r="AD591" s="37"/>
      <c r="AE591" s="37"/>
      <c r="AF591" s="37"/>
      <c r="AG591" s="37"/>
      <c r="AH591" s="37"/>
      <c r="AI591" s="37"/>
      <c r="AJ591" s="37"/>
      <c r="AK591" s="37"/>
    </row>
    <row r="592" spans="1:37" ht="14.25">
      <c r="A592" s="43"/>
      <c r="B592" s="37"/>
      <c r="C592" s="37"/>
      <c r="D592" s="37"/>
      <c r="E592" s="37"/>
      <c r="F592" s="43"/>
      <c r="G592" s="43"/>
      <c r="H592" s="44"/>
      <c r="I592" s="43"/>
      <c r="J592" s="37"/>
      <c r="K592" s="37"/>
      <c r="L592" s="37"/>
      <c r="M592" s="37"/>
      <c r="N592" s="37"/>
      <c r="O592" s="37"/>
      <c r="P592" s="37"/>
      <c r="Q592" s="37"/>
      <c r="R592" s="37"/>
      <c r="S592" s="37"/>
      <c r="T592" s="37"/>
      <c r="U592" s="37"/>
      <c r="V592" s="37"/>
      <c r="W592" s="37"/>
      <c r="X592" s="37"/>
      <c r="Y592" s="37"/>
      <c r="Z592" s="37"/>
      <c r="AA592" s="37"/>
      <c r="AB592" s="37"/>
      <c r="AC592" s="37"/>
      <c r="AD592" s="37"/>
      <c r="AE592" s="37"/>
      <c r="AF592" s="37"/>
      <c r="AG592" s="37"/>
      <c r="AH592" s="37"/>
      <c r="AI592" s="37"/>
      <c r="AJ592" s="37"/>
      <c r="AK592" s="37"/>
    </row>
    <row r="593" spans="1:37" ht="14.25">
      <c r="A593" s="43"/>
      <c r="B593" s="37"/>
      <c r="C593" s="37"/>
      <c r="D593" s="37"/>
      <c r="E593" s="37"/>
      <c r="F593" s="43"/>
      <c r="G593" s="43"/>
      <c r="H593" s="44"/>
      <c r="I593" s="43"/>
      <c r="J593" s="37"/>
      <c r="K593" s="37"/>
      <c r="L593" s="37"/>
      <c r="M593" s="37"/>
      <c r="N593" s="37"/>
      <c r="O593" s="37"/>
      <c r="P593" s="37"/>
      <c r="Q593" s="37"/>
      <c r="R593" s="37"/>
      <c r="S593" s="37"/>
      <c r="T593" s="37"/>
      <c r="U593" s="37"/>
      <c r="V593" s="37"/>
      <c r="W593" s="37"/>
      <c r="X593" s="37"/>
      <c r="Y593" s="37"/>
      <c r="Z593" s="37"/>
      <c r="AA593" s="37"/>
      <c r="AB593" s="37"/>
      <c r="AC593" s="37"/>
      <c r="AD593" s="37"/>
      <c r="AE593" s="37"/>
      <c r="AF593" s="37"/>
      <c r="AG593" s="37"/>
      <c r="AH593" s="37"/>
      <c r="AI593" s="37"/>
      <c r="AJ593" s="37"/>
      <c r="AK593" s="37"/>
    </row>
    <row r="594" spans="1:37" ht="14.25">
      <c r="A594" s="43"/>
      <c r="B594" s="37"/>
      <c r="C594" s="37"/>
      <c r="D594" s="37"/>
      <c r="E594" s="37"/>
      <c r="F594" s="43"/>
      <c r="G594" s="43"/>
      <c r="H594" s="44"/>
      <c r="I594" s="43"/>
      <c r="J594" s="37"/>
      <c r="K594" s="37"/>
      <c r="L594" s="37"/>
      <c r="M594" s="37"/>
      <c r="N594" s="37"/>
      <c r="O594" s="37"/>
      <c r="P594" s="37"/>
      <c r="Q594" s="37"/>
      <c r="R594" s="37"/>
      <c r="S594" s="37"/>
      <c r="T594" s="37"/>
      <c r="U594" s="37"/>
      <c r="V594" s="37"/>
      <c r="W594" s="37"/>
      <c r="X594" s="37"/>
      <c r="Y594" s="37"/>
      <c r="Z594" s="37"/>
      <c r="AA594" s="37"/>
      <c r="AB594" s="37"/>
      <c r="AC594" s="37"/>
      <c r="AD594" s="37"/>
      <c r="AE594" s="37"/>
      <c r="AF594" s="37"/>
      <c r="AG594" s="37"/>
      <c r="AH594" s="37"/>
      <c r="AI594" s="37"/>
      <c r="AJ594" s="37"/>
      <c r="AK594" s="37"/>
    </row>
    <row r="595" spans="1:37" ht="14.25">
      <c r="A595" s="43"/>
      <c r="B595" s="37"/>
      <c r="C595" s="37"/>
      <c r="D595" s="37"/>
      <c r="E595" s="37"/>
      <c r="F595" s="43"/>
      <c r="G595" s="43"/>
      <c r="H595" s="44"/>
      <c r="I595" s="43"/>
      <c r="J595" s="37"/>
      <c r="K595" s="37"/>
      <c r="L595" s="37"/>
      <c r="M595" s="37"/>
      <c r="N595" s="37"/>
      <c r="O595" s="37"/>
      <c r="P595" s="37"/>
      <c r="Q595" s="37"/>
      <c r="R595" s="37"/>
      <c r="S595" s="37"/>
      <c r="T595" s="37"/>
      <c r="U595" s="37"/>
      <c r="V595" s="37"/>
      <c r="W595" s="37"/>
      <c r="X595" s="37"/>
      <c r="Y595" s="37"/>
      <c r="Z595" s="37"/>
      <c r="AA595" s="37"/>
      <c r="AB595" s="37"/>
      <c r="AC595" s="37"/>
      <c r="AD595" s="37"/>
      <c r="AE595" s="37"/>
      <c r="AF595" s="37"/>
      <c r="AG595" s="37"/>
      <c r="AH595" s="37"/>
      <c r="AI595" s="37"/>
      <c r="AJ595" s="37"/>
      <c r="AK595" s="37"/>
    </row>
    <row r="596" spans="1:37" ht="14.25">
      <c r="A596" s="43"/>
      <c r="B596" s="37"/>
      <c r="C596" s="37"/>
      <c r="D596" s="37"/>
      <c r="E596" s="37"/>
      <c r="F596" s="43"/>
      <c r="G596" s="43"/>
      <c r="H596" s="44"/>
      <c r="I596" s="43"/>
      <c r="J596" s="37"/>
      <c r="K596" s="37"/>
      <c r="L596" s="37"/>
      <c r="M596" s="37"/>
      <c r="N596" s="37"/>
      <c r="O596" s="37"/>
      <c r="P596" s="37"/>
      <c r="Q596" s="37"/>
      <c r="R596" s="37"/>
      <c r="S596" s="37"/>
      <c r="T596" s="37"/>
      <c r="U596" s="37"/>
      <c r="V596" s="37"/>
      <c r="W596" s="37"/>
      <c r="X596" s="37"/>
      <c r="Y596" s="37"/>
      <c r="Z596" s="37"/>
      <c r="AA596" s="37"/>
      <c r="AB596" s="37"/>
      <c r="AC596" s="37"/>
      <c r="AD596" s="37"/>
      <c r="AE596" s="37"/>
      <c r="AF596" s="37"/>
      <c r="AG596" s="37"/>
      <c r="AH596" s="37"/>
      <c r="AI596" s="37"/>
      <c r="AJ596" s="37"/>
      <c r="AK596" s="37"/>
    </row>
    <row r="597" spans="1:37" ht="14.25">
      <c r="A597" s="43"/>
      <c r="B597" s="37"/>
      <c r="C597" s="37"/>
      <c r="D597" s="37"/>
      <c r="E597" s="37"/>
      <c r="F597" s="43"/>
      <c r="G597" s="43"/>
      <c r="H597" s="44"/>
      <c r="I597" s="43"/>
      <c r="J597" s="37"/>
      <c r="K597" s="37"/>
      <c r="L597" s="37"/>
      <c r="M597" s="37"/>
      <c r="N597" s="37"/>
      <c r="O597" s="37"/>
      <c r="P597" s="37"/>
      <c r="Q597" s="37"/>
      <c r="R597" s="37"/>
      <c r="S597" s="37"/>
      <c r="T597" s="37"/>
      <c r="U597" s="37"/>
      <c r="V597" s="37"/>
      <c r="W597" s="37"/>
      <c r="X597" s="37"/>
      <c r="Y597" s="37"/>
      <c r="Z597" s="37"/>
      <c r="AA597" s="37"/>
      <c r="AB597" s="37"/>
      <c r="AC597" s="37"/>
      <c r="AD597" s="37"/>
      <c r="AE597" s="37"/>
      <c r="AF597" s="37"/>
      <c r="AG597" s="37"/>
      <c r="AH597" s="37"/>
      <c r="AI597" s="37"/>
      <c r="AJ597" s="37"/>
      <c r="AK597" s="37"/>
    </row>
    <row r="598" spans="1:37" ht="14.25">
      <c r="A598" s="43"/>
      <c r="B598" s="37"/>
      <c r="C598" s="37"/>
      <c r="D598" s="37"/>
      <c r="E598" s="37"/>
      <c r="F598" s="43"/>
      <c r="G598" s="43"/>
      <c r="H598" s="44"/>
      <c r="I598" s="43"/>
      <c r="J598" s="37"/>
      <c r="K598" s="37"/>
      <c r="L598" s="37"/>
      <c r="M598" s="37"/>
      <c r="N598" s="37"/>
      <c r="O598" s="37"/>
      <c r="P598" s="37"/>
      <c r="Q598" s="37"/>
      <c r="R598" s="37"/>
      <c r="S598" s="37"/>
      <c r="T598" s="37"/>
      <c r="U598" s="37"/>
      <c r="V598" s="37"/>
      <c r="W598" s="37"/>
      <c r="X598" s="37"/>
      <c r="Y598" s="37"/>
      <c r="Z598" s="37"/>
      <c r="AA598" s="37"/>
      <c r="AB598" s="37"/>
      <c r="AC598" s="37"/>
      <c r="AD598" s="37"/>
      <c r="AE598" s="37"/>
      <c r="AF598" s="37"/>
      <c r="AG598" s="37"/>
      <c r="AH598" s="37"/>
      <c r="AI598" s="37"/>
      <c r="AJ598" s="37"/>
      <c r="AK598" s="37"/>
    </row>
    <row r="599" spans="1:37" ht="14.25">
      <c r="A599" s="43"/>
      <c r="B599" s="37"/>
      <c r="C599" s="37"/>
      <c r="D599" s="37"/>
      <c r="E599" s="37"/>
      <c r="F599" s="43"/>
      <c r="G599" s="43"/>
      <c r="H599" s="44"/>
      <c r="I599" s="43"/>
      <c r="J599" s="37"/>
      <c r="K599" s="37"/>
      <c r="L599" s="37"/>
      <c r="M599" s="37"/>
      <c r="N599" s="37"/>
      <c r="O599" s="37"/>
      <c r="P599" s="37"/>
      <c r="Q599" s="37"/>
      <c r="R599" s="37"/>
      <c r="S599" s="37"/>
      <c r="T599" s="37"/>
      <c r="U599" s="37"/>
      <c r="V599" s="37"/>
      <c r="W599" s="37"/>
      <c r="X599" s="37"/>
      <c r="Y599" s="37"/>
      <c r="Z599" s="37"/>
      <c r="AA599" s="37"/>
      <c r="AB599" s="37"/>
      <c r="AC599" s="37"/>
      <c r="AD599" s="37"/>
      <c r="AE599" s="37"/>
      <c r="AF599" s="37"/>
      <c r="AG599" s="37"/>
      <c r="AH599" s="37"/>
      <c r="AI599" s="37"/>
      <c r="AJ599" s="37"/>
      <c r="AK599" s="37"/>
    </row>
    <row r="600" spans="1:37" ht="14.25">
      <c r="A600" s="43"/>
      <c r="B600" s="37"/>
      <c r="C600" s="37"/>
      <c r="D600" s="37"/>
      <c r="E600" s="37"/>
      <c r="F600" s="43"/>
      <c r="G600" s="43"/>
      <c r="H600" s="44"/>
      <c r="I600" s="43"/>
      <c r="J600" s="37"/>
      <c r="K600" s="37"/>
      <c r="L600" s="37"/>
      <c r="M600" s="37"/>
      <c r="N600" s="37"/>
      <c r="O600" s="37"/>
      <c r="P600" s="37"/>
      <c r="Q600" s="37"/>
      <c r="R600" s="37"/>
      <c r="S600" s="37"/>
      <c r="T600" s="37"/>
      <c r="U600" s="37"/>
      <c r="V600" s="37"/>
      <c r="W600" s="37"/>
      <c r="X600" s="37"/>
      <c r="Y600" s="37"/>
      <c r="Z600" s="37"/>
      <c r="AA600" s="37"/>
      <c r="AB600" s="37"/>
      <c r="AC600" s="37"/>
      <c r="AD600" s="37"/>
      <c r="AE600" s="37"/>
      <c r="AF600" s="37"/>
      <c r="AG600" s="37"/>
      <c r="AH600" s="37"/>
      <c r="AI600" s="37"/>
      <c r="AJ600" s="37"/>
      <c r="AK600" s="37"/>
    </row>
    <row r="601" spans="1:37" ht="14.25">
      <c r="A601" s="43"/>
      <c r="B601" s="37"/>
      <c r="C601" s="37"/>
      <c r="D601" s="37"/>
      <c r="E601" s="37"/>
      <c r="F601" s="43"/>
      <c r="G601" s="43"/>
      <c r="H601" s="44"/>
      <c r="I601" s="43"/>
      <c r="J601" s="37"/>
      <c r="K601" s="37"/>
      <c r="L601" s="37"/>
      <c r="M601" s="37"/>
      <c r="N601" s="37"/>
      <c r="O601" s="37"/>
      <c r="P601" s="37"/>
      <c r="Q601" s="37"/>
      <c r="R601" s="37"/>
      <c r="S601" s="37"/>
      <c r="T601" s="37"/>
      <c r="U601" s="37"/>
      <c r="V601" s="37"/>
      <c r="W601" s="37"/>
      <c r="X601" s="37"/>
      <c r="Y601" s="37"/>
      <c r="Z601" s="37"/>
      <c r="AA601" s="37"/>
      <c r="AB601" s="37"/>
      <c r="AC601" s="37"/>
      <c r="AD601" s="37"/>
      <c r="AE601" s="37"/>
      <c r="AF601" s="37"/>
      <c r="AG601" s="37"/>
      <c r="AH601" s="37"/>
      <c r="AI601" s="37"/>
      <c r="AJ601" s="37"/>
      <c r="AK601" s="37"/>
    </row>
    <row r="602" spans="1:37" ht="14.25">
      <c r="A602" s="43"/>
      <c r="B602" s="37"/>
      <c r="C602" s="37"/>
      <c r="D602" s="37"/>
      <c r="E602" s="37"/>
      <c r="F602" s="43"/>
      <c r="G602" s="43"/>
      <c r="H602" s="44"/>
      <c r="I602" s="43"/>
      <c r="J602" s="37"/>
      <c r="K602" s="37"/>
      <c r="L602" s="37"/>
      <c r="M602" s="37"/>
      <c r="N602" s="37"/>
      <c r="O602" s="37"/>
      <c r="P602" s="37"/>
      <c r="Q602" s="37"/>
      <c r="R602" s="37"/>
      <c r="S602" s="37"/>
      <c r="T602" s="37"/>
      <c r="U602" s="37"/>
      <c r="V602" s="37"/>
      <c r="W602" s="37"/>
      <c r="X602" s="37"/>
      <c r="Y602" s="37"/>
      <c r="Z602" s="37"/>
      <c r="AA602" s="37"/>
      <c r="AB602" s="37"/>
      <c r="AC602" s="37"/>
      <c r="AD602" s="37"/>
      <c r="AE602" s="37"/>
      <c r="AF602" s="37"/>
      <c r="AG602" s="37"/>
      <c r="AH602" s="37"/>
      <c r="AI602" s="37"/>
      <c r="AJ602" s="37"/>
      <c r="AK602" s="37"/>
    </row>
    <row r="603" spans="1:37" ht="14.25">
      <c r="A603" s="43"/>
      <c r="B603" s="37"/>
      <c r="C603" s="37"/>
      <c r="D603" s="37"/>
      <c r="E603" s="37"/>
      <c r="F603" s="43"/>
      <c r="G603" s="43"/>
      <c r="H603" s="44"/>
      <c r="I603" s="43"/>
      <c r="J603" s="37"/>
      <c r="K603" s="37"/>
      <c r="L603" s="37"/>
      <c r="M603" s="37"/>
      <c r="N603" s="37"/>
      <c r="O603" s="37"/>
      <c r="P603" s="37"/>
      <c r="Q603" s="37"/>
      <c r="R603" s="37"/>
      <c r="S603" s="37"/>
      <c r="T603" s="37"/>
      <c r="U603" s="37"/>
      <c r="V603" s="37"/>
      <c r="W603" s="37"/>
      <c r="X603" s="37"/>
      <c r="Y603" s="37"/>
      <c r="Z603" s="37"/>
      <c r="AA603" s="37"/>
      <c r="AB603" s="37"/>
      <c r="AC603" s="37"/>
      <c r="AD603" s="37"/>
      <c r="AE603" s="37"/>
      <c r="AF603" s="37"/>
      <c r="AG603" s="37"/>
      <c r="AH603" s="37"/>
      <c r="AI603" s="37"/>
      <c r="AJ603" s="37"/>
      <c r="AK603" s="37"/>
    </row>
    <row r="604" spans="1:37" ht="14.25">
      <c r="A604" s="43"/>
      <c r="B604" s="37"/>
      <c r="C604" s="37"/>
      <c r="D604" s="37"/>
      <c r="E604" s="37"/>
      <c r="F604" s="43"/>
      <c r="G604" s="43"/>
      <c r="H604" s="44"/>
      <c r="I604" s="43"/>
      <c r="J604" s="37"/>
      <c r="K604" s="37"/>
      <c r="L604" s="37"/>
      <c r="M604" s="37"/>
      <c r="N604" s="37"/>
      <c r="O604" s="37"/>
      <c r="P604" s="37"/>
      <c r="Q604" s="37"/>
      <c r="R604" s="37"/>
      <c r="S604" s="37"/>
      <c r="T604" s="37"/>
      <c r="U604" s="37"/>
      <c r="V604" s="37"/>
      <c r="W604" s="37"/>
      <c r="X604" s="37"/>
      <c r="Y604" s="37"/>
      <c r="Z604" s="37"/>
      <c r="AA604" s="37"/>
      <c r="AB604" s="37"/>
      <c r="AC604" s="37"/>
      <c r="AD604" s="37"/>
      <c r="AE604" s="37"/>
      <c r="AF604" s="37"/>
      <c r="AG604" s="37"/>
      <c r="AH604" s="37"/>
      <c r="AI604" s="37"/>
      <c r="AJ604" s="37"/>
      <c r="AK604" s="37"/>
    </row>
    <row r="605" spans="1:37" ht="14.25">
      <c r="A605" s="43"/>
      <c r="B605" s="37"/>
      <c r="C605" s="37"/>
      <c r="D605" s="37"/>
      <c r="E605" s="37"/>
      <c r="F605" s="43"/>
      <c r="G605" s="43"/>
      <c r="H605" s="44"/>
      <c r="I605" s="43"/>
      <c r="J605" s="37"/>
      <c r="K605" s="37"/>
      <c r="L605" s="37"/>
      <c r="M605" s="37"/>
      <c r="N605" s="37"/>
      <c r="O605" s="37"/>
      <c r="P605" s="37"/>
      <c r="Q605" s="37"/>
      <c r="R605" s="37"/>
      <c r="S605" s="37"/>
      <c r="T605" s="37"/>
      <c r="U605" s="37"/>
      <c r="V605" s="37"/>
      <c r="W605" s="37"/>
      <c r="X605" s="37"/>
      <c r="Y605" s="37"/>
      <c r="Z605" s="37"/>
      <c r="AA605" s="37"/>
      <c r="AB605" s="37"/>
      <c r="AC605" s="37"/>
      <c r="AD605" s="37"/>
      <c r="AE605" s="37"/>
      <c r="AF605" s="37"/>
      <c r="AG605" s="37"/>
      <c r="AH605" s="37"/>
      <c r="AI605" s="37"/>
      <c r="AJ605" s="37"/>
      <c r="AK605" s="37"/>
    </row>
    <row r="606" spans="1:37" ht="14.25">
      <c r="A606" s="43"/>
      <c r="B606" s="37"/>
      <c r="C606" s="37"/>
      <c r="D606" s="37"/>
      <c r="E606" s="37"/>
      <c r="F606" s="43"/>
      <c r="G606" s="43"/>
      <c r="H606" s="44"/>
      <c r="I606" s="43"/>
      <c r="J606" s="37"/>
      <c r="K606" s="37"/>
      <c r="L606" s="37"/>
      <c r="M606" s="37"/>
      <c r="N606" s="37"/>
      <c r="O606" s="37"/>
      <c r="P606" s="37"/>
      <c r="Q606" s="37"/>
      <c r="R606" s="37"/>
      <c r="S606" s="37"/>
      <c r="T606" s="37"/>
      <c r="U606" s="37"/>
      <c r="V606" s="37"/>
      <c r="W606" s="37"/>
      <c r="X606" s="37"/>
      <c r="Y606" s="37"/>
      <c r="Z606" s="37"/>
      <c r="AA606" s="37"/>
      <c r="AB606" s="37"/>
      <c r="AC606" s="37"/>
      <c r="AD606" s="37"/>
      <c r="AE606" s="37"/>
      <c r="AF606" s="37"/>
      <c r="AG606" s="37"/>
      <c r="AH606" s="37"/>
      <c r="AI606" s="37"/>
      <c r="AJ606" s="37"/>
      <c r="AK606" s="37"/>
    </row>
    <row r="607" spans="1:37" ht="14.25">
      <c r="A607" s="43"/>
      <c r="B607" s="37"/>
      <c r="C607" s="37"/>
      <c r="D607" s="37"/>
      <c r="E607" s="37"/>
      <c r="F607" s="43"/>
      <c r="G607" s="43"/>
      <c r="H607" s="44"/>
      <c r="I607" s="43"/>
      <c r="J607" s="37"/>
      <c r="K607" s="37"/>
      <c r="L607" s="37"/>
      <c r="M607" s="37"/>
      <c r="N607" s="37"/>
      <c r="O607" s="37"/>
      <c r="P607" s="37"/>
      <c r="Q607" s="37"/>
      <c r="R607" s="37"/>
      <c r="S607" s="37"/>
      <c r="T607" s="37"/>
      <c r="U607" s="37"/>
      <c r="V607" s="37"/>
      <c r="W607" s="37"/>
      <c r="X607" s="37"/>
      <c r="Y607" s="37"/>
      <c r="Z607" s="37"/>
      <c r="AA607" s="37"/>
      <c r="AB607" s="37"/>
      <c r="AC607" s="37"/>
      <c r="AD607" s="37"/>
      <c r="AE607" s="37"/>
      <c r="AF607" s="37"/>
      <c r="AG607" s="37"/>
      <c r="AH607" s="37"/>
      <c r="AI607" s="37"/>
      <c r="AJ607" s="37"/>
      <c r="AK607" s="37"/>
    </row>
    <row r="608" spans="1:37" ht="14.25">
      <c r="A608" s="43"/>
      <c r="B608" s="37"/>
      <c r="C608" s="37"/>
      <c r="D608" s="37"/>
      <c r="E608" s="37"/>
      <c r="F608" s="43"/>
      <c r="G608" s="43"/>
      <c r="H608" s="44"/>
      <c r="I608" s="43"/>
      <c r="J608" s="37"/>
      <c r="K608" s="37"/>
      <c r="L608" s="37"/>
      <c r="M608" s="37"/>
      <c r="N608" s="37"/>
      <c r="O608" s="37"/>
      <c r="P608" s="37"/>
      <c r="Q608" s="37"/>
      <c r="R608" s="37"/>
      <c r="S608" s="37"/>
      <c r="T608" s="37"/>
      <c r="U608" s="37"/>
      <c r="V608" s="37"/>
      <c r="W608" s="37"/>
      <c r="X608" s="37"/>
      <c r="Y608" s="37"/>
      <c r="Z608" s="37"/>
      <c r="AA608" s="37"/>
      <c r="AB608" s="37"/>
      <c r="AC608" s="37"/>
      <c r="AD608" s="37"/>
      <c r="AE608" s="37"/>
      <c r="AF608" s="37"/>
      <c r="AG608" s="37"/>
      <c r="AH608" s="37"/>
      <c r="AI608" s="37"/>
      <c r="AJ608" s="37"/>
      <c r="AK608" s="37"/>
    </row>
    <row r="609" spans="1:37" ht="14.25">
      <c r="A609" s="43"/>
      <c r="B609" s="37"/>
      <c r="C609" s="37"/>
      <c r="D609" s="37"/>
      <c r="E609" s="37"/>
      <c r="F609" s="43"/>
      <c r="G609" s="43"/>
      <c r="H609" s="44"/>
      <c r="I609" s="43"/>
      <c r="J609" s="37"/>
      <c r="K609" s="37"/>
      <c r="L609" s="37"/>
      <c r="M609" s="37"/>
      <c r="N609" s="37"/>
      <c r="O609" s="37"/>
      <c r="P609" s="37"/>
      <c r="Q609" s="37"/>
      <c r="R609" s="37"/>
      <c r="S609" s="37"/>
      <c r="T609" s="37"/>
      <c r="U609" s="37"/>
      <c r="V609" s="37"/>
      <c r="W609" s="37"/>
      <c r="X609" s="37"/>
      <c r="Y609" s="37"/>
      <c r="Z609" s="37"/>
      <c r="AA609" s="37"/>
      <c r="AB609" s="37"/>
      <c r="AC609" s="37"/>
      <c r="AD609" s="37"/>
      <c r="AE609" s="37"/>
      <c r="AF609" s="37"/>
      <c r="AG609" s="37"/>
      <c r="AH609" s="37"/>
      <c r="AI609" s="37"/>
      <c r="AJ609" s="37"/>
      <c r="AK609" s="37"/>
    </row>
    <row r="610" spans="1:37" ht="14.25">
      <c r="A610" s="43"/>
      <c r="B610" s="37"/>
      <c r="C610" s="37"/>
      <c r="D610" s="37"/>
      <c r="E610" s="37"/>
      <c r="F610" s="43"/>
      <c r="G610" s="43"/>
      <c r="H610" s="44"/>
      <c r="I610" s="43"/>
      <c r="J610" s="37"/>
      <c r="K610" s="37"/>
      <c r="L610" s="37"/>
      <c r="M610" s="37"/>
      <c r="N610" s="37"/>
      <c r="O610" s="37"/>
      <c r="P610" s="37"/>
      <c r="Q610" s="37"/>
      <c r="R610" s="37"/>
      <c r="S610" s="37"/>
      <c r="T610" s="37"/>
      <c r="U610" s="37"/>
      <c r="V610" s="37"/>
      <c r="W610" s="37"/>
      <c r="X610" s="37"/>
      <c r="Y610" s="37"/>
      <c r="Z610" s="37"/>
      <c r="AA610" s="37"/>
      <c r="AB610" s="37"/>
      <c r="AC610" s="37"/>
      <c r="AD610" s="37"/>
      <c r="AE610" s="37"/>
      <c r="AF610" s="37"/>
      <c r="AG610" s="37"/>
      <c r="AH610" s="37"/>
      <c r="AI610" s="37"/>
      <c r="AJ610" s="37"/>
      <c r="AK610" s="37"/>
    </row>
    <row r="611" spans="1:37" ht="14.25">
      <c r="A611" s="43"/>
      <c r="B611" s="37"/>
      <c r="C611" s="37"/>
      <c r="D611" s="37"/>
      <c r="E611" s="37"/>
      <c r="F611" s="43"/>
      <c r="G611" s="43"/>
      <c r="H611" s="44"/>
      <c r="I611" s="43"/>
      <c r="J611" s="37"/>
      <c r="K611" s="37"/>
      <c r="L611" s="37"/>
      <c r="M611" s="37"/>
      <c r="N611" s="37"/>
      <c r="O611" s="37"/>
      <c r="P611" s="37"/>
      <c r="Q611" s="37"/>
      <c r="R611" s="37"/>
      <c r="S611" s="37"/>
      <c r="T611" s="37"/>
      <c r="U611" s="37"/>
      <c r="V611" s="37"/>
      <c r="W611" s="37"/>
      <c r="X611" s="37"/>
      <c r="Y611" s="37"/>
      <c r="Z611" s="37"/>
      <c r="AA611" s="37"/>
      <c r="AB611" s="37"/>
      <c r="AC611" s="37"/>
      <c r="AD611" s="37"/>
      <c r="AE611" s="37"/>
      <c r="AF611" s="37"/>
      <c r="AG611" s="37"/>
      <c r="AH611" s="37"/>
      <c r="AI611" s="37"/>
      <c r="AJ611" s="37"/>
      <c r="AK611" s="37"/>
    </row>
    <row r="612" spans="1:37" ht="14.25">
      <c r="A612" s="43"/>
      <c r="B612" s="37"/>
      <c r="C612" s="37"/>
      <c r="D612" s="37"/>
      <c r="E612" s="37"/>
      <c r="F612" s="43"/>
      <c r="G612" s="43"/>
      <c r="H612" s="44"/>
      <c r="I612" s="43"/>
      <c r="J612" s="37"/>
      <c r="K612" s="37"/>
      <c r="L612" s="37"/>
      <c r="M612" s="37"/>
      <c r="N612" s="37"/>
      <c r="O612" s="37"/>
      <c r="P612" s="37"/>
      <c r="Q612" s="37"/>
      <c r="R612" s="37"/>
      <c r="S612" s="37"/>
      <c r="T612" s="37"/>
      <c r="U612" s="37"/>
      <c r="V612" s="37"/>
      <c r="W612" s="37"/>
      <c r="X612" s="37"/>
      <c r="Y612" s="37"/>
      <c r="Z612" s="37"/>
      <c r="AA612" s="37"/>
      <c r="AB612" s="37"/>
      <c r="AC612" s="37"/>
      <c r="AD612" s="37"/>
      <c r="AE612" s="37"/>
      <c r="AF612" s="37"/>
      <c r="AG612" s="37"/>
      <c r="AH612" s="37"/>
      <c r="AI612" s="37"/>
      <c r="AJ612" s="37"/>
      <c r="AK612" s="37"/>
    </row>
    <row r="613" spans="1:37" ht="14.25">
      <c r="A613" s="43"/>
      <c r="B613" s="37"/>
      <c r="C613" s="37"/>
      <c r="D613" s="37"/>
      <c r="E613" s="37"/>
      <c r="F613" s="43"/>
      <c r="G613" s="43"/>
      <c r="H613" s="44"/>
      <c r="I613" s="43"/>
      <c r="J613" s="37"/>
      <c r="K613" s="37"/>
      <c r="L613" s="37"/>
      <c r="M613" s="37"/>
      <c r="N613" s="37"/>
      <c r="O613" s="37"/>
      <c r="P613" s="37"/>
      <c r="Q613" s="37"/>
      <c r="R613" s="37"/>
      <c r="S613" s="37"/>
      <c r="T613" s="37"/>
      <c r="U613" s="37"/>
      <c r="V613" s="37"/>
      <c r="W613" s="37"/>
      <c r="X613" s="37"/>
      <c r="Y613" s="37"/>
      <c r="Z613" s="37"/>
      <c r="AA613" s="37"/>
      <c r="AB613" s="37"/>
      <c r="AC613" s="37"/>
      <c r="AD613" s="37"/>
      <c r="AE613" s="37"/>
      <c r="AF613" s="37"/>
      <c r="AG613" s="37"/>
      <c r="AH613" s="37"/>
      <c r="AI613" s="37"/>
      <c r="AJ613" s="37"/>
      <c r="AK613" s="37"/>
    </row>
    <row r="614" spans="1:37" ht="14.25">
      <c r="A614" s="43"/>
      <c r="B614" s="37"/>
      <c r="C614" s="37"/>
      <c r="D614" s="37"/>
      <c r="E614" s="37"/>
      <c r="F614" s="43"/>
      <c r="G614" s="43"/>
      <c r="H614" s="44"/>
      <c r="I614" s="43"/>
      <c r="J614" s="37"/>
      <c r="K614" s="37"/>
      <c r="L614" s="37"/>
      <c r="M614" s="37"/>
      <c r="N614" s="37"/>
      <c r="O614" s="37"/>
      <c r="P614" s="37"/>
      <c r="Q614" s="37"/>
      <c r="R614" s="37"/>
      <c r="S614" s="37"/>
      <c r="T614" s="37"/>
      <c r="U614" s="37"/>
      <c r="V614" s="37"/>
      <c r="W614" s="37"/>
      <c r="X614" s="37"/>
      <c r="Y614" s="37"/>
      <c r="Z614" s="37"/>
      <c r="AA614" s="37"/>
      <c r="AB614" s="37"/>
      <c r="AC614" s="37"/>
      <c r="AD614" s="37"/>
      <c r="AE614" s="37"/>
      <c r="AF614" s="37"/>
      <c r="AG614" s="37"/>
      <c r="AH614" s="37"/>
      <c r="AI614" s="37"/>
      <c r="AJ614" s="37"/>
      <c r="AK614" s="37"/>
    </row>
    <row r="615" spans="1:37" ht="14.25">
      <c r="A615" s="43"/>
      <c r="B615" s="37"/>
      <c r="C615" s="37"/>
      <c r="D615" s="37"/>
      <c r="E615" s="37"/>
      <c r="F615" s="43"/>
      <c r="G615" s="43"/>
      <c r="H615" s="44"/>
      <c r="I615" s="43"/>
      <c r="J615" s="37"/>
      <c r="K615" s="37"/>
      <c r="L615" s="37"/>
      <c r="M615" s="37"/>
      <c r="N615" s="37"/>
      <c r="O615" s="37"/>
      <c r="P615" s="37"/>
      <c r="Q615" s="37"/>
      <c r="R615" s="37"/>
      <c r="S615" s="37"/>
      <c r="T615" s="37"/>
      <c r="U615" s="37"/>
      <c r="V615" s="37"/>
      <c r="W615" s="37"/>
      <c r="X615" s="37"/>
      <c r="Y615" s="37"/>
      <c r="Z615" s="37"/>
      <c r="AA615" s="37"/>
      <c r="AB615" s="37"/>
      <c r="AC615" s="37"/>
      <c r="AD615" s="37"/>
      <c r="AE615" s="37"/>
      <c r="AF615" s="37"/>
      <c r="AG615" s="37"/>
      <c r="AH615" s="37"/>
      <c r="AI615" s="37"/>
      <c r="AJ615" s="37"/>
      <c r="AK615" s="37"/>
    </row>
    <row r="616" spans="1:37" ht="14.25">
      <c r="A616" s="43"/>
      <c r="B616" s="37"/>
      <c r="C616" s="37"/>
      <c r="D616" s="37"/>
      <c r="E616" s="37"/>
      <c r="F616" s="43"/>
      <c r="G616" s="43"/>
      <c r="H616" s="44"/>
      <c r="I616" s="43"/>
      <c r="J616" s="37"/>
      <c r="K616" s="37"/>
      <c r="L616" s="37"/>
      <c r="M616" s="37"/>
      <c r="N616" s="37"/>
      <c r="O616" s="37"/>
      <c r="P616" s="37"/>
      <c r="Q616" s="37"/>
      <c r="R616" s="37"/>
      <c r="S616" s="37"/>
      <c r="T616" s="37"/>
      <c r="U616" s="37"/>
      <c r="V616" s="37"/>
      <c r="W616" s="37"/>
      <c r="X616" s="37"/>
      <c r="Y616" s="37"/>
      <c r="Z616" s="37"/>
      <c r="AA616" s="37"/>
      <c r="AB616" s="37"/>
      <c r="AC616" s="37"/>
      <c r="AD616" s="37"/>
      <c r="AE616" s="37"/>
      <c r="AF616" s="37"/>
      <c r="AG616" s="37"/>
      <c r="AH616" s="37"/>
      <c r="AI616" s="37"/>
      <c r="AJ616" s="37"/>
      <c r="AK616" s="37"/>
    </row>
    <row r="617" spans="1:37" ht="14.25">
      <c r="A617" s="43"/>
      <c r="B617" s="37"/>
      <c r="C617" s="37"/>
      <c r="D617" s="37"/>
      <c r="E617" s="37"/>
      <c r="F617" s="43"/>
      <c r="G617" s="43"/>
      <c r="H617" s="44"/>
      <c r="I617" s="43"/>
      <c r="J617" s="37"/>
      <c r="K617" s="37"/>
      <c r="L617" s="37"/>
      <c r="M617" s="37"/>
      <c r="N617" s="37"/>
      <c r="O617" s="37"/>
      <c r="P617" s="37"/>
      <c r="Q617" s="37"/>
      <c r="R617" s="37"/>
      <c r="S617" s="37"/>
      <c r="T617" s="37"/>
      <c r="U617" s="37"/>
      <c r="V617" s="37"/>
      <c r="W617" s="37"/>
      <c r="X617" s="37"/>
      <c r="Y617" s="37"/>
      <c r="Z617" s="37"/>
      <c r="AA617" s="37"/>
      <c r="AB617" s="37"/>
      <c r="AC617" s="37"/>
      <c r="AD617" s="37"/>
      <c r="AE617" s="37"/>
      <c r="AF617" s="37"/>
      <c r="AG617" s="37"/>
      <c r="AH617" s="37"/>
      <c r="AI617" s="37"/>
      <c r="AJ617" s="37"/>
      <c r="AK617" s="37"/>
    </row>
    <row r="618" spans="1:37" ht="14.25">
      <c r="A618" s="43"/>
      <c r="B618" s="37"/>
      <c r="C618" s="37"/>
      <c r="D618" s="37"/>
      <c r="E618" s="37"/>
      <c r="F618" s="43"/>
      <c r="G618" s="43"/>
      <c r="H618" s="44"/>
      <c r="I618" s="43"/>
      <c r="J618" s="37"/>
      <c r="K618" s="37"/>
      <c r="L618" s="37"/>
      <c r="M618" s="37"/>
      <c r="N618" s="37"/>
      <c r="O618" s="37"/>
      <c r="P618" s="37"/>
      <c r="Q618" s="37"/>
      <c r="R618" s="37"/>
      <c r="S618" s="37"/>
      <c r="T618" s="37"/>
      <c r="U618" s="37"/>
      <c r="V618" s="37"/>
      <c r="W618" s="37"/>
      <c r="X618" s="37"/>
      <c r="Y618" s="37"/>
      <c r="Z618" s="37"/>
      <c r="AA618" s="37"/>
      <c r="AB618" s="37"/>
      <c r="AC618" s="37"/>
      <c r="AD618" s="37"/>
      <c r="AE618" s="37"/>
      <c r="AF618" s="37"/>
      <c r="AG618" s="37"/>
      <c r="AH618" s="37"/>
      <c r="AI618" s="37"/>
      <c r="AJ618" s="37"/>
      <c r="AK618" s="37"/>
    </row>
    <row r="619" spans="1:37" ht="14.25">
      <c r="A619" s="43"/>
      <c r="B619" s="37"/>
      <c r="C619" s="37"/>
      <c r="D619" s="37"/>
      <c r="E619" s="37"/>
      <c r="F619" s="43"/>
      <c r="G619" s="43"/>
      <c r="H619" s="44"/>
      <c r="I619" s="43"/>
      <c r="J619" s="37"/>
      <c r="K619" s="37"/>
      <c r="L619" s="37"/>
      <c r="M619" s="37"/>
      <c r="N619" s="37"/>
      <c r="O619" s="37"/>
      <c r="P619" s="37"/>
      <c r="Q619" s="37"/>
      <c r="R619" s="37"/>
      <c r="S619" s="37"/>
      <c r="T619" s="37"/>
      <c r="U619" s="37"/>
      <c r="V619" s="37"/>
      <c r="W619" s="37"/>
      <c r="X619" s="37"/>
      <c r="Y619" s="37"/>
      <c r="Z619" s="37"/>
      <c r="AA619" s="37"/>
      <c r="AB619" s="37"/>
      <c r="AC619" s="37"/>
      <c r="AD619" s="37"/>
      <c r="AE619" s="37"/>
      <c r="AF619" s="37"/>
      <c r="AG619" s="37"/>
      <c r="AH619" s="37"/>
      <c r="AI619" s="37"/>
      <c r="AJ619" s="37"/>
      <c r="AK619" s="37"/>
    </row>
    <row r="620" spans="1:37" ht="14.25">
      <c r="A620" s="43"/>
      <c r="B620" s="37"/>
      <c r="C620" s="37"/>
      <c r="D620" s="37"/>
      <c r="E620" s="37"/>
      <c r="F620" s="43"/>
      <c r="G620" s="43"/>
      <c r="H620" s="44"/>
      <c r="I620" s="43"/>
      <c r="J620" s="37"/>
      <c r="K620" s="37"/>
      <c r="L620" s="37"/>
      <c r="M620" s="37"/>
      <c r="N620" s="37"/>
      <c r="O620" s="37"/>
      <c r="P620" s="37"/>
      <c r="Q620" s="37"/>
      <c r="R620" s="37"/>
      <c r="S620" s="37"/>
      <c r="T620" s="37"/>
      <c r="U620" s="37"/>
      <c r="V620" s="37"/>
      <c r="W620" s="37"/>
      <c r="X620" s="37"/>
      <c r="Y620" s="37"/>
      <c r="Z620" s="37"/>
      <c r="AA620" s="37"/>
      <c r="AB620" s="37"/>
      <c r="AC620" s="37"/>
      <c r="AD620" s="37"/>
      <c r="AE620" s="37"/>
      <c r="AF620" s="37"/>
      <c r="AG620" s="37"/>
      <c r="AH620" s="37"/>
      <c r="AI620" s="37"/>
      <c r="AJ620" s="37"/>
      <c r="AK620" s="37"/>
    </row>
    <row r="621" spans="1:37" ht="14.25">
      <c r="A621" s="43"/>
      <c r="B621" s="37"/>
      <c r="C621" s="37"/>
      <c r="D621" s="37"/>
      <c r="E621" s="37"/>
      <c r="F621" s="43"/>
      <c r="G621" s="43"/>
      <c r="H621" s="44"/>
      <c r="I621" s="43"/>
      <c r="J621" s="37"/>
      <c r="K621" s="37"/>
      <c r="L621" s="37"/>
      <c r="M621" s="37"/>
      <c r="N621" s="37"/>
      <c r="O621" s="37"/>
      <c r="P621" s="37"/>
      <c r="Q621" s="37"/>
      <c r="R621" s="37"/>
      <c r="S621" s="37"/>
      <c r="T621" s="37"/>
      <c r="U621" s="37"/>
      <c r="V621" s="37"/>
      <c r="W621" s="37"/>
      <c r="X621" s="37"/>
      <c r="Y621" s="37"/>
      <c r="Z621" s="37"/>
      <c r="AA621" s="37"/>
      <c r="AB621" s="37"/>
      <c r="AC621" s="37"/>
      <c r="AD621" s="37"/>
      <c r="AE621" s="37"/>
      <c r="AF621" s="37"/>
      <c r="AG621" s="37"/>
      <c r="AH621" s="37"/>
      <c r="AI621" s="37"/>
      <c r="AJ621" s="37"/>
      <c r="AK621" s="37"/>
    </row>
    <row r="622" spans="1:37" ht="14.25">
      <c r="A622" s="43"/>
      <c r="B622" s="37"/>
      <c r="C622" s="37"/>
      <c r="D622" s="37"/>
      <c r="E622" s="37"/>
      <c r="F622" s="43"/>
      <c r="G622" s="43"/>
      <c r="H622" s="44"/>
      <c r="I622" s="43"/>
      <c r="J622" s="37"/>
      <c r="K622" s="37"/>
      <c r="L622" s="37"/>
      <c r="M622" s="37"/>
      <c r="N622" s="37"/>
      <c r="O622" s="37"/>
      <c r="P622" s="37"/>
      <c r="Q622" s="37"/>
      <c r="R622" s="37"/>
      <c r="S622" s="37"/>
      <c r="T622" s="37"/>
      <c r="U622" s="37"/>
      <c r="V622" s="37"/>
      <c r="W622" s="37"/>
      <c r="X622" s="37"/>
      <c r="Y622" s="37"/>
      <c r="Z622" s="37"/>
      <c r="AA622" s="37"/>
      <c r="AB622" s="37"/>
      <c r="AC622" s="37"/>
      <c r="AD622" s="37"/>
      <c r="AE622" s="37"/>
      <c r="AF622" s="37"/>
      <c r="AG622" s="37"/>
      <c r="AH622" s="37"/>
      <c r="AI622" s="37"/>
      <c r="AJ622" s="37"/>
      <c r="AK622" s="37"/>
    </row>
    <row r="623" spans="1:37" ht="14.25">
      <c r="A623" s="43"/>
      <c r="B623" s="37"/>
      <c r="C623" s="37"/>
      <c r="D623" s="37"/>
      <c r="E623" s="37"/>
      <c r="F623" s="43"/>
      <c r="G623" s="43"/>
      <c r="H623" s="44"/>
      <c r="I623" s="43"/>
      <c r="J623" s="37"/>
      <c r="K623" s="37"/>
      <c r="L623" s="37"/>
      <c r="M623" s="37"/>
      <c r="N623" s="37"/>
      <c r="O623" s="37"/>
      <c r="P623" s="37"/>
      <c r="Q623" s="37"/>
      <c r="R623" s="37"/>
      <c r="S623" s="37"/>
      <c r="T623" s="37"/>
      <c r="U623" s="37"/>
      <c r="V623" s="37"/>
      <c r="W623" s="37"/>
      <c r="X623" s="37"/>
      <c r="Y623" s="37"/>
      <c r="Z623" s="37"/>
      <c r="AA623" s="37"/>
      <c r="AB623" s="37"/>
      <c r="AC623" s="37"/>
      <c r="AD623" s="37"/>
      <c r="AE623" s="37"/>
      <c r="AF623" s="37"/>
      <c r="AG623" s="37"/>
      <c r="AH623" s="37"/>
      <c r="AI623" s="37"/>
      <c r="AJ623" s="37"/>
      <c r="AK623" s="37"/>
    </row>
    <row r="624" spans="1:37" ht="14.25">
      <c r="A624" s="43"/>
      <c r="B624" s="37"/>
      <c r="C624" s="37"/>
      <c r="D624" s="37"/>
      <c r="E624" s="37"/>
      <c r="F624" s="43"/>
      <c r="G624" s="43"/>
      <c r="H624" s="44"/>
      <c r="I624" s="43"/>
      <c r="J624" s="37"/>
      <c r="K624" s="37"/>
      <c r="L624" s="37"/>
      <c r="M624" s="37"/>
      <c r="N624" s="37"/>
      <c r="O624" s="37"/>
      <c r="P624" s="37"/>
      <c r="Q624" s="37"/>
      <c r="R624" s="37"/>
      <c r="S624" s="37"/>
      <c r="T624" s="37"/>
      <c r="U624" s="37"/>
      <c r="V624" s="37"/>
      <c r="W624" s="37"/>
      <c r="X624" s="37"/>
      <c r="Y624" s="37"/>
      <c r="Z624" s="37"/>
      <c r="AA624" s="37"/>
      <c r="AB624" s="37"/>
      <c r="AC624" s="37"/>
      <c r="AD624" s="37"/>
      <c r="AE624" s="37"/>
      <c r="AF624" s="37"/>
      <c r="AG624" s="37"/>
      <c r="AH624" s="37"/>
      <c r="AI624" s="37"/>
      <c r="AJ624" s="37"/>
      <c r="AK624" s="37"/>
    </row>
    <row r="625" spans="1:37" ht="14.25">
      <c r="A625" s="43"/>
      <c r="B625" s="37"/>
      <c r="C625" s="37"/>
      <c r="D625" s="37"/>
      <c r="E625" s="37"/>
      <c r="F625" s="43"/>
      <c r="G625" s="43"/>
      <c r="H625" s="44"/>
      <c r="I625" s="43"/>
      <c r="J625" s="37"/>
      <c r="K625" s="37"/>
      <c r="L625" s="37"/>
      <c r="M625" s="37"/>
      <c r="N625" s="37"/>
      <c r="O625" s="37"/>
      <c r="P625" s="37"/>
      <c r="Q625" s="37"/>
      <c r="R625" s="37"/>
      <c r="S625" s="37"/>
      <c r="T625" s="37"/>
      <c r="U625" s="37"/>
      <c r="V625" s="37"/>
      <c r="W625" s="37"/>
      <c r="X625" s="37"/>
      <c r="Y625" s="37"/>
      <c r="Z625" s="37"/>
      <c r="AA625" s="37"/>
      <c r="AB625" s="37"/>
      <c r="AC625" s="37"/>
      <c r="AD625" s="37"/>
      <c r="AE625" s="37"/>
      <c r="AF625" s="37"/>
      <c r="AG625" s="37"/>
      <c r="AH625" s="37"/>
      <c r="AI625" s="37"/>
      <c r="AJ625" s="37"/>
      <c r="AK625" s="37"/>
    </row>
    <row r="626" spans="1:37" ht="14.25">
      <c r="A626" s="43"/>
      <c r="B626" s="37"/>
      <c r="C626" s="37"/>
      <c r="D626" s="37"/>
      <c r="E626" s="37"/>
      <c r="F626" s="43"/>
      <c r="G626" s="43"/>
      <c r="H626" s="44"/>
      <c r="I626" s="43"/>
      <c r="J626" s="37"/>
      <c r="K626" s="37"/>
      <c r="L626" s="37"/>
      <c r="M626" s="37"/>
      <c r="N626" s="37"/>
      <c r="O626" s="37"/>
      <c r="P626" s="37"/>
      <c r="Q626" s="37"/>
      <c r="R626" s="37"/>
      <c r="S626" s="37"/>
      <c r="T626" s="37"/>
      <c r="U626" s="37"/>
      <c r="V626" s="37"/>
      <c r="W626" s="37"/>
      <c r="X626" s="37"/>
      <c r="Y626" s="37"/>
      <c r="Z626" s="37"/>
      <c r="AA626" s="37"/>
      <c r="AB626" s="37"/>
      <c r="AC626" s="37"/>
      <c r="AD626" s="37"/>
      <c r="AE626" s="37"/>
      <c r="AF626" s="37"/>
      <c r="AG626" s="37"/>
      <c r="AH626" s="37"/>
      <c r="AI626" s="37"/>
      <c r="AJ626" s="37"/>
      <c r="AK626" s="37"/>
    </row>
    <row r="627" spans="1:37" ht="14.25">
      <c r="A627" s="43"/>
      <c r="B627" s="37"/>
      <c r="C627" s="37"/>
      <c r="D627" s="37"/>
      <c r="E627" s="37"/>
      <c r="F627" s="43"/>
      <c r="G627" s="43"/>
      <c r="H627" s="44"/>
      <c r="I627" s="43"/>
      <c r="J627" s="37"/>
      <c r="K627" s="37"/>
      <c r="L627" s="37"/>
      <c r="M627" s="37"/>
      <c r="N627" s="37"/>
      <c r="O627" s="37"/>
      <c r="P627" s="37"/>
      <c r="Q627" s="37"/>
      <c r="R627" s="37"/>
      <c r="S627" s="37"/>
      <c r="T627" s="37"/>
      <c r="U627" s="37"/>
      <c r="V627" s="37"/>
      <c r="W627" s="37"/>
      <c r="X627" s="37"/>
      <c r="Y627" s="37"/>
      <c r="Z627" s="37"/>
      <c r="AA627" s="37"/>
      <c r="AB627" s="37"/>
      <c r="AC627" s="37"/>
      <c r="AD627" s="37"/>
      <c r="AE627" s="37"/>
      <c r="AF627" s="37"/>
      <c r="AG627" s="37"/>
      <c r="AH627" s="37"/>
      <c r="AI627" s="37"/>
      <c r="AJ627" s="37"/>
      <c r="AK627" s="37"/>
    </row>
    <row r="628" spans="1:37" ht="14.25">
      <c r="A628" s="43"/>
      <c r="B628" s="37"/>
      <c r="C628" s="37"/>
      <c r="D628" s="37"/>
      <c r="E628" s="37"/>
      <c r="F628" s="43"/>
      <c r="G628" s="43"/>
      <c r="H628" s="44"/>
      <c r="I628" s="43"/>
      <c r="J628" s="37"/>
      <c r="K628" s="37"/>
      <c r="L628" s="37"/>
      <c r="M628" s="37"/>
      <c r="N628" s="37"/>
      <c r="O628" s="37"/>
      <c r="P628" s="37"/>
      <c r="Q628" s="37"/>
      <c r="R628" s="37"/>
      <c r="S628" s="37"/>
      <c r="T628" s="37"/>
      <c r="U628" s="37"/>
      <c r="V628" s="37"/>
      <c r="W628" s="37"/>
      <c r="X628" s="37"/>
      <c r="Y628" s="37"/>
      <c r="Z628" s="37"/>
      <c r="AA628" s="37"/>
      <c r="AB628" s="37"/>
      <c r="AC628" s="37"/>
      <c r="AD628" s="37"/>
      <c r="AE628" s="37"/>
      <c r="AF628" s="37"/>
      <c r="AG628" s="37"/>
      <c r="AH628" s="37"/>
      <c r="AI628" s="37"/>
      <c r="AJ628" s="37"/>
      <c r="AK628" s="37"/>
    </row>
    <row r="629" spans="1:37" ht="14.25">
      <c r="A629" s="43"/>
      <c r="B629" s="37"/>
      <c r="C629" s="37"/>
      <c r="D629" s="37"/>
      <c r="E629" s="37"/>
      <c r="F629" s="43"/>
      <c r="G629" s="43"/>
      <c r="H629" s="44"/>
      <c r="I629" s="43"/>
      <c r="J629" s="37"/>
      <c r="K629" s="37"/>
      <c r="L629" s="37"/>
      <c r="M629" s="37"/>
      <c r="N629" s="37"/>
      <c r="O629" s="37"/>
      <c r="P629" s="37"/>
      <c r="Q629" s="37"/>
      <c r="R629" s="37"/>
      <c r="S629" s="37"/>
      <c r="T629" s="37"/>
      <c r="U629" s="37"/>
      <c r="V629" s="37"/>
      <c r="W629" s="37"/>
      <c r="X629" s="37"/>
      <c r="Y629" s="37"/>
      <c r="Z629" s="37"/>
      <c r="AA629" s="37"/>
      <c r="AB629" s="37"/>
      <c r="AC629" s="37"/>
      <c r="AD629" s="37"/>
      <c r="AE629" s="37"/>
      <c r="AF629" s="37"/>
      <c r="AG629" s="37"/>
      <c r="AH629" s="37"/>
      <c r="AI629" s="37"/>
      <c r="AJ629" s="37"/>
      <c r="AK629" s="37"/>
    </row>
    <row r="630" spans="1:37" ht="14.25">
      <c r="A630" s="43"/>
      <c r="B630" s="37"/>
      <c r="C630" s="37"/>
      <c r="D630" s="37"/>
      <c r="E630" s="37"/>
      <c r="F630" s="43"/>
      <c r="G630" s="43"/>
      <c r="H630" s="44"/>
      <c r="I630" s="43"/>
      <c r="J630" s="37"/>
      <c r="K630" s="37"/>
      <c r="L630" s="37"/>
      <c r="M630" s="37"/>
      <c r="N630" s="37"/>
      <c r="O630" s="37"/>
      <c r="P630" s="37"/>
      <c r="Q630" s="37"/>
      <c r="R630" s="37"/>
      <c r="S630" s="37"/>
      <c r="T630" s="37"/>
      <c r="U630" s="37"/>
      <c r="V630" s="37"/>
      <c r="W630" s="37"/>
      <c r="X630" s="37"/>
      <c r="Y630" s="37"/>
      <c r="Z630" s="37"/>
      <c r="AA630" s="37"/>
      <c r="AB630" s="37"/>
      <c r="AC630" s="37"/>
      <c r="AD630" s="37"/>
      <c r="AE630" s="37"/>
      <c r="AF630" s="37"/>
      <c r="AG630" s="37"/>
      <c r="AH630" s="37"/>
      <c r="AI630" s="37"/>
      <c r="AJ630" s="37"/>
      <c r="AK630" s="37"/>
    </row>
    <row r="631" spans="1:37" ht="14.25">
      <c r="A631" s="43"/>
      <c r="B631" s="37"/>
      <c r="C631" s="37"/>
      <c r="D631" s="37"/>
      <c r="E631" s="37"/>
      <c r="F631" s="43"/>
      <c r="G631" s="43"/>
      <c r="H631" s="44"/>
      <c r="I631" s="43"/>
      <c r="J631" s="37"/>
      <c r="K631" s="37"/>
      <c r="L631" s="37"/>
      <c r="M631" s="37"/>
      <c r="N631" s="37"/>
      <c r="O631" s="37"/>
      <c r="P631" s="37"/>
      <c r="Q631" s="37"/>
      <c r="R631" s="37"/>
      <c r="S631" s="37"/>
      <c r="T631" s="37"/>
      <c r="U631" s="37"/>
      <c r="V631" s="37"/>
      <c r="W631" s="37"/>
      <c r="X631" s="37"/>
      <c r="Y631" s="37"/>
      <c r="Z631" s="37"/>
      <c r="AA631" s="37"/>
      <c r="AB631" s="37"/>
      <c r="AC631" s="37"/>
      <c r="AD631" s="37"/>
      <c r="AE631" s="37"/>
      <c r="AF631" s="37"/>
      <c r="AG631" s="37"/>
      <c r="AH631" s="37"/>
      <c r="AI631" s="37"/>
      <c r="AJ631" s="37"/>
      <c r="AK631" s="37"/>
    </row>
    <row r="632" spans="1:37" ht="14.25">
      <c r="A632" s="43"/>
      <c r="B632" s="37"/>
      <c r="C632" s="37"/>
      <c r="D632" s="37"/>
      <c r="E632" s="37"/>
      <c r="F632" s="43"/>
      <c r="G632" s="43"/>
      <c r="H632" s="44"/>
      <c r="I632" s="43"/>
      <c r="J632" s="37"/>
      <c r="K632" s="37"/>
      <c r="L632" s="37"/>
      <c r="M632" s="37"/>
      <c r="N632" s="37"/>
      <c r="O632" s="37"/>
      <c r="P632" s="37"/>
      <c r="Q632" s="37"/>
      <c r="R632" s="37"/>
      <c r="S632" s="37"/>
      <c r="T632" s="37"/>
      <c r="U632" s="37"/>
      <c r="V632" s="37"/>
      <c r="W632" s="37"/>
      <c r="X632" s="37"/>
      <c r="Y632" s="37"/>
      <c r="Z632" s="37"/>
      <c r="AA632" s="37"/>
      <c r="AB632" s="37"/>
      <c r="AC632" s="37"/>
      <c r="AD632" s="37"/>
      <c r="AE632" s="37"/>
      <c r="AF632" s="37"/>
      <c r="AG632" s="37"/>
      <c r="AH632" s="37"/>
      <c r="AI632" s="37"/>
      <c r="AJ632" s="37"/>
      <c r="AK632" s="37"/>
    </row>
    <row r="633" spans="1:37" ht="14.25">
      <c r="A633" s="43"/>
      <c r="B633" s="37"/>
      <c r="C633" s="37"/>
      <c r="D633" s="37"/>
      <c r="E633" s="37"/>
      <c r="F633" s="43"/>
      <c r="G633" s="43"/>
      <c r="H633" s="44"/>
      <c r="I633" s="43"/>
      <c r="J633" s="37"/>
      <c r="K633" s="37"/>
      <c r="L633" s="37"/>
      <c r="M633" s="37"/>
      <c r="N633" s="37"/>
      <c r="O633" s="37"/>
      <c r="P633" s="37"/>
      <c r="Q633" s="37"/>
      <c r="R633" s="37"/>
      <c r="S633" s="37"/>
      <c r="T633" s="37"/>
      <c r="U633" s="37"/>
      <c r="V633" s="37"/>
      <c r="W633" s="37"/>
      <c r="X633" s="37"/>
      <c r="Y633" s="37"/>
      <c r="Z633" s="37"/>
      <c r="AA633" s="37"/>
      <c r="AB633" s="37"/>
      <c r="AC633" s="37"/>
      <c r="AD633" s="37"/>
      <c r="AE633" s="37"/>
      <c r="AF633" s="37"/>
      <c r="AG633" s="37"/>
      <c r="AH633" s="37"/>
      <c r="AI633" s="37"/>
      <c r="AJ633" s="37"/>
      <c r="AK633" s="37"/>
    </row>
    <row r="634" spans="1:37" ht="14.25">
      <c r="A634" s="43"/>
      <c r="B634" s="37"/>
      <c r="C634" s="37"/>
      <c r="D634" s="37"/>
      <c r="E634" s="37"/>
      <c r="F634" s="43"/>
      <c r="G634" s="43"/>
      <c r="H634" s="44"/>
      <c r="I634" s="43"/>
      <c r="J634" s="37"/>
      <c r="K634" s="37"/>
      <c r="L634" s="37"/>
      <c r="M634" s="37"/>
      <c r="N634" s="37"/>
      <c r="O634" s="37"/>
      <c r="P634" s="37"/>
      <c r="Q634" s="37"/>
      <c r="R634" s="37"/>
      <c r="S634" s="37"/>
      <c r="T634" s="37"/>
      <c r="U634" s="37"/>
      <c r="V634" s="37"/>
      <c r="W634" s="37"/>
      <c r="X634" s="37"/>
      <c r="Y634" s="37"/>
      <c r="Z634" s="37"/>
      <c r="AA634" s="37"/>
      <c r="AB634" s="37"/>
      <c r="AC634" s="37"/>
      <c r="AD634" s="37"/>
      <c r="AE634" s="37"/>
      <c r="AF634" s="37"/>
      <c r="AG634" s="37"/>
      <c r="AH634" s="37"/>
      <c r="AI634" s="37"/>
      <c r="AJ634" s="37"/>
      <c r="AK634" s="37"/>
    </row>
    <row r="635" spans="1:37" ht="14.25">
      <c r="A635" s="43"/>
      <c r="B635" s="37"/>
      <c r="C635" s="37"/>
      <c r="D635" s="37"/>
      <c r="E635" s="37"/>
      <c r="F635" s="43"/>
      <c r="G635" s="43"/>
      <c r="H635" s="44"/>
      <c r="I635" s="43"/>
      <c r="J635" s="37"/>
      <c r="K635" s="37"/>
      <c r="L635" s="37"/>
      <c r="M635" s="37"/>
      <c r="N635" s="37"/>
      <c r="O635" s="37"/>
      <c r="P635" s="37"/>
      <c r="Q635" s="37"/>
      <c r="R635" s="37"/>
      <c r="S635" s="37"/>
      <c r="T635" s="37"/>
      <c r="U635" s="37"/>
      <c r="V635" s="37"/>
      <c r="W635" s="37"/>
      <c r="X635" s="37"/>
      <c r="Y635" s="37"/>
      <c r="Z635" s="37"/>
      <c r="AA635" s="37"/>
      <c r="AB635" s="37"/>
      <c r="AC635" s="37"/>
      <c r="AD635" s="37"/>
      <c r="AE635" s="37"/>
      <c r="AF635" s="37"/>
      <c r="AG635" s="37"/>
      <c r="AH635" s="37"/>
      <c r="AI635" s="37"/>
      <c r="AJ635" s="37"/>
      <c r="AK635" s="37"/>
    </row>
    <row r="636" spans="1:37" ht="14.25">
      <c r="A636" s="43"/>
      <c r="B636" s="37"/>
      <c r="C636" s="37"/>
      <c r="D636" s="37"/>
      <c r="E636" s="37"/>
      <c r="F636" s="43"/>
      <c r="G636" s="43"/>
      <c r="H636" s="44"/>
      <c r="I636" s="43"/>
      <c r="J636" s="37"/>
      <c r="K636" s="37"/>
      <c r="L636" s="37"/>
      <c r="M636" s="37"/>
      <c r="N636" s="37"/>
      <c r="O636" s="37"/>
      <c r="P636" s="37"/>
      <c r="Q636" s="37"/>
      <c r="R636" s="37"/>
      <c r="S636" s="37"/>
      <c r="T636" s="37"/>
      <c r="U636" s="37"/>
      <c r="V636" s="37"/>
      <c r="W636" s="37"/>
      <c r="X636" s="37"/>
      <c r="Y636" s="37"/>
      <c r="Z636" s="37"/>
      <c r="AA636" s="37"/>
      <c r="AB636" s="37"/>
      <c r="AC636" s="37"/>
      <c r="AD636" s="37"/>
      <c r="AE636" s="37"/>
      <c r="AF636" s="37"/>
      <c r="AG636" s="37"/>
      <c r="AH636" s="37"/>
      <c r="AI636" s="37"/>
      <c r="AJ636" s="37"/>
      <c r="AK636" s="37"/>
    </row>
    <row r="637" spans="1:37" ht="14.25">
      <c r="A637" s="43"/>
      <c r="B637" s="37"/>
      <c r="C637" s="37"/>
      <c r="D637" s="37"/>
      <c r="E637" s="37"/>
      <c r="F637" s="43"/>
      <c r="G637" s="43"/>
      <c r="H637" s="44"/>
      <c r="I637" s="43"/>
      <c r="J637" s="37"/>
      <c r="K637" s="37"/>
      <c r="L637" s="37"/>
      <c r="M637" s="37"/>
      <c r="N637" s="37"/>
      <c r="O637" s="37"/>
      <c r="P637" s="37"/>
      <c r="Q637" s="37"/>
      <c r="R637" s="37"/>
      <c r="S637" s="37"/>
      <c r="T637" s="37"/>
      <c r="U637" s="37"/>
      <c r="V637" s="37"/>
      <c r="W637" s="37"/>
      <c r="X637" s="37"/>
      <c r="Y637" s="37"/>
      <c r="Z637" s="37"/>
      <c r="AA637" s="37"/>
      <c r="AB637" s="37"/>
      <c r="AC637" s="37"/>
      <c r="AD637" s="37"/>
      <c r="AE637" s="37"/>
      <c r="AF637" s="37"/>
      <c r="AG637" s="37"/>
      <c r="AH637" s="37"/>
      <c r="AI637" s="37"/>
      <c r="AJ637" s="37"/>
      <c r="AK637" s="37"/>
    </row>
    <row r="638" spans="1:37" ht="14.25">
      <c r="A638" s="43"/>
      <c r="B638" s="37"/>
      <c r="C638" s="37"/>
      <c r="D638" s="37"/>
      <c r="E638" s="37"/>
      <c r="F638" s="43"/>
      <c r="G638" s="43"/>
      <c r="H638" s="44"/>
      <c r="I638" s="43"/>
      <c r="J638" s="37"/>
      <c r="K638" s="37"/>
      <c r="L638" s="37"/>
      <c r="M638" s="37"/>
      <c r="N638" s="37"/>
      <c r="O638" s="37"/>
      <c r="P638" s="37"/>
      <c r="Q638" s="37"/>
      <c r="R638" s="37"/>
      <c r="S638" s="37"/>
      <c r="T638" s="37"/>
      <c r="U638" s="37"/>
      <c r="V638" s="37"/>
      <c r="W638" s="37"/>
      <c r="X638" s="37"/>
      <c r="Y638" s="37"/>
      <c r="Z638" s="37"/>
      <c r="AA638" s="37"/>
      <c r="AB638" s="37"/>
      <c r="AC638" s="37"/>
      <c r="AD638" s="37"/>
      <c r="AE638" s="37"/>
      <c r="AF638" s="37"/>
      <c r="AG638" s="37"/>
      <c r="AH638" s="37"/>
      <c r="AI638" s="37"/>
      <c r="AJ638" s="37"/>
      <c r="AK638" s="37"/>
    </row>
    <row r="639" spans="1:37" ht="14.25">
      <c r="A639" s="43"/>
      <c r="B639" s="37"/>
      <c r="C639" s="37"/>
      <c r="D639" s="37"/>
      <c r="E639" s="37"/>
      <c r="F639" s="43"/>
      <c r="G639" s="43"/>
      <c r="H639" s="44"/>
      <c r="I639" s="43"/>
      <c r="J639" s="37"/>
      <c r="K639" s="37"/>
      <c r="L639" s="37"/>
      <c r="M639" s="37"/>
      <c r="N639" s="37"/>
      <c r="O639" s="37"/>
      <c r="P639" s="37"/>
      <c r="Q639" s="37"/>
      <c r="R639" s="37"/>
      <c r="S639" s="37"/>
      <c r="T639" s="37"/>
      <c r="U639" s="37"/>
      <c r="V639" s="37"/>
      <c r="W639" s="37"/>
      <c r="X639" s="37"/>
      <c r="Y639" s="37"/>
      <c r="Z639" s="37"/>
      <c r="AA639" s="37"/>
      <c r="AB639" s="37"/>
      <c r="AC639" s="37"/>
      <c r="AD639" s="37"/>
      <c r="AE639" s="37"/>
      <c r="AF639" s="37"/>
      <c r="AG639" s="37"/>
      <c r="AH639" s="37"/>
      <c r="AI639" s="37"/>
      <c r="AJ639" s="37"/>
      <c r="AK639" s="37"/>
    </row>
    <row r="640" spans="1:37" ht="14.25">
      <c r="A640" s="43"/>
      <c r="B640" s="37"/>
      <c r="C640" s="37"/>
      <c r="D640" s="37"/>
      <c r="E640" s="37"/>
      <c r="F640" s="43"/>
      <c r="G640" s="43"/>
      <c r="H640" s="44"/>
      <c r="I640" s="43"/>
      <c r="J640" s="37"/>
      <c r="K640" s="37"/>
      <c r="L640" s="37"/>
      <c r="M640" s="37"/>
      <c r="N640" s="37"/>
      <c r="O640" s="37"/>
      <c r="P640" s="37"/>
      <c r="Q640" s="37"/>
      <c r="R640" s="37"/>
      <c r="S640" s="37"/>
      <c r="T640" s="37"/>
      <c r="U640" s="37"/>
      <c r="V640" s="37"/>
      <c r="W640" s="37"/>
      <c r="X640" s="37"/>
      <c r="Y640" s="37"/>
      <c r="Z640" s="37"/>
      <c r="AA640" s="37"/>
      <c r="AB640" s="37"/>
      <c r="AC640" s="37"/>
      <c r="AD640" s="37"/>
      <c r="AE640" s="37"/>
      <c r="AF640" s="37"/>
      <c r="AG640" s="37"/>
      <c r="AH640" s="37"/>
      <c r="AI640" s="37"/>
      <c r="AJ640" s="37"/>
      <c r="AK640" s="37"/>
    </row>
    <row r="641" spans="1:37" ht="14.25">
      <c r="A641" s="43"/>
      <c r="B641" s="37"/>
      <c r="C641" s="37"/>
      <c r="D641" s="37"/>
      <c r="E641" s="37"/>
      <c r="F641" s="43"/>
      <c r="G641" s="43"/>
      <c r="H641" s="44"/>
      <c r="I641" s="43"/>
      <c r="J641" s="37"/>
      <c r="K641" s="37"/>
      <c r="L641" s="37"/>
      <c r="M641" s="37"/>
      <c r="N641" s="37"/>
      <c r="O641" s="37"/>
      <c r="P641" s="37"/>
      <c r="Q641" s="37"/>
      <c r="R641" s="37"/>
      <c r="S641" s="37"/>
      <c r="T641" s="37"/>
      <c r="U641" s="37"/>
      <c r="V641" s="37"/>
      <c r="W641" s="37"/>
      <c r="X641" s="37"/>
      <c r="Y641" s="37"/>
      <c r="Z641" s="37"/>
      <c r="AA641" s="37"/>
      <c r="AB641" s="37"/>
      <c r="AC641" s="37"/>
      <c r="AD641" s="37"/>
      <c r="AE641" s="37"/>
      <c r="AF641" s="37"/>
      <c r="AG641" s="37"/>
      <c r="AH641" s="37"/>
      <c r="AI641" s="37"/>
      <c r="AJ641" s="37"/>
      <c r="AK641" s="37"/>
    </row>
    <row r="642" spans="1:37" ht="14.25">
      <c r="A642" s="43"/>
      <c r="B642" s="37"/>
      <c r="C642" s="37"/>
      <c r="D642" s="37"/>
      <c r="E642" s="37"/>
      <c r="F642" s="43"/>
      <c r="G642" s="43"/>
      <c r="H642" s="44"/>
      <c r="I642" s="43"/>
      <c r="J642" s="37"/>
      <c r="K642" s="37"/>
      <c r="L642" s="37"/>
      <c r="M642" s="37"/>
      <c r="N642" s="37"/>
      <c r="O642" s="37"/>
      <c r="P642" s="37"/>
      <c r="Q642" s="37"/>
      <c r="R642" s="37"/>
      <c r="S642" s="37"/>
      <c r="T642" s="37"/>
      <c r="U642" s="37"/>
      <c r="V642" s="37"/>
      <c r="W642" s="37"/>
      <c r="X642" s="37"/>
      <c r="Y642" s="37"/>
      <c r="Z642" s="37"/>
      <c r="AA642" s="37"/>
      <c r="AB642" s="37"/>
      <c r="AC642" s="37"/>
      <c r="AD642" s="37"/>
      <c r="AE642" s="37"/>
      <c r="AF642" s="37"/>
      <c r="AG642" s="37"/>
      <c r="AH642" s="37"/>
      <c r="AI642" s="37"/>
      <c r="AJ642" s="37"/>
      <c r="AK642" s="37"/>
    </row>
    <row r="643" spans="1:37" ht="14.25">
      <c r="A643" s="43"/>
      <c r="B643" s="37"/>
      <c r="C643" s="37"/>
      <c r="D643" s="37"/>
      <c r="E643" s="37"/>
      <c r="F643" s="43"/>
      <c r="G643" s="43"/>
      <c r="H643" s="44"/>
      <c r="I643" s="43"/>
      <c r="J643" s="37"/>
      <c r="K643" s="37"/>
      <c r="L643" s="37"/>
      <c r="M643" s="37"/>
      <c r="N643" s="37"/>
      <c r="O643" s="37"/>
      <c r="P643" s="37"/>
      <c r="Q643" s="37"/>
      <c r="R643" s="37"/>
      <c r="S643" s="37"/>
      <c r="T643" s="37"/>
      <c r="U643" s="37"/>
      <c r="V643" s="37"/>
      <c r="W643" s="37"/>
      <c r="X643" s="37"/>
      <c r="Y643" s="37"/>
      <c r="Z643" s="37"/>
      <c r="AA643" s="37"/>
      <c r="AB643" s="37"/>
      <c r="AC643" s="37"/>
      <c r="AD643" s="37"/>
      <c r="AE643" s="37"/>
      <c r="AF643" s="37"/>
      <c r="AG643" s="37"/>
      <c r="AH643" s="37"/>
      <c r="AI643" s="37"/>
      <c r="AJ643" s="37"/>
      <c r="AK643" s="37"/>
    </row>
    <row r="644" spans="1:37" ht="14.25">
      <c r="A644" s="43"/>
      <c r="B644" s="37"/>
      <c r="C644" s="37"/>
      <c r="D644" s="37"/>
      <c r="E644" s="37"/>
      <c r="F644" s="43"/>
      <c r="G644" s="43"/>
      <c r="H644" s="44"/>
      <c r="I644" s="43"/>
      <c r="J644" s="37"/>
      <c r="K644" s="37"/>
      <c r="L644" s="37"/>
      <c r="M644" s="37"/>
      <c r="N644" s="37"/>
      <c r="O644" s="37"/>
      <c r="P644" s="37"/>
      <c r="Q644" s="37"/>
      <c r="R644" s="37"/>
      <c r="S644" s="37"/>
      <c r="T644" s="37"/>
      <c r="U644" s="37"/>
      <c r="V644" s="37"/>
      <c r="W644" s="37"/>
      <c r="X644" s="37"/>
      <c r="Y644" s="37"/>
      <c r="Z644" s="37"/>
      <c r="AA644" s="37"/>
      <c r="AB644" s="37"/>
      <c r="AC644" s="37"/>
      <c r="AD644" s="37"/>
      <c r="AE644" s="37"/>
      <c r="AF644" s="37"/>
      <c r="AG644" s="37"/>
      <c r="AH644" s="37"/>
      <c r="AI644" s="37"/>
      <c r="AJ644" s="37"/>
      <c r="AK644" s="37"/>
    </row>
    <row r="645" spans="1:37" ht="14.25">
      <c r="A645" s="43"/>
      <c r="B645" s="37"/>
      <c r="C645" s="37"/>
      <c r="D645" s="37"/>
      <c r="E645" s="37"/>
      <c r="F645" s="43"/>
      <c r="G645" s="43"/>
      <c r="H645" s="44"/>
      <c r="I645" s="43"/>
      <c r="J645" s="37"/>
      <c r="K645" s="37"/>
      <c r="L645" s="37"/>
      <c r="M645" s="37"/>
      <c r="N645" s="37"/>
      <c r="O645" s="37"/>
      <c r="P645" s="37"/>
      <c r="Q645" s="37"/>
      <c r="R645" s="37"/>
      <c r="S645" s="37"/>
      <c r="T645" s="37"/>
      <c r="U645" s="37"/>
      <c r="V645" s="37"/>
      <c r="W645" s="37"/>
      <c r="X645" s="37"/>
      <c r="Y645" s="37"/>
      <c r="Z645" s="37"/>
      <c r="AA645" s="37"/>
      <c r="AB645" s="37"/>
      <c r="AC645" s="37"/>
      <c r="AD645" s="37"/>
      <c r="AE645" s="37"/>
      <c r="AF645" s="37"/>
      <c r="AG645" s="37"/>
      <c r="AH645" s="37"/>
      <c r="AI645" s="37"/>
      <c r="AJ645" s="37"/>
      <c r="AK645" s="37"/>
    </row>
    <row r="646" spans="1:37" ht="14.25">
      <c r="A646" s="43"/>
      <c r="B646" s="37"/>
      <c r="C646" s="37"/>
      <c r="D646" s="37"/>
      <c r="E646" s="37"/>
      <c r="F646" s="43"/>
      <c r="G646" s="43"/>
      <c r="H646" s="44"/>
      <c r="I646" s="43"/>
      <c r="J646" s="37"/>
      <c r="K646" s="37"/>
      <c r="L646" s="37"/>
      <c r="M646" s="37"/>
      <c r="N646" s="37"/>
      <c r="O646" s="37"/>
      <c r="P646" s="37"/>
      <c r="Q646" s="37"/>
      <c r="R646" s="37"/>
      <c r="S646" s="37"/>
      <c r="T646" s="37"/>
      <c r="U646" s="37"/>
      <c r="V646" s="37"/>
      <c r="W646" s="37"/>
      <c r="X646" s="37"/>
      <c r="Y646" s="37"/>
      <c r="Z646" s="37"/>
      <c r="AA646" s="37"/>
      <c r="AB646" s="37"/>
      <c r="AC646" s="37"/>
      <c r="AD646" s="37"/>
      <c r="AE646" s="37"/>
      <c r="AF646" s="37"/>
      <c r="AG646" s="37"/>
      <c r="AH646" s="37"/>
      <c r="AI646" s="37"/>
      <c r="AJ646" s="37"/>
      <c r="AK646" s="37"/>
    </row>
    <row r="647" spans="1:37" ht="14.25">
      <c r="A647" s="43"/>
      <c r="B647" s="37"/>
      <c r="C647" s="37"/>
      <c r="D647" s="37"/>
      <c r="E647" s="37"/>
      <c r="F647" s="43"/>
      <c r="G647" s="43"/>
      <c r="H647" s="44"/>
      <c r="I647" s="43"/>
      <c r="J647" s="37"/>
      <c r="K647" s="37"/>
      <c r="L647" s="37"/>
      <c r="M647" s="37"/>
      <c r="N647" s="37"/>
      <c r="O647" s="37"/>
      <c r="P647" s="37"/>
      <c r="Q647" s="37"/>
      <c r="R647" s="37"/>
      <c r="S647" s="37"/>
      <c r="T647" s="37"/>
      <c r="U647" s="37"/>
      <c r="V647" s="37"/>
      <c r="W647" s="37"/>
      <c r="X647" s="37"/>
      <c r="Y647" s="37"/>
      <c r="Z647" s="37"/>
      <c r="AA647" s="37"/>
      <c r="AB647" s="37"/>
      <c r="AC647" s="37"/>
      <c r="AD647" s="37"/>
      <c r="AE647" s="37"/>
      <c r="AF647" s="37"/>
      <c r="AG647" s="37"/>
      <c r="AH647" s="37"/>
      <c r="AI647" s="37"/>
      <c r="AJ647" s="37"/>
      <c r="AK647" s="37"/>
    </row>
    <row r="648" spans="1:37" ht="14.25">
      <c r="A648" s="43"/>
      <c r="B648" s="37"/>
      <c r="C648" s="37"/>
      <c r="D648" s="37"/>
      <c r="E648" s="37"/>
      <c r="F648" s="43"/>
      <c r="G648" s="43"/>
      <c r="H648" s="44"/>
      <c r="I648" s="43"/>
      <c r="J648" s="37"/>
      <c r="K648" s="37"/>
      <c r="L648" s="37"/>
      <c r="M648" s="37"/>
      <c r="N648" s="37"/>
      <c r="O648" s="37"/>
      <c r="P648" s="37"/>
      <c r="Q648" s="37"/>
      <c r="R648" s="37"/>
      <c r="S648" s="37"/>
      <c r="T648" s="37"/>
      <c r="U648" s="37"/>
      <c r="V648" s="37"/>
      <c r="W648" s="37"/>
      <c r="X648" s="37"/>
      <c r="Y648" s="37"/>
      <c r="Z648" s="37"/>
      <c r="AA648" s="37"/>
      <c r="AB648" s="37"/>
      <c r="AC648" s="37"/>
      <c r="AD648" s="37"/>
      <c r="AE648" s="37"/>
      <c r="AF648" s="37"/>
      <c r="AG648" s="37"/>
      <c r="AH648" s="37"/>
      <c r="AI648" s="37"/>
      <c r="AJ648" s="37"/>
      <c r="AK648" s="37"/>
    </row>
    <row r="649" spans="1:37" ht="14.25">
      <c r="A649" s="43"/>
      <c r="B649" s="37"/>
      <c r="C649" s="37"/>
      <c r="D649" s="37"/>
      <c r="E649" s="37"/>
      <c r="F649" s="43"/>
      <c r="G649" s="43"/>
      <c r="H649" s="44"/>
      <c r="I649" s="43"/>
      <c r="J649" s="37"/>
      <c r="K649" s="37"/>
      <c r="L649" s="37"/>
      <c r="M649" s="37"/>
      <c r="N649" s="37"/>
      <c r="O649" s="37"/>
      <c r="P649" s="37"/>
      <c r="Q649" s="37"/>
      <c r="R649" s="37"/>
      <c r="S649" s="37"/>
      <c r="T649" s="37"/>
      <c r="U649" s="37"/>
      <c r="V649" s="37"/>
      <c r="W649" s="37"/>
      <c r="X649" s="37"/>
      <c r="Y649" s="37"/>
      <c r="Z649" s="37"/>
      <c r="AA649" s="37"/>
      <c r="AB649" s="37"/>
      <c r="AC649" s="37"/>
      <c r="AD649" s="37"/>
      <c r="AE649" s="37"/>
      <c r="AF649" s="37"/>
      <c r="AG649" s="37"/>
      <c r="AH649" s="37"/>
      <c r="AI649" s="37"/>
      <c r="AJ649" s="37"/>
      <c r="AK649" s="37"/>
    </row>
    <row r="650" spans="1:37" ht="14.25">
      <c r="A650" s="43"/>
      <c r="B650" s="37"/>
      <c r="C650" s="37"/>
      <c r="D650" s="37"/>
      <c r="E650" s="37"/>
      <c r="F650" s="43"/>
      <c r="G650" s="43"/>
      <c r="H650" s="44"/>
      <c r="I650" s="43"/>
      <c r="J650" s="37"/>
      <c r="K650" s="37"/>
      <c r="L650" s="37"/>
      <c r="M650" s="37"/>
      <c r="N650" s="37"/>
      <c r="O650" s="37"/>
      <c r="P650" s="37"/>
      <c r="Q650" s="37"/>
      <c r="R650" s="37"/>
      <c r="S650" s="37"/>
      <c r="T650" s="37"/>
      <c r="U650" s="37"/>
      <c r="V650" s="37"/>
      <c r="W650" s="37"/>
      <c r="X650" s="37"/>
      <c r="Y650" s="37"/>
      <c r="Z650" s="37"/>
      <c r="AA650" s="37"/>
      <c r="AB650" s="37"/>
      <c r="AC650" s="37"/>
      <c r="AD650" s="37"/>
      <c r="AE650" s="37"/>
      <c r="AF650" s="37"/>
      <c r="AG650" s="37"/>
      <c r="AH650" s="37"/>
      <c r="AI650" s="37"/>
      <c r="AJ650" s="37"/>
      <c r="AK650" s="37"/>
    </row>
    <row r="651" spans="1:37" ht="14.25">
      <c r="A651" s="43"/>
      <c r="B651" s="37"/>
      <c r="C651" s="37"/>
      <c r="D651" s="37"/>
      <c r="E651" s="37"/>
      <c r="F651" s="43"/>
      <c r="G651" s="43"/>
      <c r="H651" s="44"/>
      <c r="I651" s="43"/>
      <c r="J651" s="37"/>
      <c r="K651" s="37"/>
      <c r="L651" s="37"/>
      <c r="M651" s="37"/>
      <c r="N651" s="37"/>
      <c r="O651" s="37"/>
      <c r="P651" s="37"/>
      <c r="Q651" s="37"/>
      <c r="R651" s="37"/>
      <c r="S651" s="37"/>
      <c r="T651" s="37"/>
      <c r="U651" s="37"/>
      <c r="V651" s="37"/>
      <c r="W651" s="37"/>
      <c r="X651" s="37"/>
      <c r="Y651" s="37"/>
      <c r="Z651" s="37"/>
      <c r="AA651" s="37"/>
      <c r="AB651" s="37"/>
      <c r="AC651" s="37"/>
      <c r="AD651" s="37"/>
      <c r="AE651" s="37"/>
      <c r="AF651" s="37"/>
      <c r="AG651" s="37"/>
      <c r="AH651" s="37"/>
      <c r="AI651" s="37"/>
      <c r="AJ651" s="37"/>
      <c r="AK651" s="37"/>
    </row>
    <row r="652" spans="1:37" ht="14.25">
      <c r="A652" s="43"/>
      <c r="B652" s="37"/>
      <c r="C652" s="37"/>
      <c r="D652" s="37"/>
      <c r="E652" s="37"/>
      <c r="F652" s="43"/>
      <c r="G652" s="43"/>
      <c r="H652" s="44"/>
      <c r="I652" s="43"/>
      <c r="J652" s="37"/>
      <c r="K652" s="37"/>
      <c r="L652" s="37"/>
      <c r="M652" s="37"/>
      <c r="N652" s="37"/>
      <c r="O652" s="37"/>
      <c r="P652" s="37"/>
      <c r="Q652" s="37"/>
      <c r="R652" s="37"/>
      <c r="S652" s="37"/>
      <c r="T652" s="37"/>
      <c r="U652" s="37"/>
      <c r="V652" s="37"/>
      <c r="W652" s="37"/>
      <c r="X652" s="37"/>
      <c r="Y652" s="37"/>
      <c r="Z652" s="37"/>
      <c r="AA652" s="37"/>
      <c r="AB652" s="37"/>
      <c r="AC652" s="37"/>
      <c r="AD652" s="37"/>
      <c r="AE652" s="37"/>
      <c r="AF652" s="37"/>
      <c r="AG652" s="37"/>
      <c r="AH652" s="37"/>
      <c r="AI652" s="37"/>
      <c r="AJ652" s="37"/>
      <c r="AK652" s="37"/>
    </row>
    <row r="653" spans="1:37" ht="14.25">
      <c r="A653" s="43"/>
      <c r="B653" s="37"/>
      <c r="C653" s="37"/>
      <c r="D653" s="37"/>
      <c r="E653" s="37"/>
      <c r="F653" s="43"/>
      <c r="G653" s="43"/>
      <c r="H653" s="44"/>
      <c r="I653" s="43"/>
      <c r="J653" s="37"/>
      <c r="K653" s="37"/>
      <c r="L653" s="37"/>
      <c r="M653" s="37"/>
      <c r="N653" s="37"/>
      <c r="O653" s="37"/>
      <c r="P653" s="37"/>
      <c r="Q653" s="37"/>
      <c r="R653" s="37"/>
      <c r="S653" s="37"/>
      <c r="T653" s="37"/>
      <c r="U653" s="37"/>
      <c r="V653" s="37"/>
      <c r="W653" s="37"/>
      <c r="X653" s="37"/>
      <c r="Y653" s="37"/>
      <c r="Z653" s="37"/>
      <c r="AA653" s="37"/>
      <c r="AB653" s="37"/>
      <c r="AC653" s="37"/>
      <c r="AD653" s="37"/>
      <c r="AE653" s="37"/>
      <c r="AF653" s="37"/>
      <c r="AG653" s="37"/>
      <c r="AH653" s="37"/>
      <c r="AI653" s="37"/>
      <c r="AJ653" s="37"/>
      <c r="AK653" s="37"/>
    </row>
    <row r="654" spans="1:37" ht="14.25">
      <c r="A654" s="43"/>
      <c r="B654" s="37"/>
      <c r="C654" s="37"/>
      <c r="D654" s="37"/>
      <c r="E654" s="37"/>
      <c r="F654" s="43"/>
      <c r="G654" s="43"/>
      <c r="H654" s="44"/>
      <c r="I654" s="43"/>
      <c r="J654" s="37"/>
      <c r="K654" s="37"/>
      <c r="L654" s="37"/>
      <c r="M654" s="37"/>
      <c r="N654" s="37"/>
      <c r="O654" s="37"/>
      <c r="P654" s="37"/>
      <c r="Q654" s="37"/>
      <c r="R654" s="37"/>
      <c r="S654" s="37"/>
      <c r="T654" s="37"/>
      <c r="U654" s="37"/>
      <c r="V654" s="37"/>
      <c r="W654" s="37"/>
      <c r="X654" s="37"/>
      <c r="Y654" s="37"/>
      <c r="Z654" s="37"/>
      <c r="AA654" s="37"/>
      <c r="AB654" s="37"/>
      <c r="AC654" s="37"/>
      <c r="AD654" s="37"/>
      <c r="AE654" s="37"/>
      <c r="AF654" s="37"/>
      <c r="AG654" s="37"/>
      <c r="AH654" s="37"/>
      <c r="AI654" s="37"/>
      <c r="AJ654" s="37"/>
      <c r="AK654" s="37"/>
    </row>
    <row r="655" spans="1:37" ht="14.25">
      <c r="A655" s="43"/>
      <c r="B655" s="37"/>
      <c r="C655" s="37"/>
      <c r="D655" s="37"/>
      <c r="E655" s="37"/>
      <c r="F655" s="43"/>
      <c r="G655" s="43"/>
      <c r="H655" s="44"/>
      <c r="I655" s="43"/>
      <c r="J655" s="37"/>
      <c r="K655" s="37"/>
      <c r="L655" s="37"/>
      <c r="M655" s="37"/>
      <c r="N655" s="37"/>
      <c r="O655" s="37"/>
      <c r="P655" s="37"/>
      <c r="Q655" s="37"/>
      <c r="R655" s="37"/>
      <c r="S655" s="37"/>
      <c r="T655" s="37"/>
      <c r="U655" s="37"/>
      <c r="V655" s="37"/>
      <c r="W655" s="37"/>
      <c r="X655" s="37"/>
      <c r="Y655" s="37"/>
      <c r="Z655" s="37"/>
      <c r="AA655" s="37"/>
      <c r="AB655" s="37"/>
      <c r="AC655" s="37"/>
      <c r="AD655" s="37"/>
      <c r="AE655" s="37"/>
      <c r="AF655" s="37"/>
      <c r="AG655" s="37"/>
      <c r="AH655" s="37"/>
      <c r="AI655" s="37"/>
      <c r="AJ655" s="37"/>
      <c r="AK655" s="37"/>
    </row>
    <row r="656" spans="1:37" ht="14.25">
      <c r="A656" s="43"/>
      <c r="B656" s="37"/>
      <c r="C656" s="37"/>
      <c r="D656" s="37"/>
      <c r="E656" s="37"/>
      <c r="F656" s="43"/>
      <c r="G656" s="43"/>
      <c r="H656" s="44"/>
      <c r="I656" s="43"/>
      <c r="J656" s="37"/>
      <c r="K656" s="37"/>
      <c r="L656" s="37"/>
      <c r="M656" s="37"/>
      <c r="N656" s="37"/>
      <c r="O656" s="37"/>
      <c r="P656" s="37"/>
      <c r="Q656" s="37"/>
      <c r="R656" s="37"/>
      <c r="S656" s="37"/>
      <c r="T656" s="37"/>
      <c r="U656" s="37"/>
      <c r="V656" s="37"/>
      <c r="W656" s="37"/>
      <c r="X656" s="37"/>
      <c r="Y656" s="37"/>
      <c r="Z656" s="37"/>
      <c r="AA656" s="37"/>
      <c r="AB656" s="37"/>
      <c r="AC656" s="37"/>
      <c r="AD656" s="37"/>
      <c r="AE656" s="37"/>
      <c r="AF656" s="37"/>
      <c r="AG656" s="37"/>
      <c r="AH656" s="37"/>
      <c r="AI656" s="37"/>
      <c r="AJ656" s="37"/>
      <c r="AK656" s="37"/>
    </row>
    <row r="657" spans="1:37" ht="14.25">
      <c r="A657" s="43"/>
      <c r="B657" s="37"/>
      <c r="C657" s="37"/>
      <c r="D657" s="37"/>
      <c r="E657" s="37"/>
      <c r="F657" s="43"/>
      <c r="G657" s="43"/>
      <c r="H657" s="44"/>
      <c r="I657" s="43"/>
      <c r="J657" s="37"/>
      <c r="K657" s="37"/>
      <c r="L657" s="37"/>
      <c r="M657" s="37"/>
      <c r="N657" s="37"/>
      <c r="O657" s="37"/>
      <c r="P657" s="37"/>
      <c r="Q657" s="37"/>
      <c r="R657" s="37"/>
      <c r="S657" s="37"/>
      <c r="T657" s="37"/>
      <c r="U657" s="37"/>
      <c r="V657" s="37"/>
      <c r="W657" s="37"/>
      <c r="X657" s="37"/>
      <c r="Y657" s="37"/>
      <c r="Z657" s="37"/>
      <c r="AA657" s="37"/>
      <c r="AB657" s="37"/>
      <c r="AC657" s="37"/>
      <c r="AD657" s="37"/>
      <c r="AE657" s="37"/>
      <c r="AF657" s="37"/>
      <c r="AG657" s="37"/>
      <c r="AH657" s="37"/>
      <c r="AI657" s="37"/>
      <c r="AJ657" s="37"/>
      <c r="AK657" s="37"/>
    </row>
    <row r="658" spans="1:37" ht="14.25">
      <c r="A658" s="43"/>
      <c r="B658" s="37"/>
      <c r="C658" s="37"/>
      <c r="D658" s="37"/>
      <c r="E658" s="37"/>
      <c r="F658" s="43"/>
      <c r="G658" s="43"/>
      <c r="H658" s="44"/>
      <c r="I658" s="43"/>
      <c r="J658" s="37"/>
      <c r="K658" s="37"/>
      <c r="L658" s="37"/>
      <c r="M658" s="37"/>
      <c r="N658" s="37"/>
      <c r="O658" s="37"/>
      <c r="P658" s="37"/>
      <c r="Q658" s="37"/>
      <c r="R658" s="37"/>
      <c r="S658" s="37"/>
      <c r="T658" s="37"/>
      <c r="U658" s="37"/>
      <c r="V658" s="37"/>
      <c r="W658" s="37"/>
      <c r="X658" s="37"/>
      <c r="Y658" s="37"/>
      <c r="Z658" s="37"/>
      <c r="AA658" s="37"/>
      <c r="AB658" s="37"/>
      <c r="AC658" s="37"/>
      <c r="AD658" s="37"/>
      <c r="AE658" s="37"/>
      <c r="AF658" s="37"/>
      <c r="AG658" s="37"/>
      <c r="AH658" s="37"/>
      <c r="AI658" s="37"/>
      <c r="AJ658" s="37"/>
      <c r="AK658" s="37"/>
    </row>
    <row r="659" spans="1:37" ht="14.25">
      <c r="A659" s="43"/>
      <c r="B659" s="37"/>
      <c r="C659" s="37"/>
      <c r="D659" s="37"/>
      <c r="E659" s="37"/>
      <c r="F659" s="43"/>
      <c r="G659" s="43"/>
      <c r="H659" s="44"/>
      <c r="I659" s="43"/>
      <c r="J659" s="37"/>
      <c r="K659" s="37"/>
      <c r="L659" s="37"/>
      <c r="M659" s="37"/>
      <c r="N659" s="37"/>
      <c r="O659" s="37"/>
      <c r="P659" s="37"/>
      <c r="Q659" s="37"/>
      <c r="R659" s="37"/>
      <c r="S659" s="37"/>
      <c r="T659" s="37"/>
      <c r="U659" s="37"/>
      <c r="V659" s="37"/>
      <c r="W659" s="37"/>
      <c r="X659" s="37"/>
      <c r="Y659" s="37"/>
      <c r="Z659" s="37"/>
      <c r="AA659" s="37"/>
      <c r="AB659" s="37"/>
      <c r="AC659" s="37"/>
      <c r="AD659" s="37"/>
      <c r="AE659" s="37"/>
      <c r="AF659" s="37"/>
      <c r="AG659" s="37"/>
      <c r="AH659" s="37"/>
      <c r="AI659" s="37"/>
      <c r="AJ659" s="37"/>
      <c r="AK659" s="37"/>
    </row>
    <row r="660" spans="1:37" ht="14.25">
      <c r="A660" s="43"/>
      <c r="B660" s="37"/>
      <c r="C660" s="37"/>
      <c r="D660" s="37"/>
      <c r="E660" s="37"/>
      <c r="F660" s="43"/>
      <c r="G660" s="43"/>
      <c r="H660" s="44"/>
      <c r="I660" s="43"/>
      <c r="J660" s="37"/>
      <c r="K660" s="37"/>
      <c r="L660" s="37"/>
      <c r="M660" s="37"/>
      <c r="N660" s="37"/>
      <c r="O660" s="37"/>
      <c r="P660" s="37"/>
      <c r="Q660" s="37"/>
      <c r="R660" s="37"/>
      <c r="S660" s="37"/>
      <c r="T660" s="37"/>
      <c r="U660" s="37"/>
      <c r="V660" s="37"/>
      <c r="W660" s="37"/>
      <c r="X660" s="37"/>
      <c r="Y660" s="37"/>
      <c r="Z660" s="37"/>
      <c r="AA660" s="37"/>
      <c r="AB660" s="37"/>
      <c r="AC660" s="37"/>
      <c r="AD660" s="37"/>
      <c r="AE660" s="37"/>
      <c r="AF660" s="37"/>
      <c r="AG660" s="37"/>
      <c r="AH660" s="37"/>
      <c r="AI660" s="37"/>
      <c r="AJ660" s="37"/>
      <c r="AK660" s="37"/>
    </row>
    <row r="661" spans="1:37" ht="14.25">
      <c r="A661" s="43"/>
      <c r="B661" s="37"/>
      <c r="C661" s="37"/>
      <c r="D661" s="37"/>
      <c r="E661" s="37"/>
      <c r="F661" s="43"/>
      <c r="G661" s="43"/>
      <c r="H661" s="44"/>
      <c r="I661" s="43"/>
      <c r="J661" s="37"/>
      <c r="K661" s="37"/>
      <c r="L661" s="37"/>
      <c r="M661" s="37"/>
      <c r="N661" s="37"/>
      <c r="O661" s="37"/>
      <c r="P661" s="37"/>
      <c r="Q661" s="37"/>
      <c r="R661" s="37"/>
      <c r="S661" s="37"/>
      <c r="T661" s="37"/>
      <c r="U661" s="37"/>
      <c r="V661" s="37"/>
      <c r="W661" s="37"/>
      <c r="X661" s="37"/>
      <c r="Y661" s="37"/>
      <c r="Z661" s="37"/>
      <c r="AA661" s="37"/>
      <c r="AB661" s="37"/>
      <c r="AC661" s="37"/>
      <c r="AD661" s="37"/>
      <c r="AE661" s="37"/>
      <c r="AF661" s="37"/>
      <c r="AG661" s="37"/>
      <c r="AH661" s="37"/>
      <c r="AI661" s="37"/>
      <c r="AJ661" s="37"/>
      <c r="AK661" s="37"/>
    </row>
    <row r="662" spans="1:37" ht="14.25">
      <c r="A662" s="43"/>
      <c r="B662" s="37"/>
      <c r="C662" s="37"/>
      <c r="D662" s="37"/>
      <c r="E662" s="37"/>
      <c r="F662" s="43"/>
      <c r="G662" s="43"/>
      <c r="H662" s="44"/>
      <c r="I662" s="43"/>
      <c r="J662" s="37"/>
      <c r="K662" s="37"/>
      <c r="L662" s="37"/>
      <c r="M662" s="37"/>
      <c r="N662" s="37"/>
      <c r="O662" s="37"/>
      <c r="P662" s="37"/>
      <c r="Q662" s="37"/>
      <c r="R662" s="37"/>
      <c r="S662" s="37"/>
      <c r="T662" s="37"/>
      <c r="U662" s="37"/>
      <c r="V662" s="37"/>
      <c r="W662" s="37"/>
      <c r="X662" s="37"/>
      <c r="Y662" s="37"/>
      <c r="Z662" s="37"/>
      <c r="AA662" s="37"/>
      <c r="AB662" s="37"/>
      <c r="AC662" s="37"/>
      <c r="AD662" s="37"/>
      <c r="AE662" s="37"/>
      <c r="AF662" s="37"/>
      <c r="AG662" s="37"/>
      <c r="AH662" s="37"/>
      <c r="AI662" s="37"/>
      <c r="AJ662" s="37"/>
      <c r="AK662" s="37"/>
    </row>
    <row r="663" spans="1:37" ht="14.25">
      <c r="A663" s="43"/>
      <c r="B663" s="37"/>
      <c r="C663" s="37"/>
      <c r="D663" s="37"/>
      <c r="E663" s="37"/>
      <c r="F663" s="43"/>
      <c r="G663" s="43"/>
      <c r="H663" s="44"/>
      <c r="I663" s="43"/>
      <c r="J663" s="37"/>
      <c r="K663" s="37"/>
      <c r="L663" s="37"/>
      <c r="M663" s="37"/>
      <c r="N663" s="37"/>
      <c r="O663" s="37"/>
      <c r="P663" s="37"/>
      <c r="Q663" s="37"/>
      <c r="R663" s="37"/>
      <c r="S663" s="37"/>
      <c r="T663" s="37"/>
      <c r="U663" s="37"/>
      <c r="V663" s="37"/>
      <c r="W663" s="37"/>
      <c r="X663" s="37"/>
      <c r="Y663" s="37"/>
      <c r="Z663" s="37"/>
      <c r="AA663" s="37"/>
      <c r="AB663" s="37"/>
      <c r="AC663" s="37"/>
      <c r="AD663" s="37"/>
      <c r="AE663" s="37"/>
      <c r="AF663" s="37"/>
      <c r="AG663" s="37"/>
      <c r="AH663" s="37"/>
      <c r="AI663" s="37"/>
      <c r="AJ663" s="37"/>
      <c r="AK663" s="37"/>
    </row>
    <row r="664" spans="1:37" ht="14.25">
      <c r="A664" s="43"/>
      <c r="B664" s="37"/>
      <c r="C664" s="37"/>
      <c r="D664" s="37"/>
      <c r="E664" s="37"/>
      <c r="F664" s="43"/>
      <c r="G664" s="43"/>
      <c r="H664" s="44"/>
      <c r="I664" s="43"/>
      <c r="J664" s="37"/>
      <c r="K664" s="37"/>
      <c r="L664" s="37"/>
      <c r="M664" s="37"/>
      <c r="N664" s="37"/>
      <c r="O664" s="37"/>
      <c r="P664" s="37"/>
      <c r="Q664" s="37"/>
      <c r="R664" s="37"/>
      <c r="S664" s="37"/>
      <c r="T664" s="37"/>
      <c r="U664" s="37"/>
      <c r="V664" s="37"/>
      <c r="W664" s="37"/>
      <c r="X664" s="37"/>
      <c r="Y664" s="37"/>
      <c r="Z664" s="37"/>
      <c r="AA664" s="37"/>
      <c r="AB664" s="37"/>
      <c r="AC664" s="37"/>
      <c r="AD664" s="37"/>
      <c r="AE664" s="37"/>
      <c r="AF664" s="37"/>
      <c r="AG664" s="37"/>
      <c r="AH664" s="37"/>
      <c r="AI664" s="37"/>
      <c r="AJ664" s="37"/>
      <c r="AK664" s="37"/>
    </row>
    <row r="665" spans="1:37" ht="14.25">
      <c r="A665" s="43"/>
      <c r="B665" s="37"/>
      <c r="C665" s="37"/>
      <c r="D665" s="37"/>
      <c r="E665" s="37"/>
      <c r="F665" s="43"/>
      <c r="G665" s="43"/>
      <c r="H665" s="44"/>
      <c r="I665" s="43"/>
      <c r="J665" s="37"/>
      <c r="K665" s="37"/>
      <c r="L665" s="37"/>
      <c r="M665" s="37"/>
      <c r="N665" s="37"/>
      <c r="O665" s="37"/>
      <c r="P665" s="37"/>
      <c r="Q665" s="37"/>
      <c r="R665" s="37"/>
      <c r="S665" s="37"/>
      <c r="T665" s="37"/>
      <c r="U665" s="37"/>
      <c r="V665" s="37"/>
      <c r="W665" s="37"/>
      <c r="X665" s="37"/>
      <c r="Y665" s="37"/>
      <c r="Z665" s="37"/>
      <c r="AA665" s="37"/>
      <c r="AB665" s="37"/>
      <c r="AC665" s="37"/>
      <c r="AD665" s="37"/>
      <c r="AE665" s="37"/>
      <c r="AF665" s="37"/>
      <c r="AG665" s="37"/>
      <c r="AH665" s="37"/>
      <c r="AI665" s="37"/>
      <c r="AJ665" s="37"/>
      <c r="AK665" s="37"/>
    </row>
    <row r="666" spans="1:37" ht="14.25">
      <c r="A666" s="43"/>
      <c r="B666" s="37"/>
      <c r="C666" s="37"/>
      <c r="D666" s="37"/>
      <c r="E666" s="37"/>
      <c r="F666" s="43"/>
      <c r="G666" s="43"/>
      <c r="H666" s="44"/>
      <c r="I666" s="43"/>
      <c r="J666" s="37"/>
      <c r="K666" s="37"/>
      <c r="L666" s="37"/>
      <c r="M666" s="37"/>
      <c r="N666" s="37"/>
      <c r="O666" s="37"/>
      <c r="P666" s="37"/>
      <c r="Q666" s="37"/>
      <c r="R666" s="37"/>
      <c r="S666" s="37"/>
      <c r="T666" s="37"/>
      <c r="U666" s="37"/>
      <c r="V666" s="37"/>
      <c r="W666" s="37"/>
      <c r="X666" s="37"/>
      <c r="Y666" s="37"/>
      <c r="Z666" s="37"/>
      <c r="AA666" s="37"/>
      <c r="AB666" s="37"/>
      <c r="AC666" s="37"/>
      <c r="AD666" s="37"/>
      <c r="AE666" s="37"/>
      <c r="AF666" s="37"/>
      <c r="AG666" s="37"/>
      <c r="AH666" s="37"/>
      <c r="AI666" s="37"/>
      <c r="AJ666" s="37"/>
      <c r="AK666" s="37"/>
    </row>
    <row r="667" spans="1:37" ht="14.25">
      <c r="A667" s="43"/>
      <c r="B667" s="37"/>
      <c r="C667" s="37"/>
      <c r="D667" s="37"/>
      <c r="E667" s="37"/>
      <c r="F667" s="43"/>
      <c r="G667" s="43"/>
      <c r="H667" s="44"/>
      <c r="I667" s="43"/>
      <c r="J667" s="37"/>
      <c r="K667" s="37"/>
      <c r="L667" s="37"/>
      <c r="M667" s="37"/>
      <c r="N667" s="37"/>
      <c r="O667" s="37"/>
      <c r="P667" s="37"/>
      <c r="Q667" s="37"/>
      <c r="R667" s="37"/>
      <c r="S667" s="37"/>
      <c r="T667" s="37"/>
      <c r="U667" s="37"/>
      <c r="V667" s="37"/>
      <c r="W667" s="37"/>
      <c r="X667" s="37"/>
      <c r="Y667" s="37"/>
      <c r="Z667" s="37"/>
      <c r="AA667" s="37"/>
      <c r="AB667" s="37"/>
      <c r="AC667" s="37"/>
      <c r="AD667" s="37"/>
      <c r="AE667" s="37"/>
      <c r="AF667" s="37"/>
      <c r="AG667" s="37"/>
      <c r="AH667" s="37"/>
      <c r="AI667" s="37"/>
      <c r="AJ667" s="37"/>
      <c r="AK667" s="37"/>
    </row>
    <row r="668" spans="1:37" ht="14.25">
      <c r="A668" s="43"/>
      <c r="B668" s="37"/>
      <c r="C668" s="37"/>
      <c r="D668" s="37"/>
      <c r="E668" s="37"/>
      <c r="F668" s="43"/>
      <c r="G668" s="43"/>
      <c r="H668" s="44"/>
      <c r="I668" s="43"/>
      <c r="J668" s="37"/>
      <c r="K668" s="37"/>
      <c r="L668" s="37"/>
      <c r="M668" s="37"/>
      <c r="N668" s="37"/>
      <c r="O668" s="37"/>
      <c r="P668" s="37"/>
      <c r="Q668" s="37"/>
      <c r="R668" s="37"/>
      <c r="S668" s="37"/>
      <c r="T668" s="37"/>
      <c r="U668" s="37"/>
      <c r="V668" s="37"/>
      <c r="W668" s="37"/>
      <c r="X668" s="37"/>
      <c r="Y668" s="37"/>
      <c r="Z668" s="37"/>
      <c r="AA668" s="37"/>
      <c r="AB668" s="37"/>
      <c r="AC668" s="37"/>
      <c r="AD668" s="37"/>
      <c r="AE668" s="37"/>
      <c r="AF668" s="37"/>
      <c r="AG668" s="37"/>
      <c r="AH668" s="37"/>
      <c r="AI668" s="37"/>
      <c r="AJ668" s="37"/>
      <c r="AK668" s="37"/>
    </row>
    <row r="669" spans="1:37" ht="14.25">
      <c r="A669" s="43"/>
      <c r="B669" s="37"/>
      <c r="C669" s="37"/>
      <c r="D669" s="37"/>
      <c r="E669" s="37"/>
      <c r="F669" s="43"/>
      <c r="G669" s="43"/>
      <c r="H669" s="44"/>
      <c r="I669" s="43"/>
      <c r="J669" s="37"/>
      <c r="K669" s="37"/>
      <c r="L669" s="37"/>
      <c r="M669" s="37"/>
      <c r="N669" s="37"/>
      <c r="O669" s="37"/>
      <c r="P669" s="37"/>
      <c r="Q669" s="37"/>
      <c r="R669" s="37"/>
      <c r="S669" s="37"/>
      <c r="T669" s="37"/>
      <c r="U669" s="37"/>
      <c r="V669" s="37"/>
      <c r="W669" s="37"/>
      <c r="X669" s="37"/>
      <c r="Y669" s="37"/>
      <c r="Z669" s="37"/>
      <c r="AA669" s="37"/>
      <c r="AB669" s="37"/>
      <c r="AC669" s="37"/>
      <c r="AD669" s="37"/>
      <c r="AE669" s="37"/>
      <c r="AF669" s="37"/>
      <c r="AG669" s="37"/>
      <c r="AH669" s="37"/>
      <c r="AI669" s="37"/>
      <c r="AJ669" s="37"/>
      <c r="AK669" s="37"/>
    </row>
    <row r="670" spans="1:37" ht="14.25">
      <c r="A670" s="43"/>
      <c r="B670" s="37"/>
      <c r="C670" s="37"/>
      <c r="D670" s="37"/>
      <c r="E670" s="37"/>
      <c r="F670" s="43"/>
      <c r="G670" s="43"/>
      <c r="H670" s="44"/>
      <c r="I670" s="43"/>
      <c r="J670" s="37"/>
      <c r="K670" s="37"/>
      <c r="L670" s="37"/>
      <c r="M670" s="37"/>
      <c r="N670" s="37"/>
      <c r="O670" s="37"/>
      <c r="P670" s="37"/>
      <c r="Q670" s="37"/>
      <c r="R670" s="37"/>
      <c r="S670" s="37"/>
      <c r="T670" s="37"/>
      <c r="U670" s="37"/>
      <c r="V670" s="37"/>
      <c r="W670" s="37"/>
      <c r="X670" s="37"/>
      <c r="Y670" s="37"/>
      <c r="Z670" s="37"/>
      <c r="AA670" s="37"/>
      <c r="AB670" s="37"/>
      <c r="AC670" s="37"/>
      <c r="AD670" s="37"/>
      <c r="AE670" s="37"/>
      <c r="AF670" s="37"/>
      <c r="AG670" s="37"/>
      <c r="AH670" s="37"/>
      <c r="AI670" s="37"/>
      <c r="AJ670" s="37"/>
      <c r="AK670" s="37"/>
    </row>
    <row r="671" spans="1:37" ht="14.25">
      <c r="A671" s="43"/>
      <c r="B671" s="37"/>
      <c r="C671" s="37"/>
      <c r="D671" s="37"/>
      <c r="E671" s="37"/>
      <c r="F671" s="43"/>
      <c r="G671" s="43"/>
      <c r="H671" s="44"/>
      <c r="I671" s="43"/>
      <c r="J671" s="37"/>
      <c r="K671" s="37"/>
      <c r="L671" s="37"/>
      <c r="M671" s="37"/>
      <c r="N671" s="37"/>
      <c r="O671" s="37"/>
      <c r="P671" s="37"/>
      <c r="Q671" s="37"/>
      <c r="R671" s="37"/>
      <c r="S671" s="37"/>
      <c r="T671" s="37"/>
      <c r="U671" s="37"/>
      <c r="V671" s="37"/>
      <c r="W671" s="37"/>
      <c r="X671" s="37"/>
      <c r="Y671" s="37"/>
      <c r="Z671" s="37"/>
      <c r="AA671" s="37"/>
      <c r="AB671" s="37"/>
      <c r="AC671" s="37"/>
      <c r="AD671" s="37"/>
      <c r="AE671" s="37"/>
      <c r="AF671" s="37"/>
      <c r="AG671" s="37"/>
      <c r="AH671" s="37"/>
      <c r="AI671" s="37"/>
      <c r="AJ671" s="37"/>
      <c r="AK671" s="37"/>
    </row>
    <row r="672" spans="1:37" ht="14.25">
      <c r="A672" s="43"/>
      <c r="B672" s="37"/>
      <c r="C672" s="37"/>
      <c r="D672" s="37"/>
      <c r="E672" s="37"/>
      <c r="F672" s="43"/>
      <c r="G672" s="43"/>
      <c r="H672" s="44"/>
      <c r="I672" s="43"/>
      <c r="J672" s="37"/>
      <c r="K672" s="37"/>
      <c r="L672" s="37"/>
      <c r="M672" s="37"/>
      <c r="N672" s="37"/>
      <c r="O672" s="37"/>
      <c r="P672" s="37"/>
      <c r="Q672" s="37"/>
      <c r="R672" s="37"/>
      <c r="S672" s="37"/>
      <c r="T672" s="37"/>
      <c r="U672" s="37"/>
      <c r="V672" s="37"/>
      <c r="W672" s="37"/>
      <c r="X672" s="37"/>
      <c r="Y672" s="37"/>
      <c r="Z672" s="37"/>
      <c r="AA672" s="37"/>
      <c r="AB672" s="37"/>
      <c r="AC672" s="37"/>
      <c r="AD672" s="37"/>
      <c r="AE672" s="37"/>
      <c r="AF672" s="37"/>
      <c r="AG672" s="37"/>
      <c r="AH672" s="37"/>
      <c r="AI672" s="37"/>
      <c r="AJ672" s="37"/>
      <c r="AK672" s="37"/>
    </row>
    <row r="673" spans="1:37" ht="14.25">
      <c r="A673" s="43"/>
      <c r="B673" s="37"/>
      <c r="C673" s="37"/>
      <c r="D673" s="37"/>
      <c r="E673" s="37"/>
      <c r="F673" s="43"/>
      <c r="G673" s="43"/>
      <c r="H673" s="44"/>
      <c r="I673" s="43"/>
      <c r="J673" s="37"/>
      <c r="K673" s="37"/>
      <c r="L673" s="37"/>
      <c r="M673" s="37"/>
      <c r="N673" s="37"/>
      <c r="O673" s="37"/>
      <c r="P673" s="37"/>
      <c r="Q673" s="37"/>
      <c r="R673" s="37"/>
      <c r="S673" s="37"/>
      <c r="T673" s="37"/>
      <c r="U673" s="37"/>
      <c r="V673" s="37"/>
      <c r="W673" s="37"/>
      <c r="X673" s="37"/>
      <c r="Y673" s="37"/>
      <c r="Z673" s="37"/>
      <c r="AA673" s="37"/>
      <c r="AB673" s="37"/>
      <c r="AC673" s="37"/>
      <c r="AD673" s="37"/>
      <c r="AE673" s="37"/>
      <c r="AF673" s="37"/>
      <c r="AG673" s="37"/>
      <c r="AH673" s="37"/>
      <c r="AI673" s="37"/>
      <c r="AJ673" s="37"/>
      <c r="AK673" s="37"/>
    </row>
    <row r="674" spans="1:37" ht="14.25">
      <c r="A674" s="43"/>
      <c r="B674" s="37"/>
      <c r="C674" s="37"/>
      <c r="D674" s="37"/>
      <c r="E674" s="37"/>
      <c r="F674" s="43"/>
      <c r="G674" s="43"/>
      <c r="H674" s="44"/>
      <c r="I674" s="43"/>
      <c r="J674" s="37"/>
      <c r="K674" s="37"/>
      <c r="L674" s="37"/>
      <c r="M674" s="37"/>
      <c r="N674" s="37"/>
      <c r="O674" s="37"/>
      <c r="P674" s="37"/>
      <c r="Q674" s="37"/>
      <c r="R674" s="37"/>
      <c r="S674" s="37"/>
      <c r="T674" s="37"/>
      <c r="U674" s="37"/>
      <c r="V674" s="37"/>
      <c r="W674" s="37"/>
      <c r="X674" s="37"/>
      <c r="Y674" s="37"/>
      <c r="Z674" s="37"/>
      <c r="AA674" s="37"/>
      <c r="AB674" s="37"/>
      <c r="AC674" s="37"/>
      <c r="AD674" s="37"/>
      <c r="AE674" s="37"/>
      <c r="AF674" s="37"/>
      <c r="AG674" s="37"/>
      <c r="AH674" s="37"/>
      <c r="AI674" s="37"/>
      <c r="AJ674" s="37"/>
      <c r="AK674" s="37"/>
    </row>
    <row r="675" spans="1:37" ht="14.25">
      <c r="A675" s="43"/>
      <c r="B675" s="37"/>
      <c r="C675" s="37"/>
      <c r="D675" s="37"/>
      <c r="E675" s="37"/>
      <c r="F675" s="43"/>
      <c r="G675" s="43"/>
      <c r="H675" s="44"/>
      <c r="I675" s="43"/>
      <c r="J675" s="37"/>
      <c r="K675" s="37"/>
      <c r="L675" s="37"/>
      <c r="M675" s="37"/>
      <c r="N675" s="37"/>
      <c r="O675" s="37"/>
      <c r="P675" s="37"/>
      <c r="Q675" s="37"/>
      <c r="R675" s="37"/>
      <c r="S675" s="37"/>
      <c r="T675" s="37"/>
      <c r="U675" s="37"/>
      <c r="V675" s="37"/>
      <c r="W675" s="37"/>
      <c r="X675" s="37"/>
      <c r="Y675" s="37"/>
      <c r="Z675" s="37"/>
      <c r="AA675" s="37"/>
      <c r="AB675" s="37"/>
      <c r="AC675" s="37"/>
      <c r="AD675" s="37"/>
      <c r="AE675" s="37"/>
      <c r="AF675" s="37"/>
      <c r="AG675" s="37"/>
      <c r="AH675" s="37"/>
      <c r="AI675" s="37"/>
      <c r="AJ675" s="37"/>
      <c r="AK675" s="37"/>
    </row>
    <row r="676" spans="1:37" ht="14.25">
      <c r="A676" s="43"/>
      <c r="B676" s="37"/>
      <c r="C676" s="37"/>
      <c r="D676" s="37"/>
      <c r="E676" s="37"/>
      <c r="F676" s="43"/>
      <c r="G676" s="43"/>
      <c r="H676" s="44"/>
      <c r="I676" s="43"/>
      <c r="J676" s="37"/>
      <c r="K676" s="37"/>
      <c r="L676" s="37"/>
      <c r="M676" s="37"/>
      <c r="N676" s="37"/>
      <c r="O676" s="37"/>
      <c r="P676" s="37"/>
      <c r="Q676" s="37"/>
      <c r="R676" s="37"/>
      <c r="S676" s="37"/>
      <c r="T676" s="37"/>
      <c r="U676" s="37"/>
      <c r="V676" s="37"/>
      <c r="W676" s="37"/>
      <c r="X676" s="37"/>
      <c r="Y676" s="37"/>
      <c r="Z676" s="37"/>
      <c r="AA676" s="37"/>
      <c r="AB676" s="37"/>
      <c r="AC676" s="37"/>
      <c r="AD676" s="37"/>
      <c r="AE676" s="37"/>
      <c r="AF676" s="37"/>
      <c r="AG676" s="37"/>
      <c r="AH676" s="37"/>
      <c r="AI676" s="37"/>
      <c r="AJ676" s="37"/>
      <c r="AK676" s="37"/>
    </row>
    <row r="677" spans="1:37" ht="14.25">
      <c r="A677" s="43"/>
      <c r="B677" s="37"/>
      <c r="C677" s="37"/>
      <c r="D677" s="37"/>
      <c r="E677" s="37"/>
      <c r="F677" s="43"/>
      <c r="G677" s="43"/>
      <c r="H677" s="44"/>
      <c r="I677" s="43"/>
      <c r="J677" s="37"/>
      <c r="K677" s="37"/>
      <c r="L677" s="37"/>
      <c r="M677" s="37"/>
      <c r="N677" s="37"/>
      <c r="O677" s="37"/>
      <c r="P677" s="37"/>
      <c r="Q677" s="37"/>
      <c r="R677" s="37"/>
      <c r="S677" s="37"/>
      <c r="T677" s="37"/>
      <c r="U677" s="37"/>
      <c r="V677" s="37"/>
      <c r="W677" s="37"/>
      <c r="X677" s="37"/>
      <c r="Y677" s="37"/>
      <c r="Z677" s="37"/>
      <c r="AA677" s="37"/>
      <c r="AB677" s="37"/>
      <c r="AC677" s="37"/>
      <c r="AD677" s="37"/>
      <c r="AE677" s="37"/>
      <c r="AF677" s="37"/>
      <c r="AG677" s="37"/>
      <c r="AH677" s="37"/>
      <c r="AI677" s="37"/>
      <c r="AJ677" s="37"/>
      <c r="AK677" s="37"/>
    </row>
    <row r="678" spans="1:37" ht="14.25">
      <c r="A678" s="43"/>
      <c r="B678" s="37"/>
      <c r="C678" s="37"/>
      <c r="D678" s="37"/>
      <c r="E678" s="37"/>
      <c r="F678" s="43"/>
      <c r="G678" s="43"/>
      <c r="H678" s="44"/>
      <c r="I678" s="43"/>
      <c r="J678" s="37"/>
      <c r="K678" s="37"/>
      <c r="L678" s="37"/>
      <c r="M678" s="37"/>
      <c r="N678" s="37"/>
      <c r="O678" s="37"/>
      <c r="P678" s="37"/>
      <c r="Q678" s="37"/>
      <c r="R678" s="37"/>
      <c r="S678" s="37"/>
      <c r="T678" s="37"/>
      <c r="U678" s="37"/>
      <c r="V678" s="37"/>
      <c r="W678" s="37"/>
      <c r="X678" s="37"/>
      <c r="Y678" s="37"/>
      <c r="Z678" s="37"/>
      <c r="AA678" s="37"/>
      <c r="AB678" s="37"/>
      <c r="AC678" s="37"/>
      <c r="AD678" s="37"/>
      <c r="AE678" s="37"/>
      <c r="AF678" s="37"/>
      <c r="AG678" s="37"/>
      <c r="AH678" s="37"/>
      <c r="AI678" s="37"/>
      <c r="AJ678" s="37"/>
      <c r="AK678" s="37"/>
    </row>
    <row r="679" spans="1:37" ht="14.25">
      <c r="A679" s="43"/>
      <c r="B679" s="37"/>
      <c r="C679" s="37"/>
      <c r="D679" s="37"/>
      <c r="E679" s="37"/>
      <c r="F679" s="43"/>
      <c r="G679" s="43"/>
      <c r="H679" s="44"/>
      <c r="I679" s="43"/>
      <c r="J679" s="37"/>
      <c r="K679" s="37"/>
      <c r="L679" s="37"/>
      <c r="M679" s="37"/>
      <c r="N679" s="37"/>
      <c r="O679" s="37"/>
      <c r="P679" s="37"/>
      <c r="Q679" s="37"/>
      <c r="R679" s="37"/>
      <c r="S679" s="37"/>
      <c r="T679" s="37"/>
      <c r="U679" s="37"/>
      <c r="V679" s="37"/>
      <c r="W679" s="37"/>
      <c r="X679" s="37"/>
      <c r="Y679" s="37"/>
      <c r="Z679" s="37"/>
      <c r="AA679" s="37"/>
      <c r="AB679" s="37"/>
      <c r="AC679" s="37"/>
      <c r="AD679" s="37"/>
      <c r="AE679" s="37"/>
      <c r="AF679" s="37"/>
      <c r="AG679" s="37"/>
      <c r="AH679" s="37"/>
      <c r="AI679" s="37"/>
      <c r="AJ679" s="37"/>
      <c r="AK679" s="37"/>
    </row>
    <row r="680" spans="1:37" ht="14.25">
      <c r="A680" s="43"/>
      <c r="B680" s="37"/>
      <c r="C680" s="37"/>
      <c r="D680" s="37"/>
      <c r="E680" s="37"/>
      <c r="F680" s="43"/>
      <c r="G680" s="43"/>
      <c r="H680" s="44"/>
      <c r="I680" s="43"/>
      <c r="J680" s="37"/>
      <c r="K680" s="37"/>
      <c r="L680" s="37"/>
      <c r="M680" s="37"/>
      <c r="N680" s="37"/>
      <c r="O680" s="37"/>
      <c r="P680" s="37"/>
      <c r="Q680" s="37"/>
      <c r="R680" s="37"/>
      <c r="S680" s="37"/>
      <c r="T680" s="37"/>
      <c r="U680" s="37"/>
      <c r="V680" s="37"/>
      <c r="W680" s="37"/>
      <c r="X680" s="37"/>
      <c r="Y680" s="37"/>
      <c r="Z680" s="37"/>
      <c r="AA680" s="37"/>
      <c r="AB680" s="37"/>
      <c r="AC680" s="37"/>
      <c r="AD680" s="37"/>
      <c r="AE680" s="37"/>
      <c r="AF680" s="37"/>
      <c r="AG680" s="37"/>
      <c r="AH680" s="37"/>
      <c r="AI680" s="37"/>
      <c r="AJ680" s="37"/>
      <c r="AK680" s="37"/>
    </row>
    <row r="681" spans="1:37" ht="14.25">
      <c r="A681" s="43"/>
      <c r="B681" s="37"/>
      <c r="C681" s="37"/>
      <c r="D681" s="37"/>
      <c r="E681" s="37"/>
      <c r="F681" s="43"/>
      <c r="G681" s="43"/>
      <c r="H681" s="44"/>
      <c r="I681" s="43"/>
      <c r="J681" s="37"/>
      <c r="K681" s="37"/>
      <c r="L681" s="37"/>
      <c r="M681" s="37"/>
      <c r="N681" s="37"/>
      <c r="O681" s="37"/>
      <c r="P681" s="37"/>
      <c r="Q681" s="37"/>
      <c r="R681" s="37"/>
      <c r="S681" s="37"/>
      <c r="T681" s="37"/>
      <c r="U681" s="37"/>
      <c r="V681" s="37"/>
      <c r="W681" s="37"/>
      <c r="X681" s="37"/>
      <c r="Y681" s="37"/>
      <c r="Z681" s="37"/>
      <c r="AA681" s="37"/>
      <c r="AB681" s="37"/>
      <c r="AC681" s="37"/>
      <c r="AD681" s="37"/>
      <c r="AE681" s="37"/>
      <c r="AF681" s="37"/>
      <c r="AG681" s="37"/>
      <c r="AH681" s="37"/>
      <c r="AI681" s="37"/>
      <c r="AJ681" s="37"/>
      <c r="AK681" s="37"/>
    </row>
    <row r="682" spans="1:37" ht="14.25">
      <c r="A682" s="43"/>
      <c r="B682" s="37"/>
      <c r="C682" s="37"/>
      <c r="D682" s="37"/>
      <c r="E682" s="37"/>
      <c r="F682" s="43"/>
      <c r="G682" s="43"/>
      <c r="H682" s="44"/>
      <c r="I682" s="43"/>
      <c r="J682" s="37"/>
      <c r="K682" s="37"/>
      <c r="L682" s="37"/>
      <c r="M682" s="37"/>
      <c r="N682" s="37"/>
      <c r="O682" s="37"/>
      <c r="P682" s="37"/>
      <c r="Q682" s="37"/>
      <c r="R682" s="37"/>
      <c r="S682" s="37"/>
      <c r="T682" s="37"/>
      <c r="U682" s="37"/>
      <c r="V682" s="37"/>
      <c r="W682" s="37"/>
      <c r="X682" s="37"/>
      <c r="Y682" s="37"/>
      <c r="Z682" s="37"/>
      <c r="AA682" s="37"/>
      <c r="AB682" s="37"/>
      <c r="AC682" s="37"/>
      <c r="AD682" s="37"/>
      <c r="AE682" s="37"/>
      <c r="AF682" s="37"/>
      <c r="AG682" s="37"/>
      <c r="AH682" s="37"/>
      <c r="AI682" s="37"/>
      <c r="AJ682" s="37"/>
      <c r="AK682" s="37"/>
    </row>
    <row r="683" spans="1:37" ht="14.25">
      <c r="A683" s="43"/>
      <c r="B683" s="37"/>
      <c r="C683" s="37"/>
      <c r="D683" s="37"/>
      <c r="E683" s="37"/>
      <c r="F683" s="43"/>
      <c r="G683" s="43"/>
      <c r="H683" s="44"/>
      <c r="I683" s="43"/>
      <c r="J683" s="37"/>
      <c r="K683" s="37"/>
      <c r="L683" s="37"/>
      <c r="M683" s="37"/>
      <c r="N683" s="37"/>
      <c r="O683" s="37"/>
      <c r="P683" s="37"/>
      <c r="Q683" s="37"/>
      <c r="R683" s="37"/>
      <c r="S683" s="37"/>
      <c r="T683" s="37"/>
      <c r="U683" s="37"/>
      <c r="V683" s="37"/>
      <c r="W683" s="37"/>
      <c r="X683" s="37"/>
      <c r="Y683" s="37"/>
      <c r="Z683" s="37"/>
      <c r="AA683" s="37"/>
      <c r="AB683" s="37"/>
      <c r="AC683" s="37"/>
      <c r="AD683" s="37"/>
      <c r="AE683" s="37"/>
      <c r="AF683" s="37"/>
      <c r="AG683" s="37"/>
      <c r="AH683" s="37"/>
      <c r="AI683" s="37"/>
      <c r="AJ683" s="37"/>
      <c r="AK683" s="37"/>
    </row>
    <row r="684" spans="1:37" ht="14.25">
      <c r="A684" s="43"/>
      <c r="B684" s="37"/>
      <c r="C684" s="37"/>
      <c r="D684" s="37"/>
      <c r="E684" s="37"/>
      <c r="F684" s="43"/>
      <c r="G684" s="43"/>
      <c r="H684" s="44"/>
      <c r="I684" s="43"/>
      <c r="J684" s="37"/>
      <c r="K684" s="37"/>
      <c r="L684" s="37"/>
      <c r="M684" s="37"/>
      <c r="N684" s="37"/>
      <c r="O684" s="37"/>
      <c r="P684" s="37"/>
      <c r="Q684" s="37"/>
      <c r="R684" s="37"/>
      <c r="S684" s="37"/>
      <c r="T684" s="37"/>
      <c r="U684" s="37"/>
      <c r="V684" s="37"/>
      <c r="W684" s="37"/>
      <c r="X684" s="37"/>
      <c r="Y684" s="37"/>
      <c r="Z684" s="37"/>
      <c r="AA684" s="37"/>
      <c r="AB684" s="37"/>
      <c r="AC684" s="37"/>
      <c r="AD684" s="37"/>
      <c r="AE684" s="37"/>
      <c r="AF684" s="37"/>
      <c r="AG684" s="37"/>
      <c r="AH684" s="37"/>
      <c r="AI684" s="37"/>
      <c r="AJ684" s="37"/>
      <c r="AK684" s="37"/>
    </row>
    <row r="685" spans="1:37" ht="14.25">
      <c r="A685" s="43"/>
      <c r="B685" s="37"/>
      <c r="C685" s="37"/>
      <c r="D685" s="37"/>
      <c r="E685" s="37"/>
      <c r="F685" s="43"/>
      <c r="G685" s="43"/>
      <c r="H685" s="44"/>
      <c r="I685" s="43"/>
      <c r="J685" s="37"/>
      <c r="K685" s="37"/>
      <c r="L685" s="37"/>
      <c r="M685" s="37"/>
      <c r="N685" s="37"/>
      <c r="O685" s="37"/>
      <c r="P685" s="37"/>
      <c r="Q685" s="37"/>
      <c r="R685" s="37"/>
      <c r="S685" s="37"/>
      <c r="T685" s="37"/>
      <c r="U685" s="37"/>
      <c r="V685" s="37"/>
      <c r="W685" s="37"/>
      <c r="X685" s="37"/>
      <c r="Y685" s="37"/>
      <c r="Z685" s="37"/>
      <c r="AA685" s="37"/>
      <c r="AB685" s="37"/>
      <c r="AC685" s="37"/>
      <c r="AD685" s="37"/>
      <c r="AE685" s="37"/>
      <c r="AF685" s="37"/>
      <c r="AG685" s="37"/>
      <c r="AH685" s="37"/>
      <c r="AI685" s="37"/>
      <c r="AJ685" s="37"/>
      <c r="AK685" s="37"/>
    </row>
    <row r="686" spans="1:37" ht="14.25">
      <c r="A686" s="43"/>
      <c r="B686" s="37"/>
      <c r="C686" s="37"/>
      <c r="D686" s="37"/>
      <c r="E686" s="37"/>
      <c r="F686" s="43"/>
      <c r="G686" s="43"/>
      <c r="H686" s="44"/>
      <c r="I686" s="43"/>
      <c r="J686" s="37"/>
      <c r="K686" s="37"/>
      <c r="L686" s="37"/>
      <c r="M686" s="37"/>
      <c r="N686" s="37"/>
      <c r="O686" s="37"/>
      <c r="P686" s="37"/>
      <c r="Q686" s="37"/>
      <c r="R686" s="37"/>
      <c r="S686" s="37"/>
      <c r="T686" s="37"/>
      <c r="U686" s="37"/>
      <c r="V686" s="37"/>
      <c r="W686" s="37"/>
      <c r="X686" s="37"/>
      <c r="Y686" s="37"/>
      <c r="Z686" s="37"/>
      <c r="AA686" s="37"/>
      <c r="AB686" s="37"/>
      <c r="AC686" s="37"/>
      <c r="AD686" s="37"/>
      <c r="AE686" s="37"/>
      <c r="AF686" s="37"/>
      <c r="AG686" s="37"/>
      <c r="AH686" s="37"/>
      <c r="AI686" s="37"/>
      <c r="AJ686" s="37"/>
      <c r="AK686" s="37"/>
    </row>
    <row r="687" spans="1:37" ht="14.25">
      <c r="A687" s="43"/>
      <c r="B687" s="37"/>
      <c r="C687" s="37"/>
      <c r="D687" s="37"/>
      <c r="E687" s="37"/>
      <c r="F687" s="43"/>
      <c r="G687" s="43"/>
      <c r="H687" s="44"/>
      <c r="I687" s="43"/>
      <c r="J687" s="37"/>
      <c r="K687" s="37"/>
      <c r="L687" s="37"/>
      <c r="M687" s="37"/>
      <c r="N687" s="37"/>
      <c r="O687" s="37"/>
      <c r="P687" s="37"/>
      <c r="Q687" s="37"/>
      <c r="R687" s="37"/>
      <c r="S687" s="37"/>
      <c r="T687" s="37"/>
      <c r="U687" s="37"/>
      <c r="V687" s="37"/>
      <c r="W687" s="37"/>
      <c r="X687" s="37"/>
      <c r="Y687" s="37"/>
      <c r="Z687" s="37"/>
      <c r="AA687" s="37"/>
      <c r="AB687" s="37"/>
      <c r="AC687" s="37"/>
      <c r="AD687" s="37"/>
      <c r="AE687" s="37"/>
      <c r="AF687" s="37"/>
      <c r="AG687" s="37"/>
      <c r="AH687" s="37"/>
      <c r="AI687" s="37"/>
      <c r="AJ687" s="37"/>
      <c r="AK687" s="37"/>
    </row>
    <row r="688" spans="1:37" ht="14.25">
      <c r="A688" s="43"/>
      <c r="B688" s="37"/>
      <c r="C688" s="37"/>
      <c r="D688" s="37"/>
      <c r="E688" s="37"/>
      <c r="F688" s="43"/>
      <c r="G688" s="43"/>
      <c r="H688" s="44"/>
      <c r="I688" s="43"/>
      <c r="J688" s="37"/>
      <c r="K688" s="37"/>
      <c r="L688" s="37"/>
      <c r="M688" s="37"/>
      <c r="N688" s="37"/>
      <c r="O688" s="37"/>
      <c r="P688" s="37"/>
      <c r="Q688" s="37"/>
      <c r="R688" s="37"/>
      <c r="S688" s="37"/>
      <c r="T688" s="37"/>
      <c r="U688" s="37"/>
      <c r="V688" s="37"/>
      <c r="W688" s="37"/>
      <c r="X688" s="37"/>
      <c r="Y688" s="37"/>
      <c r="Z688" s="37"/>
      <c r="AA688" s="37"/>
      <c r="AB688" s="37"/>
      <c r="AC688" s="37"/>
      <c r="AD688" s="37"/>
      <c r="AE688" s="37"/>
      <c r="AF688" s="37"/>
      <c r="AG688" s="37"/>
      <c r="AH688" s="37"/>
      <c r="AI688" s="37"/>
      <c r="AJ688" s="37"/>
      <c r="AK688" s="37"/>
    </row>
    <row r="689" spans="1:37" ht="14.25">
      <c r="A689" s="43"/>
      <c r="B689" s="37"/>
      <c r="C689" s="37"/>
      <c r="D689" s="37"/>
      <c r="E689" s="37"/>
      <c r="F689" s="43"/>
      <c r="G689" s="43"/>
      <c r="H689" s="44"/>
      <c r="I689" s="43"/>
      <c r="J689" s="37"/>
      <c r="K689" s="37"/>
      <c r="L689" s="37"/>
      <c r="M689" s="37"/>
      <c r="N689" s="37"/>
      <c r="O689" s="37"/>
      <c r="P689" s="37"/>
      <c r="Q689" s="37"/>
      <c r="R689" s="37"/>
      <c r="S689" s="37"/>
      <c r="T689" s="37"/>
      <c r="U689" s="37"/>
      <c r="V689" s="37"/>
      <c r="W689" s="37"/>
      <c r="X689" s="37"/>
      <c r="Y689" s="37"/>
      <c r="Z689" s="37"/>
      <c r="AA689" s="37"/>
      <c r="AB689" s="37"/>
      <c r="AC689" s="37"/>
      <c r="AD689" s="37"/>
      <c r="AE689" s="37"/>
      <c r="AF689" s="37"/>
      <c r="AG689" s="37"/>
      <c r="AH689" s="37"/>
      <c r="AI689" s="37"/>
      <c r="AJ689" s="37"/>
      <c r="AK689" s="37"/>
    </row>
    <row r="690" spans="1:37" ht="14.25">
      <c r="A690" s="43"/>
      <c r="B690" s="37"/>
      <c r="C690" s="37"/>
      <c r="D690" s="37"/>
      <c r="E690" s="37"/>
      <c r="F690" s="43"/>
      <c r="G690" s="43"/>
      <c r="H690" s="44"/>
      <c r="I690" s="43"/>
      <c r="J690" s="37"/>
      <c r="K690" s="37"/>
      <c r="L690" s="37"/>
      <c r="M690" s="37"/>
      <c r="N690" s="37"/>
      <c r="O690" s="37"/>
      <c r="P690" s="37"/>
      <c r="Q690" s="37"/>
      <c r="R690" s="37"/>
      <c r="S690" s="37"/>
      <c r="T690" s="37"/>
      <c r="U690" s="37"/>
      <c r="V690" s="37"/>
      <c r="W690" s="37"/>
      <c r="X690" s="37"/>
      <c r="Y690" s="37"/>
      <c r="Z690" s="37"/>
      <c r="AA690" s="37"/>
      <c r="AB690" s="37"/>
      <c r="AC690" s="37"/>
      <c r="AD690" s="37"/>
      <c r="AE690" s="37"/>
      <c r="AF690" s="37"/>
      <c r="AG690" s="37"/>
      <c r="AH690" s="37"/>
      <c r="AI690" s="37"/>
      <c r="AJ690" s="37"/>
      <c r="AK690" s="37"/>
    </row>
    <row r="691" spans="1:37" ht="14.25">
      <c r="A691" s="43"/>
      <c r="B691" s="37"/>
      <c r="C691" s="37"/>
      <c r="D691" s="37"/>
      <c r="E691" s="37"/>
      <c r="F691" s="43"/>
      <c r="G691" s="43"/>
      <c r="H691" s="44"/>
      <c r="I691" s="43"/>
      <c r="J691" s="37"/>
      <c r="K691" s="37"/>
      <c r="L691" s="37"/>
      <c r="M691" s="37"/>
      <c r="N691" s="37"/>
      <c r="O691" s="37"/>
      <c r="P691" s="37"/>
      <c r="Q691" s="37"/>
      <c r="R691" s="37"/>
      <c r="S691" s="37"/>
      <c r="T691" s="37"/>
      <c r="U691" s="37"/>
      <c r="V691" s="37"/>
      <c r="W691" s="37"/>
      <c r="X691" s="37"/>
      <c r="Y691" s="37"/>
      <c r="Z691" s="37"/>
      <c r="AA691" s="37"/>
      <c r="AB691" s="37"/>
      <c r="AC691" s="37"/>
      <c r="AD691" s="37"/>
      <c r="AE691" s="37"/>
      <c r="AF691" s="37"/>
      <c r="AG691" s="37"/>
      <c r="AH691" s="37"/>
      <c r="AI691" s="37"/>
      <c r="AJ691" s="37"/>
      <c r="AK691" s="37"/>
    </row>
    <row r="692" spans="1:37" ht="14.25">
      <c r="A692" s="43"/>
      <c r="B692" s="37"/>
      <c r="C692" s="37"/>
      <c r="D692" s="37"/>
      <c r="E692" s="37"/>
      <c r="F692" s="43"/>
      <c r="G692" s="43"/>
      <c r="H692" s="44"/>
      <c r="I692" s="43"/>
      <c r="J692" s="37"/>
      <c r="K692" s="37"/>
      <c r="L692" s="37"/>
      <c r="M692" s="37"/>
      <c r="N692" s="37"/>
      <c r="O692" s="37"/>
      <c r="P692" s="37"/>
      <c r="Q692" s="37"/>
      <c r="R692" s="37"/>
      <c r="S692" s="37"/>
      <c r="T692" s="37"/>
      <c r="U692" s="37"/>
      <c r="V692" s="37"/>
      <c r="W692" s="37"/>
      <c r="X692" s="37"/>
      <c r="Y692" s="37"/>
      <c r="Z692" s="37"/>
      <c r="AA692" s="37"/>
      <c r="AB692" s="37"/>
      <c r="AC692" s="37"/>
      <c r="AD692" s="37"/>
      <c r="AE692" s="37"/>
      <c r="AF692" s="37"/>
      <c r="AG692" s="37"/>
      <c r="AH692" s="37"/>
      <c r="AI692" s="37"/>
      <c r="AJ692" s="37"/>
      <c r="AK692" s="37"/>
    </row>
    <row r="693" spans="1:37" ht="14.25">
      <c r="A693" s="43"/>
      <c r="B693" s="37"/>
      <c r="C693" s="37"/>
      <c r="D693" s="37"/>
      <c r="E693" s="37"/>
      <c r="F693" s="43"/>
      <c r="G693" s="43"/>
      <c r="H693" s="44"/>
      <c r="I693" s="43"/>
      <c r="J693" s="37"/>
      <c r="K693" s="37"/>
      <c r="L693" s="37"/>
      <c r="M693" s="37"/>
      <c r="N693" s="37"/>
      <c r="O693" s="37"/>
      <c r="P693" s="37"/>
      <c r="Q693" s="37"/>
      <c r="R693" s="37"/>
      <c r="S693" s="37"/>
      <c r="T693" s="37"/>
      <c r="U693" s="37"/>
      <c r="V693" s="37"/>
      <c r="W693" s="37"/>
      <c r="X693" s="37"/>
      <c r="Y693" s="37"/>
      <c r="Z693" s="37"/>
      <c r="AA693" s="37"/>
      <c r="AB693" s="37"/>
      <c r="AC693" s="37"/>
      <c r="AD693" s="37"/>
      <c r="AE693" s="37"/>
      <c r="AF693" s="37"/>
      <c r="AG693" s="37"/>
      <c r="AH693" s="37"/>
      <c r="AI693" s="37"/>
      <c r="AJ693" s="37"/>
      <c r="AK693" s="37"/>
    </row>
    <row r="694" spans="1:37" ht="14.25">
      <c r="A694" s="43"/>
      <c r="B694" s="37"/>
      <c r="C694" s="37"/>
      <c r="D694" s="37"/>
      <c r="E694" s="37"/>
      <c r="F694" s="43"/>
      <c r="G694" s="43"/>
      <c r="H694" s="44"/>
      <c r="I694" s="43"/>
      <c r="J694" s="37"/>
      <c r="K694" s="37"/>
      <c r="L694" s="37"/>
      <c r="M694" s="37"/>
      <c r="N694" s="37"/>
      <c r="O694" s="37"/>
      <c r="P694" s="37"/>
      <c r="Q694" s="37"/>
      <c r="R694" s="37"/>
      <c r="S694" s="37"/>
      <c r="T694" s="37"/>
      <c r="U694" s="37"/>
      <c r="V694" s="37"/>
      <c r="W694" s="37"/>
      <c r="X694" s="37"/>
      <c r="Y694" s="37"/>
      <c r="Z694" s="37"/>
      <c r="AA694" s="37"/>
      <c r="AB694" s="37"/>
      <c r="AC694" s="37"/>
      <c r="AD694" s="37"/>
      <c r="AE694" s="37"/>
      <c r="AF694" s="37"/>
      <c r="AG694" s="37"/>
      <c r="AH694" s="37"/>
      <c r="AI694" s="37"/>
      <c r="AJ694" s="37"/>
      <c r="AK694" s="37"/>
    </row>
    <row r="695" spans="1:37" ht="14.25">
      <c r="A695" s="43"/>
      <c r="B695" s="37"/>
      <c r="C695" s="37"/>
      <c r="D695" s="37"/>
      <c r="E695" s="37"/>
      <c r="F695" s="43"/>
      <c r="G695" s="43"/>
      <c r="H695" s="44"/>
      <c r="I695" s="43"/>
      <c r="J695" s="37"/>
      <c r="K695" s="37"/>
      <c r="L695" s="37"/>
      <c r="M695" s="37"/>
      <c r="N695" s="37"/>
      <c r="O695" s="37"/>
      <c r="P695" s="37"/>
      <c r="Q695" s="37"/>
      <c r="R695" s="37"/>
      <c r="S695" s="37"/>
      <c r="T695" s="37"/>
      <c r="U695" s="37"/>
      <c r="V695" s="37"/>
      <c r="W695" s="37"/>
      <c r="X695" s="37"/>
      <c r="Y695" s="37"/>
      <c r="Z695" s="37"/>
      <c r="AA695" s="37"/>
      <c r="AB695" s="37"/>
      <c r="AC695" s="37"/>
      <c r="AD695" s="37"/>
      <c r="AE695" s="37"/>
      <c r="AF695" s="37"/>
      <c r="AG695" s="37"/>
      <c r="AH695" s="37"/>
      <c r="AI695" s="37"/>
      <c r="AJ695" s="37"/>
      <c r="AK695" s="37"/>
    </row>
    <row r="696" spans="1:37" ht="14.25">
      <c r="A696" s="43"/>
      <c r="B696" s="37"/>
      <c r="C696" s="37"/>
      <c r="D696" s="37"/>
      <c r="E696" s="37"/>
      <c r="F696" s="43"/>
      <c r="G696" s="43"/>
      <c r="H696" s="44"/>
      <c r="I696" s="43"/>
      <c r="J696" s="37"/>
      <c r="K696" s="37"/>
      <c r="L696" s="37"/>
      <c r="M696" s="37"/>
      <c r="N696" s="37"/>
      <c r="O696" s="37"/>
      <c r="P696" s="37"/>
      <c r="Q696" s="37"/>
      <c r="R696" s="37"/>
      <c r="S696" s="37"/>
      <c r="T696" s="37"/>
      <c r="U696" s="37"/>
      <c r="V696" s="37"/>
      <c r="W696" s="37"/>
      <c r="X696" s="37"/>
      <c r="Y696" s="37"/>
      <c r="Z696" s="37"/>
      <c r="AA696" s="37"/>
      <c r="AB696" s="37"/>
      <c r="AC696" s="37"/>
      <c r="AD696" s="37"/>
      <c r="AE696" s="37"/>
      <c r="AF696" s="37"/>
      <c r="AG696" s="37"/>
      <c r="AH696" s="37"/>
      <c r="AI696" s="37"/>
      <c r="AJ696" s="37"/>
      <c r="AK696" s="37"/>
    </row>
    <row r="697" spans="1:37" ht="14.25">
      <c r="A697" s="43"/>
      <c r="B697" s="37"/>
      <c r="C697" s="37"/>
      <c r="D697" s="37"/>
      <c r="E697" s="37"/>
      <c r="F697" s="43"/>
      <c r="G697" s="43"/>
      <c r="H697" s="44"/>
      <c r="I697" s="43"/>
      <c r="J697" s="37"/>
      <c r="K697" s="37"/>
      <c r="L697" s="37"/>
      <c r="M697" s="37"/>
      <c r="N697" s="37"/>
      <c r="O697" s="37"/>
      <c r="P697" s="37"/>
      <c r="Q697" s="37"/>
      <c r="R697" s="37"/>
      <c r="S697" s="37"/>
      <c r="T697" s="37"/>
      <c r="U697" s="37"/>
      <c r="V697" s="37"/>
      <c r="W697" s="37"/>
      <c r="X697" s="37"/>
      <c r="Y697" s="37"/>
      <c r="Z697" s="37"/>
      <c r="AA697" s="37"/>
      <c r="AB697" s="37"/>
      <c r="AC697" s="37"/>
      <c r="AD697" s="37"/>
      <c r="AE697" s="37"/>
      <c r="AF697" s="37"/>
      <c r="AG697" s="37"/>
      <c r="AH697" s="37"/>
      <c r="AI697" s="37"/>
      <c r="AJ697" s="37"/>
      <c r="AK697" s="37"/>
    </row>
    <row r="698" spans="1:37" ht="14.25">
      <c r="A698" s="43"/>
      <c r="B698" s="37"/>
      <c r="C698" s="37"/>
      <c r="D698" s="37"/>
      <c r="E698" s="37"/>
      <c r="F698" s="43"/>
      <c r="G698" s="43"/>
      <c r="H698" s="44"/>
      <c r="I698" s="43"/>
      <c r="J698" s="37"/>
      <c r="K698" s="37"/>
      <c r="L698" s="37"/>
      <c r="M698" s="37"/>
      <c r="N698" s="37"/>
      <c r="O698" s="37"/>
      <c r="P698" s="37"/>
      <c r="Q698" s="37"/>
      <c r="R698" s="37"/>
      <c r="S698" s="37"/>
      <c r="T698" s="37"/>
      <c r="U698" s="37"/>
      <c r="V698" s="37"/>
      <c r="W698" s="37"/>
      <c r="X698" s="37"/>
      <c r="Y698" s="37"/>
      <c r="Z698" s="37"/>
      <c r="AA698" s="37"/>
      <c r="AB698" s="37"/>
      <c r="AC698" s="37"/>
      <c r="AD698" s="37"/>
      <c r="AE698" s="37"/>
      <c r="AF698" s="37"/>
      <c r="AG698" s="37"/>
      <c r="AH698" s="37"/>
      <c r="AI698" s="37"/>
      <c r="AJ698" s="37"/>
      <c r="AK698" s="37"/>
    </row>
    <row r="699" spans="1:37" ht="14.25">
      <c r="A699" s="43"/>
      <c r="B699" s="37"/>
      <c r="C699" s="37"/>
      <c r="D699" s="37"/>
      <c r="E699" s="37"/>
      <c r="F699" s="43"/>
      <c r="G699" s="43"/>
      <c r="H699" s="44"/>
      <c r="I699" s="43"/>
      <c r="J699" s="37"/>
      <c r="K699" s="37"/>
      <c r="L699" s="37"/>
      <c r="M699" s="37"/>
      <c r="N699" s="37"/>
      <c r="O699" s="37"/>
      <c r="P699" s="37"/>
      <c r="Q699" s="37"/>
      <c r="R699" s="37"/>
      <c r="S699" s="37"/>
      <c r="T699" s="37"/>
      <c r="U699" s="37"/>
      <c r="V699" s="37"/>
      <c r="W699" s="37"/>
      <c r="X699" s="37"/>
      <c r="Y699" s="37"/>
      <c r="Z699" s="37"/>
      <c r="AA699" s="37"/>
      <c r="AB699" s="37"/>
      <c r="AC699" s="37"/>
      <c r="AD699" s="37"/>
      <c r="AE699" s="37"/>
      <c r="AF699" s="37"/>
      <c r="AG699" s="37"/>
      <c r="AH699" s="37"/>
      <c r="AI699" s="37"/>
      <c r="AJ699" s="37"/>
      <c r="AK699" s="37"/>
    </row>
    <row r="700" spans="1:37" ht="14.25">
      <c r="A700" s="43"/>
      <c r="B700" s="37"/>
      <c r="C700" s="37"/>
      <c r="D700" s="37"/>
      <c r="E700" s="37"/>
      <c r="F700" s="43"/>
      <c r="G700" s="43"/>
      <c r="H700" s="44"/>
      <c r="I700" s="43"/>
      <c r="J700" s="37"/>
      <c r="K700" s="37"/>
      <c r="L700" s="37"/>
      <c r="M700" s="37"/>
      <c r="N700" s="37"/>
      <c r="O700" s="37"/>
      <c r="P700" s="37"/>
      <c r="Q700" s="37"/>
      <c r="R700" s="37"/>
      <c r="S700" s="37"/>
      <c r="T700" s="37"/>
      <c r="U700" s="37"/>
      <c r="V700" s="37"/>
      <c r="W700" s="37"/>
      <c r="X700" s="37"/>
      <c r="Y700" s="37"/>
      <c r="Z700" s="37"/>
      <c r="AA700" s="37"/>
      <c r="AB700" s="37"/>
      <c r="AC700" s="37"/>
      <c r="AD700" s="37"/>
      <c r="AE700" s="37"/>
      <c r="AF700" s="37"/>
      <c r="AG700" s="37"/>
      <c r="AH700" s="37"/>
      <c r="AI700" s="37"/>
      <c r="AJ700" s="37"/>
      <c r="AK700" s="37"/>
    </row>
    <row r="701" spans="1:37" ht="14.25">
      <c r="A701" s="43"/>
      <c r="B701" s="37"/>
      <c r="C701" s="37"/>
      <c r="D701" s="37"/>
      <c r="E701" s="37"/>
      <c r="F701" s="43"/>
      <c r="G701" s="43"/>
      <c r="H701" s="44"/>
      <c r="I701" s="43"/>
      <c r="J701" s="37"/>
      <c r="K701" s="37"/>
      <c r="L701" s="37"/>
      <c r="M701" s="37"/>
      <c r="N701" s="37"/>
      <c r="O701" s="37"/>
      <c r="P701" s="37"/>
      <c r="Q701" s="37"/>
      <c r="R701" s="37"/>
      <c r="S701" s="37"/>
      <c r="T701" s="37"/>
      <c r="U701" s="37"/>
      <c r="V701" s="37"/>
      <c r="W701" s="37"/>
      <c r="X701" s="37"/>
      <c r="Y701" s="37"/>
      <c r="Z701" s="37"/>
      <c r="AA701" s="37"/>
      <c r="AB701" s="37"/>
      <c r="AC701" s="37"/>
      <c r="AD701" s="37"/>
      <c r="AE701" s="37"/>
      <c r="AF701" s="37"/>
      <c r="AG701" s="37"/>
      <c r="AH701" s="37"/>
      <c r="AI701" s="37"/>
      <c r="AJ701" s="37"/>
      <c r="AK701" s="37"/>
    </row>
    <row r="702" spans="1:37" ht="14.25">
      <c r="A702" s="43"/>
      <c r="B702" s="37"/>
      <c r="C702" s="37"/>
      <c r="D702" s="37"/>
      <c r="E702" s="37"/>
      <c r="F702" s="43"/>
      <c r="G702" s="43"/>
      <c r="H702" s="44"/>
      <c r="I702" s="43"/>
      <c r="J702" s="37"/>
      <c r="K702" s="37"/>
      <c r="L702" s="37"/>
      <c r="M702" s="37"/>
      <c r="N702" s="37"/>
      <c r="O702" s="37"/>
      <c r="P702" s="37"/>
      <c r="Q702" s="37"/>
      <c r="R702" s="37"/>
      <c r="S702" s="37"/>
      <c r="T702" s="37"/>
      <c r="U702" s="37"/>
      <c r="V702" s="37"/>
      <c r="W702" s="37"/>
      <c r="X702" s="37"/>
      <c r="Y702" s="37"/>
      <c r="Z702" s="37"/>
      <c r="AA702" s="37"/>
      <c r="AB702" s="37"/>
      <c r="AC702" s="37"/>
      <c r="AD702" s="37"/>
      <c r="AE702" s="37"/>
      <c r="AF702" s="37"/>
      <c r="AG702" s="37"/>
      <c r="AH702" s="37"/>
      <c r="AI702" s="37"/>
      <c r="AJ702" s="37"/>
      <c r="AK702" s="37"/>
    </row>
    <row r="703" spans="1:37" ht="14.25">
      <c r="A703" s="43"/>
      <c r="B703" s="37"/>
      <c r="C703" s="37"/>
      <c r="D703" s="37"/>
      <c r="E703" s="37"/>
      <c r="F703" s="43"/>
      <c r="G703" s="43"/>
      <c r="H703" s="44"/>
      <c r="I703" s="43"/>
      <c r="J703" s="37"/>
      <c r="K703" s="37"/>
      <c r="L703" s="37"/>
      <c r="M703" s="37"/>
      <c r="N703" s="37"/>
      <c r="O703" s="37"/>
      <c r="P703" s="37"/>
      <c r="Q703" s="37"/>
      <c r="R703" s="37"/>
      <c r="S703" s="37"/>
      <c r="T703" s="37"/>
      <c r="U703" s="37"/>
      <c r="V703" s="37"/>
      <c r="W703" s="37"/>
      <c r="X703" s="37"/>
      <c r="Y703" s="37"/>
      <c r="Z703" s="37"/>
      <c r="AA703" s="37"/>
      <c r="AB703" s="37"/>
      <c r="AC703" s="37"/>
      <c r="AD703" s="37"/>
      <c r="AE703" s="37"/>
      <c r="AF703" s="37"/>
      <c r="AG703" s="37"/>
      <c r="AH703" s="37"/>
      <c r="AI703" s="37"/>
      <c r="AJ703" s="37"/>
      <c r="AK703" s="37"/>
    </row>
    <row r="704" spans="1:37" ht="14.25">
      <c r="A704" s="43"/>
      <c r="B704" s="37"/>
      <c r="C704" s="37"/>
      <c r="D704" s="37"/>
      <c r="E704" s="37"/>
      <c r="F704" s="43"/>
      <c r="G704" s="43"/>
      <c r="H704" s="44"/>
      <c r="I704" s="43"/>
      <c r="J704" s="37"/>
      <c r="K704" s="37"/>
      <c r="L704" s="37"/>
      <c r="M704" s="37"/>
      <c r="N704" s="37"/>
      <c r="O704" s="37"/>
      <c r="P704" s="37"/>
      <c r="Q704" s="37"/>
      <c r="R704" s="37"/>
      <c r="S704" s="37"/>
      <c r="T704" s="37"/>
      <c r="U704" s="37"/>
      <c r="V704" s="37"/>
      <c r="W704" s="37"/>
      <c r="X704" s="37"/>
      <c r="Y704" s="37"/>
      <c r="Z704" s="37"/>
      <c r="AA704" s="37"/>
      <c r="AB704" s="37"/>
      <c r="AC704" s="37"/>
      <c r="AD704" s="37"/>
      <c r="AE704" s="37"/>
      <c r="AF704" s="37"/>
      <c r="AG704" s="37"/>
      <c r="AH704" s="37"/>
      <c r="AI704" s="37"/>
      <c r="AJ704" s="37"/>
      <c r="AK704" s="37"/>
    </row>
    <row r="705" spans="1:37" ht="14.25">
      <c r="A705" s="43"/>
      <c r="B705" s="37"/>
      <c r="C705" s="37"/>
      <c r="D705" s="37"/>
      <c r="E705" s="37"/>
      <c r="F705" s="43"/>
      <c r="G705" s="43"/>
      <c r="H705" s="44"/>
      <c r="I705" s="43"/>
      <c r="J705" s="37"/>
      <c r="K705" s="37"/>
      <c r="L705" s="37"/>
      <c r="M705" s="37"/>
      <c r="N705" s="37"/>
      <c r="O705" s="37"/>
      <c r="P705" s="37"/>
      <c r="Q705" s="37"/>
      <c r="R705" s="37"/>
      <c r="S705" s="37"/>
      <c r="T705" s="37"/>
      <c r="U705" s="37"/>
      <c r="V705" s="37"/>
      <c r="W705" s="37"/>
      <c r="X705" s="37"/>
      <c r="Y705" s="37"/>
      <c r="Z705" s="37"/>
      <c r="AA705" s="37"/>
      <c r="AB705" s="37"/>
      <c r="AC705" s="37"/>
      <c r="AD705" s="37"/>
      <c r="AE705" s="37"/>
      <c r="AF705" s="37"/>
      <c r="AG705" s="37"/>
      <c r="AH705" s="37"/>
      <c r="AI705" s="37"/>
      <c r="AJ705" s="37"/>
      <c r="AK705" s="37"/>
    </row>
    <row r="706" spans="1:37" ht="14.25">
      <c r="A706" s="43"/>
      <c r="B706" s="37"/>
      <c r="C706" s="37"/>
      <c r="D706" s="37"/>
      <c r="E706" s="37"/>
      <c r="F706" s="43"/>
      <c r="G706" s="43"/>
      <c r="H706" s="44"/>
      <c r="I706" s="43"/>
      <c r="J706" s="37"/>
      <c r="K706" s="37"/>
      <c r="L706" s="37"/>
      <c r="M706" s="37"/>
      <c r="N706" s="37"/>
      <c r="O706" s="37"/>
      <c r="P706" s="37"/>
      <c r="Q706" s="37"/>
      <c r="R706" s="37"/>
      <c r="S706" s="37"/>
      <c r="T706" s="37"/>
      <c r="U706" s="37"/>
      <c r="V706" s="37"/>
      <c r="W706" s="37"/>
      <c r="X706" s="37"/>
      <c r="Y706" s="37"/>
      <c r="Z706" s="37"/>
      <c r="AA706" s="37"/>
      <c r="AB706" s="37"/>
      <c r="AC706" s="37"/>
      <c r="AD706" s="37"/>
      <c r="AE706" s="37"/>
      <c r="AF706" s="37"/>
      <c r="AG706" s="37"/>
      <c r="AH706" s="37"/>
      <c r="AI706" s="37"/>
      <c r="AJ706" s="37"/>
      <c r="AK706" s="37"/>
    </row>
    <row r="707" spans="1:37" ht="14.25">
      <c r="A707" s="43"/>
      <c r="B707" s="37"/>
      <c r="C707" s="37"/>
      <c r="D707" s="37"/>
      <c r="E707" s="37"/>
      <c r="F707" s="43"/>
      <c r="G707" s="43"/>
      <c r="H707" s="44"/>
      <c r="I707" s="43"/>
      <c r="J707" s="37"/>
      <c r="K707" s="37"/>
      <c r="L707" s="37"/>
      <c r="M707" s="37"/>
      <c r="N707" s="37"/>
      <c r="O707" s="37"/>
      <c r="P707" s="37"/>
      <c r="Q707" s="37"/>
      <c r="R707" s="37"/>
      <c r="S707" s="37"/>
      <c r="T707" s="37"/>
      <c r="U707" s="37"/>
      <c r="V707" s="37"/>
      <c r="W707" s="37"/>
      <c r="X707" s="37"/>
      <c r="Y707" s="37"/>
      <c r="Z707" s="37"/>
      <c r="AA707" s="37"/>
      <c r="AB707" s="37"/>
      <c r="AC707" s="37"/>
      <c r="AD707" s="37"/>
      <c r="AE707" s="37"/>
      <c r="AF707" s="37"/>
      <c r="AG707" s="37"/>
      <c r="AH707" s="37"/>
      <c r="AI707" s="37"/>
      <c r="AJ707" s="37"/>
      <c r="AK707" s="37"/>
    </row>
    <row r="708" spans="1:37" ht="14.25">
      <c r="A708" s="43"/>
      <c r="B708" s="37"/>
      <c r="C708" s="37"/>
      <c r="D708" s="37"/>
      <c r="E708" s="37"/>
      <c r="F708" s="43"/>
      <c r="G708" s="43"/>
      <c r="H708" s="44"/>
      <c r="I708" s="43"/>
      <c r="J708" s="37"/>
      <c r="K708" s="37"/>
      <c r="L708" s="37"/>
      <c r="M708" s="37"/>
      <c r="N708" s="37"/>
      <c r="O708" s="37"/>
      <c r="P708" s="37"/>
      <c r="Q708" s="37"/>
      <c r="R708" s="37"/>
      <c r="S708" s="37"/>
      <c r="T708" s="37"/>
      <c r="U708" s="37"/>
      <c r="V708" s="37"/>
      <c r="W708" s="37"/>
      <c r="X708" s="37"/>
      <c r="Y708" s="37"/>
      <c r="Z708" s="37"/>
      <c r="AA708" s="37"/>
      <c r="AB708" s="37"/>
      <c r="AC708" s="37"/>
      <c r="AD708" s="37"/>
      <c r="AE708" s="37"/>
      <c r="AF708" s="37"/>
      <c r="AG708" s="37"/>
      <c r="AH708" s="37"/>
      <c r="AI708" s="37"/>
      <c r="AJ708" s="37"/>
      <c r="AK708" s="37"/>
    </row>
    <row r="709" spans="1:37" ht="14.25">
      <c r="A709" s="43"/>
      <c r="B709" s="37"/>
      <c r="C709" s="37"/>
      <c r="D709" s="37"/>
      <c r="E709" s="37"/>
      <c r="F709" s="43"/>
      <c r="G709" s="43"/>
      <c r="H709" s="44"/>
      <c r="I709" s="43"/>
      <c r="J709" s="37"/>
      <c r="K709" s="37"/>
      <c r="L709" s="37"/>
      <c r="M709" s="37"/>
      <c r="N709" s="37"/>
      <c r="O709" s="37"/>
      <c r="P709" s="37"/>
      <c r="Q709" s="37"/>
      <c r="R709" s="37"/>
      <c r="S709" s="37"/>
      <c r="T709" s="37"/>
      <c r="U709" s="37"/>
      <c r="V709" s="37"/>
      <c r="W709" s="37"/>
      <c r="X709" s="37"/>
      <c r="Y709" s="37"/>
      <c r="Z709" s="37"/>
      <c r="AA709" s="37"/>
      <c r="AB709" s="37"/>
      <c r="AC709" s="37"/>
      <c r="AD709" s="37"/>
      <c r="AE709" s="37"/>
      <c r="AF709" s="37"/>
      <c r="AG709" s="37"/>
      <c r="AH709" s="37"/>
      <c r="AI709" s="37"/>
      <c r="AJ709" s="37"/>
      <c r="AK709" s="37"/>
    </row>
    <row r="710" spans="1:37" ht="14.25">
      <c r="A710" s="43"/>
      <c r="B710" s="37"/>
      <c r="C710" s="37"/>
      <c r="D710" s="37"/>
      <c r="E710" s="37"/>
      <c r="F710" s="43"/>
      <c r="G710" s="43"/>
      <c r="H710" s="44"/>
      <c r="I710" s="43"/>
      <c r="J710" s="37"/>
      <c r="K710" s="37"/>
      <c r="L710" s="37"/>
      <c r="M710" s="37"/>
      <c r="N710" s="37"/>
      <c r="O710" s="37"/>
      <c r="P710" s="37"/>
      <c r="Q710" s="37"/>
      <c r="R710" s="37"/>
      <c r="S710" s="37"/>
      <c r="T710" s="37"/>
      <c r="U710" s="37"/>
      <c r="V710" s="37"/>
      <c r="W710" s="37"/>
      <c r="X710" s="37"/>
      <c r="Y710" s="37"/>
      <c r="Z710" s="37"/>
      <c r="AA710" s="37"/>
      <c r="AB710" s="37"/>
      <c r="AC710" s="37"/>
      <c r="AD710" s="37"/>
      <c r="AE710" s="37"/>
      <c r="AF710" s="37"/>
      <c r="AG710" s="37"/>
      <c r="AH710" s="37"/>
      <c r="AI710" s="37"/>
      <c r="AJ710" s="37"/>
      <c r="AK710" s="37"/>
    </row>
    <row r="711" spans="1:37" ht="14.25">
      <c r="A711" s="43"/>
      <c r="B711" s="37"/>
      <c r="C711" s="37"/>
      <c r="D711" s="37"/>
      <c r="E711" s="37"/>
      <c r="F711" s="43"/>
      <c r="G711" s="43"/>
      <c r="H711" s="44"/>
      <c r="I711" s="43"/>
      <c r="J711" s="37"/>
      <c r="K711" s="37"/>
      <c r="L711" s="37"/>
      <c r="M711" s="37"/>
      <c r="N711" s="37"/>
      <c r="O711" s="37"/>
      <c r="P711" s="37"/>
      <c r="Q711" s="37"/>
      <c r="R711" s="37"/>
      <c r="S711" s="37"/>
      <c r="T711" s="37"/>
      <c r="U711" s="37"/>
      <c r="V711" s="37"/>
      <c r="W711" s="37"/>
      <c r="X711" s="37"/>
      <c r="Y711" s="37"/>
      <c r="Z711" s="37"/>
      <c r="AA711" s="37"/>
      <c r="AB711" s="37"/>
      <c r="AC711" s="37"/>
      <c r="AD711" s="37"/>
      <c r="AE711" s="37"/>
      <c r="AF711" s="37"/>
      <c r="AG711" s="37"/>
      <c r="AH711" s="37"/>
      <c r="AI711" s="37"/>
      <c r="AJ711" s="37"/>
      <c r="AK711" s="37"/>
    </row>
    <row r="712" spans="1:37" ht="14.25">
      <c r="A712" s="43"/>
      <c r="B712" s="37"/>
      <c r="C712" s="37"/>
      <c r="D712" s="37"/>
      <c r="E712" s="37"/>
      <c r="F712" s="43"/>
      <c r="G712" s="43"/>
      <c r="H712" s="44"/>
      <c r="I712" s="43"/>
      <c r="J712" s="37"/>
      <c r="K712" s="37"/>
      <c r="L712" s="37"/>
      <c r="M712" s="37"/>
      <c r="N712" s="37"/>
      <c r="O712" s="37"/>
      <c r="P712" s="37"/>
      <c r="Q712" s="37"/>
      <c r="R712" s="37"/>
      <c r="S712" s="37"/>
      <c r="T712" s="37"/>
      <c r="U712" s="37"/>
      <c r="V712" s="37"/>
      <c r="W712" s="37"/>
      <c r="X712" s="37"/>
      <c r="Y712" s="37"/>
      <c r="Z712" s="37"/>
      <c r="AA712" s="37"/>
      <c r="AB712" s="37"/>
      <c r="AC712" s="37"/>
      <c r="AD712" s="37"/>
      <c r="AE712" s="37"/>
      <c r="AF712" s="37"/>
      <c r="AG712" s="37"/>
      <c r="AH712" s="37"/>
      <c r="AI712" s="37"/>
      <c r="AJ712" s="37"/>
      <c r="AK712" s="37"/>
    </row>
    <row r="713" spans="1:37" ht="14.25">
      <c r="A713" s="43"/>
      <c r="B713" s="37"/>
      <c r="C713" s="37"/>
      <c r="D713" s="37"/>
      <c r="E713" s="37"/>
      <c r="F713" s="43"/>
      <c r="G713" s="43"/>
      <c r="H713" s="44"/>
      <c r="I713" s="43"/>
      <c r="J713" s="37"/>
      <c r="K713" s="37"/>
      <c r="L713" s="37"/>
      <c r="M713" s="37"/>
      <c r="N713" s="37"/>
      <c r="O713" s="37"/>
      <c r="P713" s="37"/>
      <c r="Q713" s="37"/>
      <c r="R713" s="37"/>
      <c r="S713" s="37"/>
      <c r="T713" s="37"/>
      <c r="U713" s="37"/>
      <c r="V713" s="37"/>
      <c r="W713" s="37"/>
      <c r="X713" s="37"/>
      <c r="Y713" s="37"/>
      <c r="Z713" s="37"/>
      <c r="AA713" s="37"/>
      <c r="AB713" s="37"/>
      <c r="AC713" s="37"/>
      <c r="AD713" s="37"/>
      <c r="AE713" s="37"/>
      <c r="AF713" s="37"/>
      <c r="AG713" s="37"/>
      <c r="AH713" s="37"/>
      <c r="AI713" s="37"/>
      <c r="AJ713" s="37"/>
      <c r="AK713" s="37"/>
    </row>
    <row r="714" spans="1:37" ht="14.25">
      <c r="A714" s="43"/>
      <c r="B714" s="37"/>
      <c r="C714" s="37"/>
      <c r="D714" s="37"/>
      <c r="E714" s="37"/>
      <c r="F714" s="43"/>
      <c r="G714" s="43"/>
      <c r="H714" s="44"/>
      <c r="I714" s="43"/>
      <c r="J714" s="37"/>
      <c r="K714" s="37"/>
      <c r="L714" s="37"/>
      <c r="M714" s="37"/>
      <c r="N714" s="37"/>
      <c r="O714" s="37"/>
      <c r="P714" s="37"/>
      <c r="Q714" s="37"/>
      <c r="R714" s="37"/>
      <c r="S714" s="37"/>
      <c r="T714" s="37"/>
      <c r="U714" s="37"/>
      <c r="V714" s="37"/>
      <c r="W714" s="37"/>
      <c r="X714" s="37"/>
      <c r="Y714" s="37"/>
      <c r="Z714" s="37"/>
      <c r="AA714" s="37"/>
      <c r="AB714" s="37"/>
      <c r="AC714" s="37"/>
      <c r="AD714" s="37"/>
      <c r="AE714" s="37"/>
      <c r="AF714" s="37"/>
      <c r="AG714" s="37"/>
      <c r="AH714" s="37"/>
      <c r="AI714" s="37"/>
      <c r="AJ714" s="37"/>
      <c r="AK714" s="37"/>
    </row>
    <row r="715" spans="1:37" ht="14.25">
      <c r="A715" s="43"/>
      <c r="B715" s="37"/>
      <c r="C715" s="37"/>
      <c r="D715" s="37"/>
      <c r="E715" s="37"/>
      <c r="F715" s="43"/>
      <c r="G715" s="43"/>
      <c r="H715" s="44"/>
      <c r="I715" s="43"/>
      <c r="J715" s="37"/>
      <c r="K715" s="37"/>
      <c r="L715" s="37"/>
      <c r="M715" s="37"/>
      <c r="N715" s="37"/>
      <c r="O715" s="37"/>
      <c r="P715" s="37"/>
      <c r="Q715" s="37"/>
      <c r="R715" s="37"/>
      <c r="S715" s="37"/>
      <c r="T715" s="37"/>
      <c r="U715" s="37"/>
      <c r="V715" s="37"/>
      <c r="W715" s="37"/>
      <c r="X715" s="37"/>
      <c r="Y715" s="37"/>
      <c r="Z715" s="37"/>
      <c r="AA715" s="37"/>
      <c r="AB715" s="37"/>
      <c r="AC715" s="37"/>
      <c r="AD715" s="37"/>
      <c r="AE715" s="37"/>
      <c r="AF715" s="37"/>
      <c r="AG715" s="37"/>
      <c r="AH715" s="37"/>
      <c r="AI715" s="37"/>
      <c r="AJ715" s="37"/>
      <c r="AK715" s="37"/>
    </row>
    <row r="716" spans="1:37" ht="14.25">
      <c r="A716" s="43"/>
      <c r="B716" s="37"/>
      <c r="C716" s="37"/>
      <c r="D716" s="37"/>
      <c r="E716" s="37"/>
      <c r="F716" s="43"/>
      <c r="G716" s="43"/>
      <c r="H716" s="44"/>
      <c r="I716" s="43"/>
      <c r="J716" s="37"/>
      <c r="K716" s="37"/>
      <c r="L716" s="37"/>
      <c r="M716" s="37"/>
      <c r="N716" s="37"/>
      <c r="O716" s="37"/>
      <c r="P716" s="37"/>
      <c r="Q716" s="37"/>
      <c r="R716" s="37"/>
      <c r="S716" s="37"/>
      <c r="T716" s="37"/>
      <c r="U716" s="37"/>
      <c r="V716" s="37"/>
      <c r="W716" s="37"/>
      <c r="X716" s="37"/>
      <c r="Y716" s="37"/>
      <c r="Z716" s="37"/>
      <c r="AA716" s="37"/>
      <c r="AB716" s="37"/>
      <c r="AC716" s="37"/>
      <c r="AD716" s="37"/>
      <c r="AE716" s="37"/>
      <c r="AF716" s="37"/>
      <c r="AG716" s="37"/>
      <c r="AH716" s="37"/>
      <c r="AI716" s="37"/>
      <c r="AJ716" s="37"/>
      <c r="AK716" s="37"/>
    </row>
    <row r="717" spans="1:37" ht="14.25">
      <c r="A717" s="43"/>
      <c r="B717" s="37"/>
      <c r="C717" s="37"/>
      <c r="D717" s="37"/>
      <c r="E717" s="37"/>
      <c r="F717" s="43"/>
      <c r="G717" s="43"/>
      <c r="H717" s="44"/>
      <c r="I717" s="43"/>
      <c r="J717" s="37"/>
      <c r="K717" s="37"/>
      <c r="L717" s="37"/>
      <c r="M717" s="37"/>
      <c r="N717" s="37"/>
      <c r="O717" s="37"/>
      <c r="P717" s="37"/>
      <c r="Q717" s="37"/>
      <c r="R717" s="37"/>
      <c r="S717" s="37"/>
      <c r="T717" s="37"/>
      <c r="U717" s="37"/>
      <c r="V717" s="37"/>
      <c r="W717" s="37"/>
      <c r="X717" s="37"/>
      <c r="Y717" s="37"/>
      <c r="Z717" s="37"/>
      <c r="AA717" s="37"/>
      <c r="AB717" s="37"/>
      <c r="AC717" s="37"/>
      <c r="AD717" s="37"/>
      <c r="AE717" s="37"/>
      <c r="AF717" s="37"/>
      <c r="AG717" s="37"/>
      <c r="AH717" s="37"/>
      <c r="AI717" s="37"/>
      <c r="AJ717" s="37"/>
      <c r="AK717" s="37"/>
    </row>
    <row r="718" spans="1:37" ht="14.25">
      <c r="A718" s="43"/>
      <c r="B718" s="37"/>
      <c r="C718" s="37"/>
      <c r="D718" s="37"/>
      <c r="E718" s="37"/>
      <c r="F718" s="43"/>
      <c r="G718" s="43"/>
      <c r="H718" s="44"/>
      <c r="I718" s="43"/>
      <c r="J718" s="37"/>
      <c r="K718" s="37"/>
      <c r="L718" s="37"/>
      <c r="M718" s="37"/>
      <c r="N718" s="37"/>
      <c r="O718" s="37"/>
      <c r="P718" s="37"/>
      <c r="Q718" s="37"/>
      <c r="R718" s="37"/>
      <c r="S718" s="37"/>
      <c r="T718" s="37"/>
      <c r="U718" s="37"/>
      <c r="V718" s="37"/>
      <c r="W718" s="37"/>
      <c r="X718" s="37"/>
      <c r="Y718" s="37"/>
      <c r="Z718" s="37"/>
      <c r="AA718" s="37"/>
      <c r="AB718" s="37"/>
      <c r="AC718" s="37"/>
      <c r="AD718" s="37"/>
      <c r="AE718" s="37"/>
      <c r="AF718" s="37"/>
      <c r="AG718" s="37"/>
      <c r="AH718" s="37"/>
      <c r="AI718" s="37"/>
      <c r="AJ718" s="37"/>
      <c r="AK718" s="37"/>
    </row>
    <row r="719" spans="1:37" ht="14.25">
      <c r="A719" s="43"/>
      <c r="B719" s="37"/>
      <c r="C719" s="37"/>
      <c r="D719" s="37"/>
      <c r="E719" s="37"/>
      <c r="F719" s="43"/>
      <c r="G719" s="43"/>
      <c r="H719" s="44"/>
      <c r="I719" s="43"/>
      <c r="J719" s="37"/>
      <c r="K719" s="37"/>
      <c r="L719" s="37"/>
      <c r="M719" s="37"/>
      <c r="N719" s="37"/>
      <c r="O719" s="37"/>
      <c r="P719" s="37"/>
      <c r="Q719" s="37"/>
      <c r="R719" s="37"/>
      <c r="S719" s="37"/>
      <c r="T719" s="37"/>
      <c r="U719" s="37"/>
      <c r="V719" s="37"/>
      <c r="W719" s="37"/>
      <c r="X719" s="37"/>
      <c r="Y719" s="37"/>
      <c r="Z719" s="37"/>
      <c r="AA719" s="37"/>
      <c r="AB719" s="37"/>
      <c r="AC719" s="37"/>
      <c r="AD719" s="37"/>
      <c r="AE719" s="37"/>
      <c r="AF719" s="37"/>
      <c r="AG719" s="37"/>
      <c r="AH719" s="37"/>
      <c r="AI719" s="37"/>
      <c r="AJ719" s="37"/>
      <c r="AK719" s="37"/>
    </row>
    <row r="720" spans="1:37" ht="14.25">
      <c r="A720" s="43"/>
      <c r="B720" s="37"/>
      <c r="C720" s="37"/>
      <c r="D720" s="37"/>
      <c r="E720" s="37"/>
      <c r="F720" s="43"/>
      <c r="G720" s="43"/>
      <c r="H720" s="44"/>
      <c r="I720" s="43"/>
      <c r="J720" s="37"/>
      <c r="K720" s="37"/>
      <c r="L720" s="37"/>
      <c r="M720" s="37"/>
      <c r="N720" s="37"/>
      <c r="O720" s="37"/>
      <c r="P720" s="37"/>
      <c r="Q720" s="37"/>
      <c r="R720" s="37"/>
      <c r="S720" s="37"/>
      <c r="T720" s="37"/>
      <c r="U720" s="37"/>
      <c r="V720" s="37"/>
      <c r="W720" s="37"/>
      <c r="X720" s="37"/>
      <c r="Y720" s="37"/>
      <c r="Z720" s="37"/>
      <c r="AA720" s="37"/>
      <c r="AB720" s="37"/>
      <c r="AC720" s="37"/>
      <c r="AD720" s="37"/>
      <c r="AE720" s="37"/>
      <c r="AF720" s="37"/>
      <c r="AG720" s="37"/>
      <c r="AH720" s="37"/>
      <c r="AI720" s="37"/>
      <c r="AJ720" s="37"/>
      <c r="AK720" s="37"/>
    </row>
    <row r="721" spans="1:37" ht="14.25">
      <c r="A721" s="43"/>
      <c r="B721" s="37"/>
      <c r="C721" s="37"/>
      <c r="D721" s="37"/>
      <c r="E721" s="37"/>
      <c r="F721" s="43"/>
      <c r="G721" s="43"/>
      <c r="H721" s="44"/>
      <c r="I721" s="43"/>
      <c r="J721" s="37"/>
      <c r="K721" s="37"/>
      <c r="L721" s="37"/>
      <c r="M721" s="37"/>
      <c r="N721" s="37"/>
      <c r="O721" s="37"/>
      <c r="P721" s="37"/>
      <c r="Q721" s="37"/>
      <c r="R721" s="37"/>
      <c r="S721" s="37"/>
      <c r="T721" s="37"/>
      <c r="U721" s="37"/>
      <c r="V721" s="37"/>
      <c r="W721" s="37"/>
      <c r="X721" s="37"/>
      <c r="Y721" s="37"/>
      <c r="Z721" s="37"/>
      <c r="AA721" s="37"/>
      <c r="AB721" s="37"/>
      <c r="AC721" s="37"/>
      <c r="AD721" s="37"/>
      <c r="AE721" s="37"/>
      <c r="AF721" s="37"/>
      <c r="AG721" s="37"/>
      <c r="AH721" s="37"/>
      <c r="AI721" s="37"/>
      <c r="AJ721" s="37"/>
      <c r="AK721" s="37"/>
    </row>
    <row r="722" spans="1:37" ht="14.25">
      <c r="A722" s="43"/>
      <c r="B722" s="37"/>
      <c r="C722" s="37"/>
      <c r="D722" s="37"/>
      <c r="E722" s="37"/>
      <c r="F722" s="43"/>
      <c r="G722" s="43"/>
      <c r="H722" s="44"/>
      <c r="I722" s="43"/>
      <c r="J722" s="37"/>
      <c r="K722" s="37"/>
      <c r="L722" s="37"/>
      <c r="M722" s="37"/>
      <c r="N722" s="37"/>
      <c r="O722" s="37"/>
      <c r="P722" s="37"/>
      <c r="Q722" s="37"/>
      <c r="R722" s="37"/>
      <c r="S722" s="37"/>
      <c r="T722" s="37"/>
      <c r="U722" s="37"/>
      <c r="V722" s="37"/>
      <c r="W722" s="37"/>
      <c r="X722" s="37"/>
      <c r="Y722" s="37"/>
      <c r="Z722" s="37"/>
      <c r="AA722" s="37"/>
      <c r="AB722" s="37"/>
      <c r="AC722" s="37"/>
      <c r="AD722" s="37"/>
      <c r="AE722" s="37"/>
      <c r="AF722" s="37"/>
      <c r="AG722" s="37"/>
      <c r="AH722" s="37"/>
      <c r="AI722" s="37"/>
      <c r="AJ722" s="37"/>
      <c r="AK722" s="37"/>
    </row>
    <row r="723" spans="1:37" ht="14.25">
      <c r="A723" s="43"/>
      <c r="B723" s="37"/>
      <c r="C723" s="37"/>
      <c r="D723" s="37"/>
      <c r="E723" s="37"/>
      <c r="F723" s="43"/>
      <c r="G723" s="43"/>
      <c r="H723" s="44"/>
      <c r="I723" s="43"/>
      <c r="J723" s="37"/>
      <c r="K723" s="37"/>
      <c r="L723" s="37"/>
      <c r="M723" s="37"/>
      <c r="N723" s="37"/>
      <c r="O723" s="37"/>
      <c r="P723" s="37"/>
      <c r="Q723" s="37"/>
      <c r="R723" s="37"/>
      <c r="S723" s="37"/>
      <c r="T723" s="37"/>
      <c r="U723" s="37"/>
      <c r="V723" s="37"/>
      <c r="W723" s="37"/>
      <c r="X723" s="37"/>
      <c r="Y723" s="37"/>
      <c r="Z723" s="37"/>
      <c r="AA723" s="37"/>
      <c r="AB723" s="37"/>
      <c r="AC723" s="37"/>
      <c r="AD723" s="37"/>
      <c r="AE723" s="37"/>
      <c r="AF723" s="37"/>
      <c r="AG723" s="37"/>
      <c r="AH723" s="37"/>
      <c r="AI723" s="37"/>
      <c r="AJ723" s="37"/>
      <c r="AK723" s="37"/>
    </row>
    <row r="724" spans="1:37" ht="14.25">
      <c r="A724" s="43"/>
      <c r="B724" s="37"/>
      <c r="C724" s="37"/>
      <c r="D724" s="37"/>
      <c r="E724" s="37"/>
      <c r="F724" s="43"/>
      <c r="G724" s="43"/>
      <c r="H724" s="44"/>
      <c r="I724" s="43"/>
      <c r="J724" s="37"/>
      <c r="K724" s="37"/>
      <c r="L724" s="37"/>
      <c r="M724" s="37"/>
      <c r="N724" s="37"/>
      <c r="O724" s="37"/>
      <c r="P724" s="37"/>
      <c r="Q724" s="37"/>
      <c r="R724" s="37"/>
      <c r="S724" s="37"/>
      <c r="T724" s="37"/>
      <c r="U724" s="37"/>
      <c r="V724" s="37"/>
      <c r="W724" s="37"/>
      <c r="X724" s="37"/>
      <c r="Y724" s="37"/>
      <c r="Z724" s="37"/>
      <c r="AA724" s="37"/>
      <c r="AB724" s="37"/>
      <c r="AC724" s="37"/>
      <c r="AD724" s="37"/>
      <c r="AE724" s="37"/>
      <c r="AF724" s="37"/>
      <c r="AG724" s="37"/>
      <c r="AH724" s="37"/>
      <c r="AI724" s="37"/>
      <c r="AJ724" s="37"/>
      <c r="AK724" s="37"/>
    </row>
    <row r="725" spans="1:37" ht="14.25">
      <c r="A725" s="43"/>
      <c r="B725" s="37"/>
      <c r="C725" s="37"/>
      <c r="D725" s="37"/>
      <c r="E725" s="37"/>
      <c r="F725" s="43"/>
      <c r="G725" s="43"/>
      <c r="H725" s="44"/>
      <c r="I725" s="43"/>
      <c r="J725" s="37"/>
      <c r="K725" s="37"/>
      <c r="L725" s="37"/>
      <c r="M725" s="37"/>
      <c r="N725" s="37"/>
      <c r="O725" s="37"/>
      <c r="P725" s="37"/>
      <c r="Q725" s="37"/>
      <c r="R725" s="37"/>
      <c r="S725" s="37"/>
      <c r="T725" s="37"/>
      <c r="U725" s="37"/>
      <c r="V725" s="37"/>
      <c r="W725" s="37"/>
      <c r="X725" s="37"/>
      <c r="Y725" s="37"/>
      <c r="Z725" s="37"/>
      <c r="AA725" s="37"/>
      <c r="AB725" s="37"/>
      <c r="AC725" s="37"/>
      <c r="AD725" s="37"/>
      <c r="AE725" s="37"/>
      <c r="AF725" s="37"/>
      <c r="AG725" s="37"/>
      <c r="AH725" s="37"/>
      <c r="AI725" s="37"/>
      <c r="AJ725" s="37"/>
      <c r="AK725" s="37"/>
    </row>
    <row r="726" spans="1:37" ht="14.25">
      <c r="A726" s="43"/>
      <c r="B726" s="37"/>
      <c r="C726" s="37"/>
      <c r="D726" s="37"/>
      <c r="E726" s="37"/>
      <c r="F726" s="43"/>
      <c r="G726" s="43"/>
      <c r="H726" s="44"/>
      <c r="I726" s="43"/>
      <c r="J726" s="37"/>
      <c r="K726" s="37"/>
      <c r="L726" s="37"/>
      <c r="M726" s="37"/>
      <c r="N726" s="37"/>
      <c r="O726" s="37"/>
      <c r="P726" s="37"/>
      <c r="Q726" s="37"/>
      <c r="R726" s="37"/>
      <c r="S726" s="37"/>
      <c r="T726" s="37"/>
      <c r="U726" s="37"/>
      <c r="V726" s="37"/>
      <c r="W726" s="37"/>
      <c r="X726" s="37"/>
      <c r="Y726" s="37"/>
      <c r="Z726" s="37"/>
      <c r="AA726" s="37"/>
      <c r="AB726" s="37"/>
      <c r="AC726" s="37"/>
      <c r="AD726" s="37"/>
      <c r="AE726" s="37"/>
      <c r="AF726" s="37"/>
      <c r="AG726" s="37"/>
      <c r="AH726" s="37"/>
      <c r="AI726" s="37"/>
      <c r="AJ726" s="37"/>
      <c r="AK726" s="37"/>
    </row>
    <row r="727" spans="1:37" ht="14.25">
      <c r="A727" s="43"/>
      <c r="B727" s="37"/>
      <c r="C727" s="37"/>
      <c r="D727" s="37"/>
      <c r="E727" s="37"/>
      <c r="F727" s="43"/>
      <c r="G727" s="43"/>
      <c r="H727" s="44"/>
      <c r="I727" s="43"/>
      <c r="J727" s="37"/>
      <c r="K727" s="37"/>
      <c r="L727" s="37"/>
      <c r="M727" s="37"/>
      <c r="N727" s="37"/>
      <c r="O727" s="37"/>
      <c r="P727" s="37"/>
      <c r="Q727" s="37"/>
      <c r="R727" s="37"/>
      <c r="S727" s="37"/>
      <c r="T727" s="37"/>
      <c r="U727" s="37"/>
      <c r="V727" s="37"/>
      <c r="W727" s="37"/>
      <c r="X727" s="37"/>
      <c r="Y727" s="37"/>
      <c r="Z727" s="37"/>
      <c r="AA727" s="37"/>
      <c r="AB727" s="37"/>
      <c r="AC727" s="37"/>
      <c r="AD727" s="37"/>
      <c r="AE727" s="37"/>
      <c r="AF727" s="37"/>
      <c r="AG727" s="37"/>
      <c r="AH727" s="37"/>
      <c r="AI727" s="37"/>
      <c r="AJ727" s="37"/>
      <c r="AK727" s="37"/>
    </row>
    <row r="728" spans="1:37" ht="14.25">
      <c r="A728" s="43"/>
      <c r="B728" s="37"/>
      <c r="C728" s="37"/>
      <c r="D728" s="37"/>
      <c r="E728" s="37"/>
      <c r="F728" s="43"/>
      <c r="G728" s="43"/>
      <c r="H728" s="44"/>
      <c r="I728" s="43"/>
      <c r="J728" s="37"/>
      <c r="K728" s="37"/>
      <c r="L728" s="37"/>
      <c r="M728" s="37"/>
      <c r="N728" s="37"/>
      <c r="O728" s="37"/>
      <c r="P728" s="37"/>
      <c r="Q728" s="37"/>
      <c r="R728" s="37"/>
      <c r="S728" s="37"/>
      <c r="T728" s="37"/>
      <c r="U728" s="37"/>
      <c r="V728" s="37"/>
      <c r="W728" s="37"/>
      <c r="X728" s="37"/>
      <c r="Y728" s="37"/>
      <c r="Z728" s="37"/>
      <c r="AA728" s="37"/>
      <c r="AB728" s="37"/>
      <c r="AC728" s="37"/>
      <c r="AD728" s="37"/>
      <c r="AE728" s="37"/>
      <c r="AF728" s="37"/>
      <c r="AG728" s="37"/>
      <c r="AH728" s="37"/>
      <c r="AI728" s="37"/>
      <c r="AJ728" s="37"/>
      <c r="AK728" s="37"/>
    </row>
    <row r="729" spans="1:37" ht="14.25">
      <c r="A729" s="43"/>
      <c r="B729" s="37"/>
      <c r="C729" s="37"/>
      <c r="D729" s="37"/>
      <c r="E729" s="37"/>
      <c r="F729" s="43"/>
      <c r="G729" s="43"/>
      <c r="H729" s="44"/>
      <c r="I729" s="43"/>
      <c r="J729" s="37"/>
      <c r="K729" s="37"/>
      <c r="L729" s="37"/>
      <c r="M729" s="37"/>
      <c r="N729" s="37"/>
      <c r="O729" s="37"/>
      <c r="P729" s="37"/>
      <c r="Q729" s="37"/>
      <c r="R729" s="37"/>
      <c r="S729" s="37"/>
      <c r="T729" s="37"/>
      <c r="U729" s="37"/>
      <c r="V729" s="37"/>
      <c r="W729" s="37"/>
      <c r="X729" s="37"/>
      <c r="Y729" s="37"/>
      <c r="Z729" s="37"/>
      <c r="AA729" s="37"/>
      <c r="AB729" s="37"/>
      <c r="AC729" s="37"/>
      <c r="AD729" s="37"/>
      <c r="AE729" s="37"/>
      <c r="AF729" s="37"/>
      <c r="AG729" s="37"/>
      <c r="AH729" s="37"/>
      <c r="AI729" s="37"/>
      <c r="AJ729" s="37"/>
      <c r="AK729" s="37"/>
    </row>
    <row r="730" spans="1:37" ht="14.25">
      <c r="A730" s="43"/>
      <c r="B730" s="37"/>
      <c r="C730" s="37"/>
      <c r="D730" s="37"/>
      <c r="E730" s="37"/>
      <c r="F730" s="43"/>
      <c r="G730" s="43"/>
      <c r="H730" s="44"/>
      <c r="I730" s="43"/>
      <c r="J730" s="37"/>
      <c r="K730" s="37"/>
      <c r="L730" s="37"/>
      <c r="M730" s="37"/>
      <c r="N730" s="37"/>
      <c r="O730" s="37"/>
      <c r="P730" s="37"/>
      <c r="Q730" s="37"/>
      <c r="R730" s="37"/>
      <c r="S730" s="37"/>
      <c r="T730" s="37"/>
      <c r="U730" s="37"/>
      <c r="V730" s="37"/>
      <c r="W730" s="37"/>
      <c r="X730" s="37"/>
      <c r="Y730" s="37"/>
      <c r="Z730" s="37"/>
      <c r="AA730" s="37"/>
      <c r="AB730" s="37"/>
      <c r="AC730" s="37"/>
      <c r="AD730" s="37"/>
      <c r="AE730" s="37"/>
      <c r="AF730" s="37"/>
      <c r="AG730" s="37"/>
      <c r="AH730" s="37"/>
      <c r="AI730" s="37"/>
      <c r="AJ730" s="37"/>
      <c r="AK730" s="37"/>
    </row>
    <row r="731" spans="1:37" ht="14.25">
      <c r="A731" s="43"/>
      <c r="B731" s="37"/>
      <c r="C731" s="37"/>
      <c r="D731" s="37"/>
      <c r="E731" s="37"/>
      <c r="F731" s="43"/>
      <c r="G731" s="43"/>
      <c r="H731" s="44"/>
      <c r="I731" s="43"/>
      <c r="J731" s="37"/>
      <c r="K731" s="37"/>
      <c r="L731" s="37"/>
      <c r="M731" s="37"/>
      <c r="N731" s="37"/>
      <c r="O731" s="37"/>
      <c r="P731" s="37"/>
      <c r="Q731" s="37"/>
      <c r="R731" s="37"/>
      <c r="S731" s="37"/>
      <c r="T731" s="37"/>
      <c r="U731" s="37"/>
      <c r="V731" s="37"/>
      <c r="W731" s="37"/>
      <c r="X731" s="37"/>
      <c r="Y731" s="37"/>
      <c r="Z731" s="37"/>
      <c r="AA731" s="37"/>
      <c r="AB731" s="37"/>
      <c r="AC731" s="37"/>
      <c r="AD731" s="37"/>
      <c r="AE731" s="37"/>
      <c r="AF731" s="37"/>
      <c r="AG731" s="37"/>
      <c r="AH731" s="37"/>
      <c r="AI731" s="37"/>
      <c r="AJ731" s="37"/>
      <c r="AK731" s="37"/>
    </row>
    <row r="732" spans="1:37" ht="14.25">
      <c r="A732" s="43"/>
      <c r="B732" s="37"/>
      <c r="C732" s="37"/>
      <c r="D732" s="37"/>
      <c r="E732" s="37"/>
      <c r="F732" s="43"/>
      <c r="G732" s="43"/>
      <c r="H732" s="44"/>
      <c r="I732" s="43"/>
      <c r="J732" s="37"/>
      <c r="K732" s="37"/>
      <c r="L732" s="37"/>
      <c r="M732" s="37"/>
      <c r="N732" s="37"/>
      <c r="O732" s="37"/>
      <c r="P732" s="37"/>
      <c r="Q732" s="37"/>
      <c r="R732" s="37"/>
      <c r="S732" s="37"/>
      <c r="T732" s="37"/>
      <c r="U732" s="37"/>
      <c r="V732" s="37"/>
      <c r="W732" s="37"/>
      <c r="X732" s="37"/>
      <c r="Y732" s="37"/>
      <c r="Z732" s="37"/>
      <c r="AA732" s="37"/>
      <c r="AB732" s="37"/>
      <c r="AC732" s="37"/>
      <c r="AD732" s="37"/>
      <c r="AE732" s="37"/>
      <c r="AF732" s="37"/>
      <c r="AG732" s="37"/>
      <c r="AH732" s="37"/>
      <c r="AI732" s="37"/>
      <c r="AJ732" s="37"/>
      <c r="AK732" s="37"/>
    </row>
    <row r="733" spans="1:37" ht="14.25">
      <c r="A733" s="43"/>
      <c r="B733" s="37"/>
      <c r="C733" s="37"/>
      <c r="D733" s="37"/>
      <c r="E733" s="37"/>
      <c r="F733" s="43"/>
      <c r="G733" s="43"/>
      <c r="H733" s="44"/>
      <c r="I733" s="43"/>
      <c r="J733" s="37"/>
      <c r="K733" s="37"/>
      <c r="L733" s="37"/>
      <c r="M733" s="37"/>
      <c r="N733" s="37"/>
      <c r="O733" s="37"/>
      <c r="P733" s="37"/>
      <c r="Q733" s="37"/>
      <c r="R733" s="37"/>
      <c r="S733" s="37"/>
      <c r="T733" s="37"/>
      <c r="U733" s="37"/>
      <c r="V733" s="37"/>
      <c r="W733" s="37"/>
      <c r="X733" s="37"/>
      <c r="Y733" s="37"/>
      <c r="Z733" s="37"/>
      <c r="AA733" s="37"/>
      <c r="AB733" s="37"/>
      <c r="AC733" s="37"/>
      <c r="AD733" s="37"/>
      <c r="AE733" s="37"/>
      <c r="AF733" s="37"/>
      <c r="AG733" s="37"/>
      <c r="AH733" s="37"/>
      <c r="AI733" s="37"/>
      <c r="AJ733" s="37"/>
      <c r="AK733" s="37"/>
    </row>
    <row r="734" spans="1:37" ht="14.25">
      <c r="A734" s="43"/>
      <c r="B734" s="37"/>
      <c r="C734" s="37"/>
      <c r="D734" s="37"/>
      <c r="E734" s="37"/>
      <c r="F734" s="43"/>
      <c r="G734" s="43"/>
      <c r="H734" s="44"/>
      <c r="I734" s="43"/>
      <c r="J734" s="37"/>
      <c r="K734" s="37"/>
      <c r="L734" s="37"/>
      <c r="M734" s="37"/>
      <c r="N734" s="37"/>
      <c r="O734" s="37"/>
      <c r="P734" s="37"/>
      <c r="Q734" s="37"/>
      <c r="R734" s="37"/>
      <c r="S734" s="37"/>
      <c r="T734" s="37"/>
      <c r="U734" s="37"/>
      <c r="V734" s="37"/>
      <c r="W734" s="37"/>
      <c r="X734" s="37"/>
      <c r="Y734" s="37"/>
      <c r="Z734" s="37"/>
      <c r="AA734" s="37"/>
      <c r="AB734" s="37"/>
      <c r="AC734" s="37"/>
      <c r="AD734" s="37"/>
      <c r="AE734" s="37"/>
      <c r="AF734" s="37"/>
      <c r="AG734" s="37"/>
      <c r="AH734" s="37"/>
      <c r="AI734" s="37"/>
      <c r="AJ734" s="37"/>
      <c r="AK734" s="37"/>
    </row>
    <row r="735" spans="1:37" ht="14.25">
      <c r="A735" s="43"/>
      <c r="B735" s="37"/>
      <c r="C735" s="37"/>
      <c r="D735" s="37"/>
      <c r="E735" s="37"/>
      <c r="F735" s="43"/>
      <c r="G735" s="43"/>
      <c r="H735" s="44"/>
      <c r="I735" s="43"/>
      <c r="J735" s="37"/>
      <c r="K735" s="37"/>
      <c r="L735" s="37"/>
      <c r="M735" s="37"/>
      <c r="N735" s="37"/>
      <c r="O735" s="37"/>
      <c r="P735" s="37"/>
      <c r="Q735" s="37"/>
      <c r="R735" s="37"/>
      <c r="S735" s="37"/>
      <c r="T735" s="37"/>
      <c r="U735" s="37"/>
      <c r="V735" s="37"/>
      <c r="W735" s="37"/>
      <c r="X735" s="37"/>
      <c r="Y735" s="37"/>
      <c r="Z735" s="37"/>
      <c r="AA735" s="37"/>
      <c r="AB735" s="37"/>
      <c r="AC735" s="37"/>
      <c r="AD735" s="37"/>
      <c r="AE735" s="37"/>
      <c r="AF735" s="37"/>
      <c r="AG735" s="37"/>
      <c r="AH735" s="37"/>
      <c r="AI735" s="37"/>
      <c r="AJ735" s="37"/>
      <c r="AK735" s="37"/>
    </row>
    <row r="736" spans="1:37" ht="14.25">
      <c r="A736" s="43"/>
      <c r="B736" s="37"/>
      <c r="C736" s="37"/>
      <c r="D736" s="37"/>
      <c r="E736" s="37"/>
      <c r="F736" s="43"/>
      <c r="G736" s="43"/>
      <c r="H736" s="44"/>
      <c r="I736" s="43"/>
      <c r="J736" s="37"/>
      <c r="K736" s="37"/>
      <c r="L736" s="37"/>
      <c r="M736" s="37"/>
      <c r="N736" s="37"/>
      <c r="O736" s="37"/>
      <c r="P736" s="37"/>
      <c r="Q736" s="37"/>
      <c r="R736" s="37"/>
      <c r="S736" s="37"/>
      <c r="T736" s="37"/>
      <c r="U736" s="37"/>
      <c r="V736" s="37"/>
      <c r="W736" s="37"/>
      <c r="X736" s="37"/>
      <c r="Y736" s="37"/>
      <c r="Z736" s="37"/>
      <c r="AA736" s="37"/>
      <c r="AB736" s="37"/>
      <c r="AC736" s="37"/>
      <c r="AD736" s="37"/>
      <c r="AE736" s="37"/>
      <c r="AF736" s="37"/>
      <c r="AG736" s="37"/>
      <c r="AH736" s="37"/>
      <c r="AI736" s="37"/>
      <c r="AJ736" s="37"/>
      <c r="AK736" s="37"/>
    </row>
    <row r="737" spans="1:37" ht="14.25">
      <c r="A737" s="43"/>
      <c r="B737" s="37"/>
      <c r="C737" s="37"/>
      <c r="D737" s="37"/>
      <c r="E737" s="37"/>
      <c r="F737" s="43"/>
      <c r="G737" s="43"/>
      <c r="H737" s="44"/>
      <c r="I737" s="43"/>
      <c r="J737" s="37"/>
      <c r="K737" s="37"/>
      <c r="L737" s="37"/>
      <c r="M737" s="37"/>
      <c r="N737" s="37"/>
      <c r="O737" s="37"/>
      <c r="P737" s="37"/>
      <c r="Q737" s="37"/>
      <c r="R737" s="37"/>
      <c r="S737" s="37"/>
      <c r="T737" s="37"/>
      <c r="U737" s="37"/>
      <c r="V737" s="37"/>
      <c r="W737" s="37"/>
      <c r="X737" s="37"/>
      <c r="Y737" s="37"/>
      <c r="Z737" s="37"/>
      <c r="AA737" s="37"/>
      <c r="AB737" s="37"/>
      <c r="AC737" s="37"/>
      <c r="AD737" s="37"/>
      <c r="AE737" s="37"/>
      <c r="AF737" s="37"/>
      <c r="AG737" s="37"/>
      <c r="AH737" s="37"/>
      <c r="AI737" s="37"/>
      <c r="AJ737" s="37"/>
      <c r="AK737" s="37"/>
    </row>
    <row r="738" spans="1:37" ht="14.25">
      <c r="A738" s="43"/>
      <c r="B738" s="37"/>
      <c r="C738" s="37"/>
      <c r="D738" s="37"/>
      <c r="E738" s="37"/>
      <c r="F738" s="43"/>
      <c r="G738" s="43"/>
      <c r="H738" s="44"/>
      <c r="I738" s="43"/>
      <c r="J738" s="37"/>
      <c r="K738" s="37"/>
      <c r="L738" s="37"/>
      <c r="M738" s="37"/>
      <c r="N738" s="37"/>
      <c r="O738" s="37"/>
      <c r="P738" s="37"/>
      <c r="Q738" s="37"/>
      <c r="R738" s="37"/>
      <c r="S738" s="37"/>
      <c r="T738" s="37"/>
      <c r="U738" s="37"/>
      <c r="V738" s="37"/>
      <c r="W738" s="37"/>
      <c r="X738" s="37"/>
      <c r="Y738" s="37"/>
      <c r="Z738" s="37"/>
      <c r="AA738" s="37"/>
      <c r="AB738" s="37"/>
      <c r="AC738" s="37"/>
      <c r="AD738" s="37"/>
      <c r="AE738" s="37"/>
      <c r="AF738" s="37"/>
      <c r="AG738" s="37"/>
      <c r="AH738" s="37"/>
      <c r="AI738" s="37"/>
      <c r="AJ738" s="37"/>
      <c r="AK738" s="37"/>
    </row>
    <row r="739" spans="1:37" ht="14.25">
      <c r="A739" s="43"/>
      <c r="B739" s="37"/>
      <c r="C739" s="37"/>
      <c r="D739" s="37"/>
      <c r="E739" s="37"/>
      <c r="F739" s="43"/>
      <c r="G739" s="43"/>
      <c r="H739" s="44"/>
      <c r="I739" s="43"/>
      <c r="J739" s="37"/>
      <c r="K739" s="37"/>
      <c r="L739" s="37"/>
      <c r="M739" s="37"/>
      <c r="N739" s="37"/>
      <c r="O739" s="37"/>
      <c r="P739" s="37"/>
      <c r="Q739" s="37"/>
      <c r="R739" s="37"/>
      <c r="S739" s="37"/>
      <c r="T739" s="37"/>
      <c r="U739" s="37"/>
      <c r="V739" s="37"/>
      <c r="W739" s="37"/>
      <c r="X739" s="37"/>
      <c r="Y739" s="37"/>
      <c r="Z739" s="37"/>
      <c r="AA739" s="37"/>
      <c r="AB739" s="37"/>
      <c r="AC739" s="37"/>
      <c r="AD739" s="37"/>
      <c r="AE739" s="37"/>
      <c r="AF739" s="37"/>
      <c r="AG739" s="37"/>
      <c r="AH739" s="37"/>
      <c r="AI739" s="37"/>
      <c r="AJ739" s="37"/>
      <c r="AK739" s="37"/>
    </row>
    <row r="740" spans="1:37" ht="14.25">
      <c r="A740" s="43"/>
      <c r="B740" s="37"/>
      <c r="C740" s="37"/>
      <c r="D740" s="37"/>
      <c r="E740" s="37"/>
      <c r="F740" s="43"/>
      <c r="G740" s="43"/>
      <c r="H740" s="44"/>
      <c r="I740" s="43"/>
      <c r="J740" s="37"/>
      <c r="K740" s="37"/>
      <c r="L740" s="37"/>
      <c r="M740" s="37"/>
      <c r="N740" s="37"/>
      <c r="O740" s="37"/>
      <c r="P740" s="37"/>
      <c r="Q740" s="37"/>
      <c r="R740" s="37"/>
      <c r="S740" s="37"/>
      <c r="T740" s="37"/>
      <c r="U740" s="37"/>
      <c r="V740" s="37"/>
      <c r="W740" s="37"/>
      <c r="X740" s="37"/>
      <c r="Y740" s="37"/>
      <c r="Z740" s="37"/>
      <c r="AA740" s="37"/>
      <c r="AB740" s="37"/>
      <c r="AC740" s="37"/>
      <c r="AD740" s="37"/>
      <c r="AE740" s="37"/>
      <c r="AF740" s="37"/>
      <c r="AG740" s="37"/>
      <c r="AH740" s="37"/>
      <c r="AI740" s="37"/>
      <c r="AJ740" s="37"/>
      <c r="AK740" s="37"/>
    </row>
    <row r="741" spans="1:37" ht="14.25">
      <c r="A741" s="43"/>
      <c r="B741" s="37"/>
      <c r="C741" s="37"/>
      <c r="D741" s="37"/>
      <c r="E741" s="37"/>
      <c r="F741" s="43"/>
      <c r="G741" s="43"/>
      <c r="H741" s="44"/>
      <c r="I741" s="43"/>
      <c r="J741" s="37"/>
      <c r="K741" s="37"/>
      <c r="L741" s="37"/>
      <c r="M741" s="37"/>
      <c r="N741" s="37"/>
      <c r="O741" s="37"/>
      <c r="P741" s="37"/>
      <c r="Q741" s="37"/>
      <c r="R741" s="37"/>
      <c r="S741" s="37"/>
      <c r="T741" s="37"/>
      <c r="U741" s="37"/>
      <c r="V741" s="37"/>
      <c r="W741" s="37"/>
      <c r="X741" s="37"/>
      <c r="Y741" s="37"/>
      <c r="Z741" s="37"/>
      <c r="AA741" s="37"/>
      <c r="AB741" s="37"/>
      <c r="AC741" s="37"/>
      <c r="AD741" s="37"/>
      <c r="AE741" s="37"/>
      <c r="AF741" s="37"/>
      <c r="AG741" s="37"/>
      <c r="AH741" s="37"/>
      <c r="AI741" s="37"/>
      <c r="AJ741" s="37"/>
      <c r="AK741" s="37"/>
    </row>
    <row r="742" spans="1:37" ht="14.25">
      <c r="A742" s="43"/>
      <c r="B742" s="37"/>
      <c r="C742" s="37"/>
      <c r="D742" s="37"/>
      <c r="E742" s="37"/>
      <c r="F742" s="43"/>
      <c r="G742" s="43"/>
      <c r="H742" s="44"/>
      <c r="I742" s="43"/>
      <c r="J742" s="37"/>
      <c r="K742" s="37"/>
      <c r="L742" s="37"/>
      <c r="M742" s="37"/>
      <c r="N742" s="37"/>
      <c r="O742" s="37"/>
      <c r="P742" s="37"/>
      <c r="Q742" s="37"/>
      <c r="R742" s="37"/>
      <c r="S742" s="37"/>
      <c r="T742" s="37"/>
      <c r="U742" s="37"/>
      <c r="V742" s="37"/>
      <c r="W742" s="37"/>
      <c r="X742" s="37"/>
      <c r="Y742" s="37"/>
      <c r="Z742" s="37"/>
      <c r="AA742" s="37"/>
      <c r="AB742" s="37"/>
      <c r="AC742" s="37"/>
      <c r="AD742" s="37"/>
      <c r="AE742" s="37"/>
      <c r="AF742" s="37"/>
      <c r="AG742" s="37"/>
      <c r="AH742" s="37"/>
      <c r="AI742" s="37"/>
      <c r="AJ742" s="37"/>
      <c r="AK742" s="37"/>
    </row>
    <row r="743" spans="1:37" ht="14.25">
      <c r="A743" s="43"/>
      <c r="B743" s="37"/>
      <c r="C743" s="37"/>
      <c r="D743" s="37"/>
      <c r="E743" s="37"/>
      <c r="F743" s="43"/>
      <c r="G743" s="43"/>
      <c r="H743" s="44"/>
      <c r="I743" s="43"/>
      <c r="J743" s="37"/>
      <c r="K743" s="37"/>
      <c r="L743" s="37"/>
      <c r="M743" s="37"/>
      <c r="N743" s="37"/>
      <c r="O743" s="37"/>
      <c r="P743" s="37"/>
      <c r="Q743" s="37"/>
      <c r="R743" s="37"/>
      <c r="S743" s="37"/>
      <c r="T743" s="37"/>
      <c r="U743" s="37"/>
      <c r="V743" s="37"/>
      <c r="W743" s="37"/>
      <c r="X743" s="37"/>
      <c r="Y743" s="37"/>
      <c r="Z743" s="37"/>
      <c r="AA743" s="37"/>
      <c r="AB743" s="37"/>
      <c r="AC743" s="37"/>
      <c r="AD743" s="37"/>
      <c r="AE743" s="37"/>
      <c r="AF743" s="37"/>
      <c r="AG743" s="37"/>
      <c r="AH743" s="37"/>
      <c r="AI743" s="37"/>
      <c r="AJ743" s="37"/>
      <c r="AK743" s="37"/>
    </row>
    <row r="744" spans="1:37" ht="14.25">
      <c r="A744" s="43"/>
      <c r="B744" s="37"/>
      <c r="C744" s="37"/>
      <c r="D744" s="37"/>
      <c r="E744" s="37"/>
      <c r="F744" s="43"/>
      <c r="G744" s="43"/>
      <c r="H744" s="44"/>
      <c r="I744" s="43"/>
      <c r="J744" s="37"/>
      <c r="K744" s="37"/>
      <c r="L744" s="37"/>
      <c r="M744" s="37"/>
      <c r="N744" s="37"/>
      <c r="O744" s="37"/>
      <c r="P744" s="37"/>
      <c r="Q744" s="37"/>
      <c r="R744" s="37"/>
      <c r="S744" s="37"/>
      <c r="T744" s="37"/>
      <c r="U744" s="37"/>
      <c r="V744" s="37"/>
      <c r="W744" s="37"/>
      <c r="X744" s="37"/>
      <c r="Y744" s="37"/>
      <c r="Z744" s="37"/>
      <c r="AA744" s="37"/>
      <c r="AB744" s="37"/>
      <c r="AC744" s="37"/>
      <c r="AD744" s="37"/>
      <c r="AE744" s="37"/>
      <c r="AF744" s="37"/>
      <c r="AG744" s="37"/>
      <c r="AH744" s="37"/>
      <c r="AI744" s="37"/>
      <c r="AJ744" s="37"/>
      <c r="AK744" s="37"/>
    </row>
    <row r="745" spans="1:37" ht="14.25">
      <c r="A745" s="43"/>
      <c r="B745" s="37"/>
      <c r="C745" s="37"/>
      <c r="D745" s="37"/>
      <c r="E745" s="37"/>
      <c r="F745" s="43"/>
      <c r="G745" s="43"/>
      <c r="H745" s="44"/>
      <c r="I745" s="43"/>
      <c r="J745" s="37"/>
      <c r="K745" s="37"/>
      <c r="L745" s="37"/>
      <c r="M745" s="37"/>
      <c r="N745" s="37"/>
      <c r="O745" s="37"/>
      <c r="P745" s="37"/>
      <c r="Q745" s="37"/>
      <c r="R745" s="37"/>
      <c r="S745" s="37"/>
      <c r="T745" s="37"/>
      <c r="U745" s="37"/>
      <c r="V745" s="37"/>
      <c r="W745" s="37"/>
      <c r="X745" s="37"/>
      <c r="Y745" s="37"/>
      <c r="Z745" s="37"/>
      <c r="AA745" s="37"/>
      <c r="AB745" s="37"/>
      <c r="AC745" s="37"/>
      <c r="AD745" s="37"/>
      <c r="AE745" s="37"/>
      <c r="AF745" s="37"/>
      <c r="AG745" s="37"/>
      <c r="AH745" s="37"/>
      <c r="AI745" s="37"/>
      <c r="AJ745" s="37"/>
      <c r="AK745" s="37"/>
    </row>
    <row r="746" spans="1:37" ht="14.25">
      <c r="A746" s="43"/>
      <c r="B746" s="37"/>
      <c r="C746" s="37"/>
      <c r="D746" s="37"/>
      <c r="E746" s="37"/>
      <c r="F746" s="43"/>
      <c r="G746" s="43"/>
      <c r="H746" s="44"/>
      <c r="I746" s="43"/>
      <c r="J746" s="37"/>
      <c r="K746" s="37"/>
      <c r="L746" s="37"/>
      <c r="M746" s="37"/>
      <c r="N746" s="37"/>
      <c r="O746" s="37"/>
      <c r="P746" s="37"/>
      <c r="Q746" s="37"/>
      <c r="R746" s="37"/>
      <c r="S746" s="37"/>
      <c r="T746" s="37"/>
      <c r="U746" s="37"/>
      <c r="V746" s="37"/>
      <c r="W746" s="37"/>
      <c r="X746" s="37"/>
      <c r="Y746" s="37"/>
      <c r="Z746" s="37"/>
      <c r="AA746" s="37"/>
      <c r="AB746" s="37"/>
      <c r="AC746" s="37"/>
      <c r="AD746" s="37"/>
      <c r="AE746" s="37"/>
      <c r="AF746" s="37"/>
      <c r="AG746" s="37"/>
      <c r="AH746" s="37"/>
      <c r="AI746" s="37"/>
      <c r="AJ746" s="37"/>
      <c r="AK746" s="37"/>
    </row>
    <row r="747" spans="1:37" ht="14.25">
      <c r="A747" s="43"/>
      <c r="B747" s="37"/>
      <c r="C747" s="37"/>
      <c r="D747" s="37"/>
      <c r="E747" s="37"/>
      <c r="F747" s="43"/>
      <c r="G747" s="43"/>
      <c r="H747" s="44"/>
      <c r="I747" s="43"/>
      <c r="J747" s="37"/>
      <c r="K747" s="37"/>
      <c r="L747" s="37"/>
      <c r="M747" s="37"/>
      <c r="N747" s="37"/>
      <c r="O747" s="37"/>
      <c r="P747" s="37"/>
      <c r="Q747" s="37"/>
      <c r="R747" s="37"/>
      <c r="S747" s="37"/>
      <c r="T747" s="37"/>
      <c r="U747" s="37"/>
      <c r="V747" s="37"/>
      <c r="W747" s="37"/>
      <c r="X747" s="37"/>
      <c r="Y747" s="37"/>
      <c r="Z747" s="37"/>
      <c r="AA747" s="37"/>
      <c r="AB747" s="37"/>
      <c r="AC747" s="37"/>
      <c r="AD747" s="37"/>
      <c r="AE747" s="37"/>
      <c r="AF747" s="37"/>
      <c r="AG747" s="37"/>
      <c r="AH747" s="37"/>
      <c r="AI747" s="37"/>
      <c r="AJ747" s="37"/>
      <c r="AK747" s="37"/>
    </row>
    <row r="748" spans="1:37" ht="14.25">
      <c r="A748" s="43"/>
      <c r="B748" s="37"/>
      <c r="C748" s="37"/>
      <c r="D748" s="37"/>
      <c r="E748" s="37"/>
      <c r="F748" s="43"/>
      <c r="G748" s="43"/>
      <c r="H748" s="44"/>
      <c r="I748" s="43"/>
      <c r="J748" s="37"/>
      <c r="K748" s="37"/>
      <c r="L748" s="37"/>
      <c r="M748" s="37"/>
      <c r="N748" s="37"/>
      <c r="O748" s="37"/>
      <c r="P748" s="37"/>
      <c r="Q748" s="37"/>
      <c r="R748" s="37"/>
      <c r="S748" s="37"/>
      <c r="T748" s="37"/>
      <c r="U748" s="37"/>
      <c r="V748" s="37"/>
      <c r="W748" s="37"/>
      <c r="X748" s="37"/>
      <c r="Y748" s="37"/>
      <c r="Z748" s="37"/>
      <c r="AA748" s="37"/>
      <c r="AB748" s="37"/>
      <c r="AC748" s="37"/>
      <c r="AD748" s="37"/>
      <c r="AE748" s="37"/>
      <c r="AF748" s="37"/>
      <c r="AG748" s="37"/>
      <c r="AH748" s="37"/>
      <c r="AI748" s="37"/>
      <c r="AJ748" s="37"/>
      <c r="AK748" s="37"/>
    </row>
    <row r="749" spans="1:37" ht="14.25">
      <c r="A749" s="43"/>
      <c r="B749" s="37"/>
      <c r="C749" s="37"/>
      <c r="D749" s="37"/>
      <c r="E749" s="37"/>
      <c r="F749" s="43"/>
      <c r="G749" s="43"/>
      <c r="H749" s="44"/>
      <c r="I749" s="43"/>
      <c r="J749" s="37"/>
      <c r="K749" s="37"/>
      <c r="L749" s="37"/>
      <c r="M749" s="37"/>
      <c r="N749" s="37"/>
      <c r="O749" s="37"/>
      <c r="P749" s="37"/>
      <c r="Q749" s="37"/>
      <c r="R749" s="37"/>
      <c r="S749" s="37"/>
      <c r="T749" s="37"/>
      <c r="U749" s="37"/>
      <c r="V749" s="37"/>
      <c r="W749" s="37"/>
      <c r="X749" s="37"/>
      <c r="Y749" s="37"/>
      <c r="Z749" s="37"/>
      <c r="AA749" s="37"/>
      <c r="AB749" s="37"/>
      <c r="AC749" s="37"/>
      <c r="AD749" s="37"/>
      <c r="AE749" s="37"/>
      <c r="AF749" s="37"/>
      <c r="AG749" s="37"/>
      <c r="AH749" s="37"/>
      <c r="AI749" s="37"/>
      <c r="AJ749" s="37"/>
      <c r="AK749" s="37"/>
    </row>
    <row r="750" spans="1:37" ht="14.25">
      <c r="A750" s="43"/>
      <c r="B750" s="37"/>
      <c r="C750" s="37"/>
      <c r="D750" s="37"/>
      <c r="E750" s="37"/>
      <c r="F750" s="43"/>
      <c r="G750" s="43"/>
      <c r="H750" s="44"/>
      <c r="I750" s="43"/>
      <c r="J750" s="37"/>
      <c r="K750" s="37"/>
      <c r="L750" s="37"/>
      <c r="M750" s="37"/>
      <c r="N750" s="37"/>
      <c r="O750" s="37"/>
      <c r="P750" s="37"/>
      <c r="Q750" s="37"/>
      <c r="R750" s="37"/>
      <c r="S750" s="37"/>
      <c r="T750" s="37"/>
      <c r="U750" s="37"/>
      <c r="V750" s="37"/>
      <c r="W750" s="37"/>
      <c r="X750" s="37"/>
      <c r="Y750" s="37"/>
      <c r="Z750" s="37"/>
      <c r="AA750" s="37"/>
      <c r="AB750" s="37"/>
      <c r="AC750" s="37"/>
      <c r="AD750" s="37"/>
      <c r="AE750" s="37"/>
      <c r="AF750" s="37"/>
      <c r="AG750" s="37"/>
      <c r="AH750" s="37"/>
      <c r="AI750" s="37"/>
      <c r="AJ750" s="37"/>
      <c r="AK750" s="37"/>
    </row>
    <row r="751" spans="1:37" ht="14.25">
      <c r="A751" s="43"/>
      <c r="B751" s="37"/>
      <c r="C751" s="37"/>
      <c r="D751" s="37"/>
      <c r="E751" s="37"/>
      <c r="F751" s="43"/>
      <c r="G751" s="43"/>
      <c r="H751" s="44"/>
      <c r="I751" s="43"/>
      <c r="J751" s="37"/>
      <c r="K751" s="37"/>
      <c r="L751" s="37"/>
      <c r="M751" s="37"/>
      <c r="N751" s="37"/>
      <c r="O751" s="37"/>
      <c r="P751" s="37"/>
      <c r="Q751" s="37"/>
      <c r="R751" s="37"/>
      <c r="S751" s="37"/>
      <c r="T751" s="37"/>
      <c r="U751" s="37"/>
      <c r="V751" s="37"/>
      <c r="W751" s="37"/>
      <c r="X751" s="37"/>
      <c r="Y751" s="37"/>
      <c r="Z751" s="37"/>
      <c r="AA751" s="37"/>
      <c r="AB751" s="37"/>
      <c r="AC751" s="37"/>
      <c r="AD751" s="37"/>
      <c r="AE751" s="37"/>
      <c r="AF751" s="37"/>
      <c r="AG751" s="37"/>
      <c r="AH751" s="37"/>
      <c r="AI751" s="37"/>
      <c r="AJ751" s="37"/>
      <c r="AK751" s="37"/>
    </row>
    <row r="752" spans="1:37" ht="14.25">
      <c r="A752" s="43"/>
      <c r="B752" s="37"/>
      <c r="C752" s="37"/>
      <c r="D752" s="37"/>
      <c r="E752" s="37"/>
      <c r="F752" s="43"/>
      <c r="G752" s="43"/>
      <c r="H752" s="44"/>
      <c r="I752" s="43"/>
      <c r="J752" s="37"/>
      <c r="K752" s="37"/>
      <c r="L752" s="37"/>
      <c r="M752" s="37"/>
      <c r="N752" s="37"/>
      <c r="O752" s="37"/>
      <c r="P752" s="37"/>
      <c r="Q752" s="37"/>
      <c r="R752" s="37"/>
      <c r="S752" s="37"/>
      <c r="T752" s="37"/>
      <c r="U752" s="37"/>
      <c r="V752" s="37"/>
      <c r="W752" s="37"/>
      <c r="X752" s="37"/>
      <c r="Y752" s="37"/>
      <c r="Z752" s="37"/>
      <c r="AA752" s="37"/>
      <c r="AB752" s="37"/>
      <c r="AC752" s="37"/>
      <c r="AD752" s="37"/>
      <c r="AE752" s="37"/>
      <c r="AF752" s="37"/>
      <c r="AG752" s="37"/>
      <c r="AH752" s="37"/>
      <c r="AI752" s="37"/>
      <c r="AJ752" s="37"/>
      <c r="AK752" s="37"/>
    </row>
    <row r="753" spans="1:37" ht="14.25">
      <c r="A753" s="43"/>
      <c r="B753" s="37"/>
      <c r="C753" s="37"/>
      <c r="D753" s="37"/>
      <c r="E753" s="37"/>
      <c r="F753" s="43"/>
      <c r="G753" s="43"/>
      <c r="H753" s="44"/>
      <c r="I753" s="43"/>
      <c r="J753" s="37"/>
      <c r="K753" s="37"/>
      <c r="L753" s="37"/>
      <c r="M753" s="37"/>
      <c r="N753" s="37"/>
      <c r="O753" s="37"/>
      <c r="P753" s="37"/>
      <c r="Q753" s="37"/>
      <c r="R753" s="37"/>
      <c r="S753" s="37"/>
      <c r="T753" s="37"/>
      <c r="U753" s="37"/>
      <c r="V753" s="37"/>
      <c r="W753" s="37"/>
      <c r="X753" s="37"/>
      <c r="Y753" s="37"/>
      <c r="Z753" s="37"/>
      <c r="AA753" s="37"/>
      <c r="AB753" s="37"/>
      <c r="AC753" s="37"/>
      <c r="AD753" s="37"/>
      <c r="AE753" s="37"/>
      <c r="AF753" s="37"/>
      <c r="AG753" s="37"/>
      <c r="AH753" s="37"/>
      <c r="AI753" s="37"/>
      <c r="AJ753" s="37"/>
      <c r="AK753" s="37"/>
    </row>
    <row r="754" spans="1:37" ht="14.25">
      <c r="A754" s="43"/>
      <c r="B754" s="37"/>
      <c r="C754" s="37"/>
      <c r="D754" s="37"/>
      <c r="E754" s="37"/>
      <c r="F754" s="43"/>
      <c r="G754" s="43"/>
      <c r="H754" s="44"/>
      <c r="I754" s="43"/>
      <c r="J754" s="37"/>
      <c r="K754" s="37"/>
      <c r="L754" s="37"/>
      <c r="M754" s="37"/>
      <c r="N754" s="37"/>
      <c r="O754" s="37"/>
      <c r="P754" s="37"/>
      <c r="Q754" s="37"/>
      <c r="R754" s="37"/>
      <c r="S754" s="37"/>
      <c r="T754" s="37"/>
      <c r="U754" s="37"/>
      <c r="V754" s="37"/>
      <c r="W754" s="37"/>
      <c r="X754" s="37"/>
      <c r="Y754" s="37"/>
      <c r="Z754" s="37"/>
      <c r="AA754" s="37"/>
      <c r="AB754" s="37"/>
      <c r="AC754" s="37"/>
      <c r="AD754" s="37"/>
      <c r="AE754" s="37"/>
      <c r="AF754" s="37"/>
      <c r="AG754" s="37"/>
      <c r="AH754" s="37"/>
      <c r="AI754" s="37"/>
      <c r="AJ754" s="37"/>
      <c r="AK754" s="37"/>
    </row>
    <row r="755" spans="1:37" ht="14.25">
      <c r="A755" s="43"/>
      <c r="B755" s="37"/>
      <c r="C755" s="37"/>
      <c r="D755" s="37"/>
      <c r="E755" s="37"/>
      <c r="F755" s="43"/>
      <c r="G755" s="43"/>
      <c r="H755" s="44"/>
      <c r="I755" s="43"/>
      <c r="J755" s="37"/>
      <c r="K755" s="37"/>
      <c r="L755" s="37"/>
      <c r="M755" s="37"/>
      <c r="N755" s="37"/>
      <c r="O755" s="37"/>
      <c r="P755" s="37"/>
      <c r="Q755" s="37"/>
      <c r="R755" s="37"/>
      <c r="S755" s="37"/>
      <c r="T755" s="37"/>
      <c r="U755" s="37"/>
      <c r="V755" s="37"/>
      <c r="W755" s="37"/>
      <c r="X755" s="37"/>
      <c r="Y755" s="37"/>
      <c r="Z755" s="37"/>
      <c r="AA755" s="37"/>
      <c r="AB755" s="37"/>
      <c r="AC755" s="37"/>
      <c r="AD755" s="37"/>
      <c r="AE755" s="37"/>
      <c r="AF755" s="37"/>
      <c r="AG755" s="37"/>
      <c r="AH755" s="37"/>
      <c r="AI755" s="37"/>
      <c r="AJ755" s="37"/>
      <c r="AK755" s="37"/>
    </row>
    <row r="756" spans="1:37" ht="14.25">
      <c r="A756" s="43"/>
      <c r="B756" s="37"/>
      <c r="C756" s="37"/>
      <c r="D756" s="37"/>
      <c r="E756" s="37"/>
      <c r="F756" s="43"/>
      <c r="G756" s="43"/>
      <c r="H756" s="44"/>
      <c r="I756" s="43"/>
      <c r="J756" s="37"/>
      <c r="K756" s="37"/>
      <c r="L756" s="37"/>
      <c r="M756" s="37"/>
      <c r="N756" s="37"/>
      <c r="O756" s="37"/>
      <c r="P756" s="37"/>
      <c r="Q756" s="37"/>
      <c r="R756" s="37"/>
      <c r="S756" s="37"/>
      <c r="T756" s="37"/>
      <c r="U756" s="37"/>
      <c r="V756" s="37"/>
      <c r="W756" s="37"/>
      <c r="X756" s="37"/>
      <c r="Y756" s="37"/>
      <c r="Z756" s="37"/>
      <c r="AA756" s="37"/>
      <c r="AB756" s="37"/>
      <c r="AC756" s="37"/>
      <c r="AD756" s="37"/>
      <c r="AE756" s="37"/>
      <c r="AF756" s="37"/>
      <c r="AG756" s="37"/>
      <c r="AH756" s="37"/>
      <c r="AI756" s="37"/>
      <c r="AJ756" s="37"/>
      <c r="AK756" s="37"/>
    </row>
    <row r="757" spans="1:37" ht="14.25">
      <c r="A757" s="43"/>
      <c r="B757" s="37"/>
      <c r="C757" s="37"/>
      <c r="D757" s="37"/>
      <c r="E757" s="37"/>
      <c r="F757" s="43"/>
      <c r="G757" s="43"/>
      <c r="H757" s="44"/>
      <c r="I757" s="43"/>
      <c r="J757" s="37"/>
      <c r="K757" s="37"/>
      <c r="L757" s="37"/>
      <c r="M757" s="37"/>
      <c r="N757" s="37"/>
      <c r="O757" s="37"/>
      <c r="P757" s="37"/>
      <c r="Q757" s="37"/>
      <c r="R757" s="37"/>
      <c r="S757" s="37"/>
      <c r="T757" s="37"/>
      <c r="U757" s="37"/>
      <c r="V757" s="37"/>
      <c r="W757" s="37"/>
      <c r="X757" s="37"/>
      <c r="Y757" s="37"/>
      <c r="Z757" s="37"/>
      <c r="AA757" s="37"/>
      <c r="AB757" s="37"/>
      <c r="AC757" s="37"/>
      <c r="AD757" s="37"/>
      <c r="AE757" s="37"/>
      <c r="AF757" s="37"/>
      <c r="AG757" s="37"/>
      <c r="AH757" s="37"/>
      <c r="AI757" s="37"/>
      <c r="AJ757" s="37"/>
      <c r="AK757" s="37"/>
    </row>
    <row r="758" spans="1:37" ht="14.25">
      <c r="A758" s="43"/>
      <c r="B758" s="37"/>
      <c r="C758" s="37"/>
      <c r="D758" s="37"/>
      <c r="E758" s="37"/>
      <c r="F758" s="43"/>
      <c r="G758" s="43"/>
      <c r="H758" s="44"/>
      <c r="I758" s="43"/>
      <c r="J758" s="37"/>
      <c r="K758" s="37"/>
      <c r="L758" s="37"/>
      <c r="M758" s="37"/>
      <c r="N758" s="37"/>
      <c r="O758" s="37"/>
      <c r="P758" s="37"/>
      <c r="Q758" s="37"/>
      <c r="R758" s="37"/>
      <c r="S758" s="37"/>
      <c r="T758" s="37"/>
      <c r="U758" s="37"/>
      <c r="V758" s="37"/>
      <c r="W758" s="37"/>
      <c r="X758" s="37"/>
      <c r="Y758" s="37"/>
      <c r="Z758" s="37"/>
      <c r="AA758" s="37"/>
      <c r="AB758" s="37"/>
      <c r="AC758" s="37"/>
      <c r="AD758" s="37"/>
      <c r="AE758" s="37"/>
      <c r="AF758" s="37"/>
      <c r="AG758" s="37"/>
      <c r="AH758" s="37"/>
      <c r="AI758" s="37"/>
      <c r="AJ758" s="37"/>
      <c r="AK758" s="37"/>
    </row>
    <row r="759" spans="1:37" ht="14.25">
      <c r="A759" s="43"/>
      <c r="B759" s="37"/>
      <c r="C759" s="37"/>
      <c r="D759" s="37"/>
      <c r="E759" s="37"/>
      <c r="F759" s="43"/>
      <c r="G759" s="43"/>
      <c r="H759" s="44"/>
      <c r="I759" s="43"/>
      <c r="J759" s="37"/>
      <c r="K759" s="37"/>
      <c r="L759" s="37"/>
      <c r="M759" s="37"/>
      <c r="N759" s="37"/>
      <c r="O759" s="37"/>
      <c r="P759" s="37"/>
      <c r="Q759" s="37"/>
      <c r="R759" s="37"/>
      <c r="S759" s="37"/>
      <c r="T759" s="37"/>
      <c r="U759" s="37"/>
      <c r="V759" s="37"/>
      <c r="W759" s="37"/>
      <c r="X759" s="37"/>
      <c r="Y759" s="37"/>
      <c r="Z759" s="37"/>
      <c r="AA759" s="37"/>
      <c r="AB759" s="37"/>
      <c r="AC759" s="37"/>
      <c r="AD759" s="37"/>
      <c r="AE759" s="37"/>
      <c r="AF759" s="37"/>
      <c r="AG759" s="37"/>
      <c r="AH759" s="37"/>
      <c r="AI759" s="37"/>
      <c r="AJ759" s="37"/>
      <c r="AK759" s="37"/>
    </row>
    <row r="760" spans="1:37" ht="14.25">
      <c r="A760" s="43"/>
      <c r="B760" s="37"/>
      <c r="C760" s="37"/>
      <c r="D760" s="37"/>
      <c r="E760" s="37"/>
      <c r="F760" s="43"/>
      <c r="G760" s="43"/>
      <c r="H760" s="44"/>
      <c r="I760" s="43"/>
      <c r="J760" s="37"/>
      <c r="K760" s="37"/>
      <c r="L760" s="37"/>
      <c r="M760" s="37"/>
      <c r="N760" s="37"/>
      <c r="O760" s="37"/>
      <c r="P760" s="37"/>
      <c r="Q760" s="37"/>
      <c r="R760" s="37"/>
      <c r="S760" s="37"/>
      <c r="T760" s="37"/>
      <c r="U760" s="37"/>
      <c r="V760" s="37"/>
      <c r="W760" s="37"/>
      <c r="X760" s="37"/>
      <c r="Y760" s="37"/>
      <c r="Z760" s="37"/>
      <c r="AA760" s="37"/>
      <c r="AB760" s="37"/>
      <c r="AC760" s="37"/>
      <c r="AD760" s="37"/>
      <c r="AE760" s="37"/>
      <c r="AF760" s="37"/>
      <c r="AG760" s="37"/>
      <c r="AH760" s="37"/>
      <c r="AI760" s="37"/>
      <c r="AJ760" s="37"/>
      <c r="AK760" s="37"/>
    </row>
    <row r="761" spans="1:37" ht="14.25">
      <c r="A761" s="43"/>
      <c r="B761" s="37"/>
      <c r="C761" s="37"/>
      <c r="D761" s="37"/>
      <c r="E761" s="37"/>
      <c r="F761" s="43"/>
      <c r="G761" s="43"/>
      <c r="H761" s="44"/>
      <c r="I761" s="43"/>
      <c r="J761" s="37"/>
      <c r="K761" s="37"/>
      <c r="L761" s="37"/>
      <c r="M761" s="37"/>
      <c r="N761" s="37"/>
      <c r="O761" s="37"/>
      <c r="P761" s="37"/>
      <c r="Q761" s="37"/>
      <c r="R761" s="37"/>
      <c r="S761" s="37"/>
      <c r="T761" s="37"/>
      <c r="U761" s="37"/>
      <c r="V761" s="37"/>
      <c r="W761" s="37"/>
      <c r="X761" s="37"/>
      <c r="Y761" s="37"/>
      <c r="Z761" s="37"/>
      <c r="AA761" s="37"/>
      <c r="AB761" s="37"/>
      <c r="AC761" s="37"/>
      <c r="AD761" s="37"/>
      <c r="AE761" s="37"/>
      <c r="AF761" s="37"/>
      <c r="AG761" s="37"/>
      <c r="AH761" s="37"/>
      <c r="AI761" s="37"/>
      <c r="AJ761" s="37"/>
      <c r="AK761" s="37"/>
    </row>
    <row r="762" spans="1:37" ht="14.25">
      <c r="A762" s="43"/>
      <c r="B762" s="37"/>
      <c r="C762" s="37"/>
      <c r="D762" s="37"/>
      <c r="E762" s="37"/>
      <c r="F762" s="43"/>
      <c r="G762" s="43"/>
      <c r="H762" s="44"/>
      <c r="I762" s="43"/>
      <c r="J762" s="37"/>
      <c r="K762" s="37"/>
      <c r="L762" s="37"/>
      <c r="M762" s="37"/>
      <c r="N762" s="37"/>
      <c r="O762" s="37"/>
      <c r="P762" s="37"/>
      <c r="Q762" s="37"/>
      <c r="R762" s="37"/>
      <c r="S762" s="37"/>
      <c r="T762" s="37"/>
      <c r="U762" s="37"/>
      <c r="V762" s="37"/>
      <c r="W762" s="37"/>
      <c r="X762" s="37"/>
      <c r="Y762" s="37"/>
      <c r="Z762" s="37"/>
      <c r="AA762" s="37"/>
      <c r="AB762" s="37"/>
      <c r="AC762" s="37"/>
      <c r="AD762" s="37"/>
      <c r="AE762" s="37"/>
      <c r="AF762" s="37"/>
      <c r="AG762" s="37"/>
      <c r="AH762" s="37"/>
      <c r="AI762" s="37"/>
      <c r="AJ762" s="37"/>
      <c r="AK762" s="37"/>
    </row>
    <row r="763" spans="1:37" ht="14.25">
      <c r="A763" s="43"/>
      <c r="B763" s="37"/>
      <c r="C763" s="37"/>
      <c r="D763" s="37"/>
      <c r="E763" s="37"/>
      <c r="F763" s="43"/>
      <c r="G763" s="43"/>
      <c r="H763" s="44"/>
      <c r="I763" s="43"/>
      <c r="J763" s="37"/>
      <c r="K763" s="37"/>
      <c r="L763" s="37"/>
      <c r="M763" s="37"/>
      <c r="N763" s="37"/>
      <c r="O763" s="37"/>
      <c r="P763" s="37"/>
      <c r="Q763" s="37"/>
      <c r="R763" s="37"/>
      <c r="S763" s="37"/>
      <c r="T763" s="37"/>
      <c r="U763" s="37"/>
      <c r="V763" s="37"/>
      <c r="W763" s="37"/>
      <c r="X763" s="37"/>
      <c r="Y763" s="37"/>
      <c r="Z763" s="37"/>
      <c r="AA763" s="37"/>
      <c r="AB763" s="37"/>
      <c r="AC763" s="37"/>
      <c r="AD763" s="37"/>
      <c r="AE763" s="37"/>
      <c r="AF763" s="37"/>
      <c r="AG763" s="37"/>
      <c r="AH763" s="37"/>
      <c r="AI763" s="37"/>
      <c r="AJ763" s="37"/>
      <c r="AK763" s="37"/>
    </row>
    <row r="764" spans="1:37" ht="14.25">
      <c r="A764" s="43"/>
      <c r="B764" s="37"/>
      <c r="C764" s="37"/>
      <c r="D764" s="37"/>
      <c r="E764" s="37"/>
      <c r="F764" s="43"/>
      <c r="G764" s="43"/>
      <c r="H764" s="44"/>
      <c r="I764" s="43"/>
      <c r="J764" s="37"/>
      <c r="K764" s="37"/>
      <c r="L764" s="37"/>
      <c r="M764" s="37"/>
      <c r="N764" s="37"/>
      <c r="O764" s="37"/>
      <c r="P764" s="37"/>
      <c r="Q764" s="37"/>
      <c r="R764" s="37"/>
      <c r="S764" s="37"/>
      <c r="T764" s="37"/>
      <c r="U764" s="37"/>
      <c r="V764" s="37"/>
      <c r="W764" s="37"/>
      <c r="X764" s="37"/>
      <c r="Y764" s="37"/>
      <c r="Z764" s="37"/>
      <c r="AA764" s="37"/>
      <c r="AB764" s="37"/>
      <c r="AC764" s="37"/>
      <c r="AD764" s="37"/>
      <c r="AE764" s="37"/>
      <c r="AF764" s="37"/>
      <c r="AG764" s="37"/>
      <c r="AH764" s="37"/>
      <c r="AI764" s="37"/>
      <c r="AJ764" s="37"/>
      <c r="AK764" s="37"/>
    </row>
    <row r="765" spans="1:37" ht="14.25">
      <c r="A765" s="43"/>
      <c r="B765" s="37"/>
      <c r="C765" s="37"/>
      <c r="D765" s="37"/>
      <c r="E765" s="37"/>
      <c r="F765" s="43"/>
      <c r="G765" s="43"/>
      <c r="H765" s="44"/>
      <c r="I765" s="43"/>
      <c r="J765" s="37"/>
      <c r="K765" s="37"/>
      <c r="L765" s="37"/>
      <c r="M765" s="37"/>
      <c r="N765" s="37"/>
      <c r="O765" s="37"/>
      <c r="P765" s="37"/>
      <c r="Q765" s="37"/>
      <c r="R765" s="37"/>
      <c r="S765" s="37"/>
      <c r="T765" s="37"/>
      <c r="U765" s="37"/>
      <c r="V765" s="37"/>
      <c r="W765" s="37"/>
      <c r="X765" s="37"/>
      <c r="Y765" s="37"/>
      <c r="Z765" s="37"/>
      <c r="AA765" s="37"/>
      <c r="AB765" s="37"/>
      <c r="AC765" s="37"/>
      <c r="AD765" s="37"/>
      <c r="AE765" s="37"/>
      <c r="AF765" s="37"/>
      <c r="AG765" s="37"/>
      <c r="AH765" s="37"/>
      <c r="AI765" s="37"/>
      <c r="AJ765" s="37"/>
      <c r="AK765" s="37"/>
    </row>
    <row r="766" spans="1:37" ht="14.25">
      <c r="A766" s="43"/>
      <c r="B766" s="37"/>
      <c r="C766" s="37"/>
      <c r="D766" s="37"/>
      <c r="E766" s="37"/>
      <c r="F766" s="43"/>
      <c r="G766" s="43"/>
      <c r="H766" s="44"/>
      <c r="I766" s="43"/>
      <c r="J766" s="37"/>
      <c r="K766" s="37"/>
      <c r="L766" s="37"/>
      <c r="M766" s="37"/>
      <c r="N766" s="37"/>
      <c r="O766" s="37"/>
      <c r="P766" s="37"/>
      <c r="Q766" s="37"/>
      <c r="R766" s="37"/>
      <c r="S766" s="37"/>
      <c r="T766" s="37"/>
      <c r="U766" s="37"/>
      <c r="V766" s="37"/>
      <c r="W766" s="37"/>
      <c r="X766" s="37"/>
      <c r="Y766" s="37"/>
      <c r="Z766" s="37"/>
      <c r="AA766" s="37"/>
      <c r="AB766" s="37"/>
      <c r="AC766" s="37"/>
      <c r="AD766" s="37"/>
      <c r="AE766" s="37"/>
      <c r="AF766" s="37"/>
      <c r="AG766" s="37"/>
      <c r="AH766" s="37"/>
      <c r="AI766" s="37"/>
      <c r="AJ766" s="37"/>
      <c r="AK766" s="37"/>
    </row>
    <row r="767" spans="1:37" ht="14.25">
      <c r="A767" s="43"/>
      <c r="B767" s="37"/>
      <c r="C767" s="37"/>
      <c r="D767" s="37"/>
      <c r="E767" s="37"/>
      <c r="F767" s="43"/>
      <c r="G767" s="43"/>
      <c r="H767" s="44"/>
      <c r="I767" s="43"/>
      <c r="J767" s="37"/>
      <c r="K767" s="37"/>
      <c r="L767" s="37"/>
      <c r="M767" s="37"/>
      <c r="N767" s="37"/>
      <c r="O767" s="37"/>
      <c r="P767" s="37"/>
      <c r="Q767" s="37"/>
      <c r="R767" s="37"/>
      <c r="S767" s="37"/>
      <c r="T767" s="37"/>
      <c r="U767" s="37"/>
      <c r="V767" s="37"/>
      <c r="W767" s="37"/>
      <c r="X767" s="37"/>
      <c r="Y767" s="37"/>
      <c r="Z767" s="37"/>
      <c r="AA767" s="37"/>
      <c r="AB767" s="37"/>
      <c r="AC767" s="37"/>
      <c r="AD767" s="37"/>
      <c r="AE767" s="37"/>
      <c r="AF767" s="37"/>
      <c r="AG767" s="37"/>
      <c r="AH767" s="37"/>
      <c r="AI767" s="37"/>
      <c r="AJ767" s="37"/>
      <c r="AK767" s="37"/>
    </row>
    <row r="768" spans="1:37" ht="14.25">
      <c r="A768" s="43"/>
      <c r="B768" s="37"/>
      <c r="C768" s="37"/>
      <c r="D768" s="37"/>
      <c r="E768" s="37"/>
      <c r="F768" s="43"/>
      <c r="G768" s="43"/>
      <c r="H768" s="44"/>
      <c r="I768" s="43"/>
      <c r="J768" s="37"/>
      <c r="K768" s="37"/>
      <c r="L768" s="37"/>
      <c r="M768" s="37"/>
      <c r="N768" s="37"/>
      <c r="O768" s="37"/>
      <c r="P768" s="37"/>
      <c r="Q768" s="37"/>
      <c r="R768" s="37"/>
      <c r="S768" s="37"/>
      <c r="T768" s="37"/>
      <c r="U768" s="37"/>
      <c r="V768" s="37"/>
      <c r="W768" s="37"/>
      <c r="X768" s="37"/>
      <c r="Y768" s="37"/>
      <c r="Z768" s="37"/>
      <c r="AA768" s="37"/>
      <c r="AB768" s="37"/>
      <c r="AC768" s="37"/>
      <c r="AD768" s="37"/>
      <c r="AE768" s="37"/>
      <c r="AF768" s="37"/>
      <c r="AG768" s="37"/>
      <c r="AH768" s="37"/>
      <c r="AI768" s="37"/>
      <c r="AJ768" s="37"/>
      <c r="AK768" s="37"/>
    </row>
    <row r="769" spans="1:37" ht="14.25">
      <c r="A769" s="43"/>
      <c r="B769" s="37"/>
      <c r="C769" s="37"/>
      <c r="D769" s="37"/>
      <c r="E769" s="37"/>
      <c r="F769" s="43"/>
      <c r="G769" s="43"/>
      <c r="H769" s="44"/>
      <c r="I769" s="43"/>
      <c r="J769" s="37"/>
      <c r="K769" s="37"/>
      <c r="L769" s="37"/>
      <c r="M769" s="37"/>
      <c r="N769" s="37"/>
      <c r="O769" s="37"/>
      <c r="P769" s="37"/>
      <c r="Q769" s="37"/>
      <c r="R769" s="37"/>
      <c r="S769" s="37"/>
      <c r="T769" s="37"/>
      <c r="U769" s="37"/>
      <c r="V769" s="37"/>
      <c r="W769" s="37"/>
      <c r="X769" s="37"/>
      <c r="Y769" s="37"/>
      <c r="Z769" s="37"/>
      <c r="AA769" s="37"/>
      <c r="AB769" s="37"/>
      <c r="AC769" s="37"/>
      <c r="AD769" s="37"/>
      <c r="AE769" s="37"/>
      <c r="AF769" s="37"/>
      <c r="AG769" s="37"/>
      <c r="AH769" s="37"/>
      <c r="AI769" s="37"/>
      <c r="AJ769" s="37"/>
      <c r="AK769" s="37"/>
    </row>
    <row r="770" spans="1:37" ht="14.25">
      <c r="A770" s="43"/>
      <c r="B770" s="37"/>
      <c r="C770" s="37"/>
      <c r="D770" s="37"/>
      <c r="E770" s="37"/>
      <c r="F770" s="43"/>
      <c r="G770" s="43"/>
      <c r="H770" s="44"/>
      <c r="I770" s="43"/>
      <c r="J770" s="37"/>
      <c r="K770" s="37"/>
      <c r="L770" s="37"/>
      <c r="M770" s="37"/>
      <c r="N770" s="37"/>
      <c r="O770" s="37"/>
      <c r="P770" s="37"/>
      <c r="Q770" s="37"/>
      <c r="R770" s="37"/>
      <c r="S770" s="37"/>
      <c r="T770" s="37"/>
      <c r="U770" s="37"/>
      <c r="V770" s="37"/>
      <c r="W770" s="37"/>
      <c r="X770" s="37"/>
      <c r="Y770" s="37"/>
      <c r="Z770" s="37"/>
      <c r="AA770" s="37"/>
      <c r="AB770" s="37"/>
      <c r="AC770" s="37"/>
      <c r="AD770" s="37"/>
      <c r="AE770" s="37"/>
      <c r="AF770" s="37"/>
      <c r="AG770" s="37"/>
      <c r="AH770" s="37"/>
      <c r="AI770" s="37"/>
      <c r="AJ770" s="37"/>
      <c r="AK770" s="37"/>
    </row>
    <row r="771" spans="1:37" ht="14.25">
      <c r="A771" s="43"/>
      <c r="B771" s="37"/>
      <c r="C771" s="37"/>
      <c r="D771" s="37"/>
      <c r="E771" s="37"/>
      <c r="F771" s="43"/>
      <c r="G771" s="43"/>
      <c r="H771" s="44"/>
      <c r="I771" s="43"/>
      <c r="J771" s="37"/>
      <c r="K771" s="37"/>
      <c r="L771" s="37"/>
      <c r="M771" s="37"/>
      <c r="N771" s="37"/>
      <c r="O771" s="37"/>
      <c r="P771" s="37"/>
      <c r="Q771" s="37"/>
      <c r="R771" s="37"/>
      <c r="S771" s="37"/>
      <c r="T771" s="37"/>
      <c r="U771" s="37"/>
      <c r="V771" s="37"/>
      <c r="W771" s="37"/>
      <c r="X771" s="37"/>
      <c r="Y771" s="37"/>
      <c r="Z771" s="37"/>
      <c r="AA771" s="37"/>
      <c r="AB771" s="37"/>
      <c r="AC771" s="37"/>
      <c r="AD771" s="37"/>
      <c r="AE771" s="37"/>
      <c r="AF771" s="37"/>
      <c r="AG771" s="37"/>
      <c r="AH771" s="37"/>
      <c r="AI771" s="37"/>
      <c r="AJ771" s="37"/>
      <c r="AK771" s="37"/>
    </row>
    <row r="772" spans="1:37" ht="14.25">
      <c r="A772" s="43"/>
      <c r="B772" s="37"/>
      <c r="C772" s="37"/>
      <c r="D772" s="37"/>
      <c r="E772" s="37"/>
      <c r="F772" s="43"/>
      <c r="G772" s="43"/>
      <c r="H772" s="44"/>
      <c r="I772" s="43"/>
      <c r="J772" s="37"/>
      <c r="K772" s="37"/>
      <c r="L772" s="37"/>
      <c r="M772" s="37"/>
      <c r="N772" s="37"/>
      <c r="O772" s="37"/>
      <c r="P772" s="37"/>
      <c r="Q772" s="37"/>
      <c r="R772" s="37"/>
      <c r="S772" s="37"/>
      <c r="T772" s="37"/>
      <c r="U772" s="37"/>
      <c r="V772" s="37"/>
      <c r="W772" s="37"/>
      <c r="X772" s="37"/>
      <c r="Y772" s="37"/>
      <c r="Z772" s="37"/>
      <c r="AA772" s="37"/>
      <c r="AB772" s="37"/>
      <c r="AC772" s="37"/>
      <c r="AD772" s="37"/>
      <c r="AE772" s="37"/>
      <c r="AF772" s="37"/>
      <c r="AG772" s="37"/>
      <c r="AH772" s="37"/>
      <c r="AI772" s="37"/>
      <c r="AJ772" s="37"/>
      <c r="AK772" s="37"/>
    </row>
    <row r="773" spans="1:37" ht="14.25">
      <c r="A773" s="43"/>
      <c r="B773" s="37"/>
      <c r="C773" s="37"/>
      <c r="D773" s="37"/>
      <c r="E773" s="37"/>
      <c r="F773" s="43"/>
      <c r="G773" s="43"/>
      <c r="H773" s="44"/>
      <c r="I773" s="43"/>
      <c r="J773" s="37"/>
      <c r="K773" s="37"/>
      <c r="L773" s="37"/>
      <c r="M773" s="37"/>
      <c r="N773" s="37"/>
      <c r="O773" s="37"/>
      <c r="P773" s="37"/>
      <c r="Q773" s="37"/>
      <c r="R773" s="37"/>
      <c r="S773" s="37"/>
      <c r="T773" s="37"/>
      <c r="U773" s="37"/>
      <c r="V773" s="37"/>
      <c r="W773" s="37"/>
      <c r="X773" s="37"/>
      <c r="Y773" s="37"/>
      <c r="Z773" s="37"/>
      <c r="AA773" s="37"/>
      <c r="AB773" s="37"/>
      <c r="AC773" s="37"/>
      <c r="AD773" s="37"/>
      <c r="AE773" s="37"/>
      <c r="AF773" s="37"/>
      <c r="AG773" s="37"/>
      <c r="AH773" s="37"/>
      <c r="AI773" s="37"/>
      <c r="AJ773" s="37"/>
      <c r="AK773" s="37"/>
    </row>
    <row r="774" spans="1:37" ht="14.25">
      <c r="A774" s="43"/>
      <c r="B774" s="37"/>
      <c r="C774" s="37"/>
      <c r="D774" s="37"/>
      <c r="E774" s="37"/>
      <c r="F774" s="43"/>
      <c r="G774" s="43"/>
      <c r="H774" s="44"/>
      <c r="I774" s="43"/>
      <c r="J774" s="37"/>
      <c r="K774" s="37"/>
      <c r="L774" s="37"/>
      <c r="M774" s="37"/>
      <c r="N774" s="37"/>
      <c r="O774" s="37"/>
      <c r="P774" s="37"/>
      <c r="Q774" s="37"/>
      <c r="R774" s="37"/>
      <c r="S774" s="37"/>
      <c r="T774" s="37"/>
      <c r="U774" s="37"/>
      <c r="V774" s="37"/>
      <c r="W774" s="37"/>
      <c r="X774" s="37"/>
      <c r="Y774" s="37"/>
      <c r="Z774" s="37"/>
      <c r="AA774" s="37"/>
      <c r="AB774" s="37"/>
      <c r="AC774" s="37"/>
      <c r="AD774" s="37"/>
      <c r="AE774" s="37"/>
      <c r="AF774" s="37"/>
      <c r="AG774" s="37"/>
      <c r="AH774" s="37"/>
      <c r="AI774" s="37"/>
      <c r="AJ774" s="37"/>
      <c r="AK774" s="37"/>
    </row>
    <row r="775" spans="1:37" ht="14.25">
      <c r="A775" s="43"/>
      <c r="B775" s="37"/>
      <c r="C775" s="37"/>
      <c r="D775" s="37"/>
      <c r="E775" s="37"/>
      <c r="F775" s="43"/>
      <c r="G775" s="43"/>
      <c r="H775" s="44"/>
      <c r="I775" s="43"/>
      <c r="J775" s="37"/>
      <c r="K775" s="37"/>
      <c r="L775" s="37"/>
      <c r="M775" s="37"/>
      <c r="N775" s="37"/>
      <c r="O775" s="37"/>
      <c r="P775" s="37"/>
      <c r="Q775" s="37"/>
      <c r="R775" s="37"/>
      <c r="S775" s="37"/>
      <c r="T775" s="37"/>
      <c r="U775" s="37"/>
      <c r="V775" s="37"/>
      <c r="W775" s="37"/>
      <c r="X775" s="37"/>
      <c r="Y775" s="37"/>
      <c r="Z775" s="37"/>
      <c r="AA775" s="37"/>
      <c r="AB775" s="37"/>
      <c r="AC775" s="37"/>
      <c r="AD775" s="37"/>
      <c r="AE775" s="37"/>
      <c r="AF775" s="37"/>
      <c r="AG775" s="37"/>
      <c r="AH775" s="37"/>
      <c r="AI775" s="37"/>
      <c r="AJ775" s="37"/>
      <c r="AK775" s="37"/>
    </row>
    <row r="776" spans="1:37" ht="14.25">
      <c r="A776" s="43"/>
      <c r="B776" s="37"/>
      <c r="C776" s="37"/>
      <c r="D776" s="37"/>
      <c r="E776" s="37"/>
      <c r="F776" s="43"/>
      <c r="G776" s="43"/>
      <c r="H776" s="44"/>
      <c r="I776" s="43"/>
      <c r="J776" s="37"/>
      <c r="K776" s="37"/>
      <c r="L776" s="37"/>
      <c r="M776" s="37"/>
      <c r="N776" s="37"/>
      <c r="O776" s="37"/>
      <c r="P776" s="37"/>
      <c r="Q776" s="37"/>
      <c r="R776" s="37"/>
      <c r="S776" s="37"/>
      <c r="T776" s="37"/>
      <c r="U776" s="37"/>
      <c r="V776" s="37"/>
      <c r="W776" s="37"/>
      <c r="X776" s="37"/>
      <c r="Y776" s="37"/>
      <c r="Z776" s="37"/>
      <c r="AA776" s="37"/>
      <c r="AB776" s="37"/>
      <c r="AC776" s="37"/>
      <c r="AD776" s="37"/>
      <c r="AE776" s="37"/>
      <c r="AF776" s="37"/>
      <c r="AG776" s="37"/>
      <c r="AH776" s="37"/>
      <c r="AI776" s="37"/>
      <c r="AJ776" s="37"/>
      <c r="AK776" s="37"/>
    </row>
    <row r="777" spans="1:37" ht="14.25">
      <c r="A777" s="43"/>
      <c r="B777" s="37"/>
      <c r="C777" s="37"/>
      <c r="D777" s="37"/>
      <c r="E777" s="37"/>
      <c r="F777" s="43"/>
      <c r="G777" s="43"/>
      <c r="H777" s="44"/>
      <c r="I777" s="43"/>
      <c r="J777" s="37"/>
      <c r="K777" s="37"/>
      <c r="L777" s="37"/>
      <c r="M777" s="37"/>
      <c r="N777" s="37"/>
      <c r="O777" s="37"/>
      <c r="P777" s="37"/>
      <c r="Q777" s="37"/>
      <c r="R777" s="37"/>
      <c r="S777" s="37"/>
      <c r="T777" s="37"/>
      <c r="U777" s="37"/>
      <c r="V777" s="37"/>
      <c r="W777" s="37"/>
      <c r="X777" s="37"/>
      <c r="Y777" s="37"/>
      <c r="Z777" s="37"/>
      <c r="AA777" s="37"/>
      <c r="AB777" s="37"/>
      <c r="AC777" s="37"/>
      <c r="AD777" s="37"/>
      <c r="AE777" s="37"/>
      <c r="AF777" s="37"/>
      <c r="AG777" s="37"/>
      <c r="AH777" s="37"/>
      <c r="AI777" s="37"/>
      <c r="AJ777" s="37"/>
      <c r="AK777" s="37"/>
    </row>
    <row r="778" spans="1:37" ht="14.25">
      <c r="A778" s="43"/>
      <c r="B778" s="37"/>
      <c r="C778" s="37"/>
      <c r="D778" s="37"/>
      <c r="E778" s="37"/>
      <c r="F778" s="43"/>
      <c r="G778" s="43"/>
      <c r="H778" s="44"/>
      <c r="I778" s="43"/>
      <c r="J778" s="37"/>
      <c r="K778" s="37"/>
      <c r="L778" s="37"/>
      <c r="M778" s="37"/>
      <c r="N778" s="37"/>
      <c r="O778" s="37"/>
      <c r="P778" s="37"/>
      <c r="Q778" s="37"/>
      <c r="R778" s="37"/>
      <c r="S778" s="37"/>
      <c r="T778" s="37"/>
      <c r="U778" s="37"/>
      <c r="V778" s="37"/>
      <c r="W778" s="37"/>
      <c r="X778" s="37"/>
      <c r="Y778" s="37"/>
      <c r="Z778" s="37"/>
      <c r="AA778" s="37"/>
      <c r="AB778" s="37"/>
      <c r="AC778" s="37"/>
      <c r="AD778" s="37"/>
      <c r="AE778" s="37"/>
      <c r="AF778" s="37"/>
      <c r="AG778" s="37"/>
      <c r="AH778" s="37"/>
      <c r="AI778" s="37"/>
      <c r="AJ778" s="37"/>
      <c r="AK778" s="37"/>
    </row>
    <row r="779" spans="1:37" ht="14.25">
      <c r="A779" s="43"/>
      <c r="B779" s="37"/>
      <c r="C779" s="37"/>
      <c r="D779" s="37"/>
      <c r="E779" s="37"/>
      <c r="F779" s="43"/>
      <c r="G779" s="43"/>
      <c r="H779" s="44"/>
      <c r="I779" s="43"/>
      <c r="J779" s="37"/>
      <c r="K779" s="37"/>
      <c r="L779" s="37"/>
      <c r="M779" s="37"/>
      <c r="N779" s="37"/>
      <c r="O779" s="37"/>
      <c r="P779" s="37"/>
      <c r="Q779" s="37"/>
      <c r="R779" s="37"/>
      <c r="S779" s="37"/>
      <c r="T779" s="37"/>
      <c r="U779" s="37"/>
      <c r="V779" s="37"/>
      <c r="W779" s="37"/>
      <c r="X779" s="37"/>
      <c r="Y779" s="37"/>
      <c r="Z779" s="37"/>
      <c r="AA779" s="37"/>
      <c r="AB779" s="37"/>
      <c r="AC779" s="37"/>
      <c r="AD779" s="37"/>
      <c r="AE779" s="37"/>
      <c r="AF779" s="37"/>
      <c r="AG779" s="37"/>
      <c r="AH779" s="37"/>
      <c r="AI779" s="37"/>
      <c r="AJ779" s="37"/>
      <c r="AK779" s="37"/>
    </row>
    <row r="780" spans="1:37" ht="14.25">
      <c r="A780" s="43"/>
      <c r="B780" s="37"/>
      <c r="C780" s="37"/>
      <c r="D780" s="37"/>
      <c r="E780" s="37"/>
      <c r="F780" s="43"/>
      <c r="G780" s="43"/>
      <c r="H780" s="44"/>
      <c r="I780" s="43"/>
      <c r="J780" s="37"/>
      <c r="K780" s="37"/>
      <c r="L780" s="37"/>
      <c r="M780" s="37"/>
      <c r="N780" s="37"/>
      <c r="O780" s="37"/>
      <c r="P780" s="37"/>
      <c r="Q780" s="37"/>
      <c r="R780" s="37"/>
      <c r="S780" s="37"/>
      <c r="T780" s="37"/>
      <c r="U780" s="37"/>
      <c r="V780" s="37"/>
      <c r="W780" s="37"/>
      <c r="X780" s="37"/>
      <c r="Y780" s="37"/>
      <c r="Z780" s="37"/>
      <c r="AA780" s="37"/>
      <c r="AB780" s="37"/>
      <c r="AC780" s="37"/>
      <c r="AD780" s="37"/>
      <c r="AE780" s="37"/>
      <c r="AF780" s="37"/>
      <c r="AG780" s="37"/>
      <c r="AH780" s="37"/>
      <c r="AI780" s="37"/>
      <c r="AJ780" s="37"/>
      <c r="AK780" s="37"/>
    </row>
    <row r="781" spans="1:37" ht="14.25">
      <c r="A781" s="43"/>
      <c r="B781" s="37"/>
      <c r="C781" s="37"/>
      <c r="D781" s="37"/>
      <c r="E781" s="37"/>
      <c r="F781" s="43"/>
      <c r="G781" s="43"/>
      <c r="H781" s="44"/>
      <c r="I781" s="43"/>
      <c r="J781" s="37"/>
      <c r="K781" s="37"/>
      <c r="L781" s="37"/>
      <c r="M781" s="37"/>
      <c r="N781" s="37"/>
      <c r="O781" s="37"/>
      <c r="P781" s="37"/>
      <c r="Q781" s="37"/>
      <c r="R781" s="37"/>
      <c r="S781" s="37"/>
      <c r="T781" s="37"/>
      <c r="U781" s="37"/>
      <c r="V781" s="37"/>
      <c r="W781" s="37"/>
      <c r="X781" s="37"/>
      <c r="Y781" s="37"/>
      <c r="Z781" s="37"/>
      <c r="AA781" s="37"/>
      <c r="AB781" s="37"/>
      <c r="AC781" s="37"/>
      <c r="AD781" s="37"/>
      <c r="AE781" s="37"/>
      <c r="AF781" s="37"/>
      <c r="AG781" s="37"/>
      <c r="AH781" s="37"/>
      <c r="AI781" s="37"/>
      <c r="AJ781" s="37"/>
      <c r="AK781" s="37"/>
    </row>
    <row r="782" spans="1:37" ht="14.25">
      <c r="A782" s="43"/>
      <c r="B782" s="37"/>
      <c r="C782" s="37"/>
      <c r="D782" s="37"/>
      <c r="E782" s="37"/>
      <c r="F782" s="43"/>
      <c r="G782" s="43"/>
      <c r="H782" s="44"/>
      <c r="I782" s="43"/>
      <c r="J782" s="37"/>
      <c r="K782" s="37"/>
      <c r="L782" s="37"/>
      <c r="M782" s="37"/>
      <c r="N782" s="37"/>
      <c r="O782" s="37"/>
      <c r="P782" s="37"/>
      <c r="Q782" s="37"/>
      <c r="R782" s="37"/>
      <c r="S782" s="37"/>
      <c r="T782" s="37"/>
      <c r="U782" s="37"/>
      <c r="V782" s="37"/>
      <c r="W782" s="37"/>
      <c r="X782" s="37"/>
      <c r="Y782" s="37"/>
      <c r="Z782" s="37"/>
      <c r="AA782" s="37"/>
      <c r="AB782" s="37"/>
      <c r="AC782" s="37"/>
      <c r="AD782" s="37"/>
      <c r="AE782" s="37"/>
      <c r="AF782" s="37"/>
      <c r="AG782" s="37"/>
      <c r="AH782" s="37"/>
      <c r="AI782" s="37"/>
      <c r="AJ782" s="37"/>
      <c r="AK782" s="37"/>
    </row>
    <row r="783" spans="1:37" ht="14.25">
      <c r="A783" s="43"/>
      <c r="B783" s="37"/>
      <c r="C783" s="37"/>
      <c r="D783" s="37"/>
      <c r="E783" s="37"/>
      <c r="F783" s="43"/>
      <c r="G783" s="43"/>
      <c r="H783" s="44"/>
      <c r="I783" s="43"/>
      <c r="J783" s="37"/>
      <c r="K783" s="37"/>
      <c r="L783" s="37"/>
      <c r="M783" s="37"/>
      <c r="N783" s="37"/>
      <c r="O783" s="37"/>
      <c r="P783" s="37"/>
      <c r="Q783" s="37"/>
      <c r="R783" s="37"/>
      <c r="S783" s="37"/>
      <c r="T783" s="37"/>
      <c r="U783" s="37"/>
      <c r="V783" s="37"/>
      <c r="W783" s="37"/>
      <c r="X783" s="37"/>
      <c r="Y783" s="37"/>
      <c r="Z783" s="37"/>
      <c r="AA783" s="37"/>
      <c r="AB783" s="37"/>
      <c r="AC783" s="37"/>
      <c r="AD783" s="37"/>
      <c r="AE783" s="37"/>
      <c r="AF783" s="37"/>
      <c r="AG783" s="37"/>
      <c r="AH783" s="37"/>
      <c r="AI783" s="37"/>
      <c r="AJ783" s="37"/>
      <c r="AK783" s="37"/>
    </row>
    <row r="784" spans="1:37" ht="14.25">
      <c r="A784" s="43"/>
      <c r="B784" s="37"/>
      <c r="C784" s="37"/>
      <c r="D784" s="37"/>
      <c r="E784" s="37"/>
      <c r="F784" s="43"/>
      <c r="G784" s="43"/>
      <c r="H784" s="44"/>
      <c r="I784" s="43"/>
      <c r="J784" s="37"/>
      <c r="K784" s="37"/>
      <c r="L784" s="37"/>
      <c r="M784" s="37"/>
      <c r="N784" s="37"/>
      <c r="O784" s="37"/>
      <c r="P784" s="37"/>
      <c r="Q784" s="37"/>
      <c r="R784" s="37"/>
      <c r="S784" s="37"/>
      <c r="T784" s="37"/>
      <c r="U784" s="37"/>
      <c r="V784" s="37"/>
      <c r="W784" s="37"/>
      <c r="X784" s="37"/>
      <c r="Y784" s="37"/>
      <c r="Z784" s="37"/>
      <c r="AA784" s="37"/>
      <c r="AB784" s="37"/>
      <c r="AC784" s="37"/>
      <c r="AD784" s="37"/>
      <c r="AE784" s="37"/>
      <c r="AF784" s="37"/>
      <c r="AG784" s="37"/>
      <c r="AH784" s="37"/>
      <c r="AI784" s="37"/>
      <c r="AJ784" s="37"/>
      <c r="AK784" s="37"/>
    </row>
    <row r="785" spans="1:37" ht="14.25">
      <c r="A785" s="43"/>
      <c r="B785" s="37"/>
      <c r="C785" s="37"/>
      <c r="D785" s="37"/>
      <c r="E785" s="37"/>
      <c r="F785" s="43"/>
      <c r="G785" s="43"/>
      <c r="H785" s="44"/>
      <c r="I785" s="43"/>
      <c r="J785" s="37"/>
      <c r="K785" s="37"/>
      <c r="L785" s="37"/>
      <c r="M785" s="37"/>
      <c r="N785" s="37"/>
      <c r="O785" s="37"/>
      <c r="P785" s="37"/>
      <c r="Q785" s="37"/>
      <c r="R785" s="37"/>
      <c r="S785" s="37"/>
      <c r="T785" s="37"/>
      <c r="U785" s="37"/>
      <c r="V785" s="37"/>
      <c r="W785" s="37"/>
      <c r="X785" s="37"/>
      <c r="Y785" s="37"/>
      <c r="Z785" s="37"/>
      <c r="AA785" s="37"/>
      <c r="AB785" s="37"/>
      <c r="AC785" s="37"/>
      <c r="AD785" s="37"/>
      <c r="AE785" s="37"/>
      <c r="AF785" s="37"/>
      <c r="AG785" s="37"/>
      <c r="AH785" s="37"/>
      <c r="AI785" s="37"/>
      <c r="AJ785" s="37"/>
      <c r="AK785" s="37"/>
    </row>
    <row r="786" spans="1:37" ht="14.25">
      <c r="A786" s="43"/>
      <c r="B786" s="37"/>
      <c r="C786" s="37"/>
      <c r="D786" s="37"/>
      <c r="E786" s="37"/>
      <c r="F786" s="43"/>
      <c r="G786" s="43"/>
      <c r="H786" s="44"/>
      <c r="I786" s="43"/>
      <c r="J786" s="37"/>
      <c r="K786" s="37"/>
      <c r="L786" s="37"/>
      <c r="M786" s="37"/>
      <c r="N786" s="37"/>
      <c r="O786" s="37"/>
      <c r="P786" s="37"/>
      <c r="Q786" s="37"/>
      <c r="R786" s="37"/>
      <c r="S786" s="37"/>
      <c r="T786" s="37"/>
      <c r="U786" s="37"/>
      <c r="V786" s="37"/>
      <c r="W786" s="37"/>
      <c r="X786" s="37"/>
      <c r="Y786" s="37"/>
      <c r="Z786" s="37"/>
      <c r="AA786" s="37"/>
      <c r="AB786" s="37"/>
      <c r="AC786" s="37"/>
      <c r="AD786" s="37"/>
      <c r="AE786" s="37"/>
      <c r="AF786" s="37"/>
      <c r="AG786" s="37"/>
      <c r="AH786" s="37"/>
      <c r="AI786" s="37"/>
      <c r="AJ786" s="37"/>
      <c r="AK786" s="37"/>
    </row>
    <row r="787" spans="1:37" ht="14.25">
      <c r="A787" s="43"/>
      <c r="B787" s="37"/>
      <c r="C787" s="37"/>
      <c r="D787" s="37"/>
      <c r="E787" s="37"/>
      <c r="F787" s="43"/>
      <c r="G787" s="43"/>
      <c r="H787" s="44"/>
      <c r="I787" s="43"/>
      <c r="J787" s="37"/>
      <c r="K787" s="37"/>
      <c r="L787" s="37"/>
      <c r="M787" s="37"/>
      <c r="N787" s="37"/>
      <c r="O787" s="37"/>
      <c r="P787" s="37"/>
      <c r="Q787" s="37"/>
      <c r="R787" s="37"/>
      <c r="S787" s="37"/>
      <c r="T787" s="37"/>
      <c r="U787" s="37"/>
      <c r="V787" s="37"/>
      <c r="W787" s="37"/>
      <c r="X787" s="37"/>
      <c r="Y787" s="37"/>
      <c r="Z787" s="37"/>
      <c r="AA787" s="37"/>
      <c r="AB787" s="37"/>
      <c r="AC787" s="37"/>
      <c r="AD787" s="37"/>
      <c r="AE787" s="37"/>
      <c r="AF787" s="37"/>
      <c r="AG787" s="37"/>
      <c r="AH787" s="37"/>
      <c r="AI787" s="37"/>
      <c r="AJ787" s="37"/>
      <c r="AK787" s="37"/>
    </row>
    <row r="788" spans="1:37" ht="14.25">
      <c r="A788" s="43"/>
      <c r="B788" s="37"/>
      <c r="C788" s="37"/>
      <c r="D788" s="37"/>
      <c r="E788" s="37"/>
      <c r="F788" s="43"/>
      <c r="G788" s="43"/>
      <c r="H788" s="44"/>
      <c r="I788" s="43"/>
      <c r="J788" s="37"/>
      <c r="K788" s="37"/>
      <c r="L788" s="37"/>
      <c r="M788" s="37"/>
      <c r="N788" s="37"/>
      <c r="O788" s="37"/>
      <c r="P788" s="37"/>
      <c r="Q788" s="37"/>
      <c r="R788" s="37"/>
      <c r="S788" s="37"/>
      <c r="T788" s="37"/>
      <c r="U788" s="37"/>
      <c r="V788" s="37"/>
      <c r="W788" s="37"/>
      <c r="X788" s="37"/>
      <c r="Y788" s="37"/>
      <c r="Z788" s="37"/>
      <c r="AA788" s="37"/>
      <c r="AB788" s="37"/>
      <c r="AC788" s="37"/>
      <c r="AD788" s="37"/>
      <c r="AE788" s="37"/>
      <c r="AF788" s="37"/>
      <c r="AG788" s="37"/>
      <c r="AH788" s="37"/>
      <c r="AI788" s="37"/>
      <c r="AJ788" s="37"/>
      <c r="AK788" s="37"/>
    </row>
    <row r="789" spans="1:37" ht="14.25">
      <c r="A789" s="43"/>
      <c r="B789" s="37"/>
      <c r="C789" s="37"/>
      <c r="D789" s="37"/>
      <c r="E789" s="37"/>
      <c r="F789" s="43"/>
      <c r="G789" s="43"/>
      <c r="H789" s="44"/>
      <c r="I789" s="43"/>
      <c r="J789" s="37"/>
      <c r="K789" s="37"/>
      <c r="L789" s="37"/>
      <c r="M789" s="37"/>
      <c r="N789" s="37"/>
      <c r="O789" s="37"/>
      <c r="P789" s="37"/>
      <c r="Q789" s="37"/>
      <c r="R789" s="37"/>
      <c r="S789" s="37"/>
      <c r="T789" s="37"/>
      <c r="U789" s="37"/>
      <c r="V789" s="37"/>
      <c r="W789" s="37"/>
      <c r="X789" s="37"/>
      <c r="Y789" s="37"/>
      <c r="Z789" s="37"/>
      <c r="AA789" s="37"/>
      <c r="AB789" s="37"/>
      <c r="AC789" s="37"/>
      <c r="AD789" s="37"/>
      <c r="AE789" s="37"/>
      <c r="AF789" s="37"/>
      <c r="AG789" s="37"/>
      <c r="AH789" s="37"/>
      <c r="AI789" s="37"/>
      <c r="AJ789" s="37"/>
      <c r="AK789" s="37"/>
    </row>
    <row r="790" spans="1:37" ht="14.25">
      <c r="A790" s="43"/>
      <c r="B790" s="37"/>
      <c r="C790" s="37"/>
      <c r="D790" s="37"/>
      <c r="E790" s="37"/>
      <c r="F790" s="43"/>
      <c r="G790" s="43"/>
      <c r="H790" s="44"/>
      <c r="I790" s="43"/>
      <c r="J790" s="37"/>
      <c r="K790" s="37"/>
      <c r="L790" s="37"/>
      <c r="M790" s="37"/>
      <c r="N790" s="37"/>
      <c r="O790" s="37"/>
      <c r="P790" s="37"/>
      <c r="Q790" s="37"/>
      <c r="R790" s="37"/>
      <c r="S790" s="37"/>
      <c r="T790" s="37"/>
      <c r="U790" s="37"/>
      <c r="V790" s="37"/>
      <c r="W790" s="37"/>
      <c r="X790" s="37"/>
      <c r="Y790" s="37"/>
      <c r="Z790" s="37"/>
      <c r="AA790" s="37"/>
      <c r="AB790" s="37"/>
      <c r="AC790" s="37"/>
      <c r="AD790" s="37"/>
      <c r="AE790" s="37"/>
      <c r="AF790" s="37"/>
      <c r="AG790" s="37"/>
      <c r="AH790" s="37"/>
      <c r="AI790" s="37"/>
      <c r="AJ790" s="37"/>
      <c r="AK790" s="37"/>
    </row>
    <row r="791" spans="1:37" ht="14.25">
      <c r="A791" s="43"/>
      <c r="B791" s="37"/>
      <c r="C791" s="37"/>
      <c r="D791" s="37"/>
      <c r="E791" s="37"/>
      <c r="F791" s="43"/>
      <c r="G791" s="43"/>
      <c r="H791" s="44"/>
      <c r="I791" s="43"/>
      <c r="J791" s="37"/>
      <c r="K791" s="37"/>
      <c r="L791" s="37"/>
      <c r="M791" s="37"/>
      <c r="N791" s="37"/>
      <c r="O791" s="37"/>
      <c r="P791" s="37"/>
      <c r="Q791" s="37"/>
      <c r="R791" s="37"/>
      <c r="S791" s="37"/>
      <c r="T791" s="37"/>
      <c r="U791" s="37"/>
      <c r="V791" s="37"/>
      <c r="W791" s="37"/>
      <c r="X791" s="37"/>
      <c r="Y791" s="37"/>
      <c r="Z791" s="37"/>
      <c r="AA791" s="37"/>
      <c r="AB791" s="37"/>
      <c r="AC791" s="37"/>
      <c r="AD791" s="37"/>
      <c r="AE791" s="37"/>
      <c r="AF791" s="37"/>
      <c r="AG791" s="37"/>
      <c r="AH791" s="37"/>
      <c r="AI791" s="37"/>
      <c r="AJ791" s="37"/>
      <c r="AK791" s="37"/>
    </row>
    <row r="792" spans="1:37" ht="14.25">
      <c r="A792" s="43"/>
      <c r="B792" s="37"/>
      <c r="C792" s="37"/>
      <c r="D792" s="37"/>
      <c r="E792" s="37"/>
      <c r="F792" s="43"/>
      <c r="G792" s="43"/>
      <c r="H792" s="44"/>
      <c r="I792" s="43"/>
      <c r="J792" s="37"/>
      <c r="K792" s="37"/>
      <c r="L792" s="37"/>
      <c r="M792" s="37"/>
      <c r="N792" s="37"/>
      <c r="O792" s="37"/>
      <c r="P792" s="37"/>
      <c r="Q792" s="37"/>
      <c r="R792" s="37"/>
      <c r="S792" s="37"/>
      <c r="T792" s="37"/>
      <c r="U792" s="37"/>
      <c r="V792" s="37"/>
      <c r="W792" s="37"/>
      <c r="X792" s="37"/>
      <c r="Y792" s="37"/>
      <c r="Z792" s="37"/>
      <c r="AA792" s="37"/>
      <c r="AB792" s="37"/>
      <c r="AC792" s="37"/>
      <c r="AD792" s="37"/>
      <c r="AE792" s="37"/>
      <c r="AF792" s="37"/>
      <c r="AG792" s="37"/>
      <c r="AH792" s="37"/>
      <c r="AI792" s="37"/>
      <c r="AJ792" s="37"/>
      <c r="AK792" s="37"/>
    </row>
    <row r="793" spans="1:37" ht="14.25">
      <c r="A793" s="43"/>
      <c r="B793" s="37"/>
      <c r="C793" s="37"/>
      <c r="D793" s="37"/>
      <c r="E793" s="37"/>
      <c r="F793" s="43"/>
      <c r="G793" s="43"/>
      <c r="H793" s="44"/>
      <c r="I793" s="43"/>
      <c r="J793" s="37"/>
      <c r="K793" s="37"/>
      <c r="L793" s="37"/>
      <c r="M793" s="37"/>
      <c r="N793" s="37"/>
      <c r="O793" s="37"/>
      <c r="P793" s="37"/>
      <c r="Q793" s="37"/>
      <c r="R793" s="37"/>
      <c r="S793" s="37"/>
      <c r="T793" s="37"/>
      <c r="U793" s="37"/>
      <c r="V793" s="37"/>
      <c r="W793" s="37"/>
      <c r="X793" s="37"/>
      <c r="Y793" s="37"/>
      <c r="Z793" s="37"/>
      <c r="AA793" s="37"/>
      <c r="AB793" s="37"/>
      <c r="AC793" s="37"/>
      <c r="AD793" s="37"/>
      <c r="AE793" s="37"/>
      <c r="AF793" s="37"/>
      <c r="AG793" s="37"/>
      <c r="AH793" s="37"/>
      <c r="AI793" s="37"/>
      <c r="AJ793" s="37"/>
      <c r="AK793" s="37"/>
    </row>
    <row r="794" spans="1:37" ht="14.25">
      <c r="A794" s="43"/>
      <c r="B794" s="37"/>
      <c r="C794" s="37"/>
      <c r="D794" s="37"/>
      <c r="E794" s="37"/>
      <c r="F794" s="43"/>
      <c r="G794" s="43"/>
      <c r="H794" s="44"/>
      <c r="I794" s="43"/>
      <c r="J794" s="37"/>
      <c r="K794" s="37"/>
      <c r="L794" s="37"/>
      <c r="M794" s="37"/>
      <c r="N794" s="37"/>
      <c r="O794" s="37"/>
      <c r="P794" s="37"/>
      <c r="Q794" s="37"/>
      <c r="R794" s="37"/>
      <c r="S794" s="37"/>
      <c r="T794" s="37"/>
      <c r="U794" s="37"/>
      <c r="V794" s="37"/>
      <c r="W794" s="37"/>
      <c r="X794" s="37"/>
      <c r="Y794" s="37"/>
      <c r="Z794" s="37"/>
      <c r="AA794" s="37"/>
      <c r="AB794" s="37"/>
      <c r="AC794" s="37"/>
      <c r="AD794" s="37"/>
      <c r="AE794" s="37"/>
      <c r="AF794" s="37"/>
      <c r="AG794" s="37"/>
      <c r="AH794" s="37"/>
      <c r="AI794" s="37"/>
      <c r="AJ794" s="37"/>
      <c r="AK794" s="37"/>
    </row>
    <row r="795" spans="1:37" ht="14.25">
      <c r="A795" s="43"/>
      <c r="B795" s="37"/>
      <c r="C795" s="37"/>
      <c r="D795" s="37"/>
      <c r="E795" s="37"/>
      <c r="F795" s="43"/>
      <c r="G795" s="43"/>
      <c r="H795" s="44"/>
      <c r="I795" s="43"/>
      <c r="J795" s="37"/>
      <c r="K795" s="37"/>
      <c r="L795" s="37"/>
      <c r="M795" s="37"/>
      <c r="N795" s="37"/>
      <c r="O795" s="37"/>
      <c r="P795" s="37"/>
      <c r="Q795" s="37"/>
      <c r="R795" s="37"/>
      <c r="S795" s="37"/>
      <c r="T795" s="37"/>
      <c r="U795" s="37"/>
      <c r="V795" s="37"/>
      <c r="W795" s="37"/>
      <c r="X795" s="37"/>
      <c r="Y795" s="37"/>
      <c r="Z795" s="37"/>
      <c r="AA795" s="37"/>
      <c r="AB795" s="37"/>
      <c r="AC795" s="37"/>
      <c r="AD795" s="37"/>
      <c r="AE795" s="37"/>
      <c r="AF795" s="37"/>
      <c r="AG795" s="37"/>
      <c r="AH795" s="37"/>
      <c r="AI795" s="37"/>
      <c r="AJ795" s="37"/>
      <c r="AK795" s="37"/>
    </row>
    <row r="796" spans="1:37" ht="14.25">
      <c r="A796" s="43"/>
      <c r="B796" s="37"/>
      <c r="C796" s="37"/>
      <c r="D796" s="37"/>
      <c r="E796" s="37"/>
      <c r="F796" s="43"/>
      <c r="G796" s="43"/>
      <c r="H796" s="44"/>
      <c r="I796" s="43"/>
      <c r="J796" s="37"/>
      <c r="K796" s="37"/>
      <c r="L796" s="37"/>
      <c r="M796" s="37"/>
      <c r="N796" s="37"/>
      <c r="O796" s="37"/>
      <c r="P796" s="37"/>
      <c r="Q796" s="37"/>
      <c r="R796" s="37"/>
      <c r="S796" s="37"/>
      <c r="T796" s="37"/>
      <c r="U796" s="37"/>
      <c r="V796" s="37"/>
      <c r="W796" s="37"/>
      <c r="X796" s="37"/>
      <c r="Y796" s="37"/>
      <c r="Z796" s="37"/>
      <c r="AA796" s="37"/>
      <c r="AB796" s="37"/>
      <c r="AC796" s="37"/>
      <c r="AD796" s="37"/>
      <c r="AE796" s="37"/>
      <c r="AF796" s="37"/>
      <c r="AG796" s="37"/>
      <c r="AH796" s="37"/>
      <c r="AI796" s="37"/>
      <c r="AJ796" s="37"/>
      <c r="AK796" s="37"/>
    </row>
    <row r="797" spans="1:37" ht="14.25">
      <c r="A797" s="43"/>
      <c r="B797" s="37"/>
      <c r="C797" s="37"/>
      <c r="D797" s="37"/>
      <c r="E797" s="37"/>
      <c r="F797" s="43"/>
      <c r="G797" s="43"/>
      <c r="H797" s="44"/>
      <c r="I797" s="43"/>
      <c r="J797" s="37"/>
      <c r="K797" s="37"/>
      <c r="L797" s="37"/>
      <c r="M797" s="37"/>
      <c r="N797" s="37"/>
      <c r="O797" s="37"/>
      <c r="P797" s="37"/>
      <c r="Q797" s="37"/>
      <c r="R797" s="37"/>
      <c r="S797" s="37"/>
      <c r="T797" s="37"/>
      <c r="U797" s="37"/>
      <c r="V797" s="37"/>
      <c r="W797" s="37"/>
      <c r="X797" s="37"/>
      <c r="Y797" s="37"/>
      <c r="Z797" s="37"/>
      <c r="AA797" s="37"/>
      <c r="AB797" s="37"/>
      <c r="AC797" s="37"/>
      <c r="AD797" s="37"/>
      <c r="AE797" s="37"/>
      <c r="AF797" s="37"/>
      <c r="AG797" s="37"/>
      <c r="AH797" s="37"/>
      <c r="AI797" s="37"/>
      <c r="AJ797" s="37"/>
      <c r="AK797" s="37"/>
    </row>
    <row r="798" spans="1:37" ht="14.25">
      <c r="A798" s="43"/>
      <c r="B798" s="37"/>
      <c r="C798" s="37"/>
      <c r="D798" s="37"/>
      <c r="E798" s="37"/>
      <c r="F798" s="43"/>
      <c r="G798" s="43"/>
      <c r="H798" s="44"/>
      <c r="I798" s="43"/>
      <c r="J798" s="37"/>
      <c r="K798" s="37"/>
      <c r="L798" s="37"/>
      <c r="M798" s="37"/>
      <c r="N798" s="37"/>
      <c r="O798" s="37"/>
      <c r="P798" s="37"/>
      <c r="Q798" s="37"/>
      <c r="R798" s="37"/>
      <c r="S798" s="37"/>
      <c r="T798" s="37"/>
      <c r="U798" s="37"/>
      <c r="V798" s="37"/>
      <c r="W798" s="37"/>
      <c r="X798" s="37"/>
      <c r="Y798" s="37"/>
      <c r="Z798" s="37"/>
      <c r="AA798" s="37"/>
      <c r="AB798" s="37"/>
      <c r="AC798" s="37"/>
      <c r="AD798" s="37"/>
      <c r="AE798" s="37"/>
      <c r="AF798" s="37"/>
      <c r="AG798" s="37"/>
      <c r="AH798" s="37"/>
      <c r="AI798" s="37"/>
      <c r="AJ798" s="37"/>
      <c r="AK798" s="37"/>
    </row>
    <row r="799" spans="1:37" ht="14.25">
      <c r="A799" s="43"/>
      <c r="B799" s="37"/>
      <c r="C799" s="37"/>
      <c r="D799" s="37"/>
      <c r="E799" s="37"/>
      <c r="F799" s="43"/>
      <c r="G799" s="43"/>
      <c r="H799" s="44"/>
      <c r="I799" s="43"/>
      <c r="J799" s="37"/>
      <c r="K799" s="37"/>
      <c r="L799" s="37"/>
      <c r="M799" s="37"/>
      <c r="N799" s="37"/>
      <c r="O799" s="37"/>
      <c r="P799" s="37"/>
      <c r="Q799" s="37"/>
      <c r="R799" s="37"/>
      <c r="S799" s="37"/>
      <c r="T799" s="37"/>
      <c r="U799" s="37"/>
      <c r="V799" s="37"/>
      <c r="W799" s="37"/>
      <c r="X799" s="37"/>
      <c r="Y799" s="37"/>
      <c r="Z799" s="37"/>
      <c r="AA799" s="37"/>
      <c r="AB799" s="37"/>
      <c r="AC799" s="37"/>
      <c r="AD799" s="37"/>
      <c r="AE799" s="37"/>
      <c r="AF799" s="37"/>
      <c r="AG799" s="37"/>
      <c r="AH799" s="37"/>
      <c r="AI799" s="37"/>
      <c r="AJ799" s="37"/>
      <c r="AK799" s="37"/>
    </row>
    <row r="800" spans="1:37" ht="14.25">
      <c r="A800" s="43"/>
      <c r="B800" s="37"/>
      <c r="C800" s="37"/>
      <c r="D800" s="37"/>
      <c r="E800" s="37"/>
      <c r="F800" s="43"/>
      <c r="G800" s="43"/>
      <c r="H800" s="44"/>
      <c r="I800" s="43"/>
      <c r="J800" s="37"/>
      <c r="K800" s="37"/>
      <c r="L800" s="37"/>
      <c r="M800" s="37"/>
      <c r="N800" s="37"/>
      <c r="O800" s="37"/>
      <c r="P800" s="37"/>
      <c r="Q800" s="37"/>
      <c r="R800" s="37"/>
      <c r="S800" s="37"/>
      <c r="T800" s="37"/>
      <c r="U800" s="37"/>
      <c r="V800" s="37"/>
      <c r="W800" s="37"/>
      <c r="X800" s="37"/>
      <c r="Y800" s="37"/>
      <c r="Z800" s="37"/>
      <c r="AA800" s="37"/>
      <c r="AB800" s="37"/>
      <c r="AC800" s="37"/>
      <c r="AD800" s="37"/>
      <c r="AE800" s="37"/>
      <c r="AF800" s="37"/>
      <c r="AG800" s="37"/>
      <c r="AH800" s="37"/>
      <c r="AI800" s="37"/>
      <c r="AJ800" s="37"/>
      <c r="AK800" s="37"/>
    </row>
    <row r="801" spans="1:37" ht="14.25">
      <c r="A801" s="43"/>
      <c r="B801" s="37"/>
      <c r="C801" s="37"/>
      <c r="D801" s="37"/>
      <c r="E801" s="37"/>
      <c r="F801" s="43"/>
      <c r="G801" s="43"/>
      <c r="H801" s="44"/>
      <c r="I801" s="43"/>
      <c r="J801" s="37"/>
      <c r="K801" s="37"/>
      <c r="L801" s="37"/>
      <c r="M801" s="37"/>
      <c r="N801" s="37"/>
      <c r="O801" s="37"/>
      <c r="P801" s="37"/>
      <c r="Q801" s="37"/>
      <c r="R801" s="37"/>
      <c r="S801" s="37"/>
      <c r="T801" s="37"/>
      <c r="U801" s="37"/>
      <c r="V801" s="37"/>
      <c r="W801" s="37"/>
      <c r="X801" s="37"/>
      <c r="Y801" s="37"/>
      <c r="Z801" s="37"/>
      <c r="AA801" s="37"/>
      <c r="AB801" s="37"/>
      <c r="AC801" s="37"/>
      <c r="AD801" s="37"/>
      <c r="AE801" s="37"/>
      <c r="AF801" s="37"/>
      <c r="AG801" s="37"/>
      <c r="AH801" s="37"/>
      <c r="AI801" s="37"/>
      <c r="AJ801" s="37"/>
      <c r="AK801" s="37"/>
    </row>
    <row r="802" spans="1:37" ht="14.25">
      <c r="A802" s="43"/>
      <c r="B802" s="37"/>
      <c r="C802" s="37"/>
      <c r="D802" s="37"/>
      <c r="E802" s="37"/>
      <c r="F802" s="43"/>
      <c r="G802" s="43"/>
      <c r="H802" s="44"/>
      <c r="I802" s="43"/>
      <c r="J802" s="37"/>
      <c r="K802" s="37"/>
      <c r="L802" s="37"/>
      <c r="M802" s="37"/>
      <c r="N802" s="37"/>
      <c r="O802" s="37"/>
      <c r="P802" s="37"/>
      <c r="Q802" s="37"/>
      <c r="R802" s="37"/>
      <c r="S802" s="37"/>
      <c r="T802" s="37"/>
      <c r="U802" s="37"/>
      <c r="V802" s="37"/>
      <c r="W802" s="37"/>
      <c r="X802" s="37"/>
      <c r="Y802" s="37"/>
      <c r="Z802" s="37"/>
      <c r="AA802" s="37"/>
      <c r="AB802" s="37"/>
      <c r="AC802" s="37"/>
      <c r="AD802" s="37"/>
      <c r="AE802" s="37"/>
      <c r="AF802" s="37"/>
      <c r="AG802" s="37"/>
      <c r="AH802" s="37"/>
      <c r="AI802" s="37"/>
      <c r="AJ802" s="37"/>
      <c r="AK802" s="37"/>
    </row>
    <row r="803" spans="1:37" ht="14.25">
      <c r="A803" s="43"/>
      <c r="B803" s="37"/>
      <c r="C803" s="37"/>
      <c r="D803" s="37"/>
      <c r="E803" s="37"/>
      <c r="F803" s="43"/>
      <c r="G803" s="43"/>
      <c r="H803" s="44"/>
      <c r="I803" s="43"/>
      <c r="J803" s="37"/>
      <c r="K803" s="37"/>
      <c r="L803" s="37"/>
      <c r="M803" s="37"/>
      <c r="N803" s="37"/>
      <c r="O803" s="37"/>
      <c r="P803" s="37"/>
      <c r="Q803" s="37"/>
      <c r="R803" s="37"/>
      <c r="S803" s="37"/>
      <c r="T803" s="37"/>
      <c r="U803" s="37"/>
      <c r="V803" s="37"/>
      <c r="W803" s="37"/>
      <c r="X803" s="37"/>
      <c r="Y803" s="37"/>
      <c r="Z803" s="37"/>
      <c r="AA803" s="37"/>
      <c r="AB803" s="37"/>
      <c r="AC803" s="37"/>
      <c r="AD803" s="37"/>
      <c r="AE803" s="37"/>
      <c r="AF803" s="37"/>
      <c r="AG803" s="37"/>
      <c r="AH803" s="37"/>
      <c r="AI803" s="37"/>
      <c r="AJ803" s="37"/>
      <c r="AK803" s="37"/>
    </row>
    <row r="804" spans="1:37" ht="14.25">
      <c r="A804" s="43"/>
      <c r="B804" s="37"/>
      <c r="C804" s="37"/>
      <c r="D804" s="37"/>
      <c r="E804" s="37"/>
      <c r="F804" s="43"/>
      <c r="G804" s="43"/>
      <c r="H804" s="44"/>
      <c r="I804" s="43"/>
      <c r="J804" s="37"/>
      <c r="K804" s="37"/>
      <c r="L804" s="37"/>
      <c r="M804" s="37"/>
      <c r="N804" s="37"/>
      <c r="O804" s="37"/>
      <c r="P804" s="37"/>
      <c r="Q804" s="37"/>
      <c r="R804" s="37"/>
      <c r="S804" s="37"/>
      <c r="T804" s="37"/>
      <c r="U804" s="37"/>
      <c r="V804" s="37"/>
      <c r="W804" s="37"/>
      <c r="X804" s="37"/>
      <c r="Y804" s="37"/>
      <c r="Z804" s="37"/>
      <c r="AA804" s="37"/>
      <c r="AB804" s="37"/>
      <c r="AC804" s="37"/>
      <c r="AD804" s="37"/>
      <c r="AE804" s="37"/>
      <c r="AF804" s="37"/>
      <c r="AG804" s="37"/>
      <c r="AH804" s="37"/>
      <c r="AI804" s="37"/>
      <c r="AJ804" s="37"/>
      <c r="AK804" s="37"/>
    </row>
    <row r="805" spans="1:37" ht="14.25">
      <c r="A805" s="43"/>
      <c r="B805" s="37"/>
      <c r="C805" s="37"/>
      <c r="D805" s="37"/>
      <c r="E805" s="37"/>
      <c r="F805" s="43"/>
      <c r="G805" s="43"/>
      <c r="H805" s="44"/>
      <c r="I805" s="43"/>
      <c r="J805" s="37"/>
      <c r="K805" s="37"/>
      <c r="L805" s="37"/>
      <c r="M805" s="37"/>
      <c r="N805" s="37"/>
      <c r="O805" s="37"/>
      <c r="P805" s="37"/>
      <c r="Q805" s="37"/>
      <c r="R805" s="37"/>
      <c r="S805" s="37"/>
      <c r="T805" s="37"/>
      <c r="U805" s="37"/>
      <c r="V805" s="37"/>
      <c r="W805" s="37"/>
      <c r="X805" s="37"/>
      <c r="Y805" s="37"/>
      <c r="Z805" s="37"/>
      <c r="AA805" s="37"/>
      <c r="AB805" s="37"/>
      <c r="AC805" s="37"/>
      <c r="AD805" s="37"/>
      <c r="AE805" s="37"/>
      <c r="AF805" s="37"/>
      <c r="AG805" s="37"/>
      <c r="AH805" s="37"/>
      <c r="AI805" s="37"/>
      <c r="AJ805" s="37"/>
      <c r="AK805" s="37"/>
    </row>
    <row r="806" spans="1:37" ht="14.25">
      <c r="A806" s="43"/>
      <c r="B806" s="37"/>
      <c r="C806" s="37"/>
      <c r="D806" s="37"/>
      <c r="E806" s="37"/>
      <c r="F806" s="43"/>
      <c r="G806" s="43"/>
      <c r="H806" s="44"/>
      <c r="I806" s="43"/>
      <c r="J806" s="37"/>
      <c r="K806" s="37"/>
      <c r="L806" s="37"/>
      <c r="M806" s="37"/>
      <c r="N806" s="37"/>
      <c r="O806" s="37"/>
      <c r="P806" s="37"/>
      <c r="Q806" s="37"/>
      <c r="R806" s="37"/>
      <c r="S806" s="37"/>
      <c r="T806" s="37"/>
      <c r="U806" s="37"/>
      <c r="V806" s="37"/>
      <c r="W806" s="37"/>
      <c r="X806" s="37"/>
      <c r="Y806" s="37"/>
      <c r="Z806" s="37"/>
      <c r="AA806" s="37"/>
      <c r="AB806" s="37"/>
      <c r="AC806" s="37"/>
      <c r="AD806" s="37"/>
      <c r="AE806" s="37"/>
      <c r="AF806" s="37"/>
      <c r="AG806" s="37"/>
      <c r="AH806" s="37"/>
      <c r="AI806" s="37"/>
      <c r="AJ806" s="37"/>
      <c r="AK806" s="37"/>
    </row>
    <row r="807" spans="1:37" ht="14.25">
      <c r="A807" s="43"/>
      <c r="B807" s="37"/>
      <c r="C807" s="37"/>
      <c r="D807" s="37"/>
      <c r="E807" s="37"/>
      <c r="F807" s="43"/>
      <c r="G807" s="43"/>
      <c r="H807" s="44"/>
      <c r="I807" s="43"/>
      <c r="J807" s="37"/>
      <c r="K807" s="37"/>
      <c r="L807" s="37"/>
      <c r="M807" s="37"/>
      <c r="N807" s="37"/>
      <c r="O807" s="37"/>
      <c r="P807" s="37"/>
      <c r="Q807" s="37"/>
      <c r="R807" s="37"/>
      <c r="S807" s="37"/>
      <c r="T807" s="37"/>
      <c r="U807" s="37"/>
      <c r="V807" s="37"/>
      <c r="W807" s="37"/>
      <c r="X807" s="37"/>
      <c r="Y807" s="37"/>
      <c r="Z807" s="37"/>
      <c r="AA807" s="37"/>
      <c r="AB807" s="37"/>
      <c r="AC807" s="37"/>
      <c r="AD807" s="37"/>
      <c r="AE807" s="37"/>
      <c r="AF807" s="37"/>
      <c r="AG807" s="37"/>
      <c r="AH807" s="37"/>
      <c r="AI807" s="37"/>
      <c r="AJ807" s="37"/>
      <c r="AK807" s="37"/>
    </row>
    <row r="808" spans="1:37" ht="14.25">
      <c r="A808" s="43"/>
      <c r="B808" s="37"/>
      <c r="C808" s="37"/>
      <c r="D808" s="37"/>
      <c r="E808" s="37"/>
      <c r="F808" s="43"/>
      <c r="G808" s="43"/>
      <c r="H808" s="44"/>
      <c r="I808" s="43"/>
      <c r="J808" s="37"/>
      <c r="K808" s="37"/>
      <c r="L808" s="37"/>
      <c r="M808" s="37"/>
      <c r="N808" s="37"/>
      <c r="O808" s="37"/>
      <c r="P808" s="37"/>
      <c r="Q808" s="37"/>
      <c r="R808" s="37"/>
      <c r="S808" s="37"/>
      <c r="T808" s="37"/>
      <c r="U808" s="37"/>
      <c r="V808" s="37"/>
      <c r="W808" s="37"/>
      <c r="X808" s="37"/>
      <c r="Y808" s="37"/>
      <c r="Z808" s="37"/>
      <c r="AA808" s="37"/>
      <c r="AB808" s="37"/>
      <c r="AC808" s="37"/>
      <c r="AD808" s="37"/>
      <c r="AE808" s="37"/>
      <c r="AF808" s="37"/>
      <c r="AG808" s="37"/>
      <c r="AH808" s="37"/>
      <c r="AI808" s="37"/>
      <c r="AJ808" s="37"/>
      <c r="AK808" s="37"/>
    </row>
    <row r="809" spans="1:37" ht="14.25">
      <c r="A809" s="43"/>
      <c r="B809" s="37"/>
      <c r="C809" s="37"/>
      <c r="D809" s="37"/>
      <c r="E809" s="37"/>
      <c r="F809" s="43"/>
      <c r="G809" s="43"/>
      <c r="H809" s="44"/>
      <c r="I809" s="43"/>
      <c r="J809" s="37"/>
      <c r="K809" s="37"/>
      <c r="L809" s="37"/>
      <c r="M809" s="37"/>
      <c r="N809" s="37"/>
      <c r="O809" s="37"/>
      <c r="P809" s="37"/>
      <c r="Q809" s="37"/>
      <c r="R809" s="37"/>
      <c r="S809" s="37"/>
      <c r="T809" s="37"/>
      <c r="U809" s="37"/>
      <c r="V809" s="37"/>
      <c r="W809" s="37"/>
      <c r="X809" s="37"/>
      <c r="Y809" s="37"/>
      <c r="Z809" s="37"/>
      <c r="AA809" s="37"/>
      <c r="AB809" s="37"/>
      <c r="AC809" s="37"/>
      <c r="AD809" s="37"/>
      <c r="AE809" s="37"/>
      <c r="AF809" s="37"/>
      <c r="AG809" s="37"/>
      <c r="AH809" s="37"/>
      <c r="AI809" s="37"/>
      <c r="AJ809" s="37"/>
      <c r="AK809" s="37"/>
    </row>
    <row r="810" spans="1:37" ht="14.25">
      <c r="A810" s="43"/>
      <c r="B810" s="37"/>
      <c r="C810" s="37"/>
      <c r="D810" s="37"/>
      <c r="E810" s="37"/>
      <c r="F810" s="43"/>
      <c r="G810" s="43"/>
      <c r="H810" s="44"/>
      <c r="I810" s="43"/>
      <c r="J810" s="37"/>
      <c r="K810" s="37"/>
      <c r="L810" s="37"/>
      <c r="M810" s="37"/>
      <c r="N810" s="37"/>
      <c r="O810" s="37"/>
      <c r="P810" s="37"/>
      <c r="Q810" s="37"/>
      <c r="R810" s="37"/>
      <c r="S810" s="37"/>
      <c r="T810" s="37"/>
      <c r="U810" s="37"/>
      <c r="V810" s="37"/>
      <c r="W810" s="37"/>
      <c r="X810" s="37"/>
      <c r="Y810" s="37"/>
      <c r="Z810" s="37"/>
      <c r="AA810" s="37"/>
      <c r="AB810" s="37"/>
      <c r="AC810" s="37"/>
      <c r="AD810" s="37"/>
      <c r="AE810" s="37"/>
      <c r="AF810" s="37"/>
      <c r="AG810" s="37"/>
      <c r="AH810" s="37"/>
      <c r="AI810" s="37"/>
      <c r="AJ810" s="37"/>
      <c r="AK810" s="37"/>
    </row>
    <row r="811" spans="1:37" ht="14.25">
      <c r="A811" s="43"/>
      <c r="B811" s="37"/>
      <c r="C811" s="37"/>
      <c r="D811" s="37"/>
      <c r="E811" s="37"/>
      <c r="F811" s="43"/>
      <c r="G811" s="43"/>
      <c r="H811" s="44"/>
      <c r="I811" s="43"/>
      <c r="J811" s="37"/>
      <c r="K811" s="37"/>
      <c r="L811" s="37"/>
      <c r="M811" s="37"/>
      <c r="N811" s="37"/>
      <c r="O811" s="37"/>
      <c r="P811" s="37"/>
      <c r="Q811" s="37"/>
      <c r="R811" s="37"/>
      <c r="S811" s="37"/>
      <c r="T811" s="37"/>
      <c r="U811" s="37"/>
      <c r="V811" s="37"/>
      <c r="W811" s="37"/>
      <c r="X811" s="37"/>
      <c r="Y811" s="37"/>
      <c r="Z811" s="37"/>
      <c r="AA811" s="37"/>
      <c r="AB811" s="37"/>
      <c r="AC811" s="37"/>
      <c r="AD811" s="37"/>
      <c r="AE811" s="37"/>
      <c r="AF811" s="37"/>
      <c r="AG811" s="37"/>
      <c r="AH811" s="37"/>
      <c r="AI811" s="37"/>
      <c r="AJ811" s="37"/>
      <c r="AK811" s="37"/>
    </row>
    <row r="812" spans="1:37" ht="14.25">
      <c r="A812" s="43"/>
      <c r="B812" s="37"/>
      <c r="C812" s="37"/>
      <c r="D812" s="37"/>
      <c r="E812" s="37"/>
      <c r="F812" s="43"/>
      <c r="G812" s="43"/>
      <c r="H812" s="44"/>
      <c r="I812" s="43"/>
      <c r="J812" s="37"/>
      <c r="K812" s="37"/>
      <c r="L812" s="37"/>
      <c r="M812" s="37"/>
      <c r="N812" s="37"/>
      <c r="O812" s="37"/>
      <c r="P812" s="37"/>
      <c r="Q812" s="37"/>
      <c r="R812" s="37"/>
      <c r="S812" s="37"/>
      <c r="T812" s="37"/>
      <c r="U812" s="37"/>
      <c r="V812" s="37"/>
      <c r="W812" s="37"/>
      <c r="X812" s="37"/>
      <c r="Y812" s="37"/>
      <c r="Z812" s="37"/>
      <c r="AA812" s="37"/>
      <c r="AB812" s="37"/>
      <c r="AC812" s="37"/>
      <c r="AD812" s="37"/>
      <c r="AE812" s="37"/>
      <c r="AF812" s="37"/>
      <c r="AG812" s="37"/>
      <c r="AH812" s="37"/>
      <c r="AI812" s="37"/>
      <c r="AJ812" s="37"/>
      <c r="AK812" s="37"/>
    </row>
    <row r="813" spans="1:37" ht="14.25">
      <c r="A813" s="43"/>
      <c r="B813" s="37"/>
      <c r="C813" s="37"/>
      <c r="D813" s="37"/>
      <c r="E813" s="37"/>
      <c r="F813" s="43"/>
      <c r="G813" s="43"/>
      <c r="H813" s="44"/>
      <c r="I813" s="43"/>
      <c r="J813" s="37"/>
      <c r="K813" s="37"/>
      <c r="L813" s="37"/>
      <c r="M813" s="37"/>
      <c r="N813" s="37"/>
      <c r="O813" s="37"/>
      <c r="P813" s="37"/>
      <c r="Q813" s="37"/>
      <c r="R813" s="37"/>
      <c r="S813" s="37"/>
      <c r="T813" s="37"/>
      <c r="U813" s="37"/>
      <c r="V813" s="37"/>
      <c r="W813" s="37"/>
      <c r="X813" s="37"/>
      <c r="Y813" s="37"/>
      <c r="Z813" s="37"/>
      <c r="AA813" s="37"/>
      <c r="AB813" s="37"/>
      <c r="AC813" s="37"/>
      <c r="AD813" s="37"/>
      <c r="AE813" s="37"/>
      <c r="AF813" s="37"/>
      <c r="AG813" s="37"/>
      <c r="AH813" s="37"/>
      <c r="AI813" s="37"/>
      <c r="AJ813" s="37"/>
      <c r="AK813" s="37"/>
    </row>
    <row r="814" spans="1:37" ht="14.25">
      <c r="A814" s="43"/>
      <c r="B814" s="37"/>
      <c r="C814" s="37"/>
      <c r="D814" s="37"/>
      <c r="E814" s="37"/>
      <c r="F814" s="43"/>
      <c r="G814" s="43"/>
      <c r="H814" s="44"/>
      <c r="I814" s="43"/>
      <c r="J814" s="37"/>
      <c r="K814" s="37"/>
      <c r="L814" s="37"/>
      <c r="M814" s="37"/>
      <c r="N814" s="37"/>
      <c r="O814" s="37"/>
      <c r="P814" s="37"/>
      <c r="Q814" s="37"/>
      <c r="R814" s="37"/>
      <c r="S814" s="37"/>
      <c r="T814" s="37"/>
      <c r="U814" s="37"/>
      <c r="V814" s="37"/>
      <c r="W814" s="37"/>
      <c r="X814" s="37"/>
      <c r="Y814" s="37"/>
      <c r="Z814" s="37"/>
      <c r="AA814" s="37"/>
      <c r="AB814" s="37"/>
      <c r="AC814" s="37"/>
      <c r="AD814" s="37"/>
      <c r="AE814" s="37"/>
      <c r="AF814" s="37"/>
      <c r="AG814" s="37"/>
      <c r="AH814" s="37"/>
      <c r="AI814" s="37"/>
      <c r="AJ814" s="37"/>
      <c r="AK814" s="37"/>
    </row>
    <row r="815" spans="1:37" ht="14.25">
      <c r="A815" s="43"/>
      <c r="B815" s="37"/>
      <c r="C815" s="37"/>
      <c r="D815" s="37"/>
      <c r="E815" s="37"/>
      <c r="F815" s="43"/>
      <c r="G815" s="43"/>
      <c r="H815" s="44"/>
      <c r="I815" s="43"/>
      <c r="J815" s="37"/>
      <c r="K815" s="37"/>
      <c r="L815" s="37"/>
      <c r="M815" s="37"/>
      <c r="N815" s="37"/>
      <c r="O815" s="37"/>
      <c r="P815" s="37"/>
      <c r="Q815" s="37"/>
      <c r="R815" s="37"/>
      <c r="S815" s="37"/>
      <c r="T815" s="37"/>
      <c r="U815" s="37"/>
      <c r="V815" s="37"/>
      <c r="W815" s="37"/>
      <c r="X815" s="37"/>
      <c r="Y815" s="37"/>
      <c r="Z815" s="37"/>
      <c r="AA815" s="37"/>
      <c r="AB815" s="37"/>
      <c r="AC815" s="37"/>
      <c r="AD815" s="37"/>
      <c r="AE815" s="37"/>
      <c r="AF815" s="37"/>
      <c r="AG815" s="37"/>
      <c r="AH815" s="37"/>
      <c r="AI815" s="37"/>
      <c r="AJ815" s="37"/>
      <c r="AK815" s="37"/>
    </row>
    <row r="816" spans="1:37" ht="14.25">
      <c r="A816" s="43"/>
      <c r="B816" s="37"/>
      <c r="C816" s="37"/>
      <c r="D816" s="37"/>
      <c r="E816" s="37"/>
      <c r="F816" s="43"/>
      <c r="G816" s="43"/>
      <c r="H816" s="44"/>
      <c r="I816" s="43"/>
      <c r="J816" s="37"/>
      <c r="K816" s="37"/>
      <c r="L816" s="37"/>
      <c r="M816" s="37"/>
      <c r="N816" s="37"/>
      <c r="O816" s="37"/>
      <c r="P816" s="37"/>
      <c r="Q816" s="37"/>
      <c r="R816" s="37"/>
      <c r="S816" s="37"/>
      <c r="T816" s="37"/>
      <c r="U816" s="37"/>
      <c r="V816" s="37"/>
      <c r="W816" s="37"/>
      <c r="X816" s="37"/>
      <c r="Y816" s="37"/>
      <c r="Z816" s="37"/>
      <c r="AA816" s="37"/>
      <c r="AB816" s="37"/>
      <c r="AC816" s="37"/>
      <c r="AD816" s="37"/>
      <c r="AE816" s="37"/>
      <c r="AF816" s="37"/>
      <c r="AG816" s="37"/>
      <c r="AH816" s="37"/>
      <c r="AI816" s="37"/>
      <c r="AJ816" s="37"/>
      <c r="AK816" s="37"/>
    </row>
    <row r="817" spans="1:37" ht="14.25">
      <c r="A817" s="43"/>
      <c r="B817" s="37"/>
      <c r="C817" s="37"/>
      <c r="D817" s="37"/>
      <c r="E817" s="37"/>
      <c r="F817" s="43"/>
      <c r="G817" s="43"/>
      <c r="H817" s="44"/>
      <c r="I817" s="43"/>
      <c r="J817" s="37"/>
      <c r="K817" s="37"/>
      <c r="L817" s="37"/>
      <c r="M817" s="37"/>
      <c r="N817" s="37"/>
      <c r="O817" s="37"/>
      <c r="P817" s="37"/>
      <c r="Q817" s="37"/>
      <c r="R817" s="37"/>
      <c r="S817" s="37"/>
      <c r="T817" s="37"/>
      <c r="U817" s="37"/>
      <c r="V817" s="37"/>
      <c r="W817" s="37"/>
      <c r="X817" s="37"/>
      <c r="Y817" s="37"/>
      <c r="Z817" s="37"/>
      <c r="AA817" s="37"/>
      <c r="AB817" s="37"/>
      <c r="AC817" s="37"/>
      <c r="AD817" s="37"/>
      <c r="AE817" s="37"/>
      <c r="AF817" s="37"/>
      <c r="AG817" s="37"/>
      <c r="AH817" s="37"/>
      <c r="AI817" s="37"/>
      <c r="AJ817" s="37"/>
      <c r="AK817" s="37"/>
    </row>
    <row r="818" spans="1:37" ht="14.25">
      <c r="A818" s="43"/>
      <c r="B818" s="37"/>
      <c r="C818" s="37"/>
      <c r="D818" s="37"/>
      <c r="E818" s="37"/>
      <c r="F818" s="43"/>
      <c r="G818" s="43"/>
      <c r="H818" s="44"/>
      <c r="I818" s="43"/>
      <c r="J818" s="37"/>
      <c r="K818" s="37"/>
      <c r="L818" s="37"/>
      <c r="M818" s="37"/>
      <c r="N818" s="37"/>
      <c r="O818" s="37"/>
      <c r="P818" s="37"/>
      <c r="Q818" s="37"/>
      <c r="R818" s="37"/>
      <c r="S818" s="37"/>
      <c r="T818" s="37"/>
      <c r="U818" s="37"/>
      <c r="V818" s="37"/>
      <c r="W818" s="37"/>
      <c r="X818" s="37"/>
      <c r="Y818" s="37"/>
      <c r="Z818" s="37"/>
      <c r="AA818" s="37"/>
      <c r="AB818" s="37"/>
      <c r="AC818" s="37"/>
      <c r="AD818" s="37"/>
      <c r="AE818" s="37"/>
      <c r="AF818" s="37"/>
      <c r="AG818" s="37"/>
      <c r="AH818" s="37"/>
      <c r="AI818" s="37"/>
      <c r="AJ818" s="37"/>
      <c r="AK818" s="37"/>
    </row>
    <row r="819" spans="1:37" ht="14.25">
      <c r="A819" s="43"/>
      <c r="B819" s="37"/>
      <c r="C819" s="37"/>
      <c r="D819" s="37"/>
      <c r="E819" s="37"/>
      <c r="F819" s="43"/>
      <c r="G819" s="43"/>
      <c r="H819" s="44"/>
      <c r="I819" s="43"/>
      <c r="J819" s="37"/>
      <c r="K819" s="37"/>
      <c r="L819" s="37"/>
      <c r="M819" s="37"/>
      <c r="N819" s="37"/>
      <c r="O819" s="37"/>
      <c r="P819" s="37"/>
      <c r="Q819" s="37"/>
      <c r="R819" s="37"/>
      <c r="S819" s="37"/>
      <c r="T819" s="37"/>
      <c r="U819" s="37"/>
      <c r="V819" s="37"/>
      <c r="W819" s="37"/>
      <c r="X819" s="37"/>
      <c r="Y819" s="37"/>
      <c r="Z819" s="37"/>
      <c r="AA819" s="37"/>
      <c r="AB819" s="37"/>
      <c r="AC819" s="37"/>
      <c r="AD819" s="37"/>
      <c r="AE819" s="37"/>
      <c r="AF819" s="37"/>
      <c r="AG819" s="37"/>
      <c r="AH819" s="37"/>
      <c r="AI819" s="37"/>
      <c r="AJ819" s="37"/>
      <c r="AK819" s="37"/>
    </row>
    <row r="820" spans="1:37" ht="14.25">
      <c r="A820" s="43"/>
      <c r="B820" s="37"/>
      <c r="C820" s="37"/>
      <c r="D820" s="37"/>
      <c r="E820" s="37"/>
      <c r="F820" s="43"/>
      <c r="G820" s="43"/>
      <c r="H820" s="44"/>
      <c r="I820" s="43"/>
      <c r="J820" s="37"/>
      <c r="K820" s="37"/>
      <c r="L820" s="37"/>
      <c r="M820" s="37"/>
      <c r="N820" s="37"/>
      <c r="O820" s="37"/>
      <c r="P820" s="37"/>
      <c r="Q820" s="37"/>
      <c r="R820" s="37"/>
      <c r="S820" s="37"/>
      <c r="T820" s="37"/>
      <c r="U820" s="37"/>
      <c r="V820" s="37"/>
      <c r="W820" s="37"/>
      <c r="X820" s="37"/>
      <c r="Y820" s="37"/>
      <c r="Z820" s="37"/>
      <c r="AA820" s="37"/>
      <c r="AB820" s="37"/>
      <c r="AC820" s="37"/>
      <c r="AD820" s="37"/>
      <c r="AE820" s="37"/>
      <c r="AF820" s="37"/>
      <c r="AG820" s="37"/>
      <c r="AH820" s="37"/>
      <c r="AI820" s="37"/>
      <c r="AJ820" s="37"/>
      <c r="AK820" s="37"/>
    </row>
    <row r="821" spans="1:37" ht="14.25">
      <c r="A821" s="43"/>
      <c r="B821" s="37"/>
      <c r="C821" s="37"/>
      <c r="D821" s="37"/>
      <c r="E821" s="37"/>
      <c r="F821" s="43"/>
      <c r="G821" s="43"/>
      <c r="H821" s="44"/>
      <c r="I821" s="43"/>
      <c r="J821" s="37"/>
      <c r="K821" s="37"/>
      <c r="L821" s="37"/>
      <c r="M821" s="37"/>
      <c r="N821" s="37"/>
      <c r="O821" s="37"/>
      <c r="P821" s="37"/>
      <c r="Q821" s="37"/>
      <c r="R821" s="37"/>
      <c r="S821" s="37"/>
      <c r="T821" s="37"/>
      <c r="U821" s="37"/>
      <c r="V821" s="37"/>
      <c r="W821" s="37"/>
      <c r="X821" s="37"/>
      <c r="Y821" s="37"/>
      <c r="Z821" s="37"/>
      <c r="AA821" s="37"/>
      <c r="AB821" s="37"/>
      <c r="AC821" s="37"/>
      <c r="AD821" s="37"/>
      <c r="AE821" s="37"/>
      <c r="AF821" s="37"/>
      <c r="AG821" s="37"/>
      <c r="AH821" s="37"/>
      <c r="AI821" s="37"/>
      <c r="AJ821" s="37"/>
      <c r="AK821" s="37"/>
    </row>
    <row r="822" spans="1:37" ht="14.25">
      <c r="A822" s="43"/>
      <c r="B822" s="37"/>
      <c r="C822" s="37"/>
      <c r="D822" s="37"/>
      <c r="E822" s="37"/>
      <c r="F822" s="43"/>
      <c r="G822" s="43"/>
      <c r="H822" s="44"/>
      <c r="I822" s="43"/>
      <c r="J822" s="37"/>
      <c r="K822" s="37"/>
      <c r="L822" s="37"/>
      <c r="M822" s="37"/>
      <c r="N822" s="37"/>
      <c r="O822" s="37"/>
      <c r="P822" s="37"/>
      <c r="Q822" s="37"/>
      <c r="R822" s="37"/>
      <c r="S822" s="37"/>
      <c r="T822" s="37"/>
      <c r="U822" s="37"/>
      <c r="V822" s="37"/>
      <c r="W822" s="37"/>
      <c r="X822" s="37"/>
      <c r="Y822" s="37"/>
      <c r="Z822" s="37"/>
      <c r="AA822" s="37"/>
      <c r="AB822" s="37"/>
      <c r="AC822" s="37"/>
      <c r="AD822" s="37"/>
      <c r="AE822" s="37"/>
      <c r="AF822" s="37"/>
      <c r="AG822" s="37"/>
      <c r="AH822" s="37"/>
      <c r="AI822" s="37"/>
      <c r="AJ822" s="37"/>
      <c r="AK822" s="37"/>
    </row>
    <row r="823" spans="1:37" ht="14.25">
      <c r="A823" s="43"/>
      <c r="B823" s="37"/>
      <c r="C823" s="37"/>
      <c r="D823" s="37"/>
      <c r="E823" s="37"/>
      <c r="F823" s="43"/>
      <c r="G823" s="43"/>
      <c r="H823" s="44"/>
      <c r="I823" s="43"/>
      <c r="J823" s="37"/>
      <c r="K823" s="37"/>
      <c r="L823" s="37"/>
      <c r="M823" s="37"/>
      <c r="N823" s="37"/>
      <c r="O823" s="37"/>
      <c r="P823" s="37"/>
      <c r="Q823" s="37"/>
      <c r="R823" s="37"/>
      <c r="S823" s="37"/>
      <c r="T823" s="37"/>
      <c r="U823" s="37"/>
      <c r="V823" s="37"/>
      <c r="W823" s="37"/>
      <c r="X823" s="37"/>
      <c r="Y823" s="37"/>
      <c r="Z823" s="37"/>
      <c r="AA823" s="37"/>
      <c r="AB823" s="37"/>
      <c r="AC823" s="37"/>
      <c r="AD823" s="37"/>
      <c r="AE823" s="37"/>
      <c r="AF823" s="37"/>
      <c r="AG823" s="37"/>
      <c r="AH823" s="37"/>
      <c r="AI823" s="37"/>
      <c r="AJ823" s="37"/>
      <c r="AK823" s="37"/>
    </row>
    <row r="824" spans="1:37" ht="14.25">
      <c r="A824" s="43"/>
      <c r="B824" s="37"/>
      <c r="C824" s="37"/>
      <c r="D824" s="37"/>
      <c r="E824" s="37"/>
      <c r="F824" s="43"/>
      <c r="G824" s="43"/>
      <c r="H824" s="44"/>
      <c r="I824" s="43"/>
      <c r="J824" s="37"/>
      <c r="K824" s="37"/>
      <c r="L824" s="37"/>
      <c r="M824" s="37"/>
      <c r="N824" s="37"/>
      <c r="O824" s="37"/>
      <c r="P824" s="37"/>
      <c r="Q824" s="37"/>
      <c r="R824" s="37"/>
      <c r="S824" s="37"/>
      <c r="T824" s="37"/>
      <c r="U824" s="37"/>
      <c r="V824" s="37"/>
      <c r="W824" s="37"/>
      <c r="X824" s="37"/>
      <c r="Y824" s="37"/>
      <c r="Z824" s="37"/>
      <c r="AA824" s="37"/>
      <c r="AB824" s="37"/>
      <c r="AC824" s="37"/>
      <c r="AD824" s="37"/>
      <c r="AE824" s="37"/>
      <c r="AF824" s="37"/>
      <c r="AG824" s="37"/>
      <c r="AH824" s="37"/>
      <c r="AI824" s="37"/>
      <c r="AJ824" s="37"/>
      <c r="AK824" s="37"/>
    </row>
    <row r="825" spans="1:37" ht="14.25">
      <c r="A825" s="43"/>
      <c r="B825" s="37"/>
      <c r="C825" s="37"/>
      <c r="D825" s="37"/>
      <c r="E825" s="37"/>
      <c r="F825" s="43"/>
      <c r="G825" s="43"/>
      <c r="H825" s="44"/>
      <c r="I825" s="43"/>
      <c r="J825" s="37"/>
      <c r="K825" s="37"/>
      <c r="L825" s="37"/>
      <c r="M825" s="37"/>
      <c r="N825" s="37"/>
      <c r="O825" s="37"/>
      <c r="P825" s="37"/>
      <c r="Q825" s="37"/>
      <c r="R825" s="37"/>
      <c r="S825" s="37"/>
      <c r="T825" s="37"/>
      <c r="U825" s="37"/>
      <c r="V825" s="37"/>
      <c r="W825" s="37"/>
      <c r="X825" s="37"/>
      <c r="Y825" s="37"/>
      <c r="Z825" s="37"/>
      <c r="AA825" s="37"/>
      <c r="AB825" s="37"/>
      <c r="AC825" s="37"/>
      <c r="AD825" s="37"/>
      <c r="AE825" s="37"/>
      <c r="AF825" s="37"/>
      <c r="AG825" s="37"/>
      <c r="AH825" s="37"/>
      <c r="AI825" s="37"/>
      <c r="AJ825" s="37"/>
      <c r="AK825" s="37"/>
    </row>
    <row r="826" spans="1:37" ht="14.25">
      <c r="A826" s="43"/>
      <c r="B826" s="37"/>
      <c r="C826" s="37"/>
      <c r="D826" s="37"/>
      <c r="E826" s="37"/>
      <c r="F826" s="43"/>
      <c r="G826" s="43"/>
      <c r="H826" s="44"/>
      <c r="I826" s="43"/>
      <c r="J826" s="37"/>
      <c r="K826" s="37"/>
      <c r="L826" s="37"/>
      <c r="M826" s="37"/>
      <c r="N826" s="37"/>
      <c r="O826" s="37"/>
      <c r="P826" s="37"/>
      <c r="Q826" s="37"/>
      <c r="R826" s="37"/>
      <c r="S826" s="37"/>
      <c r="T826" s="37"/>
      <c r="U826" s="37"/>
      <c r="V826" s="37"/>
      <c r="W826" s="37"/>
      <c r="X826" s="37"/>
      <c r="Y826" s="37"/>
      <c r="Z826" s="37"/>
      <c r="AA826" s="37"/>
      <c r="AB826" s="37"/>
      <c r="AC826" s="37"/>
      <c r="AD826" s="37"/>
      <c r="AE826" s="37"/>
      <c r="AF826" s="37"/>
      <c r="AG826" s="37"/>
      <c r="AH826" s="37"/>
      <c r="AI826" s="37"/>
      <c r="AJ826" s="37"/>
      <c r="AK826" s="37"/>
    </row>
    <row r="827" spans="1:37" ht="14.25">
      <c r="A827" s="43"/>
      <c r="B827" s="37"/>
      <c r="C827" s="37"/>
      <c r="D827" s="37"/>
      <c r="E827" s="37"/>
      <c r="F827" s="43"/>
      <c r="G827" s="43"/>
      <c r="H827" s="44"/>
      <c r="I827" s="43"/>
      <c r="J827" s="37"/>
      <c r="K827" s="37"/>
      <c r="L827" s="37"/>
      <c r="M827" s="37"/>
      <c r="N827" s="37"/>
      <c r="O827" s="37"/>
      <c r="P827" s="37"/>
      <c r="Q827" s="37"/>
      <c r="R827" s="37"/>
      <c r="S827" s="37"/>
      <c r="T827" s="37"/>
      <c r="U827" s="37"/>
      <c r="V827" s="37"/>
      <c r="W827" s="37"/>
      <c r="X827" s="37"/>
      <c r="Y827" s="37"/>
      <c r="Z827" s="37"/>
      <c r="AA827" s="37"/>
      <c r="AB827" s="37"/>
      <c r="AC827" s="37"/>
      <c r="AD827" s="37"/>
      <c r="AE827" s="37"/>
      <c r="AF827" s="37"/>
      <c r="AG827" s="37"/>
      <c r="AH827" s="37"/>
      <c r="AI827" s="37"/>
      <c r="AJ827" s="37"/>
      <c r="AK827" s="37"/>
    </row>
    <row r="828" spans="1:37" ht="14.25">
      <c r="A828" s="43"/>
      <c r="B828" s="37"/>
      <c r="C828" s="37"/>
      <c r="D828" s="37"/>
      <c r="E828" s="37"/>
      <c r="F828" s="43"/>
      <c r="G828" s="43"/>
      <c r="H828" s="44"/>
      <c r="I828" s="43"/>
      <c r="J828" s="37"/>
      <c r="K828" s="37"/>
      <c r="L828" s="37"/>
      <c r="M828" s="37"/>
      <c r="N828" s="37"/>
      <c r="O828" s="37"/>
      <c r="P828" s="37"/>
      <c r="Q828" s="37"/>
      <c r="R828" s="37"/>
      <c r="S828" s="37"/>
      <c r="T828" s="37"/>
      <c r="U828" s="37"/>
      <c r="V828" s="37"/>
      <c r="W828" s="37"/>
      <c r="X828" s="37"/>
      <c r="Y828" s="37"/>
      <c r="Z828" s="37"/>
      <c r="AA828" s="37"/>
      <c r="AB828" s="37"/>
      <c r="AC828" s="37"/>
      <c r="AD828" s="37"/>
      <c r="AE828" s="37"/>
      <c r="AF828" s="37"/>
      <c r="AG828" s="37"/>
      <c r="AH828" s="37"/>
      <c r="AI828" s="37"/>
      <c r="AJ828" s="37"/>
      <c r="AK828" s="37"/>
    </row>
    <row r="829" spans="1:37" ht="14.25">
      <c r="A829" s="43"/>
      <c r="B829" s="37"/>
      <c r="C829" s="37"/>
      <c r="D829" s="37"/>
      <c r="E829" s="37"/>
      <c r="F829" s="43"/>
      <c r="G829" s="43"/>
      <c r="H829" s="44"/>
      <c r="I829" s="43"/>
      <c r="J829" s="37"/>
      <c r="K829" s="37"/>
      <c r="L829" s="37"/>
      <c r="M829" s="37"/>
      <c r="N829" s="37"/>
      <c r="O829" s="37"/>
      <c r="P829" s="37"/>
      <c r="Q829" s="37"/>
      <c r="R829" s="37"/>
      <c r="S829" s="37"/>
      <c r="T829" s="37"/>
      <c r="U829" s="37"/>
      <c r="V829" s="37"/>
      <c r="W829" s="37"/>
      <c r="X829" s="37"/>
      <c r="Y829" s="37"/>
      <c r="Z829" s="37"/>
      <c r="AA829" s="37"/>
      <c r="AB829" s="37"/>
      <c r="AC829" s="37"/>
      <c r="AD829" s="37"/>
      <c r="AE829" s="37"/>
      <c r="AF829" s="37"/>
      <c r="AG829" s="37"/>
      <c r="AH829" s="37"/>
      <c r="AI829" s="37"/>
      <c r="AJ829" s="37"/>
      <c r="AK829" s="37"/>
    </row>
    <row r="830" spans="1:37" ht="14.25">
      <c r="A830" s="43"/>
      <c r="B830" s="37"/>
      <c r="C830" s="37"/>
      <c r="D830" s="37"/>
      <c r="E830" s="37"/>
      <c r="F830" s="43"/>
      <c r="G830" s="43"/>
      <c r="H830" s="44"/>
      <c r="I830" s="43"/>
      <c r="J830" s="37"/>
      <c r="K830" s="37"/>
      <c r="L830" s="37"/>
      <c r="M830" s="37"/>
      <c r="N830" s="37"/>
      <c r="O830" s="37"/>
      <c r="P830" s="37"/>
      <c r="Q830" s="37"/>
      <c r="R830" s="37"/>
      <c r="S830" s="37"/>
      <c r="T830" s="37"/>
      <c r="U830" s="37"/>
      <c r="V830" s="37"/>
      <c r="W830" s="37"/>
      <c r="X830" s="37"/>
      <c r="Y830" s="37"/>
      <c r="Z830" s="37"/>
      <c r="AA830" s="37"/>
      <c r="AB830" s="37"/>
      <c r="AC830" s="37"/>
      <c r="AD830" s="37"/>
      <c r="AE830" s="37"/>
      <c r="AF830" s="37"/>
      <c r="AG830" s="37"/>
      <c r="AH830" s="37"/>
      <c r="AI830" s="37"/>
      <c r="AJ830" s="37"/>
      <c r="AK830" s="37"/>
    </row>
    <row r="831" spans="1:37" ht="14.25">
      <c r="A831" s="43"/>
      <c r="B831" s="37"/>
      <c r="C831" s="37"/>
      <c r="D831" s="37"/>
      <c r="E831" s="37"/>
      <c r="F831" s="43"/>
      <c r="G831" s="43"/>
      <c r="H831" s="44"/>
      <c r="I831" s="43"/>
      <c r="J831" s="37"/>
      <c r="K831" s="37"/>
      <c r="L831" s="37"/>
      <c r="M831" s="37"/>
      <c r="N831" s="37"/>
      <c r="O831" s="37"/>
      <c r="P831" s="37"/>
      <c r="Q831" s="37"/>
      <c r="R831" s="37"/>
      <c r="S831" s="37"/>
      <c r="T831" s="37"/>
      <c r="U831" s="37"/>
      <c r="V831" s="37"/>
      <c r="W831" s="37"/>
      <c r="X831" s="37"/>
      <c r="Y831" s="37"/>
      <c r="Z831" s="37"/>
      <c r="AA831" s="37"/>
      <c r="AB831" s="37"/>
      <c r="AC831" s="37"/>
      <c r="AD831" s="37"/>
      <c r="AE831" s="37"/>
      <c r="AF831" s="37"/>
      <c r="AG831" s="37"/>
      <c r="AH831" s="37"/>
      <c r="AI831" s="37"/>
      <c r="AJ831" s="37"/>
      <c r="AK831" s="37"/>
    </row>
    <row r="832" spans="1:37" ht="14.25">
      <c r="A832" s="43"/>
      <c r="B832" s="37"/>
      <c r="C832" s="37"/>
      <c r="D832" s="37"/>
      <c r="E832" s="37"/>
      <c r="F832" s="43"/>
      <c r="G832" s="43"/>
      <c r="H832" s="44"/>
      <c r="I832" s="43"/>
      <c r="J832" s="37"/>
      <c r="K832" s="37"/>
      <c r="L832" s="37"/>
      <c r="M832" s="37"/>
      <c r="N832" s="37"/>
      <c r="O832" s="37"/>
      <c r="P832" s="37"/>
      <c r="Q832" s="37"/>
      <c r="R832" s="37"/>
      <c r="S832" s="37"/>
      <c r="T832" s="37"/>
      <c r="U832" s="37"/>
      <c r="V832" s="37"/>
      <c r="W832" s="37"/>
      <c r="X832" s="37"/>
      <c r="Y832" s="37"/>
      <c r="Z832" s="37"/>
      <c r="AA832" s="37"/>
      <c r="AB832" s="37"/>
      <c r="AC832" s="37"/>
      <c r="AD832" s="37"/>
      <c r="AE832" s="37"/>
      <c r="AF832" s="37"/>
      <c r="AG832" s="37"/>
      <c r="AH832" s="37"/>
      <c r="AI832" s="37"/>
      <c r="AJ832" s="37"/>
      <c r="AK832" s="37"/>
    </row>
    <row r="833" spans="1:37" ht="14.25">
      <c r="A833" s="43"/>
      <c r="B833" s="37"/>
      <c r="C833" s="37"/>
      <c r="D833" s="37"/>
      <c r="E833" s="37"/>
      <c r="F833" s="43"/>
      <c r="G833" s="43"/>
      <c r="H833" s="44"/>
      <c r="I833" s="43"/>
      <c r="J833" s="37"/>
      <c r="K833" s="37"/>
      <c r="L833" s="37"/>
      <c r="M833" s="37"/>
      <c r="N833" s="37"/>
      <c r="O833" s="37"/>
      <c r="P833" s="37"/>
      <c r="Q833" s="37"/>
      <c r="R833" s="37"/>
      <c r="S833" s="37"/>
      <c r="T833" s="37"/>
      <c r="U833" s="37"/>
      <c r="V833" s="37"/>
      <c r="W833" s="37"/>
      <c r="X833" s="37"/>
      <c r="Y833" s="37"/>
      <c r="Z833" s="37"/>
      <c r="AA833" s="37"/>
      <c r="AB833" s="37"/>
      <c r="AC833" s="37"/>
      <c r="AD833" s="37"/>
      <c r="AE833" s="37"/>
      <c r="AF833" s="37"/>
      <c r="AG833" s="37"/>
      <c r="AH833" s="37"/>
      <c r="AI833" s="37"/>
      <c r="AJ833" s="37"/>
      <c r="AK833" s="37"/>
    </row>
    <row r="834" spans="1:37" ht="14.25">
      <c r="A834" s="43"/>
      <c r="B834" s="37"/>
      <c r="C834" s="37"/>
      <c r="D834" s="37"/>
      <c r="E834" s="37"/>
      <c r="F834" s="43"/>
      <c r="G834" s="43"/>
      <c r="H834" s="44"/>
      <c r="I834" s="43"/>
      <c r="J834" s="37"/>
      <c r="K834" s="37"/>
      <c r="L834" s="37"/>
      <c r="M834" s="37"/>
      <c r="N834" s="37"/>
      <c r="O834" s="37"/>
      <c r="P834" s="37"/>
      <c r="Q834" s="37"/>
      <c r="R834" s="37"/>
      <c r="S834" s="37"/>
      <c r="T834" s="37"/>
      <c r="U834" s="37"/>
      <c r="V834" s="37"/>
      <c r="W834" s="37"/>
      <c r="X834" s="37"/>
      <c r="Y834" s="37"/>
      <c r="Z834" s="37"/>
      <c r="AA834" s="37"/>
      <c r="AB834" s="37"/>
      <c r="AC834" s="37"/>
      <c r="AD834" s="37"/>
      <c r="AE834" s="37"/>
      <c r="AF834" s="37"/>
      <c r="AG834" s="37"/>
      <c r="AH834" s="37"/>
      <c r="AI834" s="37"/>
      <c r="AJ834" s="37"/>
      <c r="AK834" s="37"/>
    </row>
    <row r="835" spans="1:37" ht="14.25">
      <c r="A835" s="43"/>
      <c r="B835" s="37"/>
      <c r="C835" s="37"/>
      <c r="D835" s="37"/>
      <c r="E835" s="37"/>
      <c r="F835" s="43"/>
      <c r="G835" s="43"/>
      <c r="H835" s="44"/>
      <c r="I835" s="43"/>
      <c r="J835" s="37"/>
      <c r="K835" s="37"/>
      <c r="L835" s="37"/>
      <c r="M835" s="37"/>
      <c r="N835" s="37"/>
      <c r="O835" s="37"/>
      <c r="P835" s="37"/>
      <c r="Q835" s="37"/>
      <c r="R835" s="37"/>
      <c r="S835" s="37"/>
      <c r="T835" s="37"/>
      <c r="U835" s="37"/>
      <c r="V835" s="37"/>
      <c r="W835" s="37"/>
      <c r="X835" s="37"/>
      <c r="Y835" s="37"/>
      <c r="Z835" s="37"/>
      <c r="AA835" s="37"/>
      <c r="AB835" s="37"/>
      <c r="AC835" s="37"/>
      <c r="AD835" s="37"/>
      <c r="AE835" s="37"/>
      <c r="AF835" s="37"/>
      <c r="AG835" s="37"/>
      <c r="AH835" s="37"/>
      <c r="AI835" s="37"/>
      <c r="AJ835" s="37"/>
      <c r="AK835" s="37"/>
    </row>
    <row r="836" spans="1:37" ht="14.25">
      <c r="A836" s="43"/>
      <c r="B836" s="37"/>
      <c r="C836" s="37"/>
      <c r="D836" s="37"/>
      <c r="E836" s="37"/>
      <c r="F836" s="43"/>
      <c r="G836" s="43"/>
      <c r="H836" s="44"/>
      <c r="I836" s="43"/>
      <c r="J836" s="37"/>
      <c r="K836" s="37"/>
      <c r="L836" s="37"/>
      <c r="M836" s="37"/>
      <c r="N836" s="37"/>
      <c r="O836" s="37"/>
      <c r="P836" s="37"/>
      <c r="Q836" s="37"/>
      <c r="R836" s="37"/>
      <c r="S836" s="37"/>
      <c r="T836" s="37"/>
      <c r="U836" s="37"/>
      <c r="V836" s="37"/>
      <c r="W836" s="37"/>
      <c r="X836" s="37"/>
      <c r="Y836" s="37"/>
      <c r="Z836" s="37"/>
      <c r="AA836" s="37"/>
      <c r="AB836" s="37"/>
      <c r="AC836" s="37"/>
      <c r="AD836" s="37"/>
      <c r="AE836" s="37"/>
      <c r="AF836" s="37"/>
      <c r="AG836" s="37"/>
      <c r="AH836" s="37"/>
      <c r="AI836" s="37"/>
      <c r="AJ836" s="37"/>
      <c r="AK836" s="37"/>
    </row>
    <row r="837" spans="1:37" ht="14.25">
      <c r="A837" s="43"/>
      <c r="B837" s="37"/>
      <c r="C837" s="37"/>
      <c r="D837" s="37"/>
      <c r="E837" s="37"/>
      <c r="F837" s="43"/>
      <c r="G837" s="43"/>
      <c r="H837" s="44"/>
      <c r="I837" s="43"/>
      <c r="J837" s="37"/>
      <c r="K837" s="37"/>
      <c r="L837" s="37"/>
      <c r="M837" s="37"/>
      <c r="N837" s="37"/>
      <c r="O837" s="37"/>
      <c r="P837" s="37"/>
      <c r="Q837" s="37"/>
      <c r="R837" s="37"/>
      <c r="S837" s="37"/>
      <c r="T837" s="37"/>
      <c r="U837" s="37"/>
      <c r="V837" s="37"/>
      <c r="W837" s="37"/>
      <c r="X837" s="37"/>
      <c r="Y837" s="37"/>
      <c r="Z837" s="37"/>
      <c r="AA837" s="37"/>
      <c r="AB837" s="37"/>
      <c r="AC837" s="37"/>
      <c r="AD837" s="37"/>
      <c r="AE837" s="37"/>
      <c r="AF837" s="37"/>
      <c r="AG837" s="37"/>
      <c r="AH837" s="37"/>
      <c r="AI837" s="37"/>
      <c r="AJ837" s="37"/>
      <c r="AK837" s="37"/>
    </row>
    <row r="838" spans="1:37" ht="14.25">
      <c r="A838" s="43"/>
      <c r="B838" s="37"/>
      <c r="C838" s="37"/>
      <c r="D838" s="37"/>
      <c r="E838" s="37"/>
      <c r="F838" s="43"/>
      <c r="G838" s="43"/>
      <c r="H838" s="44"/>
      <c r="I838" s="43"/>
      <c r="J838" s="37"/>
      <c r="K838" s="37"/>
      <c r="L838" s="37"/>
      <c r="M838" s="37"/>
      <c r="N838" s="37"/>
      <c r="O838" s="37"/>
      <c r="P838" s="37"/>
      <c r="Q838" s="37"/>
      <c r="R838" s="37"/>
      <c r="S838" s="37"/>
      <c r="T838" s="37"/>
      <c r="U838" s="37"/>
      <c r="V838" s="37"/>
      <c r="W838" s="37"/>
      <c r="X838" s="37"/>
      <c r="Y838" s="37"/>
      <c r="Z838" s="37"/>
      <c r="AA838" s="37"/>
      <c r="AB838" s="37"/>
      <c r="AC838" s="37"/>
      <c r="AD838" s="37"/>
      <c r="AE838" s="37"/>
      <c r="AF838" s="37"/>
      <c r="AG838" s="37"/>
      <c r="AH838" s="37"/>
      <c r="AI838" s="37"/>
      <c r="AJ838" s="37"/>
      <c r="AK838" s="37"/>
    </row>
    <row r="839" spans="1:37" ht="14.25">
      <c r="A839" s="43"/>
      <c r="B839" s="37"/>
      <c r="C839" s="37"/>
      <c r="D839" s="37"/>
      <c r="E839" s="37"/>
      <c r="F839" s="43"/>
      <c r="G839" s="43"/>
      <c r="H839" s="44"/>
      <c r="I839" s="43"/>
      <c r="J839" s="37"/>
      <c r="K839" s="37"/>
      <c r="L839" s="37"/>
      <c r="M839" s="37"/>
      <c r="N839" s="37"/>
      <c r="O839" s="37"/>
      <c r="P839" s="37"/>
      <c r="Q839" s="37"/>
      <c r="R839" s="37"/>
      <c r="S839" s="37"/>
      <c r="T839" s="37"/>
      <c r="U839" s="37"/>
      <c r="V839" s="37"/>
      <c r="W839" s="37"/>
      <c r="X839" s="37"/>
      <c r="Y839" s="37"/>
      <c r="Z839" s="37"/>
      <c r="AA839" s="37"/>
      <c r="AB839" s="37"/>
      <c r="AC839" s="37"/>
      <c r="AD839" s="37"/>
      <c r="AE839" s="37"/>
      <c r="AF839" s="37"/>
      <c r="AG839" s="37"/>
      <c r="AH839" s="37"/>
      <c r="AI839" s="37"/>
      <c r="AJ839" s="37"/>
      <c r="AK839" s="37"/>
    </row>
    <row r="840" spans="1:37" ht="14.25">
      <c r="A840" s="43"/>
      <c r="B840" s="37"/>
      <c r="C840" s="37"/>
      <c r="D840" s="37"/>
      <c r="E840" s="37"/>
      <c r="F840" s="43"/>
      <c r="G840" s="43"/>
      <c r="H840" s="44"/>
      <c r="I840" s="43"/>
      <c r="J840" s="37"/>
      <c r="K840" s="37"/>
      <c r="L840" s="37"/>
      <c r="M840" s="37"/>
      <c r="N840" s="37"/>
      <c r="O840" s="37"/>
      <c r="P840" s="37"/>
      <c r="Q840" s="37"/>
      <c r="R840" s="37"/>
      <c r="S840" s="37"/>
      <c r="T840" s="37"/>
      <c r="U840" s="37"/>
      <c r="V840" s="37"/>
      <c r="W840" s="37"/>
      <c r="X840" s="37"/>
      <c r="Y840" s="37"/>
      <c r="Z840" s="37"/>
      <c r="AA840" s="37"/>
      <c r="AB840" s="37"/>
      <c r="AC840" s="37"/>
      <c r="AD840" s="37"/>
      <c r="AE840" s="37"/>
      <c r="AF840" s="37"/>
      <c r="AG840" s="37"/>
      <c r="AH840" s="37"/>
      <c r="AI840" s="37"/>
      <c r="AJ840" s="37"/>
      <c r="AK840" s="37"/>
    </row>
    <row r="841" spans="1:37" ht="14.25">
      <c r="A841" s="43"/>
      <c r="B841" s="37"/>
      <c r="C841" s="37"/>
      <c r="D841" s="37"/>
      <c r="E841" s="37"/>
      <c r="F841" s="43"/>
      <c r="G841" s="43"/>
      <c r="H841" s="44"/>
      <c r="I841" s="43"/>
      <c r="J841" s="37"/>
      <c r="K841" s="37"/>
      <c r="L841" s="37"/>
      <c r="M841" s="37"/>
      <c r="N841" s="37"/>
      <c r="O841" s="37"/>
      <c r="P841" s="37"/>
      <c r="Q841" s="37"/>
      <c r="R841" s="37"/>
      <c r="S841" s="37"/>
      <c r="T841" s="37"/>
      <c r="U841" s="37"/>
      <c r="V841" s="37"/>
      <c r="W841" s="37"/>
      <c r="X841" s="37"/>
      <c r="Y841" s="37"/>
      <c r="Z841" s="37"/>
      <c r="AA841" s="37"/>
      <c r="AB841" s="37"/>
      <c r="AC841" s="37"/>
      <c r="AD841" s="37"/>
      <c r="AE841" s="37"/>
      <c r="AF841" s="37"/>
      <c r="AG841" s="37"/>
      <c r="AH841" s="37"/>
      <c r="AI841" s="37"/>
      <c r="AJ841" s="37"/>
      <c r="AK841" s="37"/>
    </row>
    <row r="842" spans="1:37" ht="14.25">
      <c r="A842" s="43"/>
      <c r="B842" s="37"/>
      <c r="C842" s="37"/>
      <c r="D842" s="37"/>
      <c r="E842" s="37"/>
      <c r="F842" s="43"/>
      <c r="G842" s="43"/>
      <c r="H842" s="44"/>
      <c r="I842" s="43"/>
      <c r="J842" s="37"/>
      <c r="K842" s="37"/>
      <c r="L842" s="37"/>
      <c r="M842" s="37"/>
      <c r="N842" s="37"/>
      <c r="O842" s="37"/>
      <c r="P842" s="37"/>
      <c r="Q842" s="37"/>
      <c r="R842" s="37"/>
      <c r="S842" s="37"/>
      <c r="T842" s="37"/>
      <c r="U842" s="37"/>
      <c r="V842" s="37"/>
      <c r="W842" s="37"/>
      <c r="X842" s="37"/>
      <c r="Y842" s="37"/>
      <c r="Z842" s="37"/>
      <c r="AA842" s="37"/>
      <c r="AB842" s="37"/>
      <c r="AC842" s="37"/>
      <c r="AD842" s="37"/>
      <c r="AE842" s="37"/>
      <c r="AF842" s="37"/>
      <c r="AG842" s="37"/>
      <c r="AH842" s="37"/>
      <c r="AI842" s="37"/>
      <c r="AJ842" s="37"/>
      <c r="AK842" s="37"/>
    </row>
    <row r="843" spans="1:37" ht="14.25">
      <c r="A843" s="43"/>
      <c r="B843" s="37"/>
      <c r="C843" s="37"/>
      <c r="D843" s="37"/>
      <c r="E843" s="37"/>
      <c r="F843" s="43"/>
      <c r="G843" s="43"/>
      <c r="H843" s="44"/>
      <c r="I843" s="43"/>
      <c r="J843" s="37"/>
      <c r="K843" s="37"/>
      <c r="L843" s="37"/>
      <c r="M843" s="37"/>
      <c r="N843" s="37"/>
      <c r="O843" s="37"/>
      <c r="P843" s="37"/>
      <c r="Q843" s="37"/>
      <c r="R843" s="37"/>
      <c r="S843" s="37"/>
      <c r="T843" s="37"/>
      <c r="U843" s="37"/>
      <c r="V843" s="37"/>
      <c r="W843" s="37"/>
      <c r="X843" s="37"/>
      <c r="Y843" s="37"/>
      <c r="Z843" s="37"/>
      <c r="AA843" s="37"/>
      <c r="AB843" s="37"/>
      <c r="AC843" s="37"/>
      <c r="AD843" s="37"/>
      <c r="AE843" s="37"/>
      <c r="AF843" s="37"/>
      <c r="AG843" s="37"/>
      <c r="AH843" s="37"/>
      <c r="AI843" s="37"/>
      <c r="AJ843" s="37"/>
      <c r="AK843" s="37"/>
    </row>
    <row r="844" spans="1:37" ht="14.25">
      <c r="A844" s="43"/>
      <c r="B844" s="37"/>
      <c r="C844" s="37"/>
      <c r="D844" s="37"/>
      <c r="E844" s="37"/>
      <c r="F844" s="43"/>
      <c r="G844" s="43"/>
      <c r="H844" s="44"/>
      <c r="I844" s="43"/>
      <c r="J844" s="37"/>
      <c r="K844" s="37"/>
      <c r="L844" s="37"/>
      <c r="M844" s="37"/>
      <c r="N844" s="37"/>
      <c r="O844" s="37"/>
      <c r="P844" s="37"/>
      <c r="Q844" s="37"/>
      <c r="R844" s="37"/>
      <c r="S844" s="37"/>
      <c r="T844" s="37"/>
      <c r="U844" s="37"/>
      <c r="V844" s="37"/>
      <c r="W844" s="37"/>
      <c r="X844" s="37"/>
      <c r="Y844" s="37"/>
      <c r="Z844" s="37"/>
      <c r="AA844" s="37"/>
      <c r="AB844" s="37"/>
      <c r="AC844" s="37"/>
      <c r="AD844" s="37"/>
      <c r="AE844" s="37"/>
      <c r="AF844" s="37"/>
      <c r="AG844" s="37"/>
      <c r="AH844" s="37"/>
      <c r="AI844" s="37"/>
      <c r="AJ844" s="37"/>
      <c r="AK844" s="37"/>
    </row>
    <row r="845" spans="1:37" ht="14.25">
      <c r="A845" s="43"/>
      <c r="B845" s="37"/>
      <c r="C845" s="37"/>
      <c r="D845" s="37"/>
      <c r="E845" s="37"/>
      <c r="F845" s="43"/>
      <c r="G845" s="43"/>
      <c r="H845" s="44"/>
      <c r="I845" s="43"/>
      <c r="J845" s="37"/>
      <c r="K845" s="37"/>
      <c r="L845" s="37"/>
      <c r="M845" s="37"/>
      <c r="N845" s="37"/>
      <c r="O845" s="37"/>
      <c r="P845" s="37"/>
      <c r="Q845" s="37"/>
      <c r="R845" s="37"/>
      <c r="S845" s="37"/>
      <c r="T845" s="37"/>
      <c r="U845" s="37"/>
      <c r="V845" s="37"/>
      <c r="W845" s="37"/>
      <c r="X845" s="37"/>
      <c r="Y845" s="37"/>
      <c r="Z845" s="37"/>
      <c r="AA845" s="37"/>
      <c r="AB845" s="37"/>
      <c r="AC845" s="37"/>
      <c r="AD845" s="37"/>
      <c r="AE845" s="37"/>
      <c r="AF845" s="37"/>
      <c r="AG845" s="37"/>
      <c r="AH845" s="37"/>
      <c r="AI845" s="37"/>
      <c r="AJ845" s="37"/>
      <c r="AK845" s="37"/>
    </row>
    <row r="846" spans="1:37" ht="14.25">
      <c r="A846" s="43"/>
      <c r="B846" s="37"/>
      <c r="C846" s="37"/>
      <c r="D846" s="37"/>
      <c r="E846" s="37"/>
      <c r="F846" s="43"/>
      <c r="G846" s="43"/>
      <c r="H846" s="44"/>
      <c r="I846" s="43"/>
      <c r="J846" s="37"/>
      <c r="K846" s="37"/>
      <c r="L846" s="37"/>
      <c r="M846" s="37"/>
      <c r="N846" s="37"/>
      <c r="O846" s="37"/>
      <c r="P846" s="37"/>
      <c r="Q846" s="37"/>
      <c r="R846" s="37"/>
      <c r="S846" s="37"/>
      <c r="T846" s="37"/>
      <c r="U846" s="37"/>
      <c r="V846" s="37"/>
      <c r="W846" s="37"/>
      <c r="X846" s="37"/>
      <c r="Y846" s="37"/>
      <c r="Z846" s="37"/>
      <c r="AA846" s="37"/>
      <c r="AB846" s="37"/>
      <c r="AC846" s="37"/>
      <c r="AD846" s="37"/>
      <c r="AE846" s="37"/>
      <c r="AF846" s="37"/>
      <c r="AG846" s="37"/>
      <c r="AH846" s="37"/>
      <c r="AI846" s="37"/>
      <c r="AJ846" s="37"/>
      <c r="AK846" s="37"/>
    </row>
    <row r="847" spans="1:37" ht="14.25">
      <c r="A847" s="43"/>
      <c r="B847" s="37"/>
      <c r="C847" s="37"/>
      <c r="D847" s="37"/>
      <c r="E847" s="37"/>
      <c r="F847" s="43"/>
      <c r="G847" s="43"/>
      <c r="H847" s="44"/>
      <c r="I847" s="43"/>
      <c r="J847" s="37"/>
      <c r="K847" s="37"/>
      <c r="L847" s="37"/>
      <c r="M847" s="37"/>
      <c r="N847" s="37"/>
      <c r="O847" s="37"/>
      <c r="P847" s="37"/>
      <c r="Q847" s="37"/>
      <c r="R847" s="37"/>
      <c r="S847" s="37"/>
      <c r="T847" s="37"/>
      <c r="U847" s="37"/>
      <c r="V847" s="37"/>
      <c r="W847" s="37"/>
      <c r="X847" s="37"/>
      <c r="Y847" s="37"/>
      <c r="Z847" s="37"/>
      <c r="AA847" s="37"/>
      <c r="AB847" s="37"/>
      <c r="AC847" s="37"/>
      <c r="AD847" s="37"/>
      <c r="AE847" s="37"/>
      <c r="AF847" s="37"/>
      <c r="AG847" s="37"/>
      <c r="AH847" s="37"/>
      <c r="AI847" s="37"/>
      <c r="AJ847" s="37"/>
      <c r="AK847" s="37"/>
    </row>
    <row r="848" spans="1:37" ht="14.25">
      <c r="A848" s="43"/>
      <c r="B848" s="37"/>
      <c r="C848" s="37"/>
      <c r="D848" s="37"/>
      <c r="E848" s="37"/>
      <c r="F848" s="43"/>
      <c r="G848" s="43"/>
      <c r="H848" s="44"/>
      <c r="I848" s="43"/>
      <c r="J848" s="37"/>
      <c r="K848" s="37"/>
      <c r="L848" s="37"/>
      <c r="M848" s="37"/>
      <c r="N848" s="37"/>
      <c r="O848" s="37"/>
      <c r="P848" s="37"/>
      <c r="Q848" s="37"/>
      <c r="R848" s="37"/>
      <c r="S848" s="37"/>
      <c r="T848" s="37"/>
      <c r="U848" s="37"/>
      <c r="V848" s="37"/>
      <c r="W848" s="37"/>
      <c r="X848" s="37"/>
      <c r="Y848" s="37"/>
      <c r="Z848" s="37"/>
      <c r="AA848" s="37"/>
      <c r="AB848" s="37"/>
      <c r="AC848" s="37"/>
      <c r="AD848" s="37"/>
      <c r="AE848" s="37"/>
      <c r="AF848" s="37"/>
      <c r="AG848" s="37"/>
      <c r="AH848" s="37"/>
      <c r="AI848" s="37"/>
      <c r="AJ848" s="37"/>
      <c r="AK848" s="37"/>
    </row>
    <row r="849" spans="1:37" ht="14.25">
      <c r="A849" s="43"/>
      <c r="B849" s="37"/>
      <c r="C849" s="37"/>
      <c r="D849" s="37"/>
      <c r="E849" s="37"/>
      <c r="F849" s="43"/>
      <c r="G849" s="43"/>
      <c r="H849" s="44"/>
      <c r="I849" s="43"/>
      <c r="J849" s="37"/>
      <c r="K849" s="37"/>
      <c r="L849" s="37"/>
      <c r="M849" s="37"/>
      <c r="N849" s="37"/>
      <c r="O849" s="37"/>
      <c r="P849" s="37"/>
      <c r="Q849" s="37"/>
      <c r="R849" s="37"/>
      <c r="S849" s="37"/>
      <c r="T849" s="37"/>
      <c r="U849" s="37"/>
      <c r="V849" s="37"/>
      <c r="W849" s="37"/>
      <c r="X849" s="37"/>
      <c r="Y849" s="37"/>
      <c r="Z849" s="37"/>
      <c r="AA849" s="37"/>
      <c r="AB849" s="37"/>
      <c r="AC849" s="37"/>
      <c r="AD849" s="37"/>
      <c r="AE849" s="37"/>
      <c r="AF849" s="37"/>
      <c r="AG849" s="37"/>
      <c r="AH849" s="37"/>
      <c r="AI849" s="37"/>
      <c r="AJ849" s="37"/>
      <c r="AK849" s="37"/>
    </row>
    <row r="850" spans="1:37" ht="14.25">
      <c r="A850" s="43"/>
      <c r="B850" s="37"/>
      <c r="C850" s="37"/>
      <c r="D850" s="37"/>
      <c r="E850" s="37"/>
      <c r="F850" s="43"/>
      <c r="G850" s="43"/>
      <c r="H850" s="44"/>
      <c r="I850" s="43"/>
      <c r="J850" s="37"/>
      <c r="K850" s="37"/>
      <c r="L850" s="37"/>
      <c r="M850" s="37"/>
      <c r="N850" s="37"/>
      <c r="O850" s="37"/>
      <c r="P850" s="37"/>
      <c r="Q850" s="37"/>
      <c r="R850" s="37"/>
      <c r="S850" s="37"/>
      <c r="T850" s="37"/>
      <c r="U850" s="37"/>
      <c r="V850" s="37"/>
      <c r="W850" s="37"/>
      <c r="X850" s="37"/>
      <c r="Y850" s="37"/>
      <c r="Z850" s="37"/>
      <c r="AA850" s="37"/>
      <c r="AB850" s="37"/>
      <c r="AC850" s="37"/>
      <c r="AD850" s="37"/>
      <c r="AE850" s="37"/>
      <c r="AF850" s="37"/>
      <c r="AG850" s="37"/>
      <c r="AH850" s="37"/>
      <c r="AI850" s="37"/>
      <c r="AJ850" s="37"/>
      <c r="AK850" s="37"/>
    </row>
    <row r="851" spans="1:37" ht="14.25">
      <c r="A851" s="43"/>
      <c r="B851" s="37"/>
      <c r="C851" s="37"/>
      <c r="D851" s="37"/>
      <c r="E851" s="37"/>
      <c r="F851" s="43"/>
      <c r="G851" s="43"/>
      <c r="H851" s="44"/>
      <c r="I851" s="43"/>
      <c r="J851" s="37"/>
      <c r="K851" s="37"/>
      <c r="L851" s="37"/>
      <c r="M851" s="37"/>
      <c r="N851" s="37"/>
      <c r="O851" s="37"/>
      <c r="P851" s="37"/>
      <c r="Q851" s="37"/>
      <c r="R851" s="37"/>
      <c r="S851" s="37"/>
      <c r="T851" s="37"/>
      <c r="U851" s="37"/>
      <c r="V851" s="37"/>
      <c r="W851" s="37"/>
      <c r="X851" s="37"/>
      <c r="Y851" s="37"/>
      <c r="Z851" s="37"/>
      <c r="AA851" s="37"/>
      <c r="AB851" s="37"/>
      <c r="AC851" s="37"/>
      <c r="AD851" s="37"/>
      <c r="AE851" s="37"/>
      <c r="AF851" s="37"/>
      <c r="AG851" s="37"/>
      <c r="AH851" s="37"/>
      <c r="AI851" s="37"/>
      <c r="AJ851" s="37"/>
      <c r="AK851" s="37"/>
    </row>
    <row r="852" spans="1:37" ht="14.25">
      <c r="A852" s="43"/>
      <c r="B852" s="37"/>
      <c r="C852" s="37"/>
      <c r="D852" s="37"/>
      <c r="E852" s="37"/>
      <c r="F852" s="43"/>
      <c r="G852" s="43"/>
      <c r="H852" s="44"/>
      <c r="I852" s="43"/>
      <c r="J852" s="37"/>
      <c r="K852" s="37"/>
      <c r="L852" s="37"/>
      <c r="M852" s="37"/>
      <c r="N852" s="37"/>
      <c r="O852" s="37"/>
      <c r="P852" s="37"/>
      <c r="Q852" s="37"/>
      <c r="R852" s="37"/>
      <c r="S852" s="37"/>
      <c r="T852" s="37"/>
      <c r="U852" s="37"/>
      <c r="V852" s="37"/>
      <c r="W852" s="37"/>
      <c r="X852" s="37"/>
      <c r="Y852" s="37"/>
      <c r="Z852" s="37"/>
      <c r="AA852" s="37"/>
      <c r="AB852" s="37"/>
      <c r="AC852" s="37"/>
      <c r="AD852" s="37"/>
      <c r="AE852" s="37"/>
      <c r="AF852" s="37"/>
      <c r="AG852" s="37"/>
      <c r="AH852" s="37"/>
      <c r="AI852" s="37"/>
      <c r="AJ852" s="37"/>
      <c r="AK852" s="37"/>
    </row>
    <row r="853" spans="1:37" ht="14.25">
      <c r="A853" s="43"/>
      <c r="B853" s="37"/>
      <c r="C853" s="37"/>
      <c r="D853" s="37"/>
      <c r="E853" s="37"/>
      <c r="F853" s="43"/>
      <c r="G853" s="43"/>
      <c r="H853" s="44"/>
      <c r="I853" s="43"/>
      <c r="J853" s="37"/>
      <c r="K853" s="37"/>
      <c r="L853" s="37"/>
      <c r="M853" s="37"/>
      <c r="N853" s="37"/>
      <c r="O853" s="37"/>
      <c r="P853" s="37"/>
      <c r="Q853" s="37"/>
      <c r="R853" s="37"/>
      <c r="S853" s="37"/>
      <c r="T853" s="37"/>
      <c r="U853" s="37"/>
      <c r="V853" s="37"/>
      <c r="W853" s="37"/>
      <c r="X853" s="37"/>
      <c r="Y853" s="37"/>
      <c r="Z853" s="37"/>
      <c r="AA853" s="37"/>
      <c r="AB853" s="37"/>
      <c r="AC853" s="37"/>
      <c r="AD853" s="37"/>
      <c r="AE853" s="37"/>
      <c r="AF853" s="37"/>
      <c r="AG853" s="37"/>
      <c r="AH853" s="37"/>
      <c r="AI853" s="37"/>
      <c r="AJ853" s="37"/>
      <c r="AK853" s="37"/>
    </row>
    <row r="854" spans="1:37" ht="14.25">
      <c r="A854" s="43"/>
      <c r="B854" s="37"/>
      <c r="C854" s="37"/>
      <c r="D854" s="37"/>
      <c r="E854" s="37"/>
      <c r="F854" s="43"/>
      <c r="G854" s="43"/>
      <c r="H854" s="44"/>
      <c r="I854" s="43"/>
      <c r="J854" s="37"/>
      <c r="K854" s="37"/>
      <c r="L854" s="37"/>
      <c r="M854" s="37"/>
      <c r="N854" s="37"/>
      <c r="O854" s="37"/>
      <c r="P854" s="37"/>
      <c r="Q854" s="37"/>
      <c r="R854" s="37"/>
      <c r="S854" s="37"/>
      <c r="T854" s="37"/>
      <c r="U854" s="37"/>
      <c r="V854" s="37"/>
      <c r="W854" s="37"/>
      <c r="X854" s="37"/>
      <c r="Y854" s="37"/>
      <c r="Z854" s="37"/>
      <c r="AA854" s="37"/>
      <c r="AB854" s="37"/>
      <c r="AC854" s="37"/>
      <c r="AD854" s="37"/>
      <c r="AE854" s="37"/>
      <c r="AF854" s="37"/>
      <c r="AG854" s="37"/>
      <c r="AH854" s="37"/>
      <c r="AI854" s="37"/>
      <c r="AJ854" s="37"/>
      <c r="AK854" s="37"/>
    </row>
    <row r="855" spans="1:37" ht="14.25">
      <c r="A855" s="43"/>
      <c r="B855" s="37"/>
      <c r="C855" s="37"/>
      <c r="D855" s="37"/>
      <c r="E855" s="37"/>
      <c r="F855" s="43"/>
      <c r="G855" s="43"/>
      <c r="H855" s="44"/>
      <c r="I855" s="43"/>
      <c r="J855" s="37"/>
      <c r="K855" s="37"/>
      <c r="L855" s="37"/>
      <c r="M855" s="37"/>
      <c r="N855" s="37"/>
      <c r="O855" s="37"/>
      <c r="P855" s="37"/>
      <c r="Q855" s="37"/>
      <c r="R855" s="37"/>
      <c r="S855" s="37"/>
      <c r="T855" s="37"/>
      <c r="U855" s="37"/>
      <c r="V855" s="37"/>
      <c r="W855" s="37"/>
      <c r="X855" s="37"/>
      <c r="Y855" s="37"/>
      <c r="Z855" s="37"/>
      <c r="AA855" s="37"/>
      <c r="AB855" s="37"/>
      <c r="AC855" s="37"/>
      <c r="AD855" s="37"/>
      <c r="AE855" s="37"/>
      <c r="AF855" s="37"/>
      <c r="AG855" s="37"/>
      <c r="AH855" s="37"/>
      <c r="AI855" s="37"/>
      <c r="AJ855" s="37"/>
      <c r="AK855" s="37"/>
    </row>
    <row r="856" spans="1:37" ht="14.25">
      <c r="A856" s="43"/>
      <c r="B856" s="37"/>
      <c r="C856" s="37"/>
      <c r="D856" s="37"/>
      <c r="E856" s="37"/>
      <c r="F856" s="43"/>
      <c r="G856" s="43"/>
      <c r="H856" s="44"/>
      <c r="I856" s="43"/>
      <c r="J856" s="37"/>
      <c r="K856" s="37"/>
      <c r="L856" s="37"/>
      <c r="M856" s="37"/>
      <c r="N856" s="37"/>
      <c r="O856" s="37"/>
      <c r="P856" s="37"/>
      <c r="Q856" s="37"/>
      <c r="R856" s="37"/>
      <c r="S856" s="37"/>
      <c r="T856" s="37"/>
      <c r="U856" s="37"/>
      <c r="V856" s="37"/>
      <c r="W856" s="37"/>
      <c r="X856" s="37"/>
      <c r="Y856" s="37"/>
      <c r="Z856" s="37"/>
      <c r="AA856" s="37"/>
      <c r="AB856" s="37"/>
      <c r="AC856" s="37"/>
      <c r="AD856" s="37"/>
      <c r="AE856" s="37"/>
      <c r="AF856" s="37"/>
      <c r="AG856" s="37"/>
      <c r="AH856" s="37"/>
      <c r="AI856" s="37"/>
      <c r="AJ856" s="37"/>
      <c r="AK856" s="37"/>
    </row>
    <row r="857" spans="1:37" ht="14.25">
      <c r="A857" s="43"/>
      <c r="B857" s="37"/>
      <c r="C857" s="37"/>
      <c r="D857" s="37"/>
      <c r="E857" s="37"/>
      <c r="F857" s="43"/>
      <c r="G857" s="43"/>
      <c r="H857" s="44"/>
      <c r="I857" s="43"/>
      <c r="J857" s="37"/>
      <c r="K857" s="37"/>
      <c r="L857" s="37"/>
      <c r="M857" s="37"/>
      <c r="N857" s="37"/>
      <c r="O857" s="37"/>
      <c r="P857" s="37"/>
      <c r="Q857" s="37"/>
      <c r="R857" s="37"/>
      <c r="S857" s="37"/>
      <c r="T857" s="37"/>
      <c r="U857" s="37"/>
      <c r="V857" s="37"/>
      <c r="W857" s="37"/>
      <c r="X857" s="37"/>
      <c r="Y857" s="37"/>
      <c r="Z857" s="37"/>
      <c r="AA857" s="37"/>
      <c r="AB857" s="37"/>
      <c r="AC857" s="37"/>
      <c r="AD857" s="37"/>
      <c r="AE857" s="37"/>
      <c r="AF857" s="37"/>
      <c r="AG857" s="37"/>
      <c r="AH857" s="37"/>
      <c r="AI857" s="37"/>
      <c r="AJ857" s="37"/>
      <c r="AK857" s="37"/>
    </row>
    <row r="858" spans="1:37" ht="14.25">
      <c r="A858" s="43"/>
      <c r="B858" s="37"/>
      <c r="C858" s="37"/>
      <c r="D858" s="37"/>
      <c r="E858" s="37"/>
      <c r="F858" s="43"/>
      <c r="G858" s="43"/>
      <c r="H858" s="44"/>
      <c r="I858" s="43"/>
      <c r="J858" s="37"/>
      <c r="K858" s="37"/>
      <c r="L858" s="37"/>
      <c r="M858" s="37"/>
      <c r="N858" s="37"/>
      <c r="O858" s="37"/>
      <c r="P858" s="37"/>
      <c r="Q858" s="37"/>
      <c r="R858" s="37"/>
      <c r="S858" s="37"/>
      <c r="T858" s="37"/>
      <c r="U858" s="37"/>
      <c r="V858" s="37"/>
      <c r="W858" s="37"/>
      <c r="X858" s="37"/>
      <c r="Y858" s="37"/>
      <c r="Z858" s="37"/>
      <c r="AA858" s="37"/>
      <c r="AB858" s="37"/>
      <c r="AC858" s="37"/>
      <c r="AD858" s="37"/>
      <c r="AE858" s="37"/>
      <c r="AF858" s="37"/>
      <c r="AG858" s="37"/>
      <c r="AH858" s="37"/>
      <c r="AI858" s="37"/>
      <c r="AJ858" s="37"/>
      <c r="AK858" s="37"/>
    </row>
    <row r="859" spans="1:37" ht="14.25">
      <c r="A859" s="43"/>
      <c r="B859" s="37"/>
      <c r="C859" s="37"/>
      <c r="D859" s="37"/>
      <c r="E859" s="37"/>
      <c r="F859" s="43"/>
      <c r="G859" s="43"/>
      <c r="H859" s="44"/>
      <c r="I859" s="43"/>
      <c r="J859" s="37"/>
      <c r="K859" s="37"/>
      <c r="L859" s="37"/>
      <c r="M859" s="37"/>
      <c r="N859" s="37"/>
      <c r="O859" s="37"/>
      <c r="P859" s="37"/>
      <c r="Q859" s="37"/>
      <c r="R859" s="37"/>
      <c r="S859" s="37"/>
      <c r="T859" s="37"/>
      <c r="U859" s="37"/>
      <c r="V859" s="37"/>
      <c r="W859" s="37"/>
      <c r="X859" s="37"/>
      <c r="Y859" s="37"/>
      <c r="Z859" s="37"/>
      <c r="AA859" s="37"/>
      <c r="AB859" s="37"/>
      <c r="AC859" s="37"/>
      <c r="AD859" s="37"/>
      <c r="AE859" s="37"/>
      <c r="AF859" s="37"/>
      <c r="AG859" s="37"/>
      <c r="AH859" s="37"/>
      <c r="AI859" s="37"/>
      <c r="AJ859" s="37"/>
      <c r="AK859" s="37"/>
    </row>
    <row r="860" spans="1:37" ht="14.25">
      <c r="A860" s="43"/>
      <c r="B860" s="37"/>
      <c r="C860" s="37"/>
      <c r="D860" s="37"/>
      <c r="E860" s="37"/>
      <c r="F860" s="43"/>
      <c r="G860" s="43"/>
      <c r="H860" s="44"/>
      <c r="I860" s="43"/>
      <c r="J860" s="37"/>
      <c r="K860" s="37"/>
      <c r="L860" s="37"/>
      <c r="M860" s="37"/>
      <c r="N860" s="37"/>
      <c r="O860" s="37"/>
      <c r="P860" s="37"/>
      <c r="Q860" s="37"/>
      <c r="R860" s="37"/>
      <c r="S860" s="37"/>
      <c r="T860" s="37"/>
      <c r="U860" s="37"/>
      <c r="V860" s="37"/>
      <c r="W860" s="37"/>
      <c r="X860" s="37"/>
      <c r="Y860" s="37"/>
      <c r="Z860" s="37"/>
      <c r="AA860" s="37"/>
      <c r="AB860" s="37"/>
      <c r="AC860" s="37"/>
      <c r="AD860" s="37"/>
      <c r="AE860" s="37"/>
      <c r="AF860" s="37"/>
      <c r="AG860" s="37"/>
      <c r="AH860" s="37"/>
      <c r="AI860" s="37"/>
      <c r="AJ860" s="37"/>
      <c r="AK860" s="37"/>
    </row>
    <row r="861" spans="1:37" ht="14.25">
      <c r="A861" s="43"/>
      <c r="B861" s="37"/>
      <c r="C861" s="37"/>
      <c r="D861" s="37"/>
      <c r="E861" s="37"/>
      <c r="F861" s="43"/>
      <c r="G861" s="43"/>
      <c r="H861" s="44"/>
      <c r="I861" s="43"/>
      <c r="J861" s="37"/>
      <c r="K861" s="37"/>
      <c r="L861" s="37"/>
      <c r="M861" s="37"/>
      <c r="N861" s="37"/>
      <c r="O861" s="37"/>
      <c r="P861" s="37"/>
      <c r="Q861" s="37"/>
      <c r="R861" s="37"/>
      <c r="S861" s="37"/>
      <c r="T861" s="37"/>
      <c r="U861" s="37"/>
      <c r="V861" s="37"/>
      <c r="W861" s="37"/>
      <c r="X861" s="37"/>
      <c r="Y861" s="37"/>
      <c r="Z861" s="37"/>
      <c r="AA861" s="37"/>
      <c r="AB861" s="37"/>
      <c r="AC861" s="37"/>
      <c r="AD861" s="37"/>
      <c r="AE861" s="37"/>
      <c r="AF861" s="37"/>
      <c r="AG861" s="37"/>
      <c r="AH861" s="37"/>
      <c r="AI861" s="37"/>
      <c r="AJ861" s="37"/>
      <c r="AK861" s="37"/>
    </row>
    <row r="862" spans="1:37" ht="14.25">
      <c r="A862" s="43"/>
      <c r="B862" s="37"/>
      <c r="C862" s="37"/>
      <c r="D862" s="37"/>
      <c r="E862" s="37"/>
      <c r="F862" s="43"/>
      <c r="G862" s="43"/>
      <c r="H862" s="44"/>
      <c r="I862" s="43"/>
      <c r="J862" s="37"/>
      <c r="K862" s="37"/>
      <c r="L862" s="37"/>
      <c r="M862" s="37"/>
      <c r="N862" s="37"/>
      <c r="O862" s="37"/>
      <c r="P862" s="37"/>
      <c r="Q862" s="37"/>
      <c r="R862" s="37"/>
      <c r="S862" s="37"/>
      <c r="T862" s="37"/>
      <c r="U862" s="37"/>
      <c r="V862" s="37"/>
      <c r="W862" s="37"/>
      <c r="X862" s="37"/>
      <c r="Y862" s="37"/>
      <c r="Z862" s="37"/>
      <c r="AA862" s="37"/>
      <c r="AB862" s="37"/>
      <c r="AC862" s="37"/>
      <c r="AD862" s="37"/>
      <c r="AE862" s="37"/>
      <c r="AF862" s="37"/>
      <c r="AG862" s="37"/>
      <c r="AH862" s="37"/>
      <c r="AI862" s="37"/>
      <c r="AJ862" s="37"/>
      <c r="AK862" s="37"/>
    </row>
    <row r="863" spans="1:37" ht="14.25">
      <c r="A863" s="43"/>
      <c r="B863" s="37"/>
      <c r="C863" s="37"/>
      <c r="D863" s="37"/>
      <c r="E863" s="37"/>
      <c r="F863" s="43"/>
      <c r="G863" s="43"/>
      <c r="H863" s="44"/>
      <c r="I863" s="43"/>
      <c r="J863" s="37"/>
      <c r="K863" s="37"/>
      <c r="L863" s="37"/>
      <c r="M863" s="37"/>
      <c r="N863" s="37"/>
      <c r="O863" s="37"/>
      <c r="P863" s="37"/>
      <c r="Q863" s="37"/>
      <c r="R863" s="37"/>
      <c r="S863" s="37"/>
      <c r="T863" s="37"/>
      <c r="U863" s="37"/>
      <c r="V863" s="37"/>
      <c r="W863" s="37"/>
      <c r="X863" s="37"/>
      <c r="Y863" s="37"/>
      <c r="Z863" s="37"/>
      <c r="AA863" s="37"/>
      <c r="AB863" s="37"/>
      <c r="AC863" s="37"/>
      <c r="AD863" s="37"/>
      <c r="AE863" s="37"/>
      <c r="AF863" s="37"/>
      <c r="AG863" s="37"/>
      <c r="AH863" s="37"/>
      <c r="AI863" s="37"/>
      <c r="AJ863" s="37"/>
      <c r="AK863" s="37"/>
    </row>
    <row r="864" spans="1:37" ht="14.25">
      <c r="A864" s="43"/>
      <c r="B864" s="37"/>
      <c r="C864" s="37"/>
      <c r="D864" s="37"/>
      <c r="E864" s="37"/>
      <c r="F864" s="43"/>
      <c r="G864" s="43"/>
      <c r="H864" s="44"/>
      <c r="I864" s="43"/>
      <c r="J864" s="37"/>
      <c r="K864" s="37"/>
      <c r="L864" s="37"/>
      <c r="M864" s="37"/>
      <c r="N864" s="37"/>
      <c r="O864" s="37"/>
      <c r="P864" s="37"/>
      <c r="Q864" s="37"/>
      <c r="R864" s="37"/>
      <c r="S864" s="37"/>
      <c r="T864" s="37"/>
      <c r="U864" s="37"/>
      <c r="V864" s="37"/>
      <c r="W864" s="37"/>
      <c r="X864" s="37"/>
      <c r="Y864" s="37"/>
      <c r="Z864" s="37"/>
      <c r="AA864" s="37"/>
      <c r="AB864" s="37"/>
      <c r="AC864" s="37"/>
      <c r="AD864" s="37"/>
      <c r="AE864" s="37"/>
      <c r="AF864" s="37"/>
      <c r="AG864" s="37"/>
      <c r="AH864" s="37"/>
      <c r="AI864" s="37"/>
      <c r="AJ864" s="37"/>
      <c r="AK864" s="37"/>
    </row>
    <row r="865" spans="1:37" ht="14.25">
      <c r="A865" s="43"/>
      <c r="B865" s="37"/>
      <c r="C865" s="37"/>
      <c r="D865" s="37"/>
      <c r="E865" s="37"/>
      <c r="F865" s="43"/>
      <c r="G865" s="43"/>
      <c r="H865" s="44"/>
      <c r="I865" s="43"/>
      <c r="J865" s="37"/>
      <c r="K865" s="37"/>
      <c r="L865" s="37"/>
      <c r="M865" s="37"/>
      <c r="N865" s="37"/>
      <c r="O865" s="37"/>
      <c r="P865" s="37"/>
      <c r="Q865" s="37"/>
      <c r="R865" s="37"/>
      <c r="S865" s="37"/>
      <c r="T865" s="37"/>
      <c r="U865" s="37"/>
      <c r="V865" s="37"/>
      <c r="W865" s="37"/>
      <c r="X865" s="37"/>
      <c r="Y865" s="37"/>
      <c r="Z865" s="37"/>
      <c r="AA865" s="37"/>
      <c r="AB865" s="37"/>
      <c r="AC865" s="37"/>
      <c r="AD865" s="37"/>
      <c r="AE865" s="37"/>
      <c r="AF865" s="37"/>
      <c r="AG865" s="37"/>
      <c r="AH865" s="37"/>
      <c r="AI865" s="37"/>
      <c r="AJ865" s="37"/>
      <c r="AK865" s="37"/>
    </row>
    <row r="866" spans="1:37" ht="14.25">
      <c r="A866" s="43"/>
      <c r="B866" s="37"/>
      <c r="C866" s="37"/>
      <c r="D866" s="37"/>
      <c r="E866" s="37"/>
      <c r="F866" s="43"/>
      <c r="G866" s="43"/>
      <c r="H866" s="44"/>
      <c r="I866" s="43"/>
      <c r="J866" s="37"/>
      <c r="K866" s="37"/>
      <c r="L866" s="37"/>
      <c r="M866" s="37"/>
      <c r="N866" s="37"/>
      <c r="O866" s="37"/>
      <c r="P866" s="37"/>
      <c r="Q866" s="37"/>
      <c r="R866" s="37"/>
      <c r="S866" s="37"/>
      <c r="T866" s="37"/>
      <c r="U866" s="37"/>
      <c r="V866" s="37"/>
      <c r="W866" s="37"/>
      <c r="X866" s="37"/>
      <c r="Y866" s="37"/>
      <c r="Z866" s="37"/>
      <c r="AA866" s="37"/>
      <c r="AB866" s="37"/>
      <c r="AC866" s="37"/>
      <c r="AD866" s="37"/>
      <c r="AE866" s="37"/>
      <c r="AF866" s="37"/>
      <c r="AG866" s="37"/>
      <c r="AH866" s="37"/>
      <c r="AI866" s="37"/>
      <c r="AJ866" s="37"/>
      <c r="AK866" s="37"/>
    </row>
    <row r="867" spans="1:37" ht="14.25">
      <c r="A867" s="43"/>
      <c r="B867" s="37"/>
      <c r="C867" s="37"/>
      <c r="D867" s="37"/>
      <c r="E867" s="37"/>
      <c r="F867" s="43"/>
      <c r="G867" s="43"/>
      <c r="H867" s="44"/>
      <c r="I867" s="43"/>
      <c r="J867" s="37"/>
      <c r="K867" s="37"/>
      <c r="L867" s="37"/>
      <c r="M867" s="37"/>
      <c r="N867" s="37"/>
      <c r="O867" s="37"/>
      <c r="P867" s="37"/>
      <c r="Q867" s="37"/>
      <c r="R867" s="37"/>
      <c r="S867" s="37"/>
      <c r="T867" s="37"/>
      <c r="U867" s="37"/>
      <c r="V867" s="37"/>
      <c r="W867" s="37"/>
      <c r="X867" s="37"/>
      <c r="Y867" s="37"/>
      <c r="Z867" s="37"/>
      <c r="AA867" s="37"/>
      <c r="AB867" s="37"/>
      <c r="AC867" s="37"/>
      <c r="AD867" s="37"/>
      <c r="AE867" s="37"/>
      <c r="AF867" s="37"/>
      <c r="AG867" s="37"/>
      <c r="AH867" s="37"/>
      <c r="AI867" s="37"/>
      <c r="AJ867" s="37"/>
      <c r="AK867" s="37"/>
    </row>
    <row r="868" spans="1:37" ht="14.25">
      <c r="A868" s="43"/>
      <c r="B868" s="37"/>
      <c r="C868" s="37"/>
      <c r="D868" s="37"/>
      <c r="E868" s="37"/>
      <c r="F868" s="43"/>
      <c r="G868" s="43"/>
      <c r="H868" s="44"/>
      <c r="I868" s="43"/>
      <c r="J868" s="37"/>
      <c r="K868" s="37"/>
      <c r="L868" s="37"/>
      <c r="M868" s="37"/>
      <c r="N868" s="37"/>
      <c r="O868" s="37"/>
      <c r="P868" s="37"/>
      <c r="Q868" s="37"/>
      <c r="R868" s="37"/>
      <c r="S868" s="37"/>
      <c r="T868" s="37"/>
      <c r="U868" s="37"/>
      <c r="V868" s="37"/>
      <c r="W868" s="37"/>
      <c r="X868" s="37"/>
      <c r="Y868" s="37"/>
      <c r="Z868" s="37"/>
      <c r="AA868" s="37"/>
      <c r="AB868" s="37"/>
      <c r="AC868" s="37"/>
      <c r="AD868" s="37"/>
      <c r="AE868" s="37"/>
      <c r="AF868" s="37"/>
      <c r="AG868" s="37"/>
      <c r="AH868" s="37"/>
      <c r="AI868" s="37"/>
      <c r="AJ868" s="37"/>
      <c r="AK868" s="37"/>
    </row>
    <row r="869" spans="1:37" ht="14.25">
      <c r="A869" s="43"/>
      <c r="B869" s="37"/>
      <c r="C869" s="37"/>
      <c r="D869" s="37"/>
      <c r="E869" s="37"/>
      <c r="F869" s="43"/>
      <c r="G869" s="43"/>
      <c r="H869" s="44"/>
      <c r="I869" s="43"/>
      <c r="J869" s="37"/>
      <c r="K869" s="37"/>
      <c r="L869" s="37"/>
      <c r="M869" s="37"/>
      <c r="N869" s="37"/>
      <c r="O869" s="37"/>
      <c r="P869" s="37"/>
      <c r="Q869" s="37"/>
      <c r="R869" s="37"/>
      <c r="S869" s="37"/>
      <c r="T869" s="37"/>
      <c r="U869" s="37"/>
      <c r="V869" s="37"/>
      <c r="W869" s="37"/>
      <c r="X869" s="37"/>
      <c r="Y869" s="37"/>
      <c r="Z869" s="37"/>
      <c r="AA869" s="37"/>
      <c r="AB869" s="37"/>
      <c r="AC869" s="37"/>
      <c r="AD869" s="37"/>
      <c r="AE869" s="37"/>
      <c r="AF869" s="37"/>
      <c r="AG869" s="37"/>
      <c r="AH869" s="37"/>
      <c r="AI869" s="37"/>
      <c r="AJ869" s="37"/>
      <c r="AK869" s="37"/>
    </row>
    <row r="870" spans="1:37" ht="14.25">
      <c r="A870" s="43"/>
      <c r="B870" s="37"/>
      <c r="C870" s="37"/>
      <c r="D870" s="37"/>
      <c r="E870" s="37"/>
      <c r="F870" s="43"/>
      <c r="G870" s="43"/>
      <c r="H870" s="44"/>
      <c r="I870" s="43"/>
      <c r="J870" s="37"/>
      <c r="K870" s="37"/>
      <c r="L870" s="37"/>
      <c r="M870" s="37"/>
      <c r="N870" s="37"/>
      <c r="O870" s="37"/>
      <c r="P870" s="37"/>
      <c r="Q870" s="37"/>
      <c r="R870" s="37"/>
      <c r="S870" s="37"/>
      <c r="T870" s="37"/>
      <c r="U870" s="37"/>
      <c r="V870" s="37"/>
      <c r="W870" s="37"/>
      <c r="X870" s="37"/>
      <c r="Y870" s="37"/>
      <c r="Z870" s="37"/>
      <c r="AA870" s="37"/>
      <c r="AB870" s="37"/>
      <c r="AC870" s="37"/>
      <c r="AD870" s="37"/>
      <c r="AE870" s="37"/>
      <c r="AF870" s="37"/>
      <c r="AG870" s="37"/>
      <c r="AH870" s="37"/>
      <c r="AI870" s="37"/>
      <c r="AJ870" s="37"/>
      <c r="AK870" s="37"/>
    </row>
    <row r="871" spans="1:37" ht="14.25">
      <c r="A871" s="43"/>
      <c r="B871" s="37"/>
      <c r="C871" s="37"/>
      <c r="D871" s="37"/>
      <c r="E871" s="37"/>
      <c r="F871" s="43"/>
      <c r="G871" s="43"/>
      <c r="H871" s="44"/>
      <c r="I871" s="43"/>
      <c r="J871" s="37"/>
      <c r="K871" s="37"/>
      <c r="L871" s="37"/>
      <c r="M871" s="37"/>
      <c r="N871" s="37"/>
      <c r="O871" s="37"/>
      <c r="P871" s="37"/>
      <c r="Q871" s="37"/>
      <c r="R871" s="37"/>
      <c r="S871" s="37"/>
      <c r="T871" s="37"/>
      <c r="U871" s="37"/>
      <c r="V871" s="37"/>
      <c r="W871" s="37"/>
      <c r="X871" s="37"/>
      <c r="Y871" s="37"/>
      <c r="Z871" s="37"/>
      <c r="AA871" s="37"/>
      <c r="AB871" s="37"/>
      <c r="AC871" s="37"/>
      <c r="AD871" s="37"/>
      <c r="AE871" s="37"/>
      <c r="AF871" s="37"/>
      <c r="AG871" s="37"/>
      <c r="AH871" s="37"/>
      <c r="AI871" s="37"/>
      <c r="AJ871" s="37"/>
      <c r="AK871" s="37"/>
    </row>
    <row r="872" spans="1:37" ht="14.25">
      <c r="A872" s="43"/>
      <c r="B872" s="37"/>
      <c r="C872" s="37"/>
      <c r="D872" s="37"/>
      <c r="E872" s="37"/>
      <c r="F872" s="43"/>
      <c r="G872" s="43"/>
      <c r="H872" s="44"/>
      <c r="I872" s="43"/>
      <c r="J872" s="37"/>
      <c r="K872" s="37"/>
      <c r="L872" s="37"/>
      <c r="M872" s="37"/>
      <c r="N872" s="37"/>
      <c r="O872" s="37"/>
      <c r="P872" s="37"/>
      <c r="Q872" s="37"/>
      <c r="R872" s="37"/>
      <c r="S872" s="37"/>
      <c r="T872" s="37"/>
      <c r="U872" s="37"/>
      <c r="V872" s="37"/>
      <c r="W872" s="37"/>
      <c r="X872" s="37"/>
      <c r="Y872" s="37"/>
      <c r="Z872" s="37"/>
      <c r="AA872" s="37"/>
      <c r="AB872" s="37"/>
      <c r="AC872" s="37"/>
      <c r="AD872" s="37"/>
      <c r="AE872" s="37"/>
      <c r="AF872" s="37"/>
      <c r="AG872" s="37"/>
      <c r="AH872" s="37"/>
      <c r="AI872" s="37"/>
      <c r="AJ872" s="37"/>
      <c r="AK872" s="37"/>
    </row>
    <row r="873" spans="1:37" ht="14.25">
      <c r="A873" s="43"/>
      <c r="B873" s="37"/>
      <c r="C873" s="37"/>
      <c r="D873" s="37"/>
      <c r="E873" s="37"/>
      <c r="F873" s="43"/>
      <c r="G873" s="43"/>
      <c r="H873" s="44"/>
      <c r="I873" s="43"/>
      <c r="J873" s="37"/>
      <c r="K873" s="37"/>
      <c r="L873" s="37"/>
      <c r="M873" s="37"/>
      <c r="N873" s="37"/>
      <c r="O873" s="37"/>
      <c r="P873" s="37"/>
      <c r="Q873" s="37"/>
      <c r="R873" s="37"/>
      <c r="S873" s="37"/>
      <c r="T873" s="37"/>
      <c r="U873" s="37"/>
      <c r="V873" s="37"/>
      <c r="W873" s="37"/>
      <c r="X873" s="37"/>
      <c r="Y873" s="37"/>
      <c r="Z873" s="37"/>
      <c r="AA873" s="37"/>
      <c r="AB873" s="37"/>
      <c r="AC873" s="37"/>
      <c r="AD873" s="37"/>
      <c r="AE873" s="37"/>
      <c r="AF873" s="37"/>
      <c r="AG873" s="37"/>
      <c r="AH873" s="37"/>
      <c r="AI873" s="37"/>
      <c r="AJ873" s="37"/>
      <c r="AK873" s="37"/>
    </row>
    <row r="874" spans="1:37" ht="14.25">
      <c r="A874" s="43"/>
      <c r="B874" s="37"/>
      <c r="C874" s="37"/>
      <c r="D874" s="37"/>
      <c r="E874" s="37"/>
      <c r="F874" s="43"/>
      <c r="G874" s="43"/>
      <c r="H874" s="44"/>
      <c r="I874" s="43"/>
      <c r="J874" s="37"/>
      <c r="K874" s="37"/>
      <c r="L874" s="37"/>
      <c r="M874" s="37"/>
      <c r="N874" s="37"/>
      <c r="O874" s="37"/>
      <c r="P874" s="37"/>
      <c r="Q874" s="37"/>
      <c r="R874" s="37"/>
      <c r="S874" s="37"/>
      <c r="T874" s="37"/>
      <c r="U874" s="37"/>
      <c r="V874" s="37"/>
      <c r="W874" s="37"/>
      <c r="X874" s="37"/>
      <c r="Y874" s="37"/>
      <c r="Z874" s="37"/>
      <c r="AA874" s="37"/>
      <c r="AB874" s="37"/>
      <c r="AC874" s="37"/>
      <c r="AD874" s="37"/>
      <c r="AE874" s="37"/>
      <c r="AF874" s="37"/>
      <c r="AG874" s="37"/>
      <c r="AH874" s="37"/>
      <c r="AI874" s="37"/>
      <c r="AJ874" s="37"/>
      <c r="AK874" s="37"/>
    </row>
    <row r="875" spans="1:37" ht="14.25">
      <c r="A875" s="43"/>
      <c r="B875" s="37"/>
      <c r="C875" s="37"/>
      <c r="D875" s="37"/>
      <c r="E875" s="37"/>
      <c r="F875" s="43"/>
      <c r="G875" s="43"/>
      <c r="H875" s="44"/>
      <c r="I875" s="43"/>
      <c r="J875" s="37"/>
      <c r="K875" s="37"/>
      <c r="L875" s="37"/>
      <c r="M875" s="37"/>
      <c r="N875" s="37"/>
      <c r="O875" s="37"/>
      <c r="P875" s="37"/>
      <c r="Q875" s="37"/>
      <c r="R875" s="37"/>
      <c r="S875" s="37"/>
      <c r="T875" s="37"/>
      <c r="U875" s="37"/>
      <c r="V875" s="37"/>
      <c r="W875" s="37"/>
      <c r="X875" s="37"/>
      <c r="Y875" s="37"/>
      <c r="Z875" s="37"/>
      <c r="AA875" s="37"/>
      <c r="AB875" s="37"/>
      <c r="AC875" s="37"/>
      <c r="AD875" s="37"/>
      <c r="AE875" s="37"/>
      <c r="AF875" s="37"/>
      <c r="AG875" s="37"/>
      <c r="AH875" s="37"/>
      <c r="AI875" s="37"/>
      <c r="AJ875" s="37"/>
      <c r="AK875" s="37"/>
    </row>
    <row r="876" spans="1:37" ht="14.25">
      <c r="A876" s="43"/>
      <c r="B876" s="37"/>
      <c r="C876" s="37"/>
      <c r="D876" s="37"/>
      <c r="E876" s="37"/>
      <c r="F876" s="43"/>
      <c r="G876" s="43"/>
      <c r="H876" s="44"/>
      <c r="I876" s="43"/>
      <c r="J876" s="37"/>
      <c r="K876" s="37"/>
      <c r="L876" s="37"/>
      <c r="M876" s="37"/>
      <c r="N876" s="37"/>
      <c r="O876" s="37"/>
      <c r="P876" s="37"/>
      <c r="Q876" s="37"/>
      <c r="R876" s="37"/>
      <c r="S876" s="37"/>
      <c r="T876" s="37"/>
      <c r="U876" s="37"/>
      <c r="V876" s="37"/>
      <c r="W876" s="37"/>
      <c r="X876" s="37"/>
      <c r="Y876" s="37"/>
      <c r="Z876" s="37"/>
      <c r="AA876" s="37"/>
      <c r="AB876" s="37"/>
      <c r="AC876" s="37"/>
      <c r="AD876" s="37"/>
      <c r="AE876" s="37"/>
      <c r="AF876" s="37"/>
      <c r="AG876" s="37"/>
      <c r="AH876" s="37"/>
      <c r="AI876" s="37"/>
      <c r="AJ876" s="37"/>
      <c r="AK876" s="37"/>
    </row>
    <row r="877" spans="1:37" ht="14.25">
      <c r="A877" s="43"/>
      <c r="B877" s="37"/>
      <c r="C877" s="37"/>
      <c r="D877" s="37"/>
      <c r="E877" s="37"/>
      <c r="F877" s="43"/>
      <c r="G877" s="43"/>
      <c r="H877" s="44"/>
      <c r="I877" s="43"/>
      <c r="J877" s="37"/>
      <c r="K877" s="37"/>
      <c r="L877" s="37"/>
      <c r="M877" s="37"/>
      <c r="N877" s="37"/>
      <c r="O877" s="37"/>
      <c r="P877" s="37"/>
      <c r="Q877" s="37"/>
      <c r="R877" s="37"/>
      <c r="S877" s="37"/>
      <c r="T877" s="37"/>
      <c r="U877" s="37"/>
      <c r="V877" s="37"/>
      <c r="W877" s="37"/>
      <c r="X877" s="37"/>
      <c r="Y877" s="37"/>
      <c r="Z877" s="37"/>
      <c r="AA877" s="37"/>
      <c r="AB877" s="37"/>
      <c r="AC877" s="37"/>
      <c r="AD877" s="37"/>
      <c r="AE877" s="37"/>
      <c r="AF877" s="37"/>
      <c r="AG877" s="37"/>
      <c r="AH877" s="37"/>
      <c r="AI877" s="37"/>
      <c r="AJ877" s="37"/>
      <c r="AK877" s="37"/>
    </row>
    <row r="878" spans="1:37" ht="14.25">
      <c r="A878" s="43"/>
      <c r="B878" s="37"/>
      <c r="C878" s="37"/>
      <c r="D878" s="37"/>
      <c r="E878" s="37"/>
      <c r="F878" s="43"/>
      <c r="G878" s="43"/>
      <c r="H878" s="44"/>
      <c r="I878" s="43"/>
      <c r="J878" s="37"/>
      <c r="K878" s="37"/>
      <c r="L878" s="37"/>
      <c r="M878" s="37"/>
      <c r="N878" s="37"/>
      <c r="O878" s="37"/>
      <c r="P878" s="37"/>
      <c r="Q878" s="37"/>
      <c r="R878" s="37"/>
      <c r="S878" s="37"/>
      <c r="T878" s="37"/>
      <c r="U878" s="37"/>
      <c r="V878" s="37"/>
      <c r="W878" s="37"/>
      <c r="X878" s="37"/>
      <c r="Y878" s="37"/>
      <c r="Z878" s="37"/>
      <c r="AA878" s="37"/>
      <c r="AB878" s="37"/>
      <c r="AC878" s="37"/>
      <c r="AD878" s="37"/>
      <c r="AE878" s="37"/>
      <c r="AF878" s="37"/>
      <c r="AG878" s="37"/>
      <c r="AH878" s="37"/>
      <c r="AI878" s="37"/>
      <c r="AJ878" s="37"/>
      <c r="AK878" s="37"/>
    </row>
    <row r="879" spans="1:37" ht="14.25">
      <c r="A879" s="43"/>
      <c r="B879" s="37"/>
      <c r="C879" s="37"/>
      <c r="D879" s="37"/>
      <c r="E879" s="37"/>
      <c r="F879" s="43"/>
      <c r="G879" s="43"/>
      <c r="H879" s="44"/>
      <c r="I879" s="43"/>
      <c r="J879" s="37"/>
      <c r="K879" s="37"/>
      <c r="L879" s="37"/>
      <c r="M879" s="37"/>
      <c r="N879" s="37"/>
      <c r="O879" s="37"/>
      <c r="P879" s="37"/>
      <c r="Q879" s="37"/>
      <c r="R879" s="37"/>
      <c r="S879" s="37"/>
      <c r="T879" s="37"/>
      <c r="U879" s="37"/>
      <c r="V879" s="37"/>
      <c r="W879" s="37"/>
      <c r="X879" s="37"/>
      <c r="Y879" s="37"/>
      <c r="Z879" s="37"/>
      <c r="AA879" s="37"/>
      <c r="AB879" s="37"/>
      <c r="AC879" s="37"/>
      <c r="AD879" s="37"/>
      <c r="AE879" s="37"/>
      <c r="AF879" s="37"/>
      <c r="AG879" s="37"/>
      <c r="AH879" s="37"/>
      <c r="AI879" s="37"/>
      <c r="AJ879" s="37"/>
      <c r="AK879" s="37"/>
    </row>
    <row r="880" spans="1:37" ht="14.25">
      <c r="A880" s="43"/>
      <c r="B880" s="37"/>
      <c r="C880" s="37"/>
      <c r="D880" s="37"/>
      <c r="E880" s="37"/>
      <c r="F880" s="43"/>
      <c r="G880" s="43"/>
      <c r="H880" s="44"/>
      <c r="I880" s="43"/>
      <c r="J880" s="37"/>
      <c r="K880" s="37"/>
      <c r="L880" s="37"/>
      <c r="M880" s="37"/>
      <c r="N880" s="37"/>
      <c r="O880" s="37"/>
      <c r="P880" s="37"/>
      <c r="Q880" s="37"/>
      <c r="R880" s="37"/>
      <c r="S880" s="37"/>
      <c r="T880" s="37"/>
      <c r="U880" s="37"/>
      <c r="V880" s="37"/>
      <c r="W880" s="37"/>
      <c r="X880" s="37"/>
      <c r="Y880" s="37"/>
      <c r="Z880" s="37"/>
      <c r="AA880" s="37"/>
      <c r="AB880" s="37"/>
      <c r="AC880" s="37"/>
      <c r="AD880" s="37"/>
      <c r="AE880" s="37"/>
      <c r="AF880" s="37"/>
      <c r="AG880" s="37"/>
      <c r="AH880" s="37"/>
      <c r="AI880" s="37"/>
      <c r="AJ880" s="37"/>
      <c r="AK880" s="37"/>
    </row>
    <row r="881" spans="1:37" ht="14.25">
      <c r="A881" s="43"/>
      <c r="B881" s="37"/>
      <c r="C881" s="37"/>
      <c r="D881" s="37"/>
      <c r="E881" s="37"/>
      <c r="F881" s="43"/>
      <c r="G881" s="43"/>
      <c r="H881" s="44"/>
      <c r="I881" s="43"/>
      <c r="J881" s="37"/>
      <c r="K881" s="37"/>
      <c r="L881" s="37"/>
      <c r="M881" s="37"/>
      <c r="N881" s="37"/>
      <c r="O881" s="37"/>
      <c r="P881" s="37"/>
      <c r="Q881" s="37"/>
      <c r="R881" s="37"/>
      <c r="S881" s="37"/>
      <c r="T881" s="37"/>
      <c r="U881" s="37"/>
      <c r="V881" s="37"/>
      <c r="W881" s="37"/>
      <c r="X881" s="37"/>
      <c r="Y881" s="37"/>
      <c r="Z881" s="37"/>
      <c r="AA881" s="37"/>
      <c r="AB881" s="37"/>
      <c r="AC881" s="37"/>
      <c r="AD881" s="37"/>
      <c r="AE881" s="37"/>
      <c r="AF881" s="37"/>
      <c r="AG881" s="37"/>
      <c r="AH881" s="37"/>
      <c r="AI881" s="37"/>
      <c r="AJ881" s="37"/>
      <c r="AK881" s="37"/>
    </row>
    <row r="882" spans="1:37" ht="14.25">
      <c r="A882" s="43"/>
      <c r="B882" s="37"/>
      <c r="C882" s="37"/>
      <c r="D882" s="37"/>
      <c r="E882" s="37"/>
      <c r="F882" s="43"/>
      <c r="G882" s="43"/>
      <c r="H882" s="44"/>
      <c r="I882" s="43"/>
      <c r="J882" s="37"/>
      <c r="K882" s="37"/>
      <c r="L882" s="37"/>
      <c r="M882" s="37"/>
      <c r="N882" s="37"/>
      <c r="O882" s="37"/>
      <c r="P882" s="37"/>
      <c r="Q882" s="37"/>
      <c r="R882" s="37"/>
      <c r="S882" s="37"/>
      <c r="T882" s="37"/>
      <c r="U882" s="37"/>
      <c r="V882" s="37"/>
      <c r="W882" s="37"/>
      <c r="X882" s="37"/>
      <c r="Y882" s="37"/>
      <c r="Z882" s="37"/>
      <c r="AA882" s="37"/>
      <c r="AB882" s="37"/>
      <c r="AC882" s="37"/>
      <c r="AD882" s="37"/>
      <c r="AE882" s="37"/>
      <c r="AF882" s="37"/>
      <c r="AG882" s="37"/>
      <c r="AH882" s="37"/>
      <c r="AI882" s="37"/>
      <c r="AJ882" s="37"/>
      <c r="AK882" s="37"/>
    </row>
    <row r="883" spans="1:37" ht="14.25">
      <c r="A883" s="43"/>
      <c r="B883" s="37"/>
      <c r="C883" s="37"/>
      <c r="D883" s="37"/>
      <c r="E883" s="37"/>
      <c r="F883" s="43"/>
      <c r="G883" s="43"/>
      <c r="H883" s="44"/>
      <c r="I883" s="43"/>
      <c r="J883" s="37"/>
      <c r="K883" s="37"/>
      <c r="L883" s="37"/>
      <c r="M883" s="37"/>
      <c r="N883" s="37"/>
      <c r="O883" s="37"/>
      <c r="P883" s="37"/>
      <c r="Q883" s="37"/>
      <c r="R883" s="37"/>
      <c r="S883" s="37"/>
      <c r="T883" s="37"/>
      <c r="U883" s="37"/>
      <c r="V883" s="37"/>
      <c r="W883" s="37"/>
      <c r="X883" s="37"/>
      <c r="Y883" s="37"/>
      <c r="Z883" s="37"/>
      <c r="AA883" s="37"/>
      <c r="AB883" s="37"/>
      <c r="AC883" s="37"/>
      <c r="AD883" s="37"/>
      <c r="AE883" s="37"/>
      <c r="AF883" s="37"/>
      <c r="AG883" s="37"/>
      <c r="AH883" s="37"/>
      <c r="AI883" s="37"/>
      <c r="AJ883" s="37"/>
      <c r="AK883" s="37"/>
    </row>
    <row r="884" spans="1:37" ht="14.25">
      <c r="A884" s="43"/>
      <c r="B884" s="37"/>
      <c r="C884" s="37"/>
      <c r="D884" s="37"/>
      <c r="E884" s="37"/>
      <c r="F884" s="43"/>
      <c r="G884" s="43"/>
      <c r="H884" s="44"/>
      <c r="I884" s="43"/>
      <c r="J884" s="37"/>
      <c r="K884" s="37"/>
      <c r="L884" s="37"/>
      <c r="M884" s="37"/>
      <c r="N884" s="37"/>
      <c r="O884" s="37"/>
      <c r="P884" s="37"/>
      <c r="Q884" s="37"/>
      <c r="R884" s="37"/>
      <c r="S884" s="37"/>
      <c r="T884" s="37"/>
      <c r="U884" s="37"/>
      <c r="V884" s="37"/>
      <c r="W884" s="37"/>
      <c r="X884" s="37"/>
      <c r="Y884" s="37"/>
      <c r="Z884" s="37"/>
      <c r="AA884" s="37"/>
      <c r="AB884" s="37"/>
      <c r="AC884" s="37"/>
      <c r="AD884" s="37"/>
      <c r="AE884" s="37"/>
      <c r="AF884" s="37"/>
      <c r="AG884" s="37"/>
      <c r="AH884" s="37"/>
      <c r="AI884" s="37"/>
      <c r="AJ884" s="37"/>
      <c r="AK884" s="37"/>
    </row>
    <row r="885" spans="1:37" ht="14.25">
      <c r="A885" s="43"/>
      <c r="B885" s="37"/>
      <c r="C885" s="37"/>
      <c r="D885" s="37"/>
      <c r="E885" s="37"/>
      <c r="F885" s="43"/>
      <c r="G885" s="43"/>
      <c r="H885" s="44"/>
      <c r="I885" s="43"/>
      <c r="J885" s="37"/>
      <c r="K885" s="37"/>
      <c r="L885" s="37"/>
      <c r="M885" s="37"/>
      <c r="N885" s="37"/>
      <c r="O885" s="37"/>
      <c r="P885" s="37"/>
      <c r="Q885" s="37"/>
      <c r="R885" s="37"/>
      <c r="S885" s="37"/>
      <c r="T885" s="37"/>
      <c r="U885" s="37"/>
      <c r="V885" s="37"/>
      <c r="W885" s="37"/>
      <c r="X885" s="37"/>
      <c r="Y885" s="37"/>
      <c r="Z885" s="37"/>
      <c r="AA885" s="37"/>
      <c r="AB885" s="37"/>
      <c r="AC885" s="37"/>
      <c r="AD885" s="37"/>
      <c r="AE885" s="37"/>
      <c r="AF885" s="37"/>
      <c r="AG885" s="37"/>
      <c r="AH885" s="37"/>
      <c r="AI885" s="37"/>
      <c r="AJ885" s="37"/>
      <c r="AK885" s="37"/>
    </row>
    <row r="886" spans="1:37" ht="14.25">
      <c r="A886" s="43"/>
      <c r="B886" s="37"/>
      <c r="C886" s="37"/>
      <c r="D886" s="37"/>
      <c r="E886" s="37"/>
      <c r="F886" s="43"/>
      <c r="G886" s="43"/>
      <c r="H886" s="44"/>
      <c r="I886" s="43"/>
      <c r="J886" s="37"/>
      <c r="K886" s="37"/>
      <c r="L886" s="37"/>
      <c r="M886" s="37"/>
      <c r="N886" s="37"/>
      <c r="O886" s="37"/>
      <c r="P886" s="37"/>
      <c r="Q886" s="37"/>
      <c r="R886" s="37"/>
      <c r="S886" s="37"/>
      <c r="T886" s="37"/>
      <c r="U886" s="37"/>
      <c r="V886" s="37"/>
      <c r="W886" s="37"/>
      <c r="X886" s="37"/>
      <c r="Y886" s="37"/>
      <c r="Z886" s="37"/>
      <c r="AA886" s="37"/>
      <c r="AB886" s="37"/>
      <c r="AC886" s="37"/>
      <c r="AD886" s="37"/>
      <c r="AE886" s="37"/>
      <c r="AF886" s="37"/>
      <c r="AG886" s="37"/>
      <c r="AH886" s="37"/>
      <c r="AI886" s="37"/>
      <c r="AJ886" s="37"/>
      <c r="AK886" s="37"/>
    </row>
    <row r="887" spans="1:37" ht="14.25">
      <c r="A887" s="43"/>
      <c r="B887" s="37"/>
      <c r="C887" s="37"/>
      <c r="D887" s="37"/>
      <c r="E887" s="37"/>
      <c r="F887" s="43"/>
      <c r="G887" s="43"/>
      <c r="H887" s="44"/>
      <c r="I887" s="43"/>
      <c r="J887" s="37"/>
      <c r="K887" s="37"/>
      <c r="L887" s="37"/>
      <c r="M887" s="37"/>
      <c r="N887" s="37"/>
      <c r="O887" s="37"/>
      <c r="P887" s="37"/>
      <c r="Q887" s="37"/>
      <c r="R887" s="37"/>
      <c r="S887" s="37"/>
      <c r="T887" s="37"/>
      <c r="U887" s="37"/>
      <c r="V887" s="37"/>
      <c r="W887" s="37"/>
      <c r="X887" s="37"/>
      <c r="Y887" s="37"/>
      <c r="Z887" s="37"/>
      <c r="AA887" s="37"/>
      <c r="AB887" s="37"/>
      <c r="AC887" s="37"/>
      <c r="AD887" s="37"/>
      <c r="AE887" s="37"/>
      <c r="AF887" s="37"/>
      <c r="AG887" s="37"/>
      <c r="AH887" s="37"/>
      <c r="AI887" s="37"/>
      <c r="AJ887" s="37"/>
      <c r="AK887" s="37"/>
    </row>
    <row r="888" spans="1:37" ht="14.25">
      <c r="A888" s="43"/>
      <c r="B888" s="37"/>
      <c r="C888" s="37"/>
      <c r="D888" s="37"/>
      <c r="E888" s="37"/>
      <c r="F888" s="43"/>
      <c r="G888" s="43"/>
      <c r="H888" s="44"/>
      <c r="I888" s="43"/>
      <c r="J888" s="37"/>
      <c r="K888" s="37"/>
      <c r="L888" s="37"/>
      <c r="M888" s="37"/>
      <c r="N888" s="37"/>
      <c r="O888" s="37"/>
      <c r="P888" s="37"/>
      <c r="Q888" s="37"/>
      <c r="R888" s="37"/>
      <c r="S888" s="37"/>
      <c r="T888" s="37"/>
      <c r="U888" s="37"/>
      <c r="V888" s="37"/>
      <c r="W888" s="37"/>
      <c r="X888" s="37"/>
      <c r="Y888" s="37"/>
      <c r="Z888" s="37"/>
      <c r="AA888" s="37"/>
      <c r="AB888" s="37"/>
      <c r="AC888" s="37"/>
      <c r="AD888" s="37"/>
      <c r="AE888" s="37"/>
      <c r="AF888" s="37"/>
      <c r="AG888" s="37"/>
      <c r="AH888" s="37"/>
      <c r="AI888" s="37"/>
      <c r="AJ888" s="37"/>
      <c r="AK888" s="37"/>
    </row>
    <row r="889" spans="1:37" ht="14.25">
      <c r="A889" s="43"/>
      <c r="B889" s="37"/>
      <c r="C889" s="37"/>
      <c r="D889" s="37"/>
      <c r="E889" s="37"/>
      <c r="F889" s="43"/>
      <c r="G889" s="43"/>
      <c r="H889" s="44"/>
      <c r="I889" s="43"/>
      <c r="J889" s="37"/>
      <c r="K889" s="37"/>
      <c r="L889" s="37"/>
      <c r="M889" s="37"/>
      <c r="N889" s="37"/>
      <c r="O889" s="37"/>
      <c r="P889" s="37"/>
      <c r="Q889" s="37"/>
      <c r="R889" s="37"/>
      <c r="S889" s="37"/>
      <c r="T889" s="37"/>
      <c r="U889" s="37"/>
      <c r="V889" s="37"/>
      <c r="W889" s="37"/>
      <c r="X889" s="37"/>
      <c r="Y889" s="37"/>
      <c r="Z889" s="37"/>
      <c r="AA889" s="37"/>
      <c r="AB889" s="37"/>
      <c r="AC889" s="37"/>
      <c r="AD889" s="37"/>
      <c r="AE889" s="37"/>
      <c r="AF889" s="37"/>
      <c r="AG889" s="37"/>
      <c r="AH889" s="37"/>
      <c r="AI889" s="37"/>
      <c r="AJ889" s="37"/>
      <c r="AK889" s="37"/>
    </row>
    <row r="890" spans="1:37" ht="14.25">
      <c r="A890" s="43"/>
      <c r="B890" s="37"/>
      <c r="C890" s="37"/>
      <c r="D890" s="37"/>
      <c r="E890" s="37"/>
      <c r="F890" s="43"/>
      <c r="G890" s="43"/>
      <c r="H890" s="44"/>
      <c r="I890" s="43"/>
      <c r="J890" s="37"/>
      <c r="K890" s="37"/>
      <c r="L890" s="37"/>
      <c r="M890" s="37"/>
      <c r="N890" s="37"/>
      <c r="O890" s="37"/>
      <c r="P890" s="37"/>
      <c r="Q890" s="37"/>
      <c r="R890" s="37"/>
      <c r="S890" s="37"/>
      <c r="T890" s="37"/>
      <c r="U890" s="37"/>
      <c r="V890" s="37"/>
      <c r="W890" s="37"/>
      <c r="X890" s="37"/>
      <c r="Y890" s="37"/>
      <c r="Z890" s="37"/>
      <c r="AA890" s="37"/>
      <c r="AB890" s="37"/>
      <c r="AC890" s="37"/>
      <c r="AD890" s="37"/>
      <c r="AE890" s="37"/>
      <c r="AF890" s="37"/>
      <c r="AG890" s="37"/>
      <c r="AH890" s="37"/>
      <c r="AI890" s="37"/>
      <c r="AJ890" s="37"/>
      <c r="AK890" s="37"/>
    </row>
    <row r="891" spans="1:37" ht="14.25">
      <c r="A891" s="43"/>
      <c r="B891" s="37"/>
      <c r="C891" s="37"/>
      <c r="D891" s="37"/>
      <c r="E891" s="37"/>
      <c r="F891" s="43"/>
      <c r="G891" s="43"/>
      <c r="H891" s="44"/>
      <c r="I891" s="43"/>
      <c r="J891" s="37"/>
      <c r="K891" s="37"/>
      <c r="L891" s="37"/>
      <c r="M891" s="37"/>
      <c r="N891" s="37"/>
      <c r="O891" s="37"/>
      <c r="P891" s="37"/>
      <c r="Q891" s="37"/>
      <c r="R891" s="37"/>
      <c r="S891" s="37"/>
      <c r="T891" s="37"/>
      <c r="U891" s="37"/>
      <c r="V891" s="37"/>
      <c r="W891" s="37"/>
      <c r="X891" s="37"/>
      <c r="Y891" s="37"/>
      <c r="Z891" s="37"/>
      <c r="AA891" s="37"/>
      <c r="AB891" s="37"/>
      <c r="AC891" s="37"/>
      <c r="AD891" s="37"/>
      <c r="AE891" s="37"/>
      <c r="AF891" s="37"/>
      <c r="AG891" s="37"/>
      <c r="AH891" s="37"/>
      <c r="AI891" s="37"/>
      <c r="AJ891" s="37"/>
      <c r="AK891" s="37"/>
    </row>
    <row r="892" spans="1:37" ht="14.25">
      <c r="A892" s="43"/>
      <c r="B892" s="37"/>
      <c r="C892" s="37"/>
      <c r="D892" s="37"/>
      <c r="E892" s="37"/>
      <c r="F892" s="43"/>
      <c r="G892" s="43"/>
      <c r="H892" s="44"/>
      <c r="I892" s="43"/>
      <c r="J892" s="37"/>
      <c r="K892" s="37"/>
      <c r="L892" s="37"/>
      <c r="M892" s="37"/>
      <c r="N892" s="37"/>
      <c r="O892" s="37"/>
      <c r="P892" s="37"/>
      <c r="Q892" s="37"/>
      <c r="R892" s="37"/>
      <c r="S892" s="37"/>
      <c r="T892" s="37"/>
      <c r="U892" s="37"/>
      <c r="V892" s="37"/>
      <c r="W892" s="37"/>
      <c r="X892" s="37"/>
      <c r="Y892" s="37"/>
      <c r="Z892" s="37"/>
      <c r="AA892" s="37"/>
      <c r="AB892" s="37"/>
      <c r="AC892" s="37"/>
      <c r="AD892" s="37"/>
      <c r="AE892" s="37"/>
      <c r="AF892" s="37"/>
      <c r="AG892" s="37"/>
      <c r="AH892" s="37"/>
      <c r="AI892" s="37"/>
      <c r="AJ892" s="37"/>
      <c r="AK892" s="37"/>
    </row>
    <row r="893" spans="1:37" ht="14.25">
      <c r="A893" s="43"/>
      <c r="B893" s="37"/>
      <c r="C893" s="37"/>
      <c r="D893" s="37"/>
      <c r="E893" s="37"/>
      <c r="F893" s="43"/>
      <c r="G893" s="43"/>
      <c r="H893" s="44"/>
      <c r="I893" s="43"/>
      <c r="J893" s="37"/>
      <c r="K893" s="37"/>
      <c r="L893" s="37"/>
      <c r="M893" s="37"/>
      <c r="N893" s="37"/>
      <c r="O893" s="37"/>
      <c r="P893" s="37"/>
      <c r="Q893" s="37"/>
      <c r="R893" s="37"/>
      <c r="S893" s="37"/>
      <c r="T893" s="37"/>
      <c r="U893" s="37"/>
      <c r="V893" s="37"/>
      <c r="W893" s="37"/>
      <c r="X893" s="37"/>
      <c r="Y893" s="37"/>
      <c r="Z893" s="37"/>
      <c r="AA893" s="37"/>
      <c r="AB893" s="37"/>
      <c r="AC893" s="37"/>
      <c r="AD893" s="37"/>
      <c r="AE893" s="37"/>
      <c r="AF893" s="37"/>
      <c r="AG893" s="37"/>
      <c r="AH893" s="37"/>
      <c r="AI893" s="37"/>
      <c r="AJ893" s="37"/>
      <c r="AK893" s="37"/>
    </row>
    <row r="894" spans="1:37" ht="14.25">
      <c r="A894" s="43"/>
      <c r="B894" s="37"/>
      <c r="C894" s="37"/>
      <c r="D894" s="37"/>
      <c r="E894" s="37"/>
      <c r="F894" s="43"/>
      <c r="G894" s="43"/>
      <c r="H894" s="44"/>
      <c r="I894" s="43"/>
      <c r="J894" s="37"/>
      <c r="K894" s="37"/>
      <c r="L894" s="37"/>
      <c r="M894" s="37"/>
      <c r="N894" s="37"/>
      <c r="O894" s="37"/>
      <c r="P894" s="37"/>
      <c r="Q894" s="37"/>
      <c r="R894" s="37"/>
      <c r="S894" s="37"/>
      <c r="T894" s="37"/>
      <c r="U894" s="37"/>
      <c r="V894" s="37"/>
      <c r="W894" s="37"/>
      <c r="X894" s="37"/>
      <c r="Y894" s="37"/>
      <c r="Z894" s="37"/>
      <c r="AA894" s="37"/>
      <c r="AB894" s="37"/>
      <c r="AC894" s="37"/>
      <c r="AD894" s="37"/>
      <c r="AE894" s="37"/>
      <c r="AF894" s="37"/>
      <c r="AG894" s="37"/>
      <c r="AH894" s="37"/>
      <c r="AI894" s="37"/>
      <c r="AJ894" s="37"/>
      <c r="AK894" s="37"/>
    </row>
    <row r="895" spans="1:37" ht="14.25">
      <c r="A895" s="43"/>
      <c r="B895" s="37"/>
      <c r="C895" s="37"/>
      <c r="D895" s="37"/>
      <c r="E895" s="37"/>
      <c r="F895" s="43"/>
      <c r="G895" s="43"/>
      <c r="H895" s="44"/>
      <c r="I895" s="43"/>
      <c r="J895" s="37"/>
      <c r="K895" s="37"/>
      <c r="L895" s="37"/>
      <c r="M895" s="37"/>
      <c r="N895" s="37"/>
      <c r="O895" s="37"/>
      <c r="P895" s="37"/>
      <c r="Q895" s="37"/>
      <c r="R895" s="37"/>
      <c r="S895" s="37"/>
      <c r="T895" s="37"/>
      <c r="U895" s="37"/>
      <c r="V895" s="37"/>
      <c r="W895" s="37"/>
      <c r="X895" s="37"/>
      <c r="Y895" s="37"/>
      <c r="Z895" s="37"/>
      <c r="AA895" s="37"/>
      <c r="AB895" s="37"/>
      <c r="AC895" s="37"/>
      <c r="AD895" s="37"/>
      <c r="AE895" s="37"/>
      <c r="AF895" s="37"/>
      <c r="AG895" s="37"/>
      <c r="AH895" s="37"/>
      <c r="AI895" s="37"/>
      <c r="AJ895" s="37"/>
      <c r="AK895" s="37"/>
    </row>
    <row r="896" spans="1:37" ht="14.25">
      <c r="A896" s="43"/>
      <c r="B896" s="37"/>
      <c r="C896" s="37"/>
      <c r="D896" s="37"/>
      <c r="E896" s="37"/>
      <c r="F896" s="43"/>
      <c r="G896" s="43"/>
      <c r="H896" s="44"/>
      <c r="I896" s="43"/>
      <c r="J896" s="37"/>
      <c r="K896" s="37"/>
      <c r="L896" s="37"/>
      <c r="M896" s="37"/>
      <c r="N896" s="37"/>
      <c r="O896" s="37"/>
      <c r="P896" s="37"/>
      <c r="Q896" s="37"/>
      <c r="R896" s="37"/>
      <c r="S896" s="37"/>
      <c r="T896" s="37"/>
      <c r="U896" s="37"/>
      <c r="V896" s="37"/>
      <c r="W896" s="37"/>
      <c r="X896" s="37"/>
      <c r="Y896" s="37"/>
      <c r="Z896" s="37"/>
      <c r="AA896" s="37"/>
      <c r="AB896" s="37"/>
      <c r="AC896" s="37"/>
      <c r="AD896" s="37"/>
      <c r="AE896" s="37"/>
      <c r="AF896" s="37"/>
      <c r="AG896" s="37"/>
      <c r="AH896" s="37"/>
      <c r="AI896" s="37"/>
      <c r="AJ896" s="37"/>
      <c r="AK896" s="37"/>
    </row>
    <row r="897" spans="1:37" ht="14.25">
      <c r="A897" s="43"/>
      <c r="B897" s="37"/>
      <c r="C897" s="37"/>
      <c r="D897" s="37"/>
      <c r="E897" s="37"/>
      <c r="F897" s="43"/>
      <c r="G897" s="43"/>
      <c r="H897" s="44"/>
      <c r="I897" s="43"/>
      <c r="J897" s="37"/>
      <c r="K897" s="37"/>
      <c r="L897" s="37"/>
      <c r="M897" s="37"/>
      <c r="N897" s="37"/>
      <c r="O897" s="37"/>
      <c r="P897" s="37"/>
      <c r="Q897" s="37"/>
      <c r="R897" s="37"/>
      <c r="S897" s="37"/>
      <c r="T897" s="37"/>
      <c r="U897" s="37"/>
      <c r="V897" s="37"/>
      <c r="W897" s="37"/>
      <c r="X897" s="37"/>
      <c r="Y897" s="37"/>
      <c r="Z897" s="37"/>
      <c r="AA897" s="37"/>
      <c r="AB897" s="37"/>
      <c r="AC897" s="37"/>
      <c r="AD897" s="37"/>
      <c r="AE897" s="37"/>
      <c r="AF897" s="37"/>
      <c r="AG897" s="37"/>
      <c r="AH897" s="37"/>
      <c r="AI897" s="37"/>
      <c r="AJ897" s="37"/>
      <c r="AK897" s="37"/>
    </row>
    <row r="898" spans="1:37" ht="14.25">
      <c r="A898" s="43"/>
      <c r="B898" s="37"/>
      <c r="C898" s="37"/>
      <c r="D898" s="37"/>
      <c r="E898" s="37"/>
      <c r="F898" s="43"/>
      <c r="G898" s="43"/>
      <c r="H898" s="44"/>
      <c r="I898" s="43"/>
      <c r="J898" s="37"/>
      <c r="K898" s="37"/>
      <c r="L898" s="37"/>
      <c r="M898" s="37"/>
      <c r="N898" s="37"/>
      <c r="O898" s="37"/>
      <c r="P898" s="37"/>
      <c r="Q898" s="37"/>
      <c r="R898" s="37"/>
      <c r="S898" s="37"/>
      <c r="T898" s="37"/>
      <c r="U898" s="37"/>
      <c r="V898" s="37"/>
      <c r="W898" s="37"/>
      <c r="X898" s="37"/>
      <c r="Y898" s="37"/>
      <c r="Z898" s="37"/>
      <c r="AA898" s="37"/>
      <c r="AB898" s="37"/>
      <c r="AC898" s="37"/>
      <c r="AD898" s="37"/>
      <c r="AE898" s="37"/>
      <c r="AF898" s="37"/>
      <c r="AG898" s="37"/>
      <c r="AH898" s="37"/>
      <c r="AI898" s="37"/>
      <c r="AJ898" s="37"/>
      <c r="AK898" s="37"/>
    </row>
    <row r="899" spans="1:37" ht="14.25">
      <c r="A899" s="43"/>
      <c r="B899" s="37"/>
      <c r="C899" s="37"/>
      <c r="D899" s="37"/>
      <c r="E899" s="37"/>
      <c r="F899" s="43"/>
      <c r="G899" s="43"/>
      <c r="H899" s="44"/>
      <c r="I899" s="43"/>
      <c r="J899" s="37"/>
      <c r="K899" s="37"/>
      <c r="L899" s="37"/>
      <c r="M899" s="37"/>
      <c r="N899" s="37"/>
      <c r="O899" s="37"/>
      <c r="P899" s="37"/>
      <c r="Q899" s="37"/>
      <c r="R899" s="37"/>
      <c r="S899" s="37"/>
      <c r="T899" s="37"/>
      <c r="U899" s="37"/>
      <c r="V899" s="37"/>
      <c r="W899" s="37"/>
      <c r="X899" s="37"/>
      <c r="Y899" s="37"/>
      <c r="Z899" s="37"/>
      <c r="AA899" s="37"/>
      <c r="AB899" s="37"/>
      <c r="AC899" s="37"/>
      <c r="AD899" s="37"/>
      <c r="AE899" s="37"/>
      <c r="AF899" s="37"/>
      <c r="AG899" s="37"/>
      <c r="AH899" s="37"/>
      <c r="AI899" s="37"/>
      <c r="AJ899" s="37"/>
      <c r="AK899" s="37"/>
    </row>
    <row r="900" spans="1:37" ht="14.25">
      <c r="A900" s="43"/>
      <c r="B900" s="37"/>
      <c r="C900" s="37"/>
      <c r="D900" s="37"/>
      <c r="E900" s="37"/>
      <c r="F900" s="43"/>
      <c r="G900" s="43"/>
      <c r="H900" s="44"/>
      <c r="I900" s="43"/>
      <c r="J900" s="37"/>
      <c r="K900" s="37"/>
      <c r="L900" s="37"/>
      <c r="M900" s="37"/>
      <c r="N900" s="37"/>
      <c r="O900" s="37"/>
      <c r="P900" s="37"/>
      <c r="Q900" s="37"/>
      <c r="R900" s="37"/>
      <c r="S900" s="37"/>
      <c r="T900" s="37"/>
      <c r="U900" s="37"/>
      <c r="V900" s="37"/>
      <c r="W900" s="37"/>
      <c r="X900" s="37"/>
      <c r="Y900" s="37"/>
      <c r="Z900" s="37"/>
      <c r="AA900" s="37"/>
      <c r="AB900" s="37"/>
      <c r="AC900" s="37"/>
      <c r="AD900" s="37"/>
      <c r="AE900" s="37"/>
      <c r="AF900" s="37"/>
      <c r="AG900" s="37"/>
      <c r="AH900" s="37"/>
      <c r="AI900" s="37"/>
      <c r="AJ900" s="37"/>
      <c r="AK900" s="37"/>
    </row>
    <row r="901" spans="1:37" ht="14.25">
      <c r="A901" s="43"/>
      <c r="B901" s="37"/>
      <c r="C901" s="37"/>
      <c r="D901" s="37"/>
      <c r="E901" s="37"/>
      <c r="F901" s="43"/>
      <c r="G901" s="43"/>
      <c r="H901" s="44"/>
      <c r="I901" s="43"/>
      <c r="J901" s="37"/>
      <c r="K901" s="37"/>
      <c r="L901" s="37"/>
      <c r="M901" s="37"/>
      <c r="N901" s="37"/>
      <c r="O901" s="37"/>
      <c r="P901" s="37"/>
      <c r="Q901" s="37"/>
      <c r="R901" s="37"/>
      <c r="S901" s="37"/>
      <c r="T901" s="37"/>
      <c r="U901" s="37"/>
      <c r="V901" s="37"/>
      <c r="W901" s="37"/>
      <c r="X901" s="37"/>
      <c r="Y901" s="37"/>
      <c r="Z901" s="37"/>
      <c r="AA901" s="37"/>
      <c r="AB901" s="37"/>
      <c r="AC901" s="37"/>
      <c r="AD901" s="37"/>
      <c r="AE901" s="37"/>
      <c r="AF901" s="37"/>
      <c r="AG901" s="37"/>
      <c r="AH901" s="37"/>
      <c r="AI901" s="37"/>
      <c r="AJ901" s="37"/>
      <c r="AK901" s="37"/>
    </row>
    <row r="902" spans="1:37" ht="14.25">
      <c r="A902" s="43"/>
      <c r="B902" s="37"/>
      <c r="C902" s="37"/>
      <c r="D902" s="37"/>
      <c r="E902" s="37"/>
      <c r="F902" s="43"/>
      <c r="G902" s="43"/>
      <c r="H902" s="44"/>
      <c r="I902" s="43"/>
      <c r="J902" s="37"/>
      <c r="K902" s="37"/>
      <c r="L902" s="37"/>
      <c r="M902" s="37"/>
      <c r="N902" s="37"/>
      <c r="O902" s="37"/>
      <c r="P902" s="37"/>
      <c r="Q902" s="37"/>
      <c r="R902" s="37"/>
      <c r="S902" s="37"/>
      <c r="T902" s="37"/>
      <c r="U902" s="37"/>
      <c r="V902" s="37"/>
      <c r="W902" s="37"/>
      <c r="X902" s="37"/>
      <c r="Y902" s="37"/>
      <c r="Z902" s="37"/>
      <c r="AA902" s="37"/>
      <c r="AB902" s="37"/>
      <c r="AC902" s="37"/>
      <c r="AD902" s="37"/>
      <c r="AE902" s="37"/>
      <c r="AF902" s="37"/>
      <c r="AG902" s="37"/>
      <c r="AH902" s="37"/>
      <c r="AI902" s="37"/>
      <c r="AJ902" s="37"/>
      <c r="AK902" s="37"/>
    </row>
    <row r="903" spans="1:37" ht="14.25">
      <c r="A903" s="43"/>
      <c r="B903" s="37"/>
      <c r="C903" s="37"/>
      <c r="D903" s="37"/>
      <c r="E903" s="37"/>
      <c r="F903" s="43"/>
      <c r="G903" s="43"/>
      <c r="H903" s="44"/>
      <c r="I903" s="43"/>
      <c r="J903" s="37"/>
      <c r="K903" s="37"/>
      <c r="L903" s="37"/>
      <c r="M903" s="37"/>
      <c r="N903" s="37"/>
      <c r="O903" s="37"/>
      <c r="P903" s="37"/>
      <c r="Q903" s="37"/>
      <c r="R903" s="37"/>
      <c r="S903" s="37"/>
      <c r="T903" s="37"/>
      <c r="U903" s="37"/>
      <c r="V903" s="37"/>
      <c r="W903" s="37"/>
      <c r="X903" s="37"/>
      <c r="Y903" s="37"/>
      <c r="Z903" s="37"/>
      <c r="AA903" s="37"/>
      <c r="AB903" s="37"/>
      <c r="AC903" s="37"/>
      <c r="AD903" s="37"/>
      <c r="AE903" s="37"/>
      <c r="AF903" s="37"/>
      <c r="AG903" s="37"/>
      <c r="AH903" s="37"/>
      <c r="AI903" s="37"/>
      <c r="AJ903" s="37"/>
      <c r="AK903" s="37"/>
    </row>
    <row r="904" spans="1:37" ht="14.25">
      <c r="A904" s="43"/>
      <c r="B904" s="37"/>
      <c r="C904" s="37"/>
      <c r="D904" s="37"/>
      <c r="E904" s="37"/>
      <c r="F904" s="43"/>
      <c r="G904" s="43"/>
      <c r="H904" s="44"/>
      <c r="I904" s="43"/>
      <c r="J904" s="37"/>
      <c r="K904" s="37"/>
      <c r="L904" s="37"/>
      <c r="M904" s="37"/>
      <c r="N904" s="37"/>
      <c r="O904" s="37"/>
      <c r="P904" s="37"/>
      <c r="Q904" s="37"/>
      <c r="R904" s="37"/>
      <c r="S904" s="37"/>
      <c r="T904" s="37"/>
      <c r="U904" s="37"/>
      <c r="V904" s="37"/>
      <c r="W904" s="37"/>
      <c r="X904" s="37"/>
      <c r="Y904" s="37"/>
      <c r="Z904" s="37"/>
      <c r="AA904" s="37"/>
      <c r="AB904" s="37"/>
      <c r="AC904" s="37"/>
      <c r="AD904" s="37"/>
      <c r="AE904" s="37"/>
      <c r="AF904" s="37"/>
      <c r="AG904" s="37"/>
      <c r="AH904" s="37"/>
      <c r="AI904" s="37"/>
      <c r="AJ904" s="37"/>
      <c r="AK904" s="37"/>
    </row>
    <row r="905" spans="1:37" ht="14.25">
      <c r="A905" s="43"/>
      <c r="B905" s="37"/>
      <c r="C905" s="37"/>
      <c r="D905" s="37"/>
      <c r="E905" s="37"/>
      <c r="F905" s="43"/>
      <c r="G905" s="43"/>
      <c r="H905" s="44"/>
      <c r="I905" s="43"/>
      <c r="J905" s="37"/>
      <c r="K905" s="37"/>
      <c r="L905" s="37"/>
      <c r="M905" s="37"/>
      <c r="N905" s="37"/>
      <c r="O905" s="37"/>
      <c r="P905" s="37"/>
      <c r="Q905" s="37"/>
      <c r="R905" s="37"/>
      <c r="S905" s="37"/>
      <c r="T905" s="37"/>
      <c r="U905" s="37"/>
      <c r="V905" s="37"/>
      <c r="W905" s="37"/>
      <c r="X905" s="37"/>
      <c r="Y905" s="37"/>
      <c r="Z905" s="37"/>
      <c r="AA905" s="37"/>
      <c r="AB905" s="37"/>
      <c r="AC905" s="37"/>
      <c r="AD905" s="37"/>
      <c r="AE905" s="37"/>
      <c r="AF905" s="37"/>
      <c r="AG905" s="37"/>
      <c r="AH905" s="37"/>
      <c r="AI905" s="37"/>
      <c r="AJ905" s="37"/>
      <c r="AK905" s="37"/>
    </row>
    <row r="906" spans="1:37" ht="14.25">
      <c r="A906" s="43"/>
      <c r="B906" s="37"/>
      <c r="C906" s="37"/>
      <c r="D906" s="37"/>
      <c r="E906" s="37"/>
      <c r="F906" s="43"/>
      <c r="G906" s="43"/>
      <c r="H906" s="44"/>
      <c r="I906" s="43"/>
      <c r="J906" s="37"/>
      <c r="K906" s="37"/>
      <c r="L906" s="37"/>
      <c r="M906" s="37"/>
      <c r="N906" s="37"/>
      <c r="O906" s="37"/>
      <c r="P906" s="37"/>
      <c r="Q906" s="37"/>
      <c r="R906" s="37"/>
      <c r="S906" s="37"/>
      <c r="T906" s="37"/>
      <c r="U906" s="37"/>
      <c r="V906" s="37"/>
      <c r="W906" s="37"/>
      <c r="X906" s="37"/>
      <c r="Y906" s="37"/>
      <c r="Z906" s="37"/>
      <c r="AA906" s="37"/>
      <c r="AB906" s="37"/>
      <c r="AC906" s="37"/>
      <c r="AD906" s="37"/>
      <c r="AE906" s="37"/>
      <c r="AF906" s="37"/>
      <c r="AG906" s="37"/>
      <c r="AH906" s="37"/>
      <c r="AI906" s="37"/>
      <c r="AJ906" s="37"/>
      <c r="AK906" s="37"/>
    </row>
    <row r="907" spans="1:37" ht="14.25">
      <c r="A907" s="43"/>
      <c r="B907" s="37"/>
      <c r="C907" s="37"/>
      <c r="D907" s="37"/>
      <c r="E907" s="37"/>
      <c r="F907" s="43"/>
      <c r="G907" s="43"/>
      <c r="H907" s="44"/>
      <c r="I907" s="43"/>
      <c r="J907" s="37"/>
      <c r="K907" s="37"/>
      <c r="L907" s="37"/>
      <c r="M907" s="37"/>
      <c r="N907" s="37"/>
      <c r="O907" s="37"/>
      <c r="P907" s="37"/>
      <c r="Q907" s="37"/>
      <c r="R907" s="37"/>
      <c r="S907" s="37"/>
      <c r="T907" s="37"/>
      <c r="U907" s="37"/>
      <c r="V907" s="37"/>
      <c r="W907" s="37"/>
      <c r="X907" s="37"/>
      <c r="Y907" s="37"/>
      <c r="Z907" s="37"/>
      <c r="AA907" s="37"/>
      <c r="AB907" s="37"/>
      <c r="AC907" s="37"/>
      <c r="AD907" s="37"/>
      <c r="AE907" s="37"/>
      <c r="AF907" s="37"/>
      <c r="AG907" s="37"/>
      <c r="AH907" s="37"/>
      <c r="AI907" s="37"/>
      <c r="AJ907" s="37"/>
      <c r="AK907" s="37"/>
    </row>
    <row r="908" spans="1:37" ht="14.25">
      <c r="A908" s="43"/>
      <c r="B908" s="37"/>
      <c r="C908" s="37"/>
      <c r="D908" s="37"/>
      <c r="E908" s="37"/>
      <c r="F908" s="43"/>
      <c r="G908" s="43"/>
      <c r="H908" s="44"/>
      <c r="I908" s="43"/>
      <c r="J908" s="37"/>
      <c r="K908" s="37"/>
      <c r="L908" s="37"/>
      <c r="M908" s="37"/>
      <c r="N908" s="37"/>
      <c r="O908" s="37"/>
      <c r="P908" s="37"/>
      <c r="Q908" s="37"/>
      <c r="R908" s="37"/>
      <c r="S908" s="37"/>
      <c r="T908" s="37"/>
      <c r="U908" s="37"/>
      <c r="V908" s="37"/>
      <c r="W908" s="37"/>
      <c r="X908" s="37"/>
      <c r="Y908" s="37"/>
      <c r="Z908" s="37"/>
      <c r="AA908" s="37"/>
      <c r="AB908" s="37"/>
      <c r="AC908" s="37"/>
      <c r="AD908" s="37"/>
      <c r="AE908" s="37"/>
      <c r="AF908" s="37"/>
      <c r="AG908" s="37"/>
      <c r="AH908" s="37"/>
      <c r="AI908" s="37"/>
      <c r="AJ908" s="37"/>
      <c r="AK908" s="37"/>
    </row>
    <row r="909" spans="1:37" ht="14.25">
      <c r="A909" s="43"/>
      <c r="B909" s="37"/>
      <c r="C909" s="37"/>
      <c r="D909" s="37"/>
      <c r="E909" s="37"/>
      <c r="F909" s="43"/>
      <c r="G909" s="43"/>
      <c r="H909" s="44"/>
      <c r="I909" s="43"/>
      <c r="J909" s="37"/>
      <c r="K909" s="37"/>
      <c r="L909" s="37"/>
      <c r="M909" s="37"/>
      <c r="N909" s="37"/>
      <c r="O909" s="37"/>
      <c r="P909" s="37"/>
      <c r="Q909" s="37"/>
      <c r="R909" s="37"/>
      <c r="S909" s="37"/>
      <c r="T909" s="37"/>
      <c r="U909" s="37"/>
      <c r="V909" s="37"/>
      <c r="W909" s="37"/>
      <c r="X909" s="37"/>
      <c r="Y909" s="37"/>
      <c r="Z909" s="37"/>
      <c r="AA909" s="37"/>
      <c r="AB909" s="37"/>
      <c r="AC909" s="37"/>
      <c r="AD909" s="37"/>
      <c r="AE909" s="37"/>
      <c r="AF909" s="37"/>
      <c r="AG909" s="37"/>
      <c r="AH909" s="37"/>
      <c r="AI909" s="37"/>
      <c r="AJ909" s="37"/>
      <c r="AK909" s="37"/>
    </row>
    <row r="910" spans="1:37" ht="14.25">
      <c r="A910" s="43"/>
      <c r="B910" s="37"/>
      <c r="C910" s="37"/>
      <c r="D910" s="37"/>
      <c r="E910" s="37"/>
      <c r="F910" s="43"/>
      <c r="G910" s="43"/>
      <c r="H910" s="44"/>
      <c r="I910" s="43"/>
      <c r="J910" s="37"/>
      <c r="K910" s="37"/>
      <c r="L910" s="37"/>
      <c r="M910" s="37"/>
      <c r="N910" s="37"/>
      <c r="O910" s="37"/>
      <c r="P910" s="37"/>
      <c r="Q910" s="37"/>
      <c r="R910" s="37"/>
      <c r="S910" s="37"/>
      <c r="T910" s="37"/>
      <c r="U910" s="37"/>
      <c r="V910" s="37"/>
      <c r="W910" s="37"/>
      <c r="X910" s="37"/>
      <c r="Y910" s="37"/>
      <c r="Z910" s="37"/>
      <c r="AA910" s="37"/>
      <c r="AB910" s="37"/>
      <c r="AC910" s="37"/>
      <c r="AD910" s="37"/>
      <c r="AE910" s="37"/>
      <c r="AF910" s="37"/>
      <c r="AG910" s="37"/>
      <c r="AH910" s="37"/>
      <c r="AI910" s="37"/>
      <c r="AJ910" s="37"/>
      <c r="AK910" s="37"/>
    </row>
    <row r="911" spans="1:37" ht="14.25">
      <c r="A911" s="43"/>
      <c r="B911" s="37"/>
      <c r="C911" s="37"/>
      <c r="D911" s="37"/>
      <c r="E911" s="37"/>
      <c r="F911" s="43"/>
      <c r="G911" s="43"/>
      <c r="H911" s="44"/>
      <c r="I911" s="43"/>
      <c r="J911" s="37"/>
      <c r="K911" s="37"/>
      <c r="L911" s="37"/>
      <c r="M911" s="37"/>
      <c r="N911" s="37"/>
      <c r="O911" s="37"/>
      <c r="P911" s="37"/>
      <c r="Q911" s="37"/>
      <c r="R911" s="37"/>
      <c r="S911" s="37"/>
      <c r="T911" s="37"/>
      <c r="U911" s="37"/>
      <c r="V911" s="37"/>
      <c r="W911" s="37"/>
      <c r="X911" s="37"/>
      <c r="Y911" s="37"/>
      <c r="Z911" s="37"/>
      <c r="AA911" s="37"/>
      <c r="AB911" s="37"/>
      <c r="AC911" s="37"/>
      <c r="AD911" s="37"/>
      <c r="AE911" s="37"/>
      <c r="AF911" s="37"/>
      <c r="AG911" s="37"/>
      <c r="AH911" s="37"/>
      <c r="AI911" s="37"/>
      <c r="AJ911" s="37"/>
      <c r="AK911" s="37"/>
    </row>
    <row r="912" spans="1:37" ht="14.25">
      <c r="A912" s="43"/>
      <c r="B912" s="37"/>
      <c r="C912" s="37"/>
      <c r="D912" s="37"/>
      <c r="E912" s="37"/>
      <c r="F912" s="43"/>
      <c r="G912" s="43"/>
      <c r="H912" s="44"/>
      <c r="I912" s="43"/>
      <c r="J912" s="37"/>
      <c r="K912" s="37"/>
      <c r="L912" s="37"/>
      <c r="M912" s="37"/>
      <c r="N912" s="37"/>
      <c r="O912" s="37"/>
      <c r="P912" s="37"/>
      <c r="Q912" s="37"/>
      <c r="R912" s="37"/>
      <c r="S912" s="37"/>
      <c r="T912" s="37"/>
      <c r="U912" s="37"/>
      <c r="V912" s="37"/>
      <c r="W912" s="37"/>
      <c r="X912" s="37"/>
      <c r="Y912" s="37"/>
      <c r="Z912" s="37"/>
      <c r="AA912" s="37"/>
      <c r="AB912" s="37"/>
      <c r="AC912" s="37"/>
      <c r="AD912" s="37"/>
      <c r="AE912" s="37"/>
      <c r="AF912" s="37"/>
      <c r="AG912" s="37"/>
      <c r="AH912" s="37"/>
      <c r="AI912" s="37"/>
      <c r="AJ912" s="37"/>
      <c r="AK912" s="37"/>
    </row>
    <row r="913" spans="1:37" ht="14.25">
      <c r="A913" s="43"/>
      <c r="B913" s="37"/>
      <c r="C913" s="37"/>
      <c r="D913" s="37"/>
      <c r="E913" s="37"/>
      <c r="F913" s="43"/>
      <c r="G913" s="43"/>
      <c r="H913" s="44"/>
      <c r="I913" s="43"/>
      <c r="J913" s="37"/>
      <c r="K913" s="37"/>
      <c r="L913" s="37"/>
      <c r="M913" s="37"/>
      <c r="N913" s="37"/>
      <c r="O913" s="37"/>
      <c r="P913" s="37"/>
      <c r="Q913" s="37"/>
      <c r="R913" s="37"/>
      <c r="S913" s="37"/>
      <c r="T913" s="37"/>
      <c r="U913" s="37"/>
      <c r="V913" s="37"/>
      <c r="W913" s="37"/>
      <c r="X913" s="37"/>
      <c r="Y913" s="37"/>
      <c r="Z913" s="37"/>
      <c r="AA913" s="37"/>
      <c r="AB913" s="37"/>
      <c r="AC913" s="37"/>
      <c r="AD913" s="37"/>
      <c r="AE913" s="37"/>
      <c r="AF913" s="37"/>
      <c r="AG913" s="37"/>
      <c r="AH913" s="37"/>
      <c r="AI913" s="37"/>
      <c r="AJ913" s="37"/>
      <c r="AK913" s="37"/>
    </row>
    <row r="914" spans="1:37" ht="14.25">
      <c r="A914" s="43"/>
      <c r="B914" s="37"/>
      <c r="C914" s="37"/>
      <c r="D914" s="37"/>
      <c r="E914" s="37"/>
      <c r="F914" s="43"/>
      <c r="G914" s="43"/>
      <c r="H914" s="44"/>
      <c r="I914" s="43"/>
      <c r="J914" s="37"/>
      <c r="K914" s="37"/>
      <c r="L914" s="37"/>
      <c r="M914" s="37"/>
      <c r="N914" s="37"/>
      <c r="O914" s="37"/>
      <c r="P914" s="37"/>
      <c r="Q914" s="37"/>
      <c r="R914" s="37"/>
      <c r="S914" s="37"/>
      <c r="T914" s="37"/>
      <c r="U914" s="37"/>
      <c r="V914" s="37"/>
      <c r="W914" s="37"/>
      <c r="X914" s="37"/>
      <c r="Y914" s="37"/>
      <c r="Z914" s="37"/>
      <c r="AA914" s="37"/>
      <c r="AB914" s="37"/>
      <c r="AC914" s="37"/>
      <c r="AD914" s="37"/>
      <c r="AE914" s="37"/>
      <c r="AF914" s="37"/>
      <c r="AG914" s="37"/>
      <c r="AH914" s="37"/>
      <c r="AI914" s="37"/>
      <c r="AJ914" s="37"/>
      <c r="AK914" s="37"/>
    </row>
    <row r="915" spans="1:37" ht="14.25">
      <c r="A915" s="43"/>
      <c r="B915" s="37"/>
      <c r="C915" s="37"/>
      <c r="D915" s="37"/>
      <c r="E915" s="37"/>
      <c r="F915" s="43"/>
      <c r="G915" s="43"/>
      <c r="H915" s="44"/>
      <c r="I915" s="43"/>
      <c r="J915" s="37"/>
      <c r="K915" s="37"/>
      <c r="L915" s="37"/>
      <c r="M915" s="37"/>
      <c r="N915" s="37"/>
      <c r="O915" s="37"/>
      <c r="P915" s="37"/>
      <c r="Q915" s="37"/>
      <c r="R915" s="37"/>
      <c r="S915" s="37"/>
      <c r="T915" s="37"/>
      <c r="U915" s="37"/>
      <c r="V915" s="37"/>
      <c r="W915" s="37"/>
      <c r="X915" s="37"/>
      <c r="Y915" s="37"/>
      <c r="Z915" s="37"/>
      <c r="AA915" s="37"/>
      <c r="AB915" s="37"/>
      <c r="AC915" s="37"/>
      <c r="AD915" s="37"/>
      <c r="AE915" s="37"/>
      <c r="AF915" s="37"/>
      <c r="AG915" s="37"/>
      <c r="AH915" s="37"/>
      <c r="AI915" s="37"/>
      <c r="AJ915" s="37"/>
      <c r="AK915" s="37"/>
    </row>
    <row r="916" spans="1:37" ht="14.25">
      <c r="A916" s="43"/>
      <c r="B916" s="37"/>
      <c r="C916" s="37"/>
      <c r="D916" s="37"/>
      <c r="E916" s="37"/>
      <c r="F916" s="43"/>
      <c r="G916" s="43"/>
      <c r="H916" s="44"/>
      <c r="I916" s="43"/>
      <c r="J916" s="37"/>
      <c r="K916" s="37"/>
      <c r="L916" s="37"/>
      <c r="M916" s="37"/>
      <c r="N916" s="37"/>
      <c r="O916" s="37"/>
      <c r="P916" s="37"/>
      <c r="Q916" s="37"/>
      <c r="R916" s="37"/>
      <c r="S916" s="37"/>
      <c r="T916" s="37"/>
      <c r="U916" s="37"/>
      <c r="V916" s="37"/>
      <c r="W916" s="37"/>
      <c r="X916" s="37"/>
      <c r="Y916" s="37"/>
      <c r="Z916" s="37"/>
      <c r="AA916" s="37"/>
      <c r="AB916" s="37"/>
      <c r="AC916" s="37"/>
      <c r="AD916" s="37"/>
      <c r="AE916" s="37"/>
      <c r="AF916" s="37"/>
      <c r="AG916" s="37"/>
      <c r="AH916" s="37"/>
      <c r="AI916" s="37"/>
      <c r="AJ916" s="37"/>
      <c r="AK916" s="37"/>
    </row>
    <row r="917" spans="1:37" ht="14.25">
      <c r="A917" s="43"/>
      <c r="B917" s="37"/>
      <c r="C917" s="37"/>
      <c r="D917" s="37"/>
      <c r="E917" s="37"/>
      <c r="F917" s="43"/>
      <c r="G917" s="43"/>
      <c r="H917" s="44"/>
      <c r="I917" s="43"/>
      <c r="J917" s="37"/>
      <c r="K917" s="37"/>
      <c r="L917" s="37"/>
      <c r="M917" s="37"/>
      <c r="N917" s="37"/>
      <c r="O917" s="37"/>
      <c r="P917" s="37"/>
      <c r="Q917" s="37"/>
      <c r="R917" s="37"/>
      <c r="S917" s="37"/>
      <c r="T917" s="37"/>
      <c r="U917" s="37"/>
      <c r="V917" s="37"/>
      <c r="W917" s="37"/>
      <c r="X917" s="37"/>
      <c r="Y917" s="37"/>
      <c r="Z917" s="37"/>
      <c r="AA917" s="37"/>
      <c r="AB917" s="37"/>
      <c r="AC917" s="37"/>
      <c r="AD917" s="37"/>
      <c r="AE917" s="37"/>
      <c r="AF917" s="37"/>
      <c r="AG917" s="37"/>
      <c r="AH917" s="37"/>
      <c r="AI917" s="37"/>
      <c r="AJ917" s="37"/>
      <c r="AK917" s="37"/>
    </row>
    <row r="918" spans="1:37" ht="14.25">
      <c r="A918" s="43"/>
      <c r="B918" s="37"/>
      <c r="C918" s="37"/>
      <c r="D918" s="37"/>
      <c r="E918" s="37"/>
      <c r="F918" s="43"/>
      <c r="G918" s="43"/>
      <c r="H918" s="44"/>
      <c r="I918" s="43"/>
      <c r="J918" s="37"/>
      <c r="K918" s="37"/>
      <c r="L918" s="37"/>
      <c r="M918" s="37"/>
      <c r="N918" s="37"/>
      <c r="O918" s="37"/>
      <c r="P918" s="37"/>
      <c r="Q918" s="37"/>
      <c r="R918" s="37"/>
      <c r="S918" s="37"/>
      <c r="T918" s="37"/>
      <c r="U918" s="37"/>
      <c r="V918" s="37"/>
      <c r="W918" s="37"/>
      <c r="X918" s="37"/>
      <c r="Y918" s="37"/>
      <c r="Z918" s="37"/>
      <c r="AA918" s="37"/>
      <c r="AB918" s="37"/>
      <c r="AC918" s="37"/>
      <c r="AD918" s="37"/>
      <c r="AE918" s="37"/>
      <c r="AF918" s="37"/>
      <c r="AG918" s="37"/>
      <c r="AH918" s="37"/>
      <c r="AI918" s="37"/>
      <c r="AJ918" s="37"/>
      <c r="AK918" s="37"/>
    </row>
    <row r="919" spans="1:37" ht="14.25">
      <c r="A919" s="43"/>
      <c r="B919" s="37"/>
      <c r="C919" s="37"/>
      <c r="D919" s="37"/>
      <c r="E919" s="37"/>
      <c r="F919" s="43"/>
      <c r="G919" s="43"/>
      <c r="H919" s="44"/>
      <c r="I919" s="43"/>
      <c r="J919" s="37"/>
      <c r="K919" s="37"/>
      <c r="L919" s="37"/>
      <c r="M919" s="37"/>
      <c r="N919" s="37"/>
      <c r="O919" s="37"/>
      <c r="P919" s="37"/>
      <c r="Q919" s="37"/>
      <c r="R919" s="37"/>
      <c r="S919" s="37"/>
      <c r="T919" s="37"/>
      <c r="U919" s="37"/>
      <c r="V919" s="37"/>
      <c r="W919" s="37"/>
      <c r="X919" s="37"/>
      <c r="Y919" s="37"/>
      <c r="Z919" s="37"/>
      <c r="AA919" s="37"/>
      <c r="AB919" s="37"/>
      <c r="AC919" s="37"/>
      <c r="AD919" s="37"/>
      <c r="AE919" s="37"/>
      <c r="AF919" s="37"/>
      <c r="AG919" s="37"/>
      <c r="AH919" s="37"/>
      <c r="AI919" s="37"/>
      <c r="AJ919" s="37"/>
      <c r="AK919" s="37"/>
    </row>
    <row r="920" spans="1:37" ht="14.25">
      <c r="A920" s="43"/>
      <c r="B920" s="37"/>
      <c r="C920" s="37"/>
      <c r="D920" s="37"/>
      <c r="E920" s="37"/>
      <c r="F920" s="43"/>
      <c r="G920" s="43"/>
      <c r="H920" s="44"/>
      <c r="I920" s="43"/>
      <c r="J920" s="37"/>
      <c r="K920" s="37"/>
      <c r="L920" s="37"/>
      <c r="M920" s="37"/>
      <c r="N920" s="37"/>
      <c r="O920" s="37"/>
      <c r="P920" s="37"/>
      <c r="Q920" s="37"/>
      <c r="R920" s="37"/>
      <c r="S920" s="37"/>
      <c r="T920" s="37"/>
      <c r="U920" s="37"/>
      <c r="V920" s="37"/>
      <c r="W920" s="37"/>
      <c r="X920" s="37"/>
      <c r="Y920" s="37"/>
      <c r="Z920" s="37"/>
      <c r="AA920" s="37"/>
      <c r="AB920" s="37"/>
      <c r="AC920" s="37"/>
      <c r="AD920" s="37"/>
      <c r="AE920" s="37"/>
      <c r="AF920" s="37"/>
      <c r="AG920" s="37"/>
      <c r="AH920" s="37"/>
      <c r="AI920" s="37"/>
      <c r="AJ920" s="37"/>
      <c r="AK920" s="37"/>
    </row>
    <row r="921" spans="1:37" ht="14.25">
      <c r="A921" s="43"/>
      <c r="B921" s="37"/>
      <c r="C921" s="37"/>
      <c r="D921" s="37"/>
      <c r="E921" s="37"/>
      <c r="F921" s="43"/>
      <c r="G921" s="43"/>
      <c r="H921" s="44"/>
      <c r="I921" s="43"/>
      <c r="J921" s="37"/>
      <c r="K921" s="37"/>
      <c r="L921" s="37"/>
      <c r="M921" s="37"/>
      <c r="N921" s="37"/>
      <c r="O921" s="37"/>
      <c r="P921" s="37"/>
      <c r="Q921" s="37"/>
      <c r="R921" s="37"/>
      <c r="S921" s="37"/>
      <c r="T921" s="37"/>
      <c r="U921" s="37"/>
      <c r="V921" s="37"/>
      <c r="W921" s="37"/>
      <c r="X921" s="37"/>
      <c r="Y921" s="37"/>
      <c r="Z921" s="37"/>
      <c r="AA921" s="37"/>
      <c r="AB921" s="37"/>
      <c r="AC921" s="37"/>
      <c r="AD921" s="37"/>
      <c r="AE921" s="37"/>
      <c r="AF921" s="37"/>
      <c r="AG921" s="37"/>
      <c r="AH921" s="37"/>
      <c r="AI921" s="37"/>
      <c r="AJ921" s="37"/>
      <c r="AK921" s="37"/>
    </row>
    <row r="922" spans="1:37" ht="14.25">
      <c r="A922" s="43"/>
      <c r="B922" s="37"/>
      <c r="C922" s="37"/>
      <c r="D922" s="37"/>
      <c r="E922" s="37"/>
      <c r="F922" s="43"/>
      <c r="G922" s="43"/>
      <c r="H922" s="44"/>
      <c r="I922" s="43"/>
      <c r="J922" s="37"/>
      <c r="K922" s="37"/>
      <c r="L922" s="37"/>
      <c r="M922" s="37"/>
      <c r="N922" s="37"/>
      <c r="O922" s="37"/>
      <c r="P922" s="37"/>
      <c r="Q922" s="37"/>
      <c r="R922" s="37"/>
      <c r="S922" s="37"/>
      <c r="T922" s="37"/>
      <c r="U922" s="37"/>
      <c r="V922" s="37"/>
      <c r="W922" s="37"/>
      <c r="X922" s="37"/>
      <c r="Y922" s="37"/>
      <c r="Z922" s="37"/>
      <c r="AA922" s="37"/>
      <c r="AB922" s="37"/>
      <c r="AC922" s="37"/>
      <c r="AD922" s="37"/>
      <c r="AE922" s="37"/>
      <c r="AF922" s="37"/>
      <c r="AG922" s="37"/>
      <c r="AH922" s="37"/>
      <c r="AI922" s="37"/>
      <c r="AJ922" s="37"/>
      <c r="AK922" s="37"/>
    </row>
    <row r="923" spans="1:37" ht="14.25">
      <c r="A923" s="43"/>
      <c r="B923" s="37"/>
      <c r="C923" s="37"/>
      <c r="D923" s="37"/>
      <c r="E923" s="37"/>
      <c r="F923" s="43"/>
      <c r="G923" s="43"/>
      <c r="H923" s="44"/>
      <c r="I923" s="43"/>
      <c r="J923" s="37"/>
      <c r="K923" s="37"/>
      <c r="L923" s="37"/>
      <c r="M923" s="37"/>
      <c r="N923" s="37"/>
      <c r="O923" s="37"/>
      <c r="P923" s="37"/>
      <c r="Q923" s="37"/>
      <c r="R923" s="37"/>
      <c r="S923" s="37"/>
      <c r="T923" s="37"/>
      <c r="U923" s="37"/>
      <c r="V923" s="37"/>
      <c r="W923" s="37"/>
      <c r="X923" s="37"/>
      <c r="Y923" s="37"/>
      <c r="Z923" s="37"/>
      <c r="AA923" s="37"/>
      <c r="AB923" s="37"/>
      <c r="AC923" s="37"/>
      <c r="AD923" s="37"/>
      <c r="AE923" s="37"/>
      <c r="AF923" s="37"/>
      <c r="AG923" s="37"/>
      <c r="AH923" s="37"/>
      <c r="AI923" s="37"/>
      <c r="AJ923" s="37"/>
      <c r="AK923" s="37"/>
    </row>
    <row r="924" spans="1:37" ht="14.25">
      <c r="A924" s="43"/>
      <c r="B924" s="37"/>
      <c r="C924" s="37"/>
      <c r="D924" s="37"/>
      <c r="E924" s="37"/>
      <c r="F924" s="43"/>
      <c r="G924" s="43"/>
      <c r="H924" s="44"/>
      <c r="I924" s="43"/>
      <c r="J924" s="37"/>
      <c r="K924" s="37"/>
      <c r="L924" s="37"/>
      <c r="M924" s="37"/>
      <c r="N924" s="37"/>
      <c r="O924" s="37"/>
      <c r="P924" s="37"/>
      <c r="Q924" s="37"/>
      <c r="R924" s="37"/>
      <c r="S924" s="37"/>
      <c r="T924" s="37"/>
      <c r="U924" s="37"/>
      <c r="V924" s="37"/>
      <c r="W924" s="37"/>
      <c r="X924" s="37"/>
      <c r="Y924" s="37"/>
      <c r="Z924" s="37"/>
      <c r="AA924" s="37"/>
      <c r="AB924" s="37"/>
      <c r="AC924" s="37"/>
      <c r="AD924" s="37"/>
      <c r="AE924" s="37"/>
      <c r="AF924" s="37"/>
      <c r="AG924" s="37"/>
      <c r="AH924" s="37"/>
      <c r="AI924" s="37"/>
      <c r="AJ924" s="37"/>
      <c r="AK924" s="37"/>
    </row>
    <row r="925" spans="1:37" ht="14.25">
      <c r="A925" s="43"/>
      <c r="B925" s="37"/>
      <c r="C925" s="37"/>
      <c r="D925" s="37"/>
      <c r="E925" s="37"/>
      <c r="F925" s="43"/>
      <c r="G925" s="43"/>
      <c r="H925" s="44"/>
      <c r="I925" s="43"/>
      <c r="J925" s="37"/>
      <c r="K925" s="37"/>
      <c r="L925" s="37"/>
      <c r="M925" s="37"/>
      <c r="N925" s="37"/>
      <c r="O925" s="37"/>
      <c r="P925" s="37"/>
      <c r="Q925" s="37"/>
      <c r="R925" s="37"/>
      <c r="S925" s="37"/>
      <c r="T925" s="37"/>
      <c r="U925" s="37"/>
      <c r="V925" s="37"/>
      <c r="W925" s="37"/>
      <c r="X925" s="37"/>
      <c r="Y925" s="37"/>
      <c r="Z925" s="37"/>
      <c r="AA925" s="37"/>
      <c r="AB925" s="37"/>
      <c r="AC925" s="37"/>
      <c r="AD925" s="37"/>
      <c r="AE925" s="37"/>
      <c r="AF925" s="37"/>
      <c r="AG925" s="37"/>
      <c r="AH925" s="37"/>
      <c r="AI925" s="37"/>
      <c r="AJ925" s="37"/>
      <c r="AK925" s="37"/>
    </row>
    <row r="926" spans="1:37" ht="14.25">
      <c r="A926" s="43"/>
      <c r="B926" s="37"/>
      <c r="C926" s="37"/>
      <c r="D926" s="37"/>
      <c r="E926" s="37"/>
      <c r="F926" s="43"/>
      <c r="G926" s="43"/>
      <c r="H926" s="44"/>
      <c r="I926" s="43"/>
      <c r="J926" s="37"/>
      <c r="K926" s="37"/>
      <c r="L926" s="37"/>
      <c r="M926" s="37"/>
      <c r="N926" s="37"/>
      <c r="O926" s="37"/>
      <c r="P926" s="37"/>
      <c r="Q926" s="37"/>
      <c r="R926" s="37"/>
      <c r="S926" s="37"/>
      <c r="T926" s="37"/>
      <c r="U926" s="37"/>
      <c r="V926" s="37"/>
      <c r="W926" s="37"/>
      <c r="X926" s="37"/>
      <c r="Y926" s="37"/>
      <c r="Z926" s="37"/>
      <c r="AA926" s="37"/>
      <c r="AB926" s="37"/>
      <c r="AC926" s="37"/>
      <c r="AD926" s="37"/>
      <c r="AE926" s="37"/>
      <c r="AF926" s="37"/>
      <c r="AG926" s="37"/>
      <c r="AH926" s="37"/>
      <c r="AI926" s="37"/>
      <c r="AJ926" s="37"/>
      <c r="AK926" s="37"/>
    </row>
    <row r="927" spans="1:37" ht="14.25">
      <c r="A927" s="43"/>
      <c r="B927" s="37"/>
      <c r="C927" s="37"/>
      <c r="D927" s="37"/>
      <c r="E927" s="37"/>
      <c r="F927" s="43"/>
      <c r="G927" s="43"/>
      <c r="H927" s="44"/>
      <c r="I927" s="43"/>
      <c r="J927" s="37"/>
      <c r="K927" s="37"/>
      <c r="L927" s="37"/>
      <c r="M927" s="37"/>
      <c r="N927" s="37"/>
      <c r="O927" s="37"/>
      <c r="P927" s="37"/>
      <c r="Q927" s="37"/>
      <c r="R927" s="37"/>
      <c r="S927" s="37"/>
      <c r="T927" s="37"/>
      <c r="U927" s="37"/>
      <c r="V927" s="37"/>
      <c r="W927" s="37"/>
      <c r="X927" s="37"/>
      <c r="Y927" s="37"/>
      <c r="Z927" s="37"/>
      <c r="AA927" s="37"/>
      <c r="AB927" s="37"/>
      <c r="AC927" s="37"/>
      <c r="AD927" s="37"/>
      <c r="AE927" s="37"/>
      <c r="AF927" s="37"/>
      <c r="AG927" s="37"/>
      <c r="AH927" s="37"/>
      <c r="AI927" s="37"/>
      <c r="AJ927" s="37"/>
      <c r="AK927" s="37"/>
    </row>
    <row r="928" spans="1:37" ht="14.25">
      <c r="A928" s="43"/>
      <c r="B928" s="37"/>
      <c r="C928" s="37"/>
      <c r="D928" s="37"/>
      <c r="E928" s="37"/>
      <c r="F928" s="43"/>
      <c r="G928" s="43"/>
      <c r="H928" s="44"/>
      <c r="I928" s="43"/>
      <c r="J928" s="37"/>
      <c r="K928" s="37"/>
      <c r="L928" s="37"/>
      <c r="M928" s="37"/>
      <c r="N928" s="37"/>
      <c r="O928" s="37"/>
      <c r="P928" s="37"/>
      <c r="Q928" s="37"/>
      <c r="R928" s="37"/>
      <c r="S928" s="37"/>
      <c r="T928" s="37"/>
      <c r="U928" s="37"/>
      <c r="V928" s="37"/>
      <c r="W928" s="37"/>
      <c r="X928" s="37"/>
      <c r="Y928" s="37"/>
      <c r="Z928" s="37"/>
      <c r="AA928" s="37"/>
      <c r="AB928" s="37"/>
      <c r="AC928" s="37"/>
      <c r="AD928" s="37"/>
      <c r="AE928" s="37"/>
      <c r="AF928" s="37"/>
      <c r="AG928" s="37"/>
      <c r="AH928" s="37"/>
      <c r="AI928" s="37"/>
      <c r="AJ928" s="37"/>
      <c r="AK928" s="37"/>
    </row>
    <row r="929" spans="1:37" ht="14.25">
      <c r="A929" s="43"/>
      <c r="B929" s="37"/>
      <c r="C929" s="37"/>
      <c r="D929" s="37"/>
      <c r="E929" s="37"/>
      <c r="F929" s="43"/>
      <c r="G929" s="43"/>
      <c r="H929" s="44"/>
      <c r="I929" s="43"/>
      <c r="J929" s="37"/>
      <c r="K929" s="37"/>
      <c r="L929" s="37"/>
      <c r="M929" s="37"/>
      <c r="N929" s="37"/>
      <c r="O929" s="37"/>
      <c r="P929" s="37"/>
      <c r="Q929" s="37"/>
      <c r="R929" s="37"/>
      <c r="S929" s="37"/>
      <c r="T929" s="37"/>
      <c r="U929" s="37"/>
      <c r="V929" s="37"/>
      <c r="W929" s="37"/>
      <c r="X929" s="37"/>
      <c r="Y929" s="37"/>
      <c r="Z929" s="37"/>
      <c r="AA929" s="37"/>
      <c r="AB929" s="37"/>
      <c r="AC929" s="37"/>
      <c r="AD929" s="37"/>
      <c r="AE929" s="37"/>
      <c r="AF929" s="37"/>
      <c r="AG929" s="37"/>
      <c r="AH929" s="37"/>
      <c r="AI929" s="37"/>
      <c r="AJ929" s="37"/>
      <c r="AK929" s="37"/>
    </row>
    <row r="930" spans="1:37" ht="14.25">
      <c r="A930" s="43"/>
      <c r="B930" s="37"/>
      <c r="C930" s="37"/>
      <c r="D930" s="37"/>
      <c r="E930" s="37"/>
      <c r="F930" s="43"/>
      <c r="G930" s="43"/>
      <c r="H930" s="44"/>
      <c r="I930" s="43"/>
      <c r="J930" s="37"/>
      <c r="K930" s="37"/>
      <c r="L930" s="37"/>
      <c r="M930" s="37"/>
      <c r="N930" s="37"/>
      <c r="O930" s="37"/>
      <c r="P930" s="37"/>
      <c r="Q930" s="37"/>
      <c r="R930" s="37"/>
      <c r="S930" s="37"/>
      <c r="T930" s="37"/>
      <c r="U930" s="37"/>
      <c r="V930" s="37"/>
      <c r="W930" s="37"/>
      <c r="X930" s="37"/>
      <c r="Y930" s="37"/>
      <c r="Z930" s="37"/>
      <c r="AA930" s="37"/>
      <c r="AB930" s="37"/>
      <c r="AC930" s="37"/>
      <c r="AD930" s="37"/>
      <c r="AE930" s="37"/>
      <c r="AF930" s="37"/>
      <c r="AG930" s="37"/>
      <c r="AH930" s="37"/>
      <c r="AI930" s="37"/>
      <c r="AJ930" s="37"/>
      <c r="AK930" s="37"/>
    </row>
    <row r="931" spans="1:37" ht="14.25">
      <c r="A931" s="43"/>
      <c r="B931" s="37"/>
      <c r="C931" s="37"/>
      <c r="D931" s="37"/>
      <c r="E931" s="37"/>
      <c r="F931" s="43"/>
      <c r="G931" s="43"/>
      <c r="H931" s="44"/>
      <c r="I931" s="43"/>
      <c r="J931" s="37"/>
      <c r="K931" s="37"/>
      <c r="L931" s="37"/>
      <c r="M931" s="37"/>
      <c r="N931" s="37"/>
      <c r="O931" s="37"/>
      <c r="P931" s="37"/>
      <c r="Q931" s="37"/>
      <c r="R931" s="37"/>
      <c r="S931" s="37"/>
      <c r="T931" s="37"/>
      <c r="U931" s="37"/>
      <c r="V931" s="37"/>
      <c r="W931" s="37"/>
      <c r="X931" s="37"/>
      <c r="Y931" s="37"/>
      <c r="Z931" s="37"/>
      <c r="AA931" s="37"/>
      <c r="AB931" s="37"/>
      <c r="AC931" s="37"/>
      <c r="AD931" s="37"/>
      <c r="AE931" s="37"/>
      <c r="AF931" s="37"/>
      <c r="AG931" s="37"/>
      <c r="AH931" s="37"/>
      <c r="AI931" s="37"/>
      <c r="AJ931" s="37"/>
      <c r="AK931" s="37"/>
    </row>
    <row r="932" spans="1:37" ht="14.25">
      <c r="A932" s="43"/>
      <c r="B932" s="37"/>
      <c r="C932" s="37"/>
      <c r="D932" s="37"/>
      <c r="E932" s="37"/>
      <c r="F932" s="43"/>
      <c r="G932" s="43"/>
      <c r="H932" s="44"/>
      <c r="I932" s="43"/>
      <c r="J932" s="37"/>
      <c r="K932" s="37"/>
      <c r="L932" s="37"/>
      <c r="M932" s="37"/>
      <c r="N932" s="37"/>
      <c r="O932" s="37"/>
      <c r="P932" s="37"/>
      <c r="Q932" s="37"/>
      <c r="R932" s="37"/>
      <c r="S932" s="37"/>
      <c r="T932" s="37"/>
      <c r="U932" s="37"/>
      <c r="V932" s="37"/>
      <c r="W932" s="37"/>
      <c r="X932" s="37"/>
      <c r="Y932" s="37"/>
      <c r="Z932" s="37"/>
      <c r="AA932" s="37"/>
      <c r="AB932" s="37"/>
      <c r="AC932" s="37"/>
      <c r="AD932" s="37"/>
      <c r="AE932" s="37"/>
      <c r="AF932" s="37"/>
      <c r="AG932" s="37"/>
      <c r="AH932" s="37"/>
      <c r="AI932" s="37"/>
      <c r="AJ932" s="37"/>
      <c r="AK932" s="37"/>
    </row>
    <row r="933" spans="1:37" ht="14.25">
      <c r="A933" s="43"/>
      <c r="B933" s="37"/>
      <c r="C933" s="37"/>
      <c r="D933" s="37"/>
      <c r="E933" s="37"/>
      <c r="F933" s="43"/>
      <c r="G933" s="43"/>
      <c r="H933" s="44"/>
      <c r="I933" s="43"/>
      <c r="J933" s="37"/>
      <c r="K933" s="37"/>
      <c r="L933" s="37"/>
      <c r="M933" s="37"/>
      <c r="N933" s="37"/>
      <c r="O933" s="37"/>
      <c r="P933" s="37"/>
      <c r="Q933" s="37"/>
      <c r="R933" s="37"/>
      <c r="S933" s="37"/>
      <c r="T933" s="37"/>
      <c r="U933" s="37"/>
      <c r="V933" s="37"/>
      <c r="W933" s="37"/>
      <c r="X933" s="37"/>
      <c r="Y933" s="37"/>
      <c r="Z933" s="37"/>
      <c r="AA933" s="37"/>
      <c r="AB933" s="37"/>
      <c r="AC933" s="37"/>
      <c r="AD933" s="37"/>
      <c r="AE933" s="37"/>
      <c r="AF933" s="37"/>
      <c r="AG933" s="37"/>
      <c r="AH933" s="37"/>
      <c r="AI933" s="37"/>
      <c r="AJ933" s="37"/>
      <c r="AK933" s="37"/>
    </row>
    <row r="934" spans="1:37" ht="14.25">
      <c r="A934" s="43"/>
      <c r="B934" s="37"/>
      <c r="C934" s="37"/>
      <c r="D934" s="37"/>
      <c r="E934" s="37"/>
      <c r="F934" s="43"/>
      <c r="G934" s="43"/>
      <c r="H934" s="44"/>
      <c r="I934" s="43"/>
      <c r="J934" s="37"/>
      <c r="K934" s="37"/>
      <c r="L934" s="37"/>
      <c r="M934" s="37"/>
      <c r="N934" s="37"/>
      <c r="O934" s="37"/>
      <c r="P934" s="37"/>
      <c r="Q934" s="37"/>
      <c r="R934" s="37"/>
      <c r="S934" s="37"/>
      <c r="T934" s="37"/>
      <c r="U934" s="37"/>
      <c r="V934" s="37"/>
      <c r="W934" s="37"/>
      <c r="X934" s="37"/>
      <c r="Y934" s="37"/>
      <c r="Z934" s="37"/>
      <c r="AA934" s="37"/>
      <c r="AB934" s="37"/>
      <c r="AC934" s="37"/>
      <c r="AD934" s="37"/>
      <c r="AE934" s="37"/>
      <c r="AF934" s="37"/>
      <c r="AG934" s="37"/>
      <c r="AH934" s="37"/>
      <c r="AI934" s="37"/>
      <c r="AJ934" s="37"/>
      <c r="AK934" s="37"/>
    </row>
    <row r="935" spans="1:37" ht="14.25">
      <c r="A935" s="43"/>
      <c r="B935" s="37"/>
      <c r="C935" s="37"/>
      <c r="D935" s="37"/>
      <c r="E935" s="37"/>
      <c r="F935" s="43"/>
      <c r="G935" s="43"/>
      <c r="H935" s="44"/>
      <c r="I935" s="43"/>
      <c r="J935" s="37"/>
      <c r="K935" s="37"/>
      <c r="L935" s="37"/>
      <c r="M935" s="37"/>
      <c r="N935" s="37"/>
      <c r="O935" s="37"/>
      <c r="P935" s="37"/>
      <c r="Q935" s="37"/>
      <c r="R935" s="37"/>
      <c r="S935" s="37"/>
      <c r="T935" s="37"/>
      <c r="U935" s="37"/>
      <c r="V935" s="37"/>
      <c r="W935" s="37"/>
      <c r="X935" s="37"/>
      <c r="Y935" s="37"/>
      <c r="Z935" s="37"/>
      <c r="AA935" s="37"/>
      <c r="AB935" s="37"/>
      <c r="AC935" s="37"/>
      <c r="AD935" s="37"/>
      <c r="AE935" s="37"/>
      <c r="AF935" s="37"/>
      <c r="AG935" s="37"/>
      <c r="AH935" s="37"/>
      <c r="AI935" s="37"/>
      <c r="AJ935" s="37"/>
      <c r="AK935" s="37"/>
    </row>
    <row r="936" spans="1:37" ht="14.25">
      <c r="A936" s="43"/>
      <c r="B936" s="37"/>
      <c r="C936" s="37"/>
      <c r="D936" s="37"/>
      <c r="E936" s="37"/>
      <c r="F936" s="43"/>
      <c r="G936" s="43"/>
      <c r="H936" s="44"/>
      <c r="I936" s="43"/>
      <c r="J936" s="37"/>
      <c r="K936" s="37"/>
      <c r="L936" s="37"/>
      <c r="M936" s="37"/>
      <c r="N936" s="37"/>
      <c r="O936" s="37"/>
      <c r="P936" s="37"/>
      <c r="Q936" s="37"/>
      <c r="R936" s="37"/>
      <c r="S936" s="37"/>
      <c r="T936" s="37"/>
      <c r="U936" s="37"/>
      <c r="V936" s="37"/>
      <c r="W936" s="37"/>
      <c r="X936" s="37"/>
      <c r="Y936" s="37"/>
      <c r="Z936" s="37"/>
      <c r="AA936" s="37"/>
      <c r="AB936" s="37"/>
      <c r="AC936" s="37"/>
      <c r="AD936" s="37"/>
      <c r="AE936" s="37"/>
      <c r="AF936" s="37"/>
      <c r="AG936" s="37"/>
      <c r="AH936" s="37"/>
      <c r="AI936" s="37"/>
      <c r="AJ936" s="37"/>
      <c r="AK936" s="37"/>
    </row>
    <row r="937" spans="1:37" ht="14.25">
      <c r="A937" s="43"/>
      <c r="B937" s="37"/>
      <c r="C937" s="37"/>
      <c r="D937" s="37"/>
      <c r="E937" s="37"/>
      <c r="F937" s="43"/>
      <c r="G937" s="43"/>
      <c r="H937" s="44"/>
      <c r="I937" s="43"/>
      <c r="J937" s="37"/>
      <c r="K937" s="37"/>
      <c r="L937" s="37"/>
      <c r="M937" s="37"/>
      <c r="N937" s="37"/>
      <c r="O937" s="37"/>
      <c r="P937" s="37"/>
      <c r="Q937" s="37"/>
      <c r="R937" s="37"/>
      <c r="S937" s="37"/>
      <c r="T937" s="37"/>
      <c r="U937" s="37"/>
      <c r="V937" s="37"/>
      <c r="W937" s="37"/>
      <c r="X937" s="37"/>
      <c r="Y937" s="37"/>
      <c r="Z937" s="37"/>
      <c r="AA937" s="37"/>
      <c r="AB937" s="37"/>
      <c r="AC937" s="37"/>
      <c r="AD937" s="37"/>
      <c r="AE937" s="37"/>
      <c r="AF937" s="37"/>
      <c r="AG937" s="37"/>
      <c r="AH937" s="37"/>
      <c r="AI937" s="37"/>
      <c r="AJ937" s="37"/>
      <c r="AK937" s="37"/>
    </row>
    <row r="938" spans="1:37" ht="14.25">
      <c r="A938" s="43"/>
      <c r="B938" s="37"/>
      <c r="C938" s="37"/>
      <c r="D938" s="37"/>
      <c r="E938" s="37"/>
      <c r="F938" s="43"/>
      <c r="G938" s="43"/>
      <c r="H938" s="44"/>
      <c r="I938" s="43"/>
      <c r="J938" s="37"/>
      <c r="K938" s="37"/>
      <c r="L938" s="37"/>
      <c r="M938" s="37"/>
      <c r="N938" s="37"/>
      <c r="O938" s="37"/>
      <c r="P938" s="37"/>
      <c r="Q938" s="37"/>
      <c r="R938" s="37"/>
      <c r="S938" s="37"/>
      <c r="T938" s="37"/>
      <c r="U938" s="37"/>
      <c r="V938" s="37"/>
      <c r="W938" s="37"/>
      <c r="X938" s="37"/>
      <c r="Y938" s="37"/>
      <c r="Z938" s="37"/>
      <c r="AA938" s="37"/>
      <c r="AB938" s="37"/>
      <c r="AC938" s="37"/>
      <c r="AD938" s="37"/>
      <c r="AE938" s="37"/>
      <c r="AF938" s="37"/>
      <c r="AG938" s="37"/>
      <c r="AH938" s="37"/>
      <c r="AI938" s="37"/>
      <c r="AJ938" s="37"/>
      <c r="AK938" s="37"/>
    </row>
    <row r="939" spans="1:37" ht="14.25">
      <c r="A939" s="43"/>
      <c r="B939" s="37"/>
      <c r="C939" s="37"/>
      <c r="D939" s="37"/>
      <c r="E939" s="37"/>
      <c r="F939" s="43"/>
      <c r="G939" s="43"/>
      <c r="H939" s="44"/>
      <c r="I939" s="43"/>
      <c r="J939" s="37"/>
      <c r="K939" s="37"/>
      <c r="L939" s="37"/>
      <c r="M939" s="37"/>
      <c r="N939" s="37"/>
      <c r="O939" s="37"/>
      <c r="P939" s="37"/>
      <c r="Q939" s="37"/>
      <c r="R939" s="37"/>
      <c r="S939" s="37"/>
      <c r="T939" s="37"/>
      <c r="U939" s="37"/>
      <c r="V939" s="37"/>
      <c r="W939" s="37"/>
      <c r="X939" s="37"/>
      <c r="Y939" s="37"/>
      <c r="Z939" s="37"/>
      <c r="AA939" s="37"/>
      <c r="AB939" s="37"/>
      <c r="AC939" s="37"/>
      <c r="AD939" s="37"/>
      <c r="AE939" s="37"/>
      <c r="AF939" s="37"/>
      <c r="AG939" s="37"/>
      <c r="AH939" s="37"/>
      <c r="AI939" s="37"/>
      <c r="AJ939" s="37"/>
      <c r="AK939" s="37"/>
    </row>
    <row r="940" spans="1:37" ht="14.25">
      <c r="A940" s="43"/>
      <c r="B940" s="37"/>
      <c r="C940" s="37"/>
      <c r="D940" s="37"/>
      <c r="E940" s="37"/>
      <c r="F940" s="43"/>
      <c r="G940" s="43"/>
      <c r="H940" s="44"/>
      <c r="I940" s="43"/>
      <c r="J940" s="37"/>
      <c r="K940" s="37"/>
      <c r="L940" s="37"/>
      <c r="M940" s="37"/>
      <c r="N940" s="37"/>
      <c r="O940" s="37"/>
      <c r="P940" s="37"/>
      <c r="Q940" s="37"/>
      <c r="R940" s="37"/>
      <c r="S940" s="37"/>
      <c r="T940" s="37"/>
      <c r="U940" s="37"/>
      <c r="V940" s="37"/>
      <c r="W940" s="37"/>
      <c r="X940" s="37"/>
      <c r="Y940" s="37"/>
      <c r="Z940" s="37"/>
      <c r="AA940" s="37"/>
      <c r="AB940" s="37"/>
      <c r="AC940" s="37"/>
      <c r="AD940" s="37"/>
      <c r="AE940" s="37"/>
      <c r="AF940" s="37"/>
      <c r="AG940" s="37"/>
      <c r="AH940" s="37"/>
      <c r="AI940" s="37"/>
      <c r="AJ940" s="37"/>
      <c r="AK940" s="37"/>
    </row>
    <row r="941" spans="1:37" ht="14.25">
      <c r="A941" s="43"/>
      <c r="B941" s="37"/>
      <c r="C941" s="37"/>
      <c r="D941" s="37"/>
      <c r="E941" s="37"/>
      <c r="F941" s="43"/>
      <c r="G941" s="43"/>
      <c r="H941" s="44"/>
      <c r="I941" s="43"/>
      <c r="J941" s="37"/>
      <c r="K941" s="37"/>
      <c r="L941" s="37"/>
      <c r="M941" s="37"/>
      <c r="N941" s="37"/>
      <c r="O941" s="37"/>
      <c r="P941" s="37"/>
      <c r="Q941" s="37"/>
      <c r="R941" s="37"/>
      <c r="S941" s="37"/>
      <c r="T941" s="37"/>
      <c r="U941" s="37"/>
      <c r="V941" s="37"/>
      <c r="W941" s="37"/>
      <c r="X941" s="37"/>
      <c r="Y941" s="37"/>
      <c r="Z941" s="37"/>
      <c r="AA941" s="37"/>
      <c r="AB941" s="37"/>
      <c r="AC941" s="37"/>
      <c r="AD941" s="37"/>
      <c r="AE941" s="37"/>
      <c r="AF941" s="37"/>
      <c r="AG941" s="37"/>
      <c r="AH941" s="37"/>
      <c r="AI941" s="37"/>
      <c r="AJ941" s="37"/>
      <c r="AK941" s="37"/>
    </row>
    <row r="942" spans="1:37" ht="14.25">
      <c r="A942" s="43"/>
      <c r="B942" s="37"/>
      <c r="C942" s="37"/>
      <c r="D942" s="37"/>
      <c r="E942" s="37"/>
      <c r="F942" s="43"/>
      <c r="G942" s="43"/>
      <c r="H942" s="44"/>
      <c r="I942" s="43"/>
      <c r="J942" s="37"/>
      <c r="K942" s="37"/>
      <c r="L942" s="37"/>
      <c r="M942" s="37"/>
      <c r="N942" s="37"/>
      <c r="O942" s="37"/>
      <c r="P942" s="37"/>
      <c r="Q942" s="37"/>
      <c r="R942" s="37"/>
      <c r="S942" s="37"/>
      <c r="T942" s="37"/>
      <c r="U942" s="37"/>
      <c r="V942" s="37"/>
      <c r="W942" s="37"/>
      <c r="X942" s="37"/>
      <c r="Y942" s="37"/>
      <c r="Z942" s="37"/>
      <c r="AA942" s="37"/>
      <c r="AB942" s="37"/>
      <c r="AC942" s="37"/>
      <c r="AD942" s="37"/>
      <c r="AE942" s="37"/>
      <c r="AF942" s="37"/>
      <c r="AG942" s="37"/>
      <c r="AH942" s="37"/>
      <c r="AI942" s="37"/>
      <c r="AJ942" s="37"/>
      <c r="AK942" s="37"/>
    </row>
    <row r="943" spans="1:37" ht="14.25">
      <c r="A943" s="43"/>
      <c r="B943" s="37"/>
      <c r="C943" s="37"/>
      <c r="D943" s="37"/>
      <c r="E943" s="37"/>
      <c r="F943" s="43"/>
      <c r="G943" s="43"/>
      <c r="H943" s="44"/>
      <c r="I943" s="43"/>
      <c r="J943" s="37"/>
      <c r="K943" s="37"/>
      <c r="L943" s="37"/>
      <c r="M943" s="37"/>
      <c r="N943" s="37"/>
      <c r="O943" s="37"/>
      <c r="P943" s="37"/>
      <c r="Q943" s="37"/>
      <c r="R943" s="37"/>
      <c r="S943" s="37"/>
      <c r="T943" s="37"/>
      <c r="U943" s="37"/>
      <c r="V943" s="37"/>
      <c r="W943" s="37"/>
      <c r="X943" s="37"/>
      <c r="Y943" s="37"/>
      <c r="Z943" s="37"/>
      <c r="AA943" s="37"/>
      <c r="AB943" s="37"/>
      <c r="AC943" s="37"/>
      <c r="AD943" s="37"/>
      <c r="AE943" s="37"/>
      <c r="AF943" s="37"/>
      <c r="AG943" s="37"/>
      <c r="AH943" s="37"/>
      <c r="AI943" s="37"/>
      <c r="AJ943" s="37"/>
      <c r="AK943" s="37"/>
    </row>
    <row r="944" spans="1:37" ht="14.25">
      <c r="A944" s="43"/>
      <c r="B944" s="37"/>
      <c r="C944" s="37"/>
      <c r="D944" s="37"/>
      <c r="E944" s="37"/>
      <c r="F944" s="43"/>
      <c r="G944" s="43"/>
      <c r="H944" s="44"/>
      <c r="I944" s="43"/>
      <c r="J944" s="37"/>
      <c r="K944" s="37"/>
      <c r="L944" s="37"/>
      <c r="M944" s="37"/>
      <c r="N944" s="37"/>
      <c r="O944" s="37"/>
      <c r="P944" s="37"/>
      <c r="Q944" s="37"/>
      <c r="R944" s="37"/>
      <c r="S944" s="37"/>
      <c r="T944" s="37"/>
      <c r="U944" s="37"/>
      <c r="V944" s="37"/>
      <c r="W944" s="37"/>
      <c r="X944" s="37"/>
      <c r="Y944" s="37"/>
      <c r="Z944" s="37"/>
      <c r="AA944" s="37"/>
      <c r="AB944" s="37"/>
      <c r="AC944" s="37"/>
      <c r="AD944" s="37"/>
      <c r="AE944" s="37"/>
      <c r="AF944" s="37"/>
      <c r="AG944" s="37"/>
      <c r="AH944" s="37"/>
      <c r="AI944" s="37"/>
      <c r="AJ944" s="37"/>
      <c r="AK944" s="37"/>
    </row>
    <row r="945" spans="1:37" ht="14.25">
      <c r="A945" s="43"/>
      <c r="B945" s="37"/>
      <c r="C945" s="37"/>
      <c r="D945" s="37"/>
      <c r="E945" s="37"/>
      <c r="F945" s="43"/>
      <c r="G945" s="43"/>
      <c r="H945" s="44"/>
      <c r="I945" s="43"/>
      <c r="J945" s="37"/>
      <c r="K945" s="37"/>
      <c r="L945" s="37"/>
      <c r="M945" s="37"/>
      <c r="N945" s="37"/>
      <c r="O945" s="37"/>
      <c r="P945" s="37"/>
      <c r="Q945" s="37"/>
      <c r="R945" s="37"/>
      <c r="S945" s="37"/>
      <c r="T945" s="37"/>
      <c r="U945" s="37"/>
      <c r="V945" s="37"/>
      <c r="W945" s="37"/>
      <c r="X945" s="37"/>
      <c r="Y945" s="37"/>
      <c r="Z945" s="37"/>
      <c r="AA945" s="37"/>
      <c r="AB945" s="37"/>
      <c r="AC945" s="37"/>
      <c r="AD945" s="37"/>
      <c r="AE945" s="37"/>
      <c r="AF945" s="37"/>
      <c r="AG945" s="37"/>
      <c r="AH945" s="37"/>
      <c r="AI945" s="37"/>
      <c r="AJ945" s="37"/>
      <c r="AK945" s="37"/>
    </row>
    <row r="946" spans="1:37" ht="14.25">
      <c r="A946" s="43"/>
      <c r="B946" s="37"/>
      <c r="C946" s="37"/>
      <c r="D946" s="37"/>
      <c r="E946" s="37"/>
      <c r="F946" s="43"/>
      <c r="G946" s="43"/>
      <c r="H946" s="44"/>
      <c r="I946" s="43"/>
      <c r="J946" s="37"/>
      <c r="K946" s="37"/>
      <c r="L946" s="37"/>
      <c r="M946" s="37"/>
      <c r="N946" s="37"/>
      <c r="O946" s="37"/>
      <c r="P946" s="37"/>
      <c r="Q946" s="37"/>
      <c r="R946" s="37"/>
      <c r="S946" s="37"/>
      <c r="T946" s="37"/>
      <c r="U946" s="37"/>
      <c r="V946" s="37"/>
      <c r="W946" s="37"/>
      <c r="X946" s="37"/>
      <c r="Y946" s="37"/>
      <c r="Z946" s="37"/>
      <c r="AA946" s="37"/>
      <c r="AB946" s="37"/>
      <c r="AC946" s="37"/>
      <c r="AD946" s="37"/>
      <c r="AE946" s="37"/>
      <c r="AF946" s="37"/>
      <c r="AG946" s="37"/>
      <c r="AH946" s="37"/>
      <c r="AI946" s="37"/>
      <c r="AJ946" s="37"/>
      <c r="AK946" s="37"/>
    </row>
    <row r="947" spans="1:37" ht="14.25">
      <c r="A947" s="43"/>
      <c r="B947" s="37"/>
      <c r="C947" s="37"/>
      <c r="D947" s="37"/>
      <c r="E947" s="37"/>
      <c r="F947" s="43"/>
      <c r="G947" s="43"/>
      <c r="H947" s="44"/>
      <c r="I947" s="43"/>
      <c r="J947" s="37"/>
      <c r="K947" s="37"/>
      <c r="L947" s="37"/>
      <c r="M947" s="37"/>
      <c r="N947" s="37"/>
      <c r="O947" s="37"/>
      <c r="P947" s="37"/>
      <c r="Q947" s="37"/>
      <c r="R947" s="37"/>
      <c r="S947" s="37"/>
      <c r="T947" s="37"/>
      <c r="U947" s="37"/>
      <c r="V947" s="37"/>
      <c r="W947" s="37"/>
      <c r="X947" s="37"/>
      <c r="Y947" s="37"/>
      <c r="Z947" s="37"/>
      <c r="AA947" s="37"/>
      <c r="AB947" s="37"/>
      <c r="AC947" s="37"/>
      <c r="AD947" s="37"/>
      <c r="AE947" s="37"/>
      <c r="AF947" s="37"/>
      <c r="AG947" s="37"/>
      <c r="AH947" s="37"/>
      <c r="AI947" s="37"/>
      <c r="AJ947" s="37"/>
      <c r="AK947" s="37"/>
    </row>
    <row r="948" spans="1:37" ht="14.25">
      <c r="A948" s="43"/>
      <c r="B948" s="37"/>
      <c r="C948" s="37"/>
      <c r="D948" s="37"/>
      <c r="E948" s="37"/>
      <c r="F948" s="43"/>
      <c r="G948" s="43"/>
      <c r="H948" s="44"/>
      <c r="I948" s="43"/>
      <c r="J948" s="37"/>
      <c r="K948" s="37"/>
      <c r="L948" s="37"/>
      <c r="M948" s="37"/>
      <c r="N948" s="37"/>
      <c r="O948" s="37"/>
      <c r="P948" s="37"/>
      <c r="Q948" s="37"/>
      <c r="R948" s="37"/>
      <c r="S948" s="37"/>
      <c r="T948" s="37"/>
      <c r="U948" s="37"/>
      <c r="V948" s="37"/>
      <c r="W948" s="37"/>
      <c r="X948" s="37"/>
      <c r="Y948" s="37"/>
      <c r="Z948" s="37"/>
      <c r="AA948" s="37"/>
      <c r="AB948" s="37"/>
      <c r="AC948" s="37"/>
      <c r="AD948" s="37"/>
      <c r="AE948" s="37"/>
      <c r="AF948" s="37"/>
      <c r="AG948" s="37"/>
      <c r="AH948" s="37"/>
      <c r="AI948" s="37"/>
      <c r="AJ948" s="37"/>
      <c r="AK948" s="37"/>
    </row>
    <row r="949" spans="1:37" ht="14.25">
      <c r="A949" s="43"/>
      <c r="B949" s="37"/>
      <c r="C949" s="37"/>
      <c r="D949" s="37"/>
      <c r="E949" s="37"/>
      <c r="F949" s="43"/>
      <c r="G949" s="43"/>
      <c r="H949" s="44"/>
      <c r="I949" s="43"/>
      <c r="J949" s="37"/>
      <c r="K949" s="37"/>
      <c r="L949" s="37"/>
      <c r="M949" s="37"/>
      <c r="N949" s="37"/>
      <c r="O949" s="37"/>
      <c r="P949" s="37"/>
      <c r="Q949" s="37"/>
      <c r="R949" s="37"/>
      <c r="S949" s="37"/>
      <c r="T949" s="37"/>
      <c r="U949" s="37"/>
      <c r="V949" s="37"/>
      <c r="W949" s="37"/>
      <c r="X949" s="37"/>
      <c r="Y949" s="37"/>
      <c r="Z949" s="37"/>
      <c r="AA949" s="37"/>
      <c r="AB949" s="37"/>
      <c r="AC949" s="37"/>
      <c r="AD949" s="37"/>
      <c r="AE949" s="37"/>
      <c r="AF949" s="37"/>
      <c r="AG949" s="37"/>
      <c r="AH949" s="37"/>
      <c r="AI949" s="37"/>
      <c r="AJ949" s="37"/>
      <c r="AK949" s="37"/>
    </row>
    <row r="950" spans="1:37" ht="14.25">
      <c r="A950" s="43"/>
      <c r="B950" s="37"/>
      <c r="C950" s="37"/>
      <c r="D950" s="37"/>
      <c r="E950" s="37"/>
      <c r="F950" s="43"/>
      <c r="G950" s="43"/>
      <c r="H950" s="44"/>
      <c r="I950" s="43"/>
      <c r="J950" s="37"/>
      <c r="K950" s="37"/>
      <c r="L950" s="37"/>
      <c r="M950" s="37"/>
      <c r="N950" s="37"/>
      <c r="O950" s="37"/>
      <c r="P950" s="37"/>
      <c r="Q950" s="37"/>
      <c r="R950" s="37"/>
      <c r="S950" s="37"/>
      <c r="T950" s="37"/>
      <c r="U950" s="37"/>
      <c r="V950" s="37"/>
      <c r="W950" s="37"/>
      <c r="X950" s="37"/>
      <c r="Y950" s="37"/>
      <c r="Z950" s="37"/>
      <c r="AA950" s="37"/>
      <c r="AB950" s="37"/>
      <c r="AC950" s="37"/>
      <c r="AD950" s="37"/>
      <c r="AE950" s="37"/>
      <c r="AF950" s="37"/>
      <c r="AG950" s="37"/>
      <c r="AH950" s="37"/>
      <c r="AI950" s="37"/>
      <c r="AJ950" s="37"/>
      <c r="AK950" s="37"/>
    </row>
    <row r="951" spans="1:37" ht="14.25">
      <c r="A951" s="43"/>
      <c r="B951" s="37"/>
      <c r="C951" s="37"/>
      <c r="D951" s="37"/>
      <c r="E951" s="37"/>
      <c r="F951" s="43"/>
      <c r="G951" s="43"/>
      <c r="H951" s="44"/>
      <c r="I951" s="43"/>
      <c r="J951" s="37"/>
      <c r="K951" s="37"/>
      <c r="L951" s="37"/>
      <c r="M951" s="37"/>
      <c r="N951" s="37"/>
      <c r="O951" s="37"/>
      <c r="P951" s="37"/>
      <c r="Q951" s="37"/>
      <c r="R951" s="37"/>
      <c r="S951" s="37"/>
      <c r="T951" s="37"/>
      <c r="U951" s="37"/>
      <c r="V951" s="37"/>
      <c r="W951" s="37"/>
      <c r="X951" s="37"/>
      <c r="Y951" s="37"/>
      <c r="Z951" s="37"/>
      <c r="AA951" s="37"/>
      <c r="AB951" s="37"/>
      <c r="AC951" s="37"/>
      <c r="AD951" s="37"/>
      <c r="AE951" s="37"/>
      <c r="AF951" s="37"/>
      <c r="AG951" s="37"/>
      <c r="AH951" s="37"/>
      <c r="AI951" s="37"/>
      <c r="AJ951" s="37"/>
      <c r="AK951" s="37"/>
    </row>
    <row r="952" spans="1:37" ht="14.25">
      <c r="A952" s="43"/>
      <c r="B952" s="37"/>
      <c r="C952" s="37"/>
      <c r="D952" s="37"/>
      <c r="E952" s="37"/>
      <c r="F952" s="43"/>
      <c r="G952" s="43"/>
      <c r="H952" s="44"/>
      <c r="I952" s="43"/>
      <c r="J952" s="37"/>
      <c r="K952" s="37"/>
      <c r="L952" s="37"/>
      <c r="M952" s="37"/>
      <c r="N952" s="37"/>
      <c r="O952" s="37"/>
      <c r="P952" s="37"/>
      <c r="Q952" s="37"/>
      <c r="R952" s="37"/>
      <c r="S952" s="37"/>
      <c r="T952" s="37"/>
      <c r="U952" s="37"/>
      <c r="V952" s="37"/>
      <c r="W952" s="37"/>
      <c r="X952" s="37"/>
      <c r="Y952" s="37"/>
      <c r="Z952" s="37"/>
      <c r="AA952" s="37"/>
      <c r="AB952" s="37"/>
      <c r="AC952" s="37"/>
      <c r="AD952" s="37"/>
      <c r="AE952" s="37"/>
      <c r="AF952" s="37"/>
      <c r="AG952" s="37"/>
      <c r="AH952" s="37"/>
      <c r="AI952" s="37"/>
      <c r="AJ952" s="37"/>
      <c r="AK952" s="37"/>
    </row>
    <row r="953" spans="1:37" ht="14.25">
      <c r="A953" s="43"/>
      <c r="B953" s="37"/>
      <c r="C953" s="37"/>
      <c r="D953" s="37"/>
      <c r="E953" s="37"/>
      <c r="F953" s="43"/>
      <c r="G953" s="43"/>
      <c r="H953" s="44"/>
      <c r="I953" s="43"/>
      <c r="J953" s="37"/>
      <c r="K953" s="37"/>
      <c r="L953" s="37"/>
      <c r="M953" s="37"/>
      <c r="N953" s="37"/>
      <c r="O953" s="37"/>
      <c r="P953" s="37"/>
      <c r="Q953" s="37"/>
      <c r="R953" s="37"/>
      <c r="S953" s="37"/>
      <c r="T953" s="37"/>
      <c r="U953" s="37"/>
      <c r="V953" s="37"/>
      <c r="W953" s="37"/>
      <c r="X953" s="37"/>
      <c r="Y953" s="37"/>
      <c r="Z953" s="37"/>
      <c r="AA953" s="37"/>
      <c r="AB953" s="37"/>
      <c r="AC953" s="37"/>
      <c r="AD953" s="37"/>
      <c r="AE953" s="37"/>
      <c r="AF953" s="37"/>
      <c r="AG953" s="37"/>
      <c r="AH953" s="37"/>
      <c r="AI953" s="37"/>
      <c r="AJ953" s="37"/>
      <c r="AK953" s="37"/>
    </row>
    <row r="954" spans="1:37" ht="14.25">
      <c r="A954" s="43"/>
      <c r="B954" s="37"/>
      <c r="C954" s="37"/>
      <c r="D954" s="37"/>
      <c r="E954" s="37"/>
      <c r="F954" s="43"/>
      <c r="G954" s="43"/>
      <c r="H954" s="44"/>
      <c r="I954" s="43"/>
      <c r="J954" s="37"/>
      <c r="K954" s="37"/>
      <c r="L954" s="37"/>
      <c r="M954" s="37"/>
      <c r="N954" s="37"/>
      <c r="O954" s="37"/>
      <c r="P954" s="37"/>
      <c r="Q954" s="37"/>
      <c r="R954" s="37"/>
      <c r="S954" s="37"/>
      <c r="T954" s="37"/>
      <c r="U954" s="37"/>
      <c r="V954" s="37"/>
      <c r="W954" s="37"/>
      <c r="X954" s="37"/>
      <c r="Y954" s="37"/>
      <c r="Z954" s="37"/>
      <c r="AA954" s="37"/>
      <c r="AB954" s="37"/>
      <c r="AC954" s="37"/>
      <c r="AD954" s="37"/>
      <c r="AE954" s="37"/>
      <c r="AF954" s="37"/>
      <c r="AG954" s="37"/>
      <c r="AH954" s="37"/>
      <c r="AI954" s="37"/>
      <c r="AJ954" s="37"/>
      <c r="AK954" s="37"/>
    </row>
    <row r="955" spans="1:37" ht="14.25">
      <c r="A955" s="43"/>
      <c r="B955" s="37"/>
      <c r="C955" s="37"/>
      <c r="D955" s="37"/>
      <c r="E955" s="37"/>
      <c r="F955" s="43"/>
      <c r="G955" s="43"/>
      <c r="H955" s="44"/>
      <c r="I955" s="43"/>
      <c r="J955" s="37"/>
      <c r="K955" s="37"/>
      <c r="L955" s="37"/>
      <c r="M955" s="37"/>
      <c r="N955" s="37"/>
      <c r="O955" s="37"/>
      <c r="P955" s="37"/>
      <c r="Q955" s="37"/>
      <c r="R955" s="37"/>
      <c r="S955" s="37"/>
      <c r="T955" s="37"/>
      <c r="U955" s="37"/>
      <c r="V955" s="37"/>
      <c r="W955" s="37"/>
      <c r="X955" s="37"/>
      <c r="Y955" s="37"/>
      <c r="Z955" s="37"/>
      <c r="AA955" s="37"/>
      <c r="AB955" s="37"/>
      <c r="AC955" s="37"/>
      <c r="AD955" s="37"/>
      <c r="AE955" s="37"/>
      <c r="AF955" s="37"/>
      <c r="AG955" s="37"/>
      <c r="AH955" s="37"/>
      <c r="AI955" s="37"/>
      <c r="AJ955" s="37"/>
      <c r="AK955" s="37"/>
    </row>
    <row r="956" spans="1:37" ht="14.25">
      <c r="A956" s="43"/>
      <c r="B956" s="37"/>
      <c r="C956" s="37"/>
      <c r="D956" s="37"/>
      <c r="E956" s="37"/>
      <c r="F956" s="43"/>
      <c r="G956" s="43"/>
      <c r="H956" s="44"/>
      <c r="I956" s="43"/>
      <c r="J956" s="37"/>
      <c r="K956" s="37"/>
      <c r="L956" s="37"/>
      <c r="M956" s="37"/>
      <c r="N956" s="37"/>
      <c r="O956" s="37"/>
      <c r="P956" s="37"/>
      <c r="Q956" s="37"/>
      <c r="R956" s="37"/>
      <c r="S956" s="37"/>
      <c r="T956" s="37"/>
      <c r="U956" s="37"/>
      <c r="V956" s="37"/>
      <c r="W956" s="37"/>
      <c r="X956" s="37"/>
      <c r="Y956" s="37"/>
      <c r="Z956" s="37"/>
      <c r="AA956" s="37"/>
      <c r="AB956" s="37"/>
      <c r="AC956" s="37"/>
      <c r="AD956" s="37"/>
      <c r="AE956" s="37"/>
      <c r="AF956" s="37"/>
      <c r="AG956" s="37"/>
      <c r="AH956" s="37"/>
      <c r="AI956" s="37"/>
      <c r="AJ956" s="37"/>
      <c r="AK956" s="37"/>
    </row>
    <row r="957" spans="1:37" ht="14.25">
      <c r="A957" s="43"/>
      <c r="B957" s="37"/>
      <c r="C957" s="37"/>
      <c r="D957" s="37"/>
      <c r="E957" s="37"/>
      <c r="F957" s="43"/>
      <c r="G957" s="43"/>
      <c r="H957" s="44"/>
      <c r="I957" s="43"/>
      <c r="J957" s="37"/>
      <c r="K957" s="37"/>
      <c r="L957" s="37"/>
      <c r="M957" s="37"/>
      <c r="N957" s="37"/>
      <c r="O957" s="37"/>
      <c r="P957" s="37"/>
      <c r="Q957" s="37"/>
      <c r="R957" s="37"/>
      <c r="S957" s="37"/>
      <c r="T957" s="37"/>
      <c r="U957" s="37"/>
      <c r="V957" s="37"/>
      <c r="W957" s="37"/>
      <c r="X957" s="37"/>
      <c r="Y957" s="37"/>
      <c r="Z957" s="37"/>
      <c r="AA957" s="37"/>
      <c r="AB957" s="37"/>
      <c r="AC957" s="37"/>
      <c r="AD957" s="37"/>
      <c r="AE957" s="37"/>
      <c r="AF957" s="37"/>
      <c r="AG957" s="37"/>
      <c r="AH957" s="37"/>
      <c r="AI957" s="37"/>
      <c r="AJ957" s="37"/>
      <c r="AK957" s="37"/>
    </row>
    <row r="958" spans="1:37" ht="14.25">
      <c r="A958" s="43"/>
      <c r="B958" s="37"/>
      <c r="C958" s="37"/>
      <c r="D958" s="37"/>
      <c r="E958" s="37"/>
      <c r="F958" s="43"/>
      <c r="G958" s="43"/>
      <c r="H958" s="44"/>
      <c r="I958" s="43"/>
      <c r="J958" s="37"/>
      <c r="K958" s="37"/>
      <c r="L958" s="37"/>
      <c r="M958" s="37"/>
      <c r="N958" s="37"/>
      <c r="O958" s="37"/>
      <c r="P958" s="37"/>
      <c r="Q958" s="37"/>
      <c r="R958" s="37"/>
      <c r="S958" s="37"/>
      <c r="T958" s="37"/>
      <c r="U958" s="37"/>
      <c r="V958" s="37"/>
      <c r="W958" s="37"/>
      <c r="X958" s="37"/>
      <c r="Y958" s="37"/>
      <c r="Z958" s="37"/>
      <c r="AA958" s="37"/>
      <c r="AB958" s="37"/>
      <c r="AC958" s="37"/>
      <c r="AD958" s="37"/>
      <c r="AE958" s="37"/>
      <c r="AF958" s="37"/>
      <c r="AG958" s="37"/>
      <c r="AH958" s="37"/>
      <c r="AI958" s="37"/>
      <c r="AJ958" s="37"/>
      <c r="AK958" s="37"/>
    </row>
    <row r="959" spans="1:37" ht="14.25">
      <c r="A959" s="43"/>
      <c r="B959" s="37"/>
      <c r="C959" s="37"/>
      <c r="D959" s="37"/>
      <c r="E959" s="37"/>
      <c r="F959" s="43"/>
      <c r="G959" s="43"/>
      <c r="H959" s="44"/>
      <c r="I959" s="43"/>
      <c r="J959" s="37"/>
      <c r="K959" s="37"/>
      <c r="L959" s="37"/>
      <c r="M959" s="37"/>
      <c r="N959" s="37"/>
      <c r="O959" s="37"/>
      <c r="P959" s="37"/>
      <c r="Q959" s="37"/>
      <c r="R959" s="37"/>
      <c r="S959" s="37"/>
      <c r="T959" s="37"/>
      <c r="U959" s="37"/>
      <c r="V959" s="37"/>
      <c r="W959" s="37"/>
      <c r="X959" s="37"/>
      <c r="Y959" s="37"/>
      <c r="Z959" s="37"/>
      <c r="AA959" s="37"/>
      <c r="AB959" s="37"/>
      <c r="AC959" s="37"/>
      <c r="AD959" s="37"/>
      <c r="AE959" s="37"/>
      <c r="AF959" s="37"/>
      <c r="AG959" s="37"/>
      <c r="AH959" s="37"/>
      <c r="AI959" s="37"/>
      <c r="AJ959" s="37"/>
      <c r="AK959" s="37"/>
    </row>
    <row r="960" spans="1:37" ht="14.25">
      <c r="A960" s="43"/>
      <c r="B960" s="37"/>
      <c r="C960" s="37"/>
      <c r="D960" s="37"/>
      <c r="E960" s="37"/>
      <c r="F960" s="43"/>
      <c r="G960" s="43"/>
      <c r="H960" s="44"/>
      <c r="I960" s="43"/>
      <c r="J960" s="37"/>
      <c r="K960" s="37"/>
      <c r="L960" s="37"/>
      <c r="M960" s="37"/>
      <c r="N960" s="37"/>
      <c r="O960" s="37"/>
      <c r="P960" s="37"/>
      <c r="Q960" s="37"/>
      <c r="R960" s="37"/>
      <c r="S960" s="37"/>
      <c r="T960" s="37"/>
      <c r="U960" s="37"/>
      <c r="V960" s="37"/>
      <c r="W960" s="37"/>
      <c r="X960" s="37"/>
      <c r="Y960" s="37"/>
      <c r="Z960" s="37"/>
      <c r="AA960" s="37"/>
      <c r="AB960" s="37"/>
      <c r="AC960" s="37"/>
      <c r="AD960" s="37"/>
      <c r="AE960" s="37"/>
      <c r="AF960" s="37"/>
      <c r="AG960" s="37"/>
      <c r="AH960" s="37"/>
      <c r="AI960" s="37"/>
      <c r="AJ960" s="37"/>
      <c r="AK960" s="37"/>
    </row>
    <row r="961" spans="1:37" ht="14.25">
      <c r="A961" s="43"/>
      <c r="B961" s="37"/>
      <c r="C961" s="37"/>
      <c r="D961" s="37"/>
      <c r="E961" s="37"/>
      <c r="F961" s="43"/>
      <c r="G961" s="43"/>
      <c r="H961" s="44"/>
      <c r="I961" s="43"/>
      <c r="J961" s="37"/>
      <c r="K961" s="37"/>
      <c r="L961" s="37"/>
      <c r="M961" s="37"/>
      <c r="N961" s="37"/>
      <c r="O961" s="37"/>
      <c r="P961" s="37"/>
      <c r="Q961" s="37"/>
      <c r="R961" s="37"/>
      <c r="S961" s="37"/>
      <c r="T961" s="37"/>
      <c r="U961" s="37"/>
      <c r="V961" s="37"/>
      <c r="W961" s="37"/>
      <c r="X961" s="37"/>
      <c r="Y961" s="37"/>
      <c r="Z961" s="37"/>
      <c r="AA961" s="37"/>
      <c r="AB961" s="37"/>
      <c r="AC961" s="37"/>
      <c r="AD961" s="37"/>
      <c r="AE961" s="37"/>
      <c r="AF961" s="37"/>
      <c r="AG961" s="37"/>
      <c r="AH961" s="37"/>
      <c r="AI961" s="37"/>
      <c r="AJ961" s="37"/>
      <c r="AK961" s="37"/>
    </row>
    <row r="962" spans="1:37" ht="14.25">
      <c r="A962" s="43"/>
      <c r="B962" s="37"/>
      <c r="C962" s="37"/>
      <c r="D962" s="37"/>
      <c r="E962" s="37"/>
      <c r="F962" s="43"/>
      <c r="G962" s="43"/>
      <c r="H962" s="44"/>
      <c r="I962" s="43"/>
      <c r="J962" s="37"/>
      <c r="K962" s="37"/>
      <c r="L962" s="37"/>
      <c r="M962" s="37"/>
      <c r="N962" s="37"/>
      <c r="O962" s="37"/>
      <c r="P962" s="37"/>
      <c r="Q962" s="37"/>
      <c r="R962" s="37"/>
      <c r="S962" s="37"/>
      <c r="T962" s="37"/>
      <c r="U962" s="37"/>
      <c r="V962" s="37"/>
      <c r="W962" s="37"/>
      <c r="X962" s="37"/>
      <c r="Y962" s="37"/>
      <c r="Z962" s="37"/>
      <c r="AA962" s="37"/>
      <c r="AB962" s="37"/>
      <c r="AC962" s="37"/>
      <c r="AD962" s="37"/>
      <c r="AE962" s="37"/>
      <c r="AF962" s="37"/>
      <c r="AG962" s="37"/>
      <c r="AH962" s="37"/>
      <c r="AI962" s="37"/>
      <c r="AJ962" s="37"/>
      <c r="AK962" s="37"/>
    </row>
    <row r="963" spans="1:37" ht="14.25">
      <c r="A963" s="43"/>
      <c r="B963" s="37"/>
      <c r="C963" s="37"/>
      <c r="D963" s="37"/>
      <c r="E963" s="37"/>
      <c r="F963" s="43"/>
      <c r="G963" s="43"/>
      <c r="H963" s="44"/>
      <c r="I963" s="43"/>
      <c r="J963" s="37"/>
      <c r="K963" s="37"/>
      <c r="L963" s="37"/>
      <c r="M963" s="37"/>
      <c r="N963" s="37"/>
      <c r="O963" s="37"/>
      <c r="P963" s="37"/>
      <c r="Q963" s="37"/>
      <c r="R963" s="37"/>
      <c r="S963" s="37"/>
      <c r="T963" s="37"/>
      <c r="U963" s="37"/>
      <c r="V963" s="37"/>
      <c r="W963" s="37"/>
      <c r="X963" s="37"/>
      <c r="Y963" s="37"/>
      <c r="Z963" s="37"/>
      <c r="AA963" s="37"/>
      <c r="AB963" s="37"/>
      <c r="AC963" s="37"/>
      <c r="AD963" s="37"/>
      <c r="AE963" s="37"/>
      <c r="AF963" s="37"/>
      <c r="AG963" s="37"/>
      <c r="AH963" s="37"/>
      <c r="AI963" s="37"/>
      <c r="AJ963" s="37"/>
      <c r="AK963" s="37"/>
    </row>
    <row r="964" spans="1:37" ht="14.25">
      <c r="A964" s="43"/>
      <c r="B964" s="37"/>
      <c r="C964" s="37"/>
      <c r="D964" s="37"/>
      <c r="E964" s="37"/>
      <c r="F964" s="43"/>
      <c r="G964" s="43"/>
      <c r="H964" s="44"/>
      <c r="I964" s="43"/>
      <c r="J964" s="37"/>
      <c r="K964" s="37"/>
      <c r="L964" s="37"/>
      <c r="M964" s="37"/>
      <c r="N964" s="37"/>
      <c r="O964" s="37"/>
      <c r="P964" s="37"/>
      <c r="Q964" s="37"/>
      <c r="R964" s="37"/>
      <c r="S964" s="37"/>
      <c r="T964" s="37"/>
      <c r="U964" s="37"/>
      <c r="V964" s="37"/>
      <c r="W964" s="37"/>
      <c r="X964" s="37"/>
      <c r="Y964" s="37"/>
      <c r="Z964" s="37"/>
      <c r="AA964" s="37"/>
      <c r="AB964" s="37"/>
      <c r="AC964" s="37"/>
      <c r="AD964" s="37"/>
      <c r="AE964" s="37"/>
      <c r="AF964" s="37"/>
      <c r="AG964" s="37"/>
      <c r="AH964" s="37"/>
      <c r="AI964" s="37"/>
      <c r="AJ964" s="37"/>
      <c r="AK964" s="37"/>
    </row>
    <row r="965" spans="1:37" ht="14.25">
      <c r="A965" s="43"/>
      <c r="B965" s="37"/>
      <c r="C965" s="37"/>
      <c r="D965" s="37"/>
      <c r="E965" s="37"/>
      <c r="F965" s="43"/>
      <c r="G965" s="43"/>
      <c r="H965" s="44"/>
      <c r="I965" s="43"/>
      <c r="J965" s="37"/>
      <c r="K965" s="37"/>
      <c r="L965" s="37"/>
      <c r="M965" s="37"/>
      <c r="N965" s="37"/>
      <c r="O965" s="37"/>
      <c r="P965" s="37"/>
      <c r="Q965" s="37"/>
      <c r="R965" s="37"/>
      <c r="S965" s="37"/>
      <c r="T965" s="37"/>
      <c r="U965" s="37"/>
      <c r="V965" s="37"/>
      <c r="W965" s="37"/>
      <c r="X965" s="37"/>
      <c r="Y965" s="37"/>
      <c r="Z965" s="37"/>
      <c r="AA965" s="37"/>
      <c r="AB965" s="37"/>
      <c r="AC965" s="37"/>
      <c r="AD965" s="37"/>
      <c r="AE965" s="37"/>
      <c r="AF965" s="37"/>
      <c r="AG965" s="37"/>
      <c r="AH965" s="37"/>
      <c r="AI965" s="37"/>
      <c r="AJ965" s="37"/>
      <c r="AK965" s="37"/>
    </row>
    <row r="966" spans="1:37" ht="14.25">
      <c r="A966" s="43"/>
      <c r="B966" s="37"/>
      <c r="C966" s="37"/>
      <c r="D966" s="37"/>
      <c r="E966" s="37"/>
      <c r="F966" s="43"/>
      <c r="G966" s="43"/>
      <c r="H966" s="44"/>
      <c r="I966" s="43"/>
      <c r="J966" s="37"/>
      <c r="K966" s="37"/>
      <c r="L966" s="37"/>
      <c r="M966" s="37"/>
      <c r="N966" s="37"/>
      <c r="O966" s="37"/>
      <c r="P966" s="37"/>
      <c r="Q966" s="37"/>
      <c r="R966" s="37"/>
      <c r="S966" s="37"/>
      <c r="T966" s="37"/>
      <c r="U966" s="37"/>
      <c r="V966" s="37"/>
      <c r="W966" s="37"/>
      <c r="X966" s="37"/>
      <c r="Y966" s="37"/>
      <c r="Z966" s="37"/>
      <c r="AA966" s="37"/>
      <c r="AB966" s="37"/>
      <c r="AC966" s="37"/>
      <c r="AD966" s="37"/>
      <c r="AE966" s="37"/>
      <c r="AF966" s="37"/>
      <c r="AG966" s="37"/>
      <c r="AH966" s="37"/>
      <c r="AI966" s="37"/>
      <c r="AJ966" s="37"/>
      <c r="AK966" s="37"/>
    </row>
    <row r="967" spans="1:37" ht="14.25">
      <c r="A967" s="43"/>
      <c r="B967" s="37"/>
      <c r="C967" s="37"/>
      <c r="D967" s="37"/>
      <c r="E967" s="37"/>
      <c r="F967" s="43"/>
      <c r="G967" s="43"/>
      <c r="H967" s="44"/>
      <c r="I967" s="43"/>
      <c r="J967" s="37"/>
      <c r="K967" s="37"/>
      <c r="L967" s="37"/>
      <c r="M967" s="37"/>
      <c r="N967" s="37"/>
      <c r="O967" s="37"/>
      <c r="P967" s="37"/>
      <c r="Q967" s="37"/>
      <c r="R967" s="37"/>
      <c r="S967" s="37"/>
      <c r="T967" s="37"/>
      <c r="U967" s="37"/>
      <c r="V967" s="37"/>
      <c r="W967" s="37"/>
      <c r="X967" s="37"/>
      <c r="Y967" s="37"/>
      <c r="Z967" s="37"/>
      <c r="AA967" s="37"/>
      <c r="AB967" s="37"/>
      <c r="AC967" s="37"/>
      <c r="AD967" s="37"/>
      <c r="AE967" s="37"/>
      <c r="AF967" s="37"/>
      <c r="AG967" s="37"/>
      <c r="AH967" s="37"/>
      <c r="AI967" s="37"/>
      <c r="AJ967" s="37"/>
      <c r="AK967" s="37"/>
    </row>
    <row r="968" spans="1:37" ht="14.25">
      <c r="A968" s="43"/>
      <c r="B968" s="37"/>
      <c r="C968" s="37"/>
      <c r="D968" s="37"/>
      <c r="E968" s="37"/>
      <c r="F968" s="43"/>
      <c r="G968" s="43"/>
      <c r="H968" s="44"/>
      <c r="I968" s="43"/>
      <c r="J968" s="37"/>
      <c r="K968" s="37"/>
      <c r="L968" s="37"/>
      <c r="M968" s="37"/>
      <c r="N968" s="37"/>
      <c r="O968" s="37"/>
      <c r="P968" s="37"/>
      <c r="Q968" s="37"/>
      <c r="R968" s="37"/>
      <c r="S968" s="37"/>
      <c r="T968" s="37"/>
      <c r="U968" s="37"/>
      <c r="V968" s="37"/>
      <c r="W968" s="37"/>
      <c r="X968" s="37"/>
      <c r="Y968" s="37"/>
      <c r="Z968" s="37"/>
      <c r="AA968" s="37"/>
      <c r="AB968" s="37"/>
      <c r="AC968" s="37"/>
      <c r="AD968" s="37"/>
      <c r="AE968" s="37"/>
      <c r="AF968" s="37"/>
      <c r="AG968" s="37"/>
      <c r="AH968" s="37"/>
      <c r="AI968" s="37"/>
      <c r="AJ968" s="37"/>
      <c r="AK968" s="37"/>
    </row>
    <row r="969" spans="1:37" ht="14.25">
      <c r="A969" s="43"/>
      <c r="B969" s="37"/>
      <c r="C969" s="37"/>
      <c r="D969" s="37"/>
      <c r="E969" s="37"/>
      <c r="F969" s="43"/>
      <c r="G969" s="43"/>
      <c r="H969" s="44"/>
      <c r="I969" s="43"/>
      <c r="J969" s="37"/>
      <c r="K969" s="37"/>
      <c r="L969" s="37"/>
      <c r="M969" s="37"/>
      <c r="N969" s="37"/>
      <c r="O969" s="37"/>
      <c r="P969" s="37"/>
      <c r="Q969" s="37"/>
      <c r="R969" s="37"/>
      <c r="S969" s="37"/>
      <c r="T969" s="37"/>
      <c r="U969" s="37"/>
      <c r="V969" s="37"/>
      <c r="W969" s="37"/>
      <c r="X969" s="37"/>
      <c r="Y969" s="37"/>
      <c r="Z969" s="37"/>
      <c r="AA969" s="37"/>
      <c r="AB969" s="37"/>
      <c r="AC969" s="37"/>
      <c r="AD969" s="37"/>
      <c r="AE969" s="37"/>
      <c r="AF969" s="37"/>
      <c r="AG969" s="37"/>
      <c r="AH969" s="37"/>
      <c r="AI969" s="37"/>
      <c r="AJ969" s="37"/>
      <c r="AK969" s="37"/>
    </row>
    <row r="970" spans="1:37" ht="14.25">
      <c r="A970" s="43"/>
      <c r="B970" s="37"/>
      <c r="C970" s="37"/>
      <c r="D970" s="37"/>
      <c r="E970" s="37"/>
      <c r="F970" s="43"/>
      <c r="G970" s="43"/>
      <c r="H970" s="44"/>
      <c r="I970" s="43"/>
      <c r="J970" s="37"/>
      <c r="K970" s="37"/>
      <c r="L970" s="37"/>
      <c r="M970" s="37"/>
      <c r="N970" s="37"/>
      <c r="O970" s="37"/>
      <c r="P970" s="37"/>
      <c r="Q970" s="37"/>
      <c r="R970" s="37"/>
      <c r="S970" s="37"/>
      <c r="T970" s="37"/>
      <c r="U970" s="37"/>
      <c r="V970" s="37"/>
      <c r="W970" s="37"/>
      <c r="X970" s="37"/>
      <c r="Y970" s="37"/>
      <c r="Z970" s="37"/>
      <c r="AA970" s="37"/>
      <c r="AB970" s="37"/>
      <c r="AC970" s="37"/>
      <c r="AD970" s="37"/>
      <c r="AE970" s="37"/>
      <c r="AF970" s="37"/>
      <c r="AG970" s="37"/>
      <c r="AH970" s="37"/>
      <c r="AI970" s="37"/>
      <c r="AJ970" s="37"/>
      <c r="AK970" s="37"/>
    </row>
    <row r="971" spans="1:37" ht="14.25">
      <c r="A971" s="43"/>
      <c r="B971" s="37"/>
      <c r="C971" s="37"/>
      <c r="D971" s="37"/>
      <c r="E971" s="37"/>
      <c r="F971" s="43"/>
      <c r="G971" s="43"/>
      <c r="H971" s="44"/>
      <c r="I971" s="43"/>
      <c r="J971" s="37"/>
      <c r="K971" s="37"/>
      <c r="L971" s="37"/>
      <c r="M971" s="37"/>
      <c r="N971" s="37"/>
      <c r="O971" s="37"/>
      <c r="P971" s="37"/>
      <c r="Q971" s="37"/>
      <c r="R971" s="37"/>
      <c r="S971" s="37"/>
      <c r="T971" s="37"/>
      <c r="U971" s="37"/>
      <c r="V971" s="37"/>
      <c r="W971" s="37"/>
      <c r="X971" s="37"/>
      <c r="Y971" s="37"/>
      <c r="Z971" s="37"/>
      <c r="AA971" s="37"/>
      <c r="AB971" s="37"/>
      <c r="AC971" s="37"/>
      <c r="AD971" s="37"/>
      <c r="AE971" s="37"/>
      <c r="AF971" s="37"/>
      <c r="AG971" s="37"/>
      <c r="AH971" s="37"/>
      <c r="AI971" s="37"/>
      <c r="AJ971" s="37"/>
      <c r="AK971" s="37"/>
    </row>
    <row r="972" spans="1:37" ht="14.25">
      <c r="A972" s="43"/>
      <c r="B972" s="37"/>
      <c r="C972" s="37"/>
      <c r="D972" s="37"/>
      <c r="E972" s="37"/>
      <c r="F972" s="43"/>
      <c r="G972" s="43"/>
      <c r="H972" s="44"/>
      <c r="I972" s="43"/>
      <c r="J972" s="37"/>
      <c r="K972" s="37"/>
      <c r="L972" s="37"/>
      <c r="M972" s="37"/>
      <c r="N972" s="37"/>
      <c r="O972" s="37"/>
      <c r="P972" s="37"/>
      <c r="Q972" s="37"/>
      <c r="R972" s="37"/>
      <c r="S972" s="37"/>
      <c r="T972" s="37"/>
      <c r="U972" s="37"/>
      <c r="V972" s="37"/>
      <c r="W972" s="37"/>
      <c r="X972" s="37"/>
      <c r="Y972" s="37"/>
      <c r="Z972" s="37"/>
      <c r="AA972" s="37"/>
      <c r="AB972" s="37"/>
      <c r="AC972" s="37"/>
      <c r="AD972" s="37"/>
      <c r="AE972" s="37"/>
      <c r="AF972" s="37"/>
      <c r="AG972" s="37"/>
      <c r="AH972" s="37"/>
      <c r="AI972" s="37"/>
      <c r="AJ972" s="37"/>
      <c r="AK972" s="37"/>
    </row>
    <row r="973" spans="1:37" ht="14.25">
      <c r="A973" s="43"/>
      <c r="B973" s="37"/>
      <c r="C973" s="37"/>
      <c r="D973" s="37"/>
      <c r="E973" s="37"/>
      <c r="F973" s="43"/>
      <c r="G973" s="43"/>
      <c r="H973" s="44"/>
      <c r="I973" s="43"/>
      <c r="J973" s="37"/>
      <c r="K973" s="37"/>
      <c r="L973" s="37"/>
      <c r="M973" s="37"/>
      <c r="N973" s="37"/>
      <c r="O973" s="37"/>
      <c r="P973" s="37"/>
      <c r="Q973" s="37"/>
      <c r="R973" s="37"/>
      <c r="S973" s="37"/>
      <c r="T973" s="37"/>
      <c r="U973" s="37"/>
      <c r="V973" s="37"/>
      <c r="W973" s="37"/>
      <c r="X973" s="37"/>
      <c r="Y973" s="37"/>
      <c r="Z973" s="37"/>
      <c r="AA973" s="37"/>
      <c r="AB973" s="37"/>
      <c r="AC973" s="37"/>
      <c r="AD973" s="37"/>
      <c r="AE973" s="37"/>
      <c r="AF973" s="37"/>
      <c r="AG973" s="37"/>
      <c r="AH973" s="37"/>
      <c r="AI973" s="37"/>
      <c r="AJ973" s="37"/>
      <c r="AK973" s="37"/>
    </row>
    <row r="974" spans="1:37" ht="14.25">
      <c r="A974" s="43"/>
      <c r="B974" s="37"/>
      <c r="C974" s="37"/>
      <c r="D974" s="37"/>
      <c r="E974" s="37"/>
      <c r="F974" s="43"/>
      <c r="G974" s="43"/>
      <c r="H974" s="44"/>
      <c r="I974" s="43"/>
      <c r="J974" s="37"/>
      <c r="K974" s="37"/>
      <c r="L974" s="37"/>
      <c r="M974" s="37"/>
      <c r="N974" s="37"/>
      <c r="O974" s="37"/>
      <c r="P974" s="37"/>
      <c r="Q974" s="37"/>
      <c r="R974" s="37"/>
      <c r="S974" s="37"/>
      <c r="T974" s="37"/>
      <c r="U974" s="37"/>
      <c r="V974" s="37"/>
      <c r="W974" s="37"/>
      <c r="X974" s="37"/>
      <c r="Y974" s="37"/>
      <c r="Z974" s="37"/>
      <c r="AA974" s="37"/>
      <c r="AB974" s="37"/>
      <c r="AC974" s="37"/>
      <c r="AD974" s="37"/>
      <c r="AE974" s="37"/>
      <c r="AF974" s="37"/>
      <c r="AG974" s="37"/>
      <c r="AH974" s="37"/>
      <c r="AI974" s="37"/>
      <c r="AJ974" s="37"/>
      <c r="AK974" s="37"/>
    </row>
    <row r="975" spans="1:37" ht="14.25">
      <c r="A975" s="43"/>
      <c r="B975" s="37"/>
      <c r="C975" s="37"/>
      <c r="D975" s="37"/>
      <c r="E975" s="37"/>
      <c r="F975" s="43"/>
      <c r="G975" s="43"/>
      <c r="H975" s="44"/>
      <c r="I975" s="43"/>
      <c r="J975" s="37"/>
      <c r="K975" s="37"/>
      <c r="L975" s="37"/>
      <c r="M975" s="37"/>
      <c r="N975" s="37"/>
      <c r="O975" s="37"/>
      <c r="P975" s="37"/>
      <c r="Q975" s="37"/>
      <c r="R975" s="37"/>
      <c r="S975" s="37"/>
      <c r="T975" s="37"/>
      <c r="U975" s="37"/>
      <c r="V975" s="37"/>
      <c r="W975" s="37"/>
      <c r="X975" s="37"/>
      <c r="Y975" s="37"/>
      <c r="Z975" s="37"/>
      <c r="AA975" s="37"/>
      <c r="AB975" s="37"/>
      <c r="AC975" s="37"/>
      <c r="AD975" s="37"/>
      <c r="AE975" s="37"/>
      <c r="AF975" s="37"/>
      <c r="AG975" s="37"/>
      <c r="AH975" s="37"/>
      <c r="AI975" s="37"/>
      <c r="AJ975" s="37"/>
      <c r="AK975" s="37"/>
    </row>
    <row r="976" spans="1:37" ht="14.25">
      <c r="A976" s="43"/>
      <c r="B976" s="37"/>
      <c r="C976" s="37"/>
      <c r="D976" s="37"/>
      <c r="E976" s="37"/>
      <c r="F976" s="43"/>
      <c r="G976" s="43"/>
      <c r="H976" s="44"/>
      <c r="I976" s="43"/>
      <c r="J976" s="37"/>
      <c r="K976" s="37"/>
      <c r="L976" s="37"/>
      <c r="M976" s="37"/>
      <c r="N976" s="37"/>
      <c r="O976" s="37"/>
      <c r="P976" s="37"/>
      <c r="Q976" s="37"/>
      <c r="R976" s="37"/>
      <c r="S976" s="37"/>
      <c r="T976" s="37"/>
      <c r="U976" s="37"/>
      <c r="V976" s="37"/>
      <c r="W976" s="37"/>
      <c r="X976" s="37"/>
      <c r="Y976" s="37"/>
      <c r="Z976" s="37"/>
      <c r="AA976" s="37"/>
      <c r="AB976" s="37"/>
      <c r="AC976" s="37"/>
      <c r="AD976" s="37"/>
      <c r="AE976" s="37"/>
      <c r="AF976" s="37"/>
      <c r="AG976" s="37"/>
      <c r="AH976" s="37"/>
      <c r="AI976" s="37"/>
      <c r="AJ976" s="37"/>
      <c r="AK976" s="37"/>
    </row>
    <row r="977" spans="1:37" ht="14.25">
      <c r="A977" s="43"/>
      <c r="B977" s="37"/>
      <c r="C977" s="37"/>
      <c r="D977" s="37"/>
      <c r="E977" s="37"/>
      <c r="F977" s="43"/>
      <c r="G977" s="43"/>
      <c r="H977" s="44"/>
      <c r="I977" s="43"/>
      <c r="J977" s="37"/>
      <c r="K977" s="37"/>
      <c r="L977" s="37"/>
      <c r="M977" s="37"/>
      <c r="N977" s="37"/>
      <c r="O977" s="37"/>
      <c r="P977" s="37"/>
      <c r="Q977" s="37"/>
      <c r="R977" s="37"/>
      <c r="S977" s="37"/>
      <c r="T977" s="37"/>
      <c r="U977" s="37"/>
      <c r="V977" s="37"/>
      <c r="W977" s="37"/>
      <c r="X977" s="37"/>
      <c r="Y977" s="37"/>
      <c r="Z977" s="37"/>
      <c r="AA977" s="37"/>
      <c r="AB977" s="37"/>
      <c r="AC977" s="37"/>
      <c r="AD977" s="37"/>
      <c r="AE977" s="37"/>
      <c r="AF977" s="37"/>
      <c r="AG977" s="37"/>
      <c r="AH977" s="37"/>
      <c r="AI977" s="37"/>
      <c r="AJ977" s="37"/>
      <c r="AK977" s="37"/>
    </row>
    <row r="978" spans="1:37" ht="14.25">
      <c r="A978" s="43"/>
      <c r="B978" s="37"/>
      <c r="C978" s="37"/>
      <c r="D978" s="37"/>
      <c r="E978" s="37"/>
      <c r="F978" s="43"/>
      <c r="G978" s="43"/>
      <c r="H978" s="44"/>
      <c r="I978" s="43"/>
      <c r="J978" s="37"/>
      <c r="K978" s="37"/>
      <c r="L978" s="37"/>
      <c r="M978" s="37"/>
      <c r="N978" s="37"/>
      <c r="O978" s="37"/>
      <c r="P978" s="37"/>
      <c r="Q978" s="37"/>
      <c r="R978" s="37"/>
      <c r="S978" s="37"/>
      <c r="T978" s="37"/>
      <c r="U978" s="37"/>
      <c r="V978" s="37"/>
      <c r="W978" s="37"/>
      <c r="X978" s="37"/>
      <c r="Y978" s="37"/>
      <c r="Z978" s="37"/>
      <c r="AA978" s="37"/>
      <c r="AB978" s="37"/>
      <c r="AC978" s="37"/>
      <c r="AD978" s="37"/>
      <c r="AE978" s="37"/>
      <c r="AF978" s="37"/>
      <c r="AG978" s="37"/>
      <c r="AH978" s="37"/>
      <c r="AI978" s="37"/>
      <c r="AJ978" s="37"/>
      <c r="AK978" s="37"/>
    </row>
    <row r="979" spans="1:37" ht="14.25">
      <c r="A979" s="43"/>
      <c r="B979" s="37"/>
      <c r="C979" s="37"/>
      <c r="D979" s="37"/>
      <c r="E979" s="37"/>
      <c r="F979" s="43"/>
      <c r="G979" s="43"/>
      <c r="H979" s="44"/>
      <c r="I979" s="43"/>
      <c r="J979" s="37"/>
      <c r="K979" s="37"/>
      <c r="L979" s="37"/>
      <c r="M979" s="37"/>
      <c r="N979" s="37"/>
      <c r="O979" s="37"/>
      <c r="P979" s="37"/>
      <c r="Q979" s="37"/>
      <c r="R979" s="37"/>
      <c r="S979" s="37"/>
      <c r="T979" s="37"/>
      <c r="U979" s="37"/>
      <c r="V979" s="37"/>
      <c r="W979" s="37"/>
      <c r="X979" s="37"/>
      <c r="Y979" s="37"/>
      <c r="Z979" s="37"/>
      <c r="AA979" s="37"/>
      <c r="AB979" s="37"/>
      <c r="AC979" s="37"/>
      <c r="AD979" s="37"/>
      <c r="AE979" s="37"/>
      <c r="AF979" s="37"/>
      <c r="AG979" s="37"/>
      <c r="AH979" s="37"/>
      <c r="AI979" s="37"/>
      <c r="AJ979" s="37"/>
      <c r="AK979" s="37"/>
    </row>
    <row r="980" spans="1:37" ht="14.25">
      <c r="A980" s="43"/>
      <c r="B980" s="37"/>
      <c r="C980" s="37"/>
      <c r="D980" s="37"/>
      <c r="E980" s="37"/>
      <c r="F980" s="43"/>
      <c r="G980" s="43"/>
      <c r="H980" s="44"/>
      <c r="I980" s="43"/>
      <c r="J980" s="37"/>
      <c r="K980" s="37"/>
      <c r="L980" s="37"/>
      <c r="M980" s="37"/>
      <c r="N980" s="37"/>
      <c r="O980" s="37"/>
      <c r="P980" s="37"/>
      <c r="Q980" s="37"/>
      <c r="R980" s="37"/>
      <c r="S980" s="37"/>
      <c r="T980" s="37"/>
      <c r="U980" s="37"/>
      <c r="V980" s="37"/>
      <c r="W980" s="37"/>
      <c r="X980" s="37"/>
      <c r="Y980" s="37"/>
      <c r="Z980" s="37"/>
      <c r="AA980" s="37"/>
      <c r="AB980" s="37"/>
      <c r="AC980" s="37"/>
      <c r="AD980" s="37"/>
      <c r="AE980" s="37"/>
      <c r="AF980" s="37"/>
      <c r="AG980" s="37"/>
      <c r="AH980" s="37"/>
      <c r="AI980" s="37"/>
      <c r="AJ980" s="37"/>
      <c r="AK980" s="37"/>
    </row>
    <row r="981" spans="1:37" ht="14.25">
      <c r="A981" s="43"/>
      <c r="B981" s="37"/>
      <c r="C981" s="37"/>
      <c r="D981" s="37"/>
      <c r="E981" s="37"/>
      <c r="F981" s="43"/>
      <c r="G981" s="43"/>
      <c r="H981" s="44"/>
      <c r="I981" s="43"/>
      <c r="J981" s="37"/>
      <c r="K981" s="37"/>
      <c r="L981" s="37"/>
      <c r="M981" s="37"/>
      <c r="N981" s="37"/>
      <c r="O981" s="37"/>
      <c r="P981" s="37"/>
      <c r="Q981" s="37"/>
      <c r="R981" s="37"/>
      <c r="S981" s="37"/>
      <c r="T981" s="37"/>
      <c r="U981" s="37"/>
      <c r="V981" s="37"/>
      <c r="W981" s="37"/>
      <c r="X981" s="37"/>
      <c r="Y981" s="37"/>
      <c r="Z981" s="37"/>
      <c r="AA981" s="37"/>
      <c r="AB981" s="37"/>
      <c r="AC981" s="37"/>
      <c r="AD981" s="37"/>
      <c r="AE981" s="37"/>
      <c r="AF981" s="37"/>
      <c r="AG981" s="37"/>
      <c r="AH981" s="37"/>
      <c r="AI981" s="37"/>
      <c r="AJ981" s="37"/>
      <c r="AK981" s="37"/>
    </row>
    <row r="982" spans="1:37" ht="14.25">
      <c r="A982" s="43"/>
      <c r="B982" s="37"/>
      <c r="C982" s="37"/>
      <c r="D982" s="37"/>
      <c r="E982" s="37"/>
      <c r="F982" s="43"/>
      <c r="G982" s="43"/>
      <c r="H982" s="44"/>
      <c r="I982" s="43"/>
      <c r="J982" s="37"/>
      <c r="K982" s="37"/>
      <c r="L982" s="37"/>
      <c r="M982" s="37"/>
      <c r="N982" s="37"/>
      <c r="O982" s="37"/>
      <c r="P982" s="37"/>
      <c r="Q982" s="37"/>
      <c r="R982" s="37"/>
      <c r="S982" s="37"/>
      <c r="T982" s="37"/>
      <c r="U982" s="37"/>
      <c r="V982" s="37"/>
      <c r="W982" s="37"/>
      <c r="X982" s="37"/>
      <c r="Y982" s="37"/>
      <c r="Z982" s="37"/>
      <c r="AA982" s="37"/>
      <c r="AB982" s="37"/>
      <c r="AC982" s="37"/>
      <c r="AD982" s="37"/>
      <c r="AE982" s="37"/>
      <c r="AF982" s="37"/>
      <c r="AG982" s="37"/>
      <c r="AH982" s="37"/>
      <c r="AI982" s="37"/>
      <c r="AJ982" s="37"/>
      <c r="AK982" s="37"/>
    </row>
    <row r="983" spans="1:37" ht="14.25">
      <c r="A983" s="43"/>
      <c r="B983" s="37"/>
      <c r="C983" s="37"/>
      <c r="D983" s="37"/>
      <c r="E983" s="37"/>
      <c r="F983" s="43"/>
      <c r="G983" s="43"/>
      <c r="H983" s="44"/>
      <c r="I983" s="43"/>
      <c r="J983" s="37"/>
      <c r="K983" s="37"/>
      <c r="L983" s="37"/>
      <c r="M983" s="37"/>
      <c r="N983" s="37"/>
      <c r="O983" s="37"/>
      <c r="P983" s="37"/>
      <c r="Q983" s="37"/>
      <c r="R983" s="37"/>
      <c r="S983" s="37"/>
      <c r="T983" s="37"/>
      <c r="U983" s="37"/>
      <c r="V983" s="37"/>
      <c r="W983" s="37"/>
      <c r="X983" s="37"/>
      <c r="Y983" s="37"/>
      <c r="Z983" s="37"/>
      <c r="AA983" s="37"/>
      <c r="AB983" s="37"/>
      <c r="AC983" s="37"/>
      <c r="AD983" s="37"/>
      <c r="AE983" s="37"/>
      <c r="AF983" s="37"/>
      <c r="AG983" s="37"/>
      <c r="AH983" s="37"/>
      <c r="AI983" s="37"/>
      <c r="AJ983" s="37"/>
      <c r="AK983" s="37"/>
    </row>
    <row r="984" spans="1:37" ht="14.25">
      <c r="A984" s="43"/>
      <c r="B984" s="37"/>
      <c r="C984" s="37"/>
      <c r="D984" s="37"/>
      <c r="E984" s="37"/>
      <c r="F984" s="43"/>
      <c r="G984" s="43"/>
      <c r="H984" s="44"/>
      <c r="I984" s="43"/>
      <c r="J984" s="37"/>
      <c r="K984" s="37"/>
      <c r="L984" s="37"/>
      <c r="M984" s="37"/>
      <c r="N984" s="37"/>
      <c r="O984" s="37"/>
      <c r="P984" s="37"/>
      <c r="Q984" s="37"/>
      <c r="R984" s="37"/>
      <c r="S984" s="37"/>
      <c r="T984" s="37"/>
      <c r="U984" s="37"/>
      <c r="V984" s="37"/>
      <c r="W984" s="37"/>
      <c r="X984" s="37"/>
      <c r="Y984" s="37"/>
      <c r="Z984" s="37"/>
      <c r="AA984" s="37"/>
      <c r="AB984" s="37"/>
      <c r="AC984" s="37"/>
      <c r="AD984" s="37"/>
      <c r="AE984" s="37"/>
      <c r="AF984" s="37"/>
      <c r="AG984" s="37"/>
      <c r="AH984" s="37"/>
      <c r="AI984" s="37"/>
      <c r="AJ984" s="37"/>
      <c r="AK984" s="37"/>
    </row>
    <row r="985" spans="1:37" ht="14.25">
      <c r="A985" s="43"/>
      <c r="B985" s="37"/>
      <c r="C985" s="37"/>
      <c r="D985" s="37"/>
      <c r="E985" s="37"/>
      <c r="F985" s="43"/>
      <c r="G985" s="43"/>
      <c r="H985" s="44"/>
      <c r="I985" s="43"/>
      <c r="J985" s="37"/>
      <c r="K985" s="37"/>
      <c r="L985" s="37"/>
      <c r="M985" s="37"/>
      <c r="N985" s="37"/>
      <c r="O985" s="37"/>
      <c r="P985" s="37"/>
      <c r="Q985" s="37"/>
      <c r="R985" s="37"/>
      <c r="S985" s="37"/>
      <c r="T985" s="37"/>
      <c r="U985" s="37"/>
      <c r="V985" s="37"/>
      <c r="W985" s="37"/>
      <c r="X985" s="37"/>
      <c r="Y985" s="37"/>
      <c r="Z985" s="37"/>
      <c r="AA985" s="37"/>
      <c r="AB985" s="37"/>
      <c r="AC985" s="37"/>
      <c r="AD985" s="37"/>
      <c r="AE985" s="37"/>
      <c r="AF985" s="37"/>
      <c r="AG985" s="37"/>
      <c r="AH985" s="37"/>
      <c r="AI985" s="37"/>
      <c r="AJ985" s="37"/>
      <c r="AK985" s="37"/>
    </row>
    <row r="986" spans="1:37" ht="14.25">
      <c r="A986" s="43"/>
      <c r="B986" s="37"/>
      <c r="C986" s="37"/>
      <c r="D986" s="37"/>
      <c r="E986" s="37"/>
      <c r="F986" s="43"/>
      <c r="G986" s="43"/>
      <c r="H986" s="44"/>
      <c r="I986" s="43"/>
      <c r="J986" s="37"/>
      <c r="K986" s="37"/>
      <c r="L986" s="37"/>
      <c r="M986" s="37"/>
      <c r="N986" s="37"/>
      <c r="O986" s="37"/>
      <c r="P986" s="37"/>
      <c r="Q986" s="37"/>
      <c r="R986" s="37"/>
      <c r="S986" s="37"/>
      <c r="T986" s="37"/>
      <c r="U986" s="37"/>
      <c r="V986" s="37"/>
      <c r="W986" s="37"/>
      <c r="X986" s="37"/>
      <c r="Y986" s="37"/>
      <c r="Z986" s="37"/>
      <c r="AA986" s="37"/>
      <c r="AB986" s="37"/>
      <c r="AC986" s="37"/>
      <c r="AD986" s="37"/>
      <c r="AE986" s="37"/>
      <c r="AF986" s="37"/>
      <c r="AG986" s="37"/>
      <c r="AH986" s="37"/>
      <c r="AI986" s="37"/>
      <c r="AJ986" s="37"/>
      <c r="AK986" s="37"/>
    </row>
    <row r="987" spans="1:37" ht="14.25">
      <c r="A987" s="43"/>
      <c r="B987" s="37"/>
      <c r="C987" s="37"/>
      <c r="D987" s="37"/>
      <c r="E987" s="37"/>
      <c r="F987" s="43"/>
      <c r="G987" s="43"/>
      <c r="H987" s="44"/>
      <c r="I987" s="43"/>
      <c r="J987" s="37"/>
      <c r="K987" s="37"/>
      <c r="L987" s="37"/>
      <c r="M987" s="37"/>
      <c r="N987" s="37"/>
      <c r="O987" s="37"/>
      <c r="P987" s="37"/>
      <c r="Q987" s="37"/>
      <c r="R987" s="37"/>
      <c r="S987" s="37"/>
      <c r="T987" s="37"/>
      <c r="U987" s="37"/>
      <c r="V987" s="37"/>
      <c r="W987" s="37"/>
      <c r="X987" s="37"/>
      <c r="Y987" s="37"/>
      <c r="Z987" s="37"/>
      <c r="AA987" s="37"/>
      <c r="AB987" s="37"/>
      <c r="AC987" s="37"/>
      <c r="AD987" s="37"/>
      <c r="AE987" s="37"/>
      <c r="AF987" s="37"/>
      <c r="AG987" s="37"/>
      <c r="AH987" s="37"/>
      <c r="AI987" s="37"/>
      <c r="AJ987" s="37"/>
      <c r="AK987" s="37"/>
    </row>
    <row r="988" spans="1:37" ht="14.25">
      <c r="A988" s="43"/>
      <c r="B988" s="37"/>
      <c r="C988" s="37"/>
      <c r="D988" s="37"/>
      <c r="E988" s="37"/>
      <c r="F988" s="43"/>
      <c r="G988" s="43"/>
      <c r="H988" s="44"/>
      <c r="I988" s="43"/>
      <c r="J988" s="37"/>
      <c r="K988" s="37"/>
      <c r="L988" s="37"/>
      <c r="M988" s="37"/>
      <c r="N988" s="37"/>
      <c r="O988" s="37"/>
      <c r="P988" s="37"/>
      <c r="Q988" s="37"/>
      <c r="R988" s="37"/>
      <c r="S988" s="37"/>
      <c r="T988" s="37"/>
      <c r="U988" s="37"/>
      <c r="V988" s="37"/>
      <c r="W988" s="37"/>
      <c r="X988" s="37"/>
      <c r="Y988" s="37"/>
      <c r="Z988" s="37"/>
      <c r="AA988" s="37"/>
      <c r="AB988" s="37"/>
      <c r="AC988" s="37"/>
      <c r="AD988" s="37"/>
      <c r="AE988" s="37"/>
      <c r="AF988" s="37"/>
      <c r="AG988" s="37"/>
      <c r="AH988" s="37"/>
      <c r="AI988" s="37"/>
      <c r="AJ988" s="37"/>
      <c r="AK988" s="37"/>
    </row>
    <row r="989" spans="1:37" ht="14.25">
      <c r="A989" s="43"/>
      <c r="B989" s="37"/>
      <c r="C989" s="37"/>
      <c r="D989" s="37"/>
      <c r="E989" s="37"/>
      <c r="F989" s="43"/>
      <c r="G989" s="43"/>
      <c r="H989" s="44"/>
      <c r="I989" s="43"/>
      <c r="J989" s="37"/>
      <c r="K989" s="37"/>
      <c r="L989" s="37"/>
      <c r="M989" s="37"/>
      <c r="N989" s="37"/>
      <c r="O989" s="37"/>
      <c r="P989" s="37"/>
      <c r="Q989" s="37"/>
      <c r="R989" s="37"/>
      <c r="S989" s="37"/>
      <c r="T989" s="37"/>
      <c r="U989" s="37"/>
      <c r="V989" s="37"/>
      <c r="W989" s="37"/>
      <c r="X989" s="37"/>
      <c r="Y989" s="37"/>
      <c r="Z989" s="37"/>
      <c r="AA989" s="37"/>
      <c r="AB989" s="37"/>
      <c r="AC989" s="37"/>
      <c r="AD989" s="37"/>
      <c r="AE989" s="37"/>
      <c r="AF989" s="37"/>
      <c r="AG989" s="37"/>
      <c r="AH989" s="37"/>
      <c r="AI989" s="37"/>
      <c r="AJ989" s="37"/>
      <c r="AK989" s="37"/>
    </row>
    <row r="990" spans="1:37" ht="14.25">
      <c r="A990" s="43"/>
      <c r="B990" s="37"/>
      <c r="C990" s="37"/>
      <c r="D990" s="37"/>
      <c r="E990" s="37"/>
      <c r="F990" s="43"/>
      <c r="G990" s="43"/>
      <c r="H990" s="44"/>
      <c r="I990" s="43"/>
      <c r="J990" s="37"/>
      <c r="K990" s="37"/>
      <c r="L990" s="37"/>
      <c r="M990" s="37"/>
      <c r="N990" s="37"/>
      <c r="O990" s="37"/>
      <c r="P990" s="37"/>
      <c r="Q990" s="37"/>
      <c r="R990" s="37"/>
      <c r="S990" s="37"/>
      <c r="T990" s="37"/>
      <c r="U990" s="37"/>
      <c r="V990" s="37"/>
      <c r="W990" s="37"/>
      <c r="X990" s="37"/>
      <c r="Y990" s="37"/>
      <c r="Z990" s="37"/>
      <c r="AA990" s="37"/>
      <c r="AB990" s="37"/>
      <c r="AC990" s="37"/>
      <c r="AD990" s="37"/>
      <c r="AE990" s="37"/>
      <c r="AF990" s="37"/>
      <c r="AG990" s="37"/>
      <c r="AH990" s="37"/>
      <c r="AI990" s="37"/>
      <c r="AJ990" s="37"/>
      <c r="AK990" s="37"/>
    </row>
    <row r="991" spans="1:37" ht="14.25">
      <c r="A991" s="43"/>
      <c r="B991" s="37"/>
      <c r="C991" s="37"/>
      <c r="D991" s="37"/>
      <c r="E991" s="37"/>
      <c r="F991" s="43"/>
      <c r="G991" s="43"/>
      <c r="H991" s="44"/>
      <c r="I991" s="43"/>
      <c r="J991" s="37"/>
      <c r="K991" s="37"/>
      <c r="L991" s="37"/>
      <c r="M991" s="37"/>
      <c r="N991" s="37"/>
      <c r="O991" s="37"/>
      <c r="P991" s="37"/>
      <c r="Q991" s="37"/>
      <c r="R991" s="37"/>
      <c r="S991" s="37"/>
      <c r="T991" s="37"/>
      <c r="U991" s="37"/>
      <c r="V991" s="37"/>
      <c r="W991" s="37"/>
      <c r="X991" s="37"/>
      <c r="Y991" s="37"/>
      <c r="Z991" s="37"/>
      <c r="AA991" s="37"/>
      <c r="AB991" s="37"/>
      <c r="AC991" s="37"/>
      <c r="AD991" s="37"/>
      <c r="AE991" s="37"/>
      <c r="AF991" s="37"/>
      <c r="AG991" s="37"/>
      <c r="AH991" s="37"/>
      <c r="AI991" s="37"/>
      <c r="AJ991" s="37"/>
      <c r="AK991" s="37"/>
    </row>
    <row r="992" spans="1:37" ht="14.25">
      <c r="A992" s="43"/>
      <c r="B992" s="37"/>
      <c r="C992" s="37"/>
      <c r="D992" s="37"/>
      <c r="E992" s="37"/>
      <c r="F992" s="43"/>
      <c r="G992" s="43"/>
      <c r="H992" s="44"/>
      <c r="I992" s="43"/>
      <c r="J992" s="37"/>
      <c r="K992" s="37"/>
      <c r="L992" s="37"/>
      <c r="M992" s="37"/>
      <c r="N992" s="37"/>
      <c r="O992" s="37"/>
      <c r="P992" s="37"/>
      <c r="Q992" s="37"/>
      <c r="R992" s="37"/>
      <c r="S992" s="37"/>
      <c r="T992" s="37"/>
      <c r="U992" s="37"/>
      <c r="V992" s="37"/>
      <c r="W992" s="37"/>
      <c r="X992" s="37"/>
      <c r="Y992" s="37"/>
      <c r="Z992" s="37"/>
      <c r="AA992" s="37"/>
      <c r="AB992" s="37"/>
      <c r="AC992" s="37"/>
      <c r="AD992" s="37"/>
      <c r="AE992" s="37"/>
      <c r="AF992" s="37"/>
      <c r="AG992" s="37"/>
      <c r="AH992" s="37"/>
      <c r="AI992" s="37"/>
      <c r="AJ992" s="37"/>
      <c r="AK992" s="37"/>
    </row>
    <row r="993" spans="1:37" ht="14.25">
      <c r="A993" s="43"/>
      <c r="B993" s="37"/>
      <c r="C993" s="37"/>
      <c r="D993" s="37"/>
      <c r="E993" s="37"/>
      <c r="F993" s="43"/>
      <c r="G993" s="43"/>
      <c r="H993" s="44"/>
      <c r="I993" s="43"/>
      <c r="J993" s="37"/>
      <c r="K993" s="37"/>
      <c r="L993" s="37"/>
      <c r="M993" s="37"/>
      <c r="N993" s="37"/>
      <c r="O993" s="37"/>
      <c r="P993" s="37"/>
      <c r="Q993" s="37"/>
      <c r="R993" s="37"/>
      <c r="S993" s="37"/>
      <c r="T993" s="37"/>
      <c r="U993" s="37"/>
      <c r="V993" s="37"/>
      <c r="W993" s="37"/>
      <c r="X993" s="37"/>
      <c r="Y993" s="37"/>
      <c r="Z993" s="37"/>
      <c r="AA993" s="37"/>
      <c r="AB993" s="37"/>
      <c r="AC993" s="37"/>
      <c r="AD993" s="37"/>
      <c r="AE993" s="37"/>
      <c r="AF993" s="37"/>
      <c r="AG993" s="37"/>
      <c r="AH993" s="37"/>
      <c r="AI993" s="37"/>
      <c r="AJ993" s="37"/>
      <c r="AK993" s="37"/>
    </row>
    <row r="994" spans="1:37" ht="14.25">
      <c r="A994" s="43"/>
      <c r="B994" s="37"/>
      <c r="C994" s="37"/>
      <c r="D994" s="37"/>
      <c r="E994" s="37"/>
      <c r="F994" s="43"/>
      <c r="G994" s="43"/>
      <c r="H994" s="44"/>
      <c r="I994" s="43"/>
      <c r="J994" s="37"/>
      <c r="K994" s="37"/>
      <c r="L994" s="37"/>
      <c r="M994" s="37"/>
      <c r="N994" s="37"/>
      <c r="O994" s="37"/>
      <c r="P994" s="37"/>
      <c r="Q994" s="37"/>
      <c r="R994" s="37"/>
      <c r="S994" s="37"/>
      <c r="T994" s="37"/>
      <c r="U994" s="37"/>
      <c r="V994" s="37"/>
      <c r="W994" s="37"/>
      <c r="X994" s="37"/>
      <c r="Y994" s="37"/>
      <c r="Z994" s="37"/>
      <c r="AA994" s="37"/>
      <c r="AB994" s="37"/>
      <c r="AC994" s="37"/>
      <c r="AD994" s="37"/>
      <c r="AE994" s="37"/>
      <c r="AF994" s="37"/>
      <c r="AG994" s="37"/>
      <c r="AH994" s="37"/>
      <c r="AI994" s="37"/>
      <c r="AJ994" s="37"/>
      <c r="AK994" s="37"/>
    </row>
    <row r="995" spans="1:37" ht="14.25">
      <c r="A995" s="43"/>
      <c r="B995" s="37"/>
      <c r="C995" s="37"/>
      <c r="D995" s="37"/>
      <c r="E995" s="37"/>
      <c r="F995" s="43"/>
      <c r="G995" s="43"/>
      <c r="H995" s="44"/>
      <c r="I995" s="43"/>
      <c r="J995" s="37"/>
      <c r="K995" s="37"/>
      <c r="L995" s="37"/>
      <c r="M995" s="37"/>
      <c r="N995" s="37"/>
      <c r="O995" s="37"/>
      <c r="P995" s="37"/>
      <c r="Q995" s="37"/>
      <c r="R995" s="37"/>
      <c r="S995" s="37"/>
      <c r="T995" s="37"/>
      <c r="U995" s="37"/>
      <c r="V995" s="37"/>
      <c r="W995" s="37"/>
      <c r="X995" s="37"/>
      <c r="Y995" s="37"/>
      <c r="Z995" s="37"/>
      <c r="AA995" s="37"/>
      <c r="AB995" s="37"/>
      <c r="AC995" s="37"/>
      <c r="AD995" s="37"/>
      <c r="AE995" s="37"/>
      <c r="AF995" s="37"/>
      <c r="AG995" s="37"/>
      <c r="AH995" s="37"/>
      <c r="AI995" s="37"/>
      <c r="AJ995" s="37"/>
      <c r="AK995" s="37"/>
    </row>
    <row r="996" spans="1:37" ht="14.25">
      <c r="A996" s="43"/>
      <c r="B996" s="37"/>
      <c r="C996" s="37"/>
      <c r="D996" s="37"/>
      <c r="E996" s="37"/>
      <c r="F996" s="43"/>
      <c r="G996" s="43"/>
      <c r="H996" s="44"/>
      <c r="I996" s="43"/>
      <c r="J996" s="37"/>
      <c r="K996" s="37"/>
      <c r="L996" s="37"/>
      <c r="M996" s="37"/>
      <c r="N996" s="37"/>
      <c r="O996" s="37"/>
      <c r="P996" s="37"/>
      <c r="Q996" s="37"/>
      <c r="R996" s="37"/>
      <c r="S996" s="37"/>
      <c r="T996" s="37"/>
      <c r="U996" s="37"/>
      <c r="V996" s="37"/>
      <c r="W996" s="37"/>
      <c r="X996" s="37"/>
      <c r="Y996" s="37"/>
      <c r="Z996" s="37"/>
      <c r="AA996" s="37"/>
      <c r="AB996" s="37"/>
      <c r="AC996" s="37"/>
      <c r="AD996" s="37"/>
      <c r="AE996" s="37"/>
      <c r="AF996" s="37"/>
      <c r="AG996" s="37"/>
      <c r="AH996" s="37"/>
      <c r="AI996" s="37"/>
      <c r="AJ996" s="37"/>
      <c r="AK996" s="37"/>
    </row>
    <row r="997" spans="1:37" ht="14.25">
      <c r="A997" s="43"/>
      <c r="B997" s="37"/>
      <c r="C997" s="37"/>
      <c r="D997" s="37"/>
      <c r="E997" s="37"/>
      <c r="F997" s="43"/>
      <c r="G997" s="43"/>
      <c r="H997" s="44"/>
      <c r="I997" s="43"/>
      <c r="J997" s="37"/>
      <c r="K997" s="37"/>
      <c r="L997" s="37"/>
      <c r="M997" s="37"/>
      <c r="N997" s="37"/>
      <c r="O997" s="37"/>
      <c r="P997" s="37"/>
      <c r="Q997" s="37"/>
      <c r="R997" s="37"/>
      <c r="S997" s="37"/>
      <c r="T997" s="37"/>
      <c r="U997" s="37"/>
      <c r="V997" s="37"/>
      <c r="W997" s="37"/>
      <c r="X997" s="37"/>
      <c r="Y997" s="37"/>
      <c r="Z997" s="37"/>
      <c r="AA997" s="37"/>
      <c r="AB997" s="37"/>
      <c r="AC997" s="37"/>
      <c r="AD997" s="37"/>
      <c r="AE997" s="37"/>
      <c r="AF997" s="37"/>
      <c r="AG997" s="37"/>
      <c r="AH997" s="37"/>
      <c r="AI997" s="37"/>
      <c r="AJ997" s="37"/>
      <c r="AK997" s="37"/>
    </row>
  </sheetData>
  <mergeCells count="1">
    <mergeCell ref="A1:E1"/>
  </mergeCells>
  <hyperlinks>
    <hyperlink ref="F1" r:id="rId1" xr:uid="{00000000-0004-0000-0300-000000000000}"/>
    <hyperlink ref="K3" r:id="rId2" xr:uid="{00000000-0004-0000-0300-000001000000}"/>
    <hyperlink ref="K4" r:id="rId3" xr:uid="{00000000-0004-0000-0300-000002000000}"/>
    <hyperlink ref="K5" r:id="rId4" xr:uid="{00000000-0004-0000-0300-000003000000}"/>
    <hyperlink ref="K6" r:id="rId5" xr:uid="{00000000-0004-0000-0300-000004000000}"/>
    <hyperlink ref="K7" r:id="rId6" xr:uid="{00000000-0004-0000-0300-000005000000}"/>
    <hyperlink ref="K8" r:id="rId7" xr:uid="{00000000-0004-0000-0300-000006000000}"/>
    <hyperlink ref="K9" r:id="rId8" xr:uid="{00000000-0004-0000-0300-000007000000}"/>
    <hyperlink ref="K10" r:id="rId9" xr:uid="{00000000-0004-0000-0300-000008000000}"/>
    <hyperlink ref="K11" r:id="rId10" xr:uid="{00000000-0004-0000-0300-000009000000}"/>
    <hyperlink ref="K12" r:id="rId11" xr:uid="{00000000-0004-0000-0300-00000A000000}"/>
    <hyperlink ref="K13" r:id="rId12" xr:uid="{00000000-0004-0000-0300-00000B000000}"/>
    <hyperlink ref="K14" r:id="rId13" xr:uid="{00000000-0004-0000-0300-00000C000000}"/>
    <hyperlink ref="K15" r:id="rId14" xr:uid="{00000000-0004-0000-0300-00000D000000}"/>
    <hyperlink ref="K16" r:id="rId15" xr:uid="{00000000-0004-0000-0300-00000E000000}"/>
    <hyperlink ref="K17" r:id="rId16" xr:uid="{00000000-0004-0000-0300-00000F000000}"/>
    <hyperlink ref="K18" r:id="rId17" xr:uid="{00000000-0004-0000-0300-000010000000}"/>
    <hyperlink ref="K19" r:id="rId18" xr:uid="{00000000-0004-0000-0300-000011000000}"/>
    <hyperlink ref="K20" r:id="rId19" xr:uid="{00000000-0004-0000-0300-000012000000}"/>
    <hyperlink ref="K21" r:id="rId20" xr:uid="{00000000-0004-0000-0300-000013000000}"/>
    <hyperlink ref="K22" r:id="rId21" xr:uid="{00000000-0004-0000-0300-000014000000}"/>
    <hyperlink ref="K23" r:id="rId22" xr:uid="{00000000-0004-0000-0300-000015000000}"/>
    <hyperlink ref="K24" r:id="rId23" xr:uid="{00000000-0004-0000-0300-000016000000}"/>
    <hyperlink ref="K25" r:id="rId24" xr:uid="{00000000-0004-0000-0300-000017000000}"/>
    <hyperlink ref="K26" r:id="rId25" xr:uid="{00000000-0004-0000-0300-000018000000}"/>
    <hyperlink ref="K27" r:id="rId26" xr:uid="{00000000-0004-0000-0300-000019000000}"/>
    <hyperlink ref="K28" r:id="rId27" xr:uid="{00000000-0004-0000-0300-00001A000000}"/>
    <hyperlink ref="K29" r:id="rId28" xr:uid="{00000000-0004-0000-0300-00001B000000}"/>
    <hyperlink ref="K30" r:id="rId29" xr:uid="{00000000-0004-0000-0300-00001C000000}"/>
    <hyperlink ref="K31" r:id="rId30" xr:uid="{00000000-0004-0000-0300-00001D000000}"/>
    <hyperlink ref="K32" r:id="rId31" xr:uid="{00000000-0004-0000-0300-00001E000000}"/>
    <hyperlink ref="K33" r:id="rId32" xr:uid="{00000000-0004-0000-0300-00001F000000}"/>
    <hyperlink ref="K34" r:id="rId33" xr:uid="{00000000-0004-0000-0300-000020000000}"/>
    <hyperlink ref="K35" r:id="rId34" xr:uid="{00000000-0004-0000-0300-000021000000}"/>
    <hyperlink ref="K36" r:id="rId35" xr:uid="{00000000-0004-0000-0300-000022000000}"/>
    <hyperlink ref="K37" r:id="rId36" xr:uid="{00000000-0004-0000-0300-000023000000}"/>
    <hyperlink ref="K38" r:id="rId37" xr:uid="{00000000-0004-0000-0300-000024000000}"/>
    <hyperlink ref="K39" r:id="rId38" xr:uid="{00000000-0004-0000-0300-000025000000}"/>
    <hyperlink ref="K40" r:id="rId39" xr:uid="{00000000-0004-0000-0300-000026000000}"/>
    <hyperlink ref="K41" r:id="rId40" xr:uid="{00000000-0004-0000-0300-000027000000}"/>
    <hyperlink ref="K42" r:id="rId41" xr:uid="{00000000-0004-0000-0300-000028000000}"/>
    <hyperlink ref="K43" r:id="rId42" xr:uid="{00000000-0004-0000-0300-000029000000}"/>
    <hyperlink ref="K44" r:id="rId43" xr:uid="{00000000-0004-0000-0300-00002A000000}"/>
    <hyperlink ref="K45" r:id="rId44" xr:uid="{00000000-0004-0000-0300-00002B000000}"/>
    <hyperlink ref="K46" r:id="rId45" xr:uid="{00000000-0004-0000-0300-00002C000000}"/>
    <hyperlink ref="K47" r:id="rId46" xr:uid="{00000000-0004-0000-0300-00002D000000}"/>
    <hyperlink ref="K48" r:id="rId47" xr:uid="{00000000-0004-0000-0300-00002E000000}"/>
    <hyperlink ref="K49" r:id="rId48" xr:uid="{00000000-0004-0000-0300-00002F000000}"/>
    <hyperlink ref="K50" r:id="rId49" xr:uid="{00000000-0004-0000-0300-000030000000}"/>
    <hyperlink ref="K51" r:id="rId50" xr:uid="{00000000-0004-0000-0300-000031000000}"/>
    <hyperlink ref="K52" r:id="rId51" xr:uid="{00000000-0004-0000-0300-000032000000}"/>
    <hyperlink ref="K53" r:id="rId52" xr:uid="{00000000-0004-0000-0300-000033000000}"/>
    <hyperlink ref="K54" r:id="rId53" xr:uid="{00000000-0004-0000-0300-000034000000}"/>
    <hyperlink ref="K55" r:id="rId54" xr:uid="{00000000-0004-0000-0300-000035000000}"/>
    <hyperlink ref="K56" r:id="rId55" xr:uid="{00000000-0004-0000-0300-000036000000}"/>
    <hyperlink ref="K57" r:id="rId56" xr:uid="{00000000-0004-0000-0300-000037000000}"/>
    <hyperlink ref="K58" r:id="rId57" xr:uid="{00000000-0004-0000-0300-000038000000}"/>
    <hyperlink ref="K59" r:id="rId58" xr:uid="{00000000-0004-0000-0300-000039000000}"/>
    <hyperlink ref="K60" r:id="rId59" xr:uid="{00000000-0004-0000-0300-00003A000000}"/>
    <hyperlink ref="K61" r:id="rId60" xr:uid="{00000000-0004-0000-0300-00003B000000}"/>
    <hyperlink ref="K62" r:id="rId61" xr:uid="{00000000-0004-0000-0300-00003C000000}"/>
    <hyperlink ref="K63" r:id="rId62" xr:uid="{00000000-0004-0000-0300-00003D000000}"/>
    <hyperlink ref="K64" r:id="rId63" xr:uid="{00000000-0004-0000-0300-00003E000000}"/>
    <hyperlink ref="K65" r:id="rId64" xr:uid="{00000000-0004-0000-0300-00003F000000}"/>
    <hyperlink ref="K66" r:id="rId65" xr:uid="{00000000-0004-0000-0300-000040000000}"/>
    <hyperlink ref="K67" r:id="rId66" xr:uid="{00000000-0004-0000-0300-000041000000}"/>
    <hyperlink ref="K68" r:id="rId67" xr:uid="{00000000-0004-0000-0300-000042000000}"/>
    <hyperlink ref="K69" r:id="rId68" xr:uid="{00000000-0004-0000-0300-000043000000}"/>
    <hyperlink ref="K70" r:id="rId69" xr:uid="{00000000-0004-0000-0300-000044000000}"/>
    <hyperlink ref="K71" r:id="rId70" xr:uid="{00000000-0004-0000-0300-000045000000}"/>
    <hyperlink ref="K72" r:id="rId71" xr:uid="{00000000-0004-0000-0300-000046000000}"/>
    <hyperlink ref="K73" r:id="rId72" xr:uid="{00000000-0004-0000-0300-000047000000}"/>
    <hyperlink ref="K74" r:id="rId73" xr:uid="{00000000-0004-0000-0300-000048000000}"/>
    <hyperlink ref="K75" r:id="rId74" xr:uid="{00000000-0004-0000-0300-000049000000}"/>
    <hyperlink ref="K76" r:id="rId75" xr:uid="{00000000-0004-0000-0300-00004A000000}"/>
    <hyperlink ref="K77" r:id="rId76" xr:uid="{00000000-0004-0000-0300-00004B000000}"/>
    <hyperlink ref="K78" r:id="rId77" xr:uid="{00000000-0004-0000-0300-00004C000000}"/>
    <hyperlink ref="K79" r:id="rId78" xr:uid="{00000000-0004-0000-0300-00004D000000}"/>
    <hyperlink ref="K80" r:id="rId79" xr:uid="{00000000-0004-0000-0300-00004E000000}"/>
    <hyperlink ref="K81" r:id="rId80" xr:uid="{00000000-0004-0000-0300-00004F000000}"/>
    <hyperlink ref="K82" r:id="rId81" xr:uid="{00000000-0004-0000-0300-000050000000}"/>
    <hyperlink ref="K83" r:id="rId82" xr:uid="{00000000-0004-0000-0300-000051000000}"/>
    <hyperlink ref="K84" r:id="rId83" xr:uid="{00000000-0004-0000-0300-000052000000}"/>
    <hyperlink ref="K85" r:id="rId84" xr:uid="{00000000-0004-0000-0300-000053000000}"/>
    <hyperlink ref="K86" r:id="rId85" xr:uid="{00000000-0004-0000-0300-000054000000}"/>
    <hyperlink ref="K87" r:id="rId86" xr:uid="{00000000-0004-0000-0300-000055000000}"/>
    <hyperlink ref="K88" r:id="rId87" xr:uid="{00000000-0004-0000-0300-000056000000}"/>
    <hyperlink ref="K89" r:id="rId88" xr:uid="{00000000-0004-0000-0300-000057000000}"/>
    <hyperlink ref="K90" r:id="rId89" xr:uid="{00000000-0004-0000-0300-000058000000}"/>
    <hyperlink ref="K91" r:id="rId90" xr:uid="{00000000-0004-0000-0300-000059000000}"/>
    <hyperlink ref="K92" r:id="rId91" xr:uid="{00000000-0004-0000-0300-00005A000000}"/>
    <hyperlink ref="K93" r:id="rId92" xr:uid="{00000000-0004-0000-0300-00005B000000}"/>
    <hyperlink ref="K94" r:id="rId93" xr:uid="{00000000-0004-0000-0300-00005C000000}"/>
    <hyperlink ref="K95" r:id="rId94" xr:uid="{00000000-0004-0000-0300-00005D000000}"/>
    <hyperlink ref="K96" r:id="rId95" xr:uid="{00000000-0004-0000-0300-00005E000000}"/>
    <hyperlink ref="K97" r:id="rId96" xr:uid="{00000000-0004-0000-0300-00005F000000}"/>
    <hyperlink ref="K98" r:id="rId97" xr:uid="{00000000-0004-0000-0300-000060000000}"/>
    <hyperlink ref="K99" r:id="rId98" xr:uid="{00000000-0004-0000-0300-000061000000}"/>
    <hyperlink ref="K100" r:id="rId99" xr:uid="{00000000-0004-0000-0300-000062000000}"/>
    <hyperlink ref="K101" r:id="rId100" xr:uid="{00000000-0004-0000-0300-000063000000}"/>
    <hyperlink ref="K102" r:id="rId101" xr:uid="{00000000-0004-0000-0300-000064000000}"/>
    <hyperlink ref="K103" r:id="rId102" xr:uid="{00000000-0004-0000-0300-000065000000}"/>
    <hyperlink ref="K104" r:id="rId103" xr:uid="{00000000-0004-0000-0300-000066000000}"/>
    <hyperlink ref="K105" r:id="rId104" xr:uid="{00000000-0004-0000-0300-000067000000}"/>
    <hyperlink ref="K106" r:id="rId105" xr:uid="{00000000-0004-0000-0300-000068000000}"/>
    <hyperlink ref="K107" r:id="rId106" xr:uid="{00000000-0004-0000-0300-000069000000}"/>
    <hyperlink ref="K108" r:id="rId107" xr:uid="{00000000-0004-0000-0300-00006A000000}"/>
    <hyperlink ref="K109" r:id="rId108" xr:uid="{00000000-0004-0000-0300-00006B000000}"/>
    <hyperlink ref="K110" r:id="rId109" xr:uid="{00000000-0004-0000-0300-00006C000000}"/>
    <hyperlink ref="K111" r:id="rId110" xr:uid="{00000000-0004-0000-0300-00006D000000}"/>
    <hyperlink ref="K112" r:id="rId111" xr:uid="{00000000-0004-0000-0300-00006E000000}"/>
    <hyperlink ref="K113" r:id="rId112" xr:uid="{00000000-0004-0000-0300-00006F000000}"/>
    <hyperlink ref="K114" r:id="rId113" xr:uid="{00000000-0004-0000-0300-000070000000}"/>
    <hyperlink ref="K115" r:id="rId114" xr:uid="{00000000-0004-0000-0300-000071000000}"/>
    <hyperlink ref="K116" r:id="rId115" xr:uid="{00000000-0004-0000-0300-000072000000}"/>
    <hyperlink ref="K117" r:id="rId116" xr:uid="{00000000-0004-0000-0300-000073000000}"/>
    <hyperlink ref="K118" r:id="rId117" xr:uid="{00000000-0004-0000-0300-000074000000}"/>
    <hyperlink ref="K121" r:id="rId118" xr:uid="{00000000-0004-0000-0300-000075000000}"/>
  </hyperlinks>
  <pageMargins left="0.7" right="0.7" top="0.75" bottom="0.75" header="0.3" footer="0.3"/>
  <tableParts count="5">
    <tablePart r:id="rId119"/>
    <tablePart r:id="rId120"/>
    <tablePart r:id="rId121"/>
    <tablePart r:id="rId122"/>
    <tablePart r:id="rId12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Reviewed</vt:lpstr>
      <vt:lpstr>All Submissions</vt:lpstr>
      <vt:lpstr>About</vt:lpstr>
      <vt:lpstr>Old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Mujtaba, Ghulam</cp:lastModifiedBy>
  <dcterms:modified xsi:type="dcterms:W3CDTF">2025-03-26T20:03:05Z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a6de1d5b-8b4b-4e4e-a8a1-d2976158103f_Enabled">
    <vt:lpwstr>true</vt:lpwstr>
  </property>
  <property fmtid="{D5CDD505-2E9C-101B-9397-08002B2CF9AE}" pid="3" name="MSIP_Label_a6de1d5b-8b4b-4e4e-a8a1-d2976158103f_SetDate">
    <vt:lpwstr>2025-03-26T19:50:30Z</vt:lpwstr>
  </property>
  <property fmtid="{D5CDD505-2E9C-101B-9397-08002B2CF9AE}" pid="4" name="MSIP_Label_a6de1d5b-8b4b-4e4e-a8a1-d2976158103f_Method">
    <vt:lpwstr>Standard</vt:lpwstr>
  </property>
  <property fmtid="{D5CDD505-2E9C-101B-9397-08002B2CF9AE}" pid="5" name="MSIP_Label_a6de1d5b-8b4b-4e4e-a8a1-d2976158103f_Name">
    <vt:lpwstr>defa4170-0d19-0005-0004-bc88714345d2</vt:lpwstr>
  </property>
  <property fmtid="{D5CDD505-2E9C-101B-9397-08002B2CF9AE}" pid="6" name="MSIP_Label_a6de1d5b-8b4b-4e4e-a8a1-d2976158103f_SiteId">
    <vt:lpwstr>ecd4c5d9-c2fe-4522-afd1-f0d20755d9d7</vt:lpwstr>
  </property>
  <property fmtid="{D5CDD505-2E9C-101B-9397-08002B2CF9AE}" pid="7" name="MSIP_Label_a6de1d5b-8b4b-4e4e-a8a1-d2976158103f_ActionId">
    <vt:lpwstr>5772f8bf-8d80-4dd5-abb3-b40fed394e2f</vt:lpwstr>
  </property>
  <property fmtid="{D5CDD505-2E9C-101B-9397-08002B2CF9AE}" pid="8" name="MSIP_Label_a6de1d5b-8b4b-4e4e-a8a1-d2976158103f_ContentBits">
    <vt:lpwstr>0</vt:lpwstr>
  </property>
  <property fmtid="{D5CDD505-2E9C-101B-9397-08002B2CF9AE}" pid="9" name="MSIP_Label_a6de1d5b-8b4b-4e4e-a8a1-d2976158103f_Tag">
    <vt:lpwstr>10, 3, 0, 1</vt:lpwstr>
  </property>
</Properties>
</file>