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i\Desktop\College\DA_Sem 4\Financial Analysis\Project\"/>
    </mc:Choice>
  </mc:AlternateContent>
  <xr:revisionPtr revIDLastSave="0" documentId="13_ncr:1_{6157367E-92D8-4D1A-9E45-872045D89144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Introduction" sheetId="27" r:id="rId1"/>
    <sheet name="JNJ 5 year data" sheetId="26" r:id="rId2"/>
    <sheet name="CAPM" sheetId="1" r:id="rId3"/>
    <sheet name="Dividend Growth Model" sheetId="3" r:id="rId4"/>
    <sheet name="Financial Ratios" sheetId="24" r:id="rId5"/>
    <sheet name="Data from EDGAR--&gt;" sheetId="4" r:id="rId6"/>
    <sheet name="Income Statement" sheetId="25" r:id="rId7"/>
    <sheet name="Balance Sheet" sheetId="13" r:id="rId8"/>
    <sheet name="Earnings per share" sheetId="6" r:id="rId9"/>
    <sheet name="Statements of Cash" sheetId="29" r:id="rId10"/>
  </sheets>
  <definedNames>
    <definedName name="ExternalData_1" localSheetId="7" hidden="1">'Balance Sheet'!$A$1:$C$38</definedName>
    <definedName name="ExternalData_1" localSheetId="6" hidden="1">'Income Statement'!$A$1:$D$28</definedName>
    <definedName name="ExternalData_2" localSheetId="8" hidden="1">'Earnings per share'!$A$1:$E$14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4" l="1"/>
  <c r="D75" i="24"/>
  <c r="D70" i="24"/>
  <c r="D69" i="24"/>
  <c r="D71" i="24" s="1"/>
  <c r="D64" i="24"/>
  <c r="D65" i="24"/>
  <c r="D66" i="24" s="1"/>
  <c r="D53" i="24"/>
  <c r="D47" i="24"/>
  <c r="D45" i="24"/>
  <c r="D41" i="24"/>
  <c r="D40" i="24"/>
  <c r="D52" i="24"/>
  <c r="D51" i="24"/>
  <c r="D46" i="24"/>
  <c r="D33" i="24"/>
  <c r="D27" i="24"/>
  <c r="D31" i="24"/>
  <c r="D34" i="24" s="1"/>
  <c r="D59" i="24" s="1"/>
  <c r="D60" i="24" s="1"/>
  <c r="D26" i="24"/>
  <c r="D22" i="24"/>
  <c r="D21" i="24"/>
  <c r="D17" i="24"/>
  <c r="D16" i="24"/>
  <c r="D12" i="24"/>
  <c r="D11" i="24"/>
  <c r="D6" i="24"/>
  <c r="D23" i="24" l="1"/>
  <c r="D74" i="24" s="1"/>
  <c r="D76" i="24" s="1"/>
  <c r="D54" i="24"/>
  <c r="D42" i="24"/>
  <c r="D48" i="24"/>
  <c r="D13" i="24"/>
  <c r="D18" i="24"/>
  <c r="D28" i="24"/>
  <c r="D8" i="24"/>
  <c r="F12" i="3" l="1"/>
  <c r="F10" i="3"/>
  <c r="F9" i="3"/>
  <c r="F8" i="3"/>
  <c r="F4" i="3"/>
  <c r="C18" i="3"/>
  <c r="C14" i="3"/>
  <c r="C10" i="3"/>
  <c r="C6" i="3"/>
  <c r="C2" i="3"/>
  <c r="F2" i="3" s="1"/>
  <c r="J1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5" i="1"/>
  <c r="J14" i="1" l="1"/>
  <c r="J23" i="1" s="1"/>
</calcChain>
</file>

<file path=xl/sharedStrings.xml><?xml version="1.0" encoding="utf-8"?>
<sst xmlns="http://schemas.openxmlformats.org/spreadsheetml/2006/main" count="362" uniqueCount="261">
  <si>
    <t>Price</t>
  </si>
  <si>
    <t>Close</t>
  </si>
  <si>
    <t>Ticker</t>
  </si>
  <si>
    <t>JNJ</t>
  </si>
  <si>
    <t>Date</t>
  </si>
  <si>
    <t>S&amp;P500</t>
  </si>
  <si>
    <t>R-market</t>
  </si>
  <si>
    <t>R-JNJ</t>
  </si>
  <si>
    <t>Beta Value (22 March 2025)</t>
  </si>
  <si>
    <t>rm value</t>
  </si>
  <si>
    <t>monthly</t>
  </si>
  <si>
    <t>yearly</t>
  </si>
  <si>
    <t>rf value (22 March 2025)</t>
  </si>
  <si>
    <t>CAPM Model formula</t>
  </si>
  <si>
    <t>RA = rf+beta(rm-rf)</t>
  </si>
  <si>
    <t>RA value</t>
  </si>
  <si>
    <t>Dividend</t>
  </si>
  <si>
    <t>May 20 2024</t>
  </si>
  <si>
    <t>Aug 27 2024</t>
  </si>
  <si>
    <t>Feb 16 2024</t>
  </si>
  <si>
    <t>Nov 20 2023</t>
  </si>
  <si>
    <t>Aug 25 2023</t>
  </si>
  <si>
    <t>May 22 2023</t>
  </si>
  <si>
    <t>Feb 17 2023</t>
  </si>
  <si>
    <t>Nov 21 2022</t>
  </si>
  <si>
    <t>Aug 22 2022</t>
  </si>
  <si>
    <t>May 23 2022</t>
  </si>
  <si>
    <t>Feb 18 2022</t>
  </si>
  <si>
    <t>Nov 22 2021</t>
  </si>
  <si>
    <t>Aug 23 2021</t>
  </si>
  <si>
    <t>May 24 2021</t>
  </si>
  <si>
    <t>Feb 22 2021</t>
  </si>
  <si>
    <t>Nov 23 2020</t>
  </si>
  <si>
    <t>Aug 24 2020</t>
  </si>
  <si>
    <t>May 22 2020</t>
  </si>
  <si>
    <t>Feb 24 2020</t>
  </si>
  <si>
    <t>Nov 26 2024</t>
  </si>
  <si>
    <t>Total DSP (Annual)</t>
  </si>
  <si>
    <t>Dividend Growth rate (g)</t>
  </si>
  <si>
    <t>Required Return</t>
  </si>
  <si>
    <t xml:space="preserve">Dividend Growth Model Formula = </t>
  </si>
  <si>
    <t>D1 / (r-g)</t>
  </si>
  <si>
    <t>D1 (Expected dividend next year)</t>
  </si>
  <si>
    <t>r</t>
  </si>
  <si>
    <t>g</t>
  </si>
  <si>
    <t>JNJ’s intrinsic value based on DGM</t>
  </si>
  <si>
    <t>per share</t>
  </si>
  <si>
    <t>12 Months Ended</t>
  </si>
  <si>
    <t>Column3</t>
  </si>
  <si>
    <t>Column4</t>
  </si>
  <si>
    <t>Dec. 29, 2024</t>
  </si>
  <si>
    <t>Dec. 31, 2023</t>
  </si>
  <si>
    <t>Jan. 02, 2022</t>
  </si>
  <si>
    <t> </t>
  </si>
  <si>
    <t>Antidilutive securities excluded from computation of earnings per share (in shares)</t>
  </si>
  <si>
    <t>Earnings per share - Reconciliation of Basic Net Earnings per Share to Diluted Net Earnings per Share (Details) - $ / shares</t>
  </si>
  <si>
    <t>Column5</t>
  </si>
  <si>
    <t>Jan. 01, 2023</t>
  </si>
  <si>
    <t>Reconciliation of basic net earnings per share to diluted net earnings per share</t>
  </si>
  <si>
    <t>Basic net earnings per share from continuing operations (in dollars per share)</t>
  </si>
  <si>
    <t>Basic net earnings per share from discontinued operations (in dollars per share)</t>
  </si>
  <si>
    <t>Basic net earnings per share (in dollars per share)</t>
  </si>
  <si>
    <t>Average shares outstanding — basic (in shares)</t>
  </si>
  <si>
    <t>Potential shares exercisable under stock option plans (in shares)</t>
  </si>
  <si>
    <t>Less: shares repurchased under treasury stock method (in shares)</t>
  </si>
  <si>
    <t>Average shares outstanding - diluted (in shares)</t>
  </si>
  <si>
    <t>Diluted net earnings per share from continuing operations (in dollars per share)</t>
  </si>
  <si>
    <t>Diluted net earnings per share from discontinuing operations (in dollars per share)</t>
  </si>
  <si>
    <t>Diluted net earnings per share (in dollars per share)</t>
  </si>
  <si>
    <t>Earnings before provision for taxes on income</t>
  </si>
  <si>
    <t>Provision for taxes on income</t>
  </si>
  <si>
    <t>Column1</t>
  </si>
  <si>
    <t>Column2</t>
  </si>
  <si>
    <t>Employee related obligations</t>
  </si>
  <si>
    <t>Consolidated Balance Sheets - USD ($) $ in Millions</t>
  </si>
  <si>
    <t>Current assets:</t>
  </si>
  <si>
    <t>Cash and cash equivalents</t>
  </si>
  <si>
    <t>Marketable securities</t>
  </si>
  <si>
    <t>Accounts receivable trade, less allowances $167 (2023, $166)</t>
  </si>
  <si>
    <t>Inventories</t>
  </si>
  <si>
    <t>Prepaid expenses and other receivables</t>
  </si>
  <si>
    <t>Total current assets</t>
  </si>
  <si>
    <t>Property, plant and equipment, net</t>
  </si>
  <si>
    <t>Intangible assets, net</t>
  </si>
  <si>
    <t>Goodwill</t>
  </si>
  <si>
    <t>Deferred taxes on income</t>
  </si>
  <si>
    <t>Other assets</t>
  </si>
  <si>
    <t>Total assets</t>
  </si>
  <si>
    <t>Current liabilities</t>
  </si>
  <si>
    <t>Loans and notes payable</t>
  </si>
  <si>
    <t>Accounts payable</t>
  </si>
  <si>
    <t>Accrued liabilities</t>
  </si>
  <si>
    <t>Accrued rebates, returns and promotions</t>
  </si>
  <si>
    <t>Accrued compensation and employee related obligations</t>
  </si>
  <si>
    <t>Accrued taxes on income</t>
  </si>
  <si>
    <t>Total current liabilities</t>
  </si>
  <si>
    <t>Long-term debt</t>
  </si>
  <si>
    <t>Long-term taxes payable</t>
  </si>
  <si>
    <t>Other liabilities</t>
  </si>
  <si>
    <t>Total liabilities</t>
  </si>
  <si>
    <t>Commitments and Contingencies</t>
  </si>
  <si>
    <t/>
  </si>
  <si>
    <t>Shareholders’ equity</t>
  </si>
  <si>
    <t>Preferred stock — without par value (authorized and unissued 2,000,000 shares)</t>
  </si>
  <si>
    <t>Common stock — par value $1.00 per share (Note 12) (authorized 4,320,000,000 shares; issued 3,119,843,000 shares)</t>
  </si>
  <si>
    <t>Accumulated other comprehensive income (loss)</t>
  </si>
  <si>
    <t>Retained earnings and Additional-paid-in-capital</t>
  </si>
  <si>
    <t>Less: common stock held in treasury, at cost (Note 12) (712,921,000 shares and 712,765,000 shares)</t>
  </si>
  <si>
    <t>Total shareholders’ equity</t>
  </si>
  <si>
    <t>Total liabilities and shareholders’ equity</t>
  </si>
  <si>
    <t>a) Gross Profit Margin = Gross Profit/Net Sales</t>
  </si>
  <si>
    <t>Net Sales</t>
  </si>
  <si>
    <t>Gross Profit</t>
  </si>
  <si>
    <t>GPM</t>
  </si>
  <si>
    <t>b) Operating Profit Margin or Return on Sales = Operating Earnings / Net Sales</t>
  </si>
  <si>
    <t>Operating earnings</t>
  </si>
  <si>
    <t>Operating profit margin</t>
  </si>
  <si>
    <t xml:space="preserve">c) Return on Assets = Net Income / Total Assets </t>
  </si>
  <si>
    <t>Net Income</t>
  </si>
  <si>
    <t>Total Assets</t>
  </si>
  <si>
    <t>ROA</t>
  </si>
  <si>
    <t>d) Return on equity = Net income /shareholder’s equity</t>
  </si>
  <si>
    <t>Shareholder’s equity</t>
  </si>
  <si>
    <t>ROE</t>
  </si>
  <si>
    <t>Consolidated Statements of Earnings - USD ($) shares in Millions, $ in Millions</t>
  </si>
  <si>
    <t>Income Statement [Abstract]</t>
  </si>
  <si>
    <t>Sales to customers</t>
  </si>
  <si>
    <t>Cost of products sold</t>
  </si>
  <si>
    <t>Gross profit</t>
  </si>
  <si>
    <t>Selling, marketing and administrative expenses</t>
  </si>
  <si>
    <t>Research and development expense</t>
  </si>
  <si>
    <t>In-process research and development impairments</t>
  </si>
  <si>
    <t>Interest income</t>
  </si>
  <si>
    <t>Interest expense, net of portion capitalized</t>
  </si>
  <si>
    <t>Other (income) expense, net</t>
  </si>
  <si>
    <t>Restructuring</t>
  </si>
  <si>
    <t>Net earnings from continuing operations</t>
  </si>
  <si>
    <t>Net earnings from discontinued operations</t>
  </si>
  <si>
    <t>Net earnings</t>
  </si>
  <si>
    <t>Net earnings per share</t>
  </si>
  <si>
    <t>Basic (in dollars per share)</t>
  </si>
  <si>
    <t>Diluted (in dollars per share)</t>
  </si>
  <si>
    <t>Average shares outstanding</t>
  </si>
  <si>
    <t>Basic (in shares)</t>
  </si>
  <si>
    <t>Diluted (in shares)</t>
  </si>
  <si>
    <t>e) Net Profit Margin = Net Income / Net Sales</t>
  </si>
  <si>
    <t>Net Profit Margin</t>
  </si>
  <si>
    <t>f) Earnings Per Share (EPS) = (Net Income - Preferred Dividends) / Weighted Avg Shares Outstanding</t>
  </si>
  <si>
    <t>Preferred Dividends</t>
  </si>
  <si>
    <t>Weighted Avg Shares Outstanding</t>
  </si>
  <si>
    <t>EPS</t>
  </si>
  <si>
    <t>no preferred shares issued</t>
  </si>
  <si>
    <t>Financial Ratios of JNJ</t>
  </si>
  <si>
    <t>a) Current Ratio = Current Assets / Current Liabilities</t>
  </si>
  <si>
    <t>Current Assets</t>
  </si>
  <si>
    <t>Current Liabilities</t>
  </si>
  <si>
    <t>Current Ratio</t>
  </si>
  <si>
    <t>Inventory</t>
  </si>
  <si>
    <t>Quick Ratio</t>
  </si>
  <si>
    <t>Cash and Cash equivalents</t>
  </si>
  <si>
    <t>Cash Ratio</t>
  </si>
  <si>
    <t>b) Quick Ratio / Acid-test Ratio = (Current Assets – inventory)/ Current Liabilities</t>
  </si>
  <si>
    <r>
      <t xml:space="preserve">c) Cash ratio = Cash + Cash equivalents + </t>
    </r>
    <r>
      <rPr>
        <sz val="11"/>
        <color rgb="FFFF0000"/>
        <rFont val="Calibri"/>
        <family val="2"/>
        <scheme val="minor"/>
      </rPr>
      <t>Marketable securities</t>
    </r>
    <r>
      <rPr>
        <sz val="11"/>
        <color theme="1"/>
        <rFont val="Calibri"/>
        <family val="2"/>
        <scheme val="minor"/>
      </rPr>
      <t xml:space="preserve"> / Current Liabilities </t>
    </r>
  </si>
  <si>
    <t>Market Price Per Share</t>
  </si>
  <si>
    <t>Earnings Per Share (EPS)</t>
  </si>
  <si>
    <t>P/E Ratio</t>
  </si>
  <si>
    <t>Dividends Paid</t>
  </si>
  <si>
    <t>Net Earnings or Net income</t>
  </si>
  <si>
    <t>Dividend Payout Ratio</t>
  </si>
  <si>
    <t>2024 annual dividend * Shares outstanding</t>
  </si>
  <si>
    <t>Total Debt</t>
  </si>
  <si>
    <t>Shareholders Equity</t>
  </si>
  <si>
    <t>D/E Ratio</t>
  </si>
  <si>
    <t>Return on Equity</t>
  </si>
  <si>
    <t>SGR</t>
  </si>
  <si>
    <r>
      <rPr>
        <b/>
        <sz val="11"/>
        <color theme="1"/>
        <rFont val="Calibri"/>
        <family val="2"/>
        <scheme val="minor"/>
      </rPr>
      <t>1) Profitability Ratio:</t>
    </r>
    <r>
      <rPr>
        <sz val="11"/>
        <color theme="1"/>
        <rFont val="Calibri"/>
        <family val="2"/>
        <scheme val="minor"/>
      </rPr>
      <t xml:space="preserve"> It measures profitability, which is a way to measure a company's performance</t>
    </r>
  </si>
  <si>
    <r>
      <rPr>
        <b/>
        <sz val="11"/>
        <color theme="1"/>
        <rFont val="Calibri"/>
        <family val="2"/>
        <scheme val="minor"/>
      </rPr>
      <t xml:space="preserve">2) Liquidity Ratio </t>
    </r>
    <r>
      <rPr>
        <sz val="11"/>
        <color theme="1"/>
        <rFont val="Calibri"/>
        <family val="2"/>
        <scheme val="minor"/>
      </rPr>
      <t>: It measures the ability of a company to pay its short term Financial obligations as they become due.</t>
    </r>
  </si>
  <si>
    <r>
      <rPr>
        <b/>
        <sz val="11"/>
        <color theme="1"/>
        <rFont val="Calibri"/>
        <family val="2"/>
        <scheme val="minor"/>
      </rPr>
      <t>3) Price-to-Earnings (P/E) ratio</t>
    </r>
    <r>
      <rPr>
        <sz val="11"/>
        <color theme="1"/>
        <rFont val="Calibri"/>
        <family val="2"/>
        <scheme val="minor"/>
      </rPr>
      <t xml:space="preserve"> = Market Price per Share / Earnings Per Share(EPS)</t>
    </r>
  </si>
  <si>
    <r>
      <rPr>
        <b/>
        <sz val="11"/>
        <color theme="1"/>
        <rFont val="Calibri"/>
        <family val="2"/>
        <scheme val="minor"/>
      </rPr>
      <t>4) Dividend Payout Ratio</t>
    </r>
    <r>
      <rPr>
        <sz val="11"/>
        <color theme="1"/>
        <rFont val="Calibri"/>
        <family val="2"/>
        <scheme val="minor"/>
      </rPr>
      <t xml:space="preserve"> = Dividends Paid / Net Earnings</t>
    </r>
  </si>
  <si>
    <r>
      <rPr>
        <b/>
        <sz val="11"/>
        <color theme="1"/>
        <rFont val="Calibri"/>
        <family val="2"/>
        <scheme val="minor"/>
      </rPr>
      <t>5) Debt-to-Equity Ratio (D/E)</t>
    </r>
    <r>
      <rPr>
        <sz val="11"/>
        <color theme="1"/>
        <rFont val="Calibri"/>
        <family val="2"/>
        <scheme val="minor"/>
      </rPr>
      <t xml:space="preserve"> = Total Debt / Shareholders Equity</t>
    </r>
  </si>
  <si>
    <t>High</t>
  </si>
  <si>
    <t>Low</t>
  </si>
  <si>
    <t>Open</t>
  </si>
  <si>
    <t>Volume</t>
  </si>
  <si>
    <t>^GSPC</t>
  </si>
  <si>
    <t>Johnson &amp; Johnson Stock Analysis</t>
  </si>
  <si>
    <t>Group 3</t>
  </si>
  <si>
    <t>Sheet</t>
  </si>
  <si>
    <t>Content</t>
  </si>
  <si>
    <t>JNJ 5 year data</t>
  </si>
  <si>
    <t xml:space="preserve">The stock price of JNJ from year 2020 to 2024 </t>
  </si>
  <si>
    <t>CAPM</t>
  </si>
  <si>
    <t>Capital Asset Pricing Model of JNJ stock</t>
  </si>
  <si>
    <t>Dividend Growth Model</t>
  </si>
  <si>
    <t>Dividend Growth model of JNJ stock</t>
  </si>
  <si>
    <t>Financial Ratios</t>
  </si>
  <si>
    <t xml:space="preserve">Financial ratios of JNJ stock based on the Financial statements. </t>
  </si>
  <si>
    <t>Calculated 6 profitability ratios, 3 liquidity ratios, price-to-earning ratio,</t>
  </si>
  <si>
    <t>dividend payout ratio, debt-to-equity, and the organization's sustainable growth rate.</t>
  </si>
  <si>
    <t>(next year's dividend)</t>
  </si>
  <si>
    <r>
      <t>6</t>
    </r>
    <r>
      <rPr>
        <b/>
        <sz val="11"/>
        <color theme="1"/>
        <rFont val="Calibri"/>
        <family val="2"/>
        <scheme val="minor"/>
      </rPr>
      <t>) Organizational Sustainable Growth Rate</t>
    </r>
    <r>
      <rPr>
        <sz val="11"/>
        <color theme="1"/>
        <rFont val="Calibri"/>
        <family val="2"/>
        <scheme val="minor"/>
      </rPr>
      <t xml:space="preserve"> = Return on Equity * (1-Dividend Payout Ratio)</t>
    </r>
  </si>
  <si>
    <t>Consolidated Statements of Cash Flows - USD ($) $ in Millions</t>
  </si>
  <si>
    <t>Cash flows from operating activities</t>
  </si>
  <si>
    <t>Adjustments to reconcile net earnings to cash flows from operating activities:</t>
  </si>
  <si>
    <t>Depreciation and amortization of property and intangibles</t>
  </si>
  <si>
    <t>Stock based compensation</t>
  </si>
  <si>
    <t>Asset write-downs</t>
  </si>
  <si>
    <t>Charges for acquired in-process research and development assets</t>
  </si>
  <si>
    <t>(Gain) on separation of Kenvue</t>
  </si>
  <si>
    <t>Net gain on sale of assets/businesses</t>
  </si>
  <si>
    <t>Deferred tax provision</t>
  </si>
  <si>
    <t>Credit losses and accounts receivable allowances</t>
  </si>
  <si>
    <t>Changes in assets and liabilities, net of effects from acquisitions and divestitures:</t>
  </si>
  <si>
    <t>Increase in accounts receivable</t>
  </si>
  <si>
    <t>Increase in inventories</t>
  </si>
  <si>
    <t>Increase in accounts payable and accrued liabilities</t>
  </si>
  <si>
    <t>Decrease/(Increase) in other current and non-current assets</t>
  </si>
  <si>
    <t>Increase/(Decrease) in other current and non-current liabilities</t>
  </si>
  <si>
    <t>Net cash flows from operating activities</t>
  </si>
  <si>
    <t>Cash flows from investing activities</t>
  </si>
  <si>
    <t>Additions to property, plant and equipment</t>
  </si>
  <si>
    <t>Proceeds from the disposal of assets/businesses, net</t>
  </si>
  <si>
    <t>Acquisitions, net of cash acquired</t>
  </si>
  <si>
    <t>Purchases of in-process research and development assets</t>
  </si>
  <si>
    <t>Purchases of investments</t>
  </si>
  <si>
    <t>Sales of investments</t>
  </si>
  <si>
    <t>Credit support agreements activity, net</t>
  </si>
  <si>
    <t>Other (including capitalized licenses and milestones)</t>
  </si>
  <si>
    <t>Net cash (used by)/from investing activities</t>
  </si>
  <si>
    <t>Cash flows from financing activities</t>
  </si>
  <si>
    <t>Dividends to shareholders</t>
  </si>
  <si>
    <t>Repurchase of common stock</t>
  </si>
  <si>
    <t>Proceeds from short-term debt</t>
  </si>
  <si>
    <t>Repayment of short-term debt</t>
  </si>
  <si>
    <t>Proceeds from long-term debt, net of issuance costs</t>
  </si>
  <si>
    <t>Repayment of long-term debt</t>
  </si>
  <si>
    <t>Proceeds from the exercise of stock options/employee withholding tax on stock awards, net</t>
  </si>
  <si>
    <t>Settlement of convertible debt acquired from Shockwave</t>
  </si>
  <si>
    <t>Proceeds of short and long-term debt, net of issuance cost, related to the debt that transferred to Kenvue at separation</t>
  </si>
  <si>
    <t>Proceeds from Kenvue initial public offering</t>
  </si>
  <si>
    <t>Cash transferred to Kenvue at separation</t>
  </si>
  <si>
    <t>Other</t>
  </si>
  <si>
    <t>Net cash used by financing activities</t>
  </si>
  <si>
    <t>Effect of exchange rate changes on cash and cash equivalents</t>
  </si>
  <si>
    <t>Increase/(Decrease) in cash and cash equivalents</t>
  </si>
  <si>
    <t>Cash and cash equivalents from continuing operations, beginning of period</t>
  </si>
  <si>
    <t>Cash and cash equivalents from discontinued operations, beginning of period</t>
  </si>
  <si>
    <t>Cash and cash equivalents, beginning of year</t>
  </si>
  <si>
    <t>Cash and cash equivalents from continuing operations, end of period</t>
  </si>
  <si>
    <t>Cash and cash equivalents from discontinued operations, end of period</t>
  </si>
  <si>
    <t>Cash and cash equivalents, end of year</t>
  </si>
  <si>
    <t>Cash paid during the year for:</t>
  </si>
  <si>
    <t>Interest</t>
  </si>
  <si>
    <t>Interest, net of amount capitalized</t>
  </si>
  <si>
    <t>Income taxes, inclusive of discontinued operations</t>
  </si>
  <si>
    <t>Supplemental schedule of non-cash investing and financing activities</t>
  </si>
  <si>
    <t>Treasury stock issued for employee compensation and stock option plans, net of cash proceeds/ employee withholding tax on stock awards</t>
  </si>
  <si>
    <t>Acquisitions</t>
  </si>
  <si>
    <t>Fair value of assets acquired</t>
  </si>
  <si>
    <t>Fair value of liabilities assumed</t>
  </si>
  <si>
    <t>Net cash paid for acquisitions (Note 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</si>
</sst>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000%"/>
    <numFmt numFmtId="166" formatCode="0.000%"/>
    <numFmt numFmtId="167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Times New Roman"/>
      <family val="1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/>
    <xf numFmtId="164" fontId="4" fillId="0" borderId="2" xfId="0" applyNumberFormat="1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6" fontId="0" fillId="0" borderId="0" xfId="1" applyNumberFormat="1" applyFont="1"/>
    <xf numFmtId="0" fontId="0" fillId="3" borderId="0" xfId="0" applyFill="1"/>
    <xf numFmtId="0" fontId="0" fillId="3" borderId="1" xfId="0" applyFill="1" applyBorder="1"/>
    <xf numFmtId="37" fontId="0" fillId="3" borderId="1" xfId="0" applyNumberFormat="1" applyFill="1" applyBorder="1"/>
    <xf numFmtId="10" fontId="0" fillId="3" borderId="1" xfId="1" applyNumberFormat="1" applyFont="1" applyFill="1" applyBorder="1"/>
    <xf numFmtId="37" fontId="0" fillId="3" borderId="1" xfId="0" applyNumberFormat="1" applyFill="1" applyBorder="1" applyAlignment="1">
      <alignment horizontal="right"/>
    </xf>
    <xf numFmtId="2" fontId="0" fillId="3" borderId="1" xfId="0" applyNumberFormat="1" applyFill="1" applyBorder="1"/>
    <xf numFmtId="167" fontId="0" fillId="3" borderId="1" xfId="0" applyNumberFormat="1" applyFill="1" applyBorder="1"/>
    <xf numFmtId="0" fontId="0" fillId="3" borderId="3" xfId="0" applyFill="1" applyBorder="1"/>
    <xf numFmtId="2" fontId="0" fillId="0" borderId="0" xfId="0" applyNumberFormat="1"/>
    <xf numFmtId="0" fontId="0" fillId="3" borderId="1" xfId="0" applyFill="1" applyBorder="1" applyAlignment="1">
      <alignment horizontal="right"/>
    </xf>
    <xf numFmtId="10" fontId="0" fillId="3" borderId="1" xfId="0" applyNumberFormat="1" applyFill="1" applyBorder="1"/>
    <xf numFmtId="165" fontId="0" fillId="3" borderId="1" xfId="0" applyNumberFormat="1" applyFill="1" applyBorder="1"/>
    <xf numFmtId="0" fontId="8" fillId="0" borderId="0" xfId="0" applyFont="1"/>
    <xf numFmtId="0" fontId="0" fillId="2" borderId="1" xfId="0" applyFill="1" applyBorder="1"/>
    <xf numFmtId="165" fontId="0" fillId="2" borderId="1" xfId="1" applyNumberFormat="1" applyFont="1" applyFill="1" applyBorder="1"/>
    <xf numFmtId="164" fontId="3" fillId="0" borderId="1" xfId="0" applyNumberFormat="1" applyFont="1" applyBorder="1" applyAlignment="1">
      <alignment horizontal="center" vertical="top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4" borderId="1" xfId="0" applyFont="1" applyFill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1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4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0</xdr:rowOff>
    </xdr:from>
    <xdr:ext cx="3683000" cy="12890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D4E3F8-38C0-2314-5D72-FBC5320EEB89}"/>
            </a:ext>
          </a:extLst>
        </xdr:cNvPr>
        <xdr:cNvSpPr txBox="1"/>
      </xdr:nvSpPr>
      <xdr:spPr>
        <a:xfrm>
          <a:off x="596900" y="1035050"/>
          <a:ext cx="3683000" cy="128905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Aashish Kurimilla - W0833509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Nrupendra Kumar - W0836757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Sai Anudeep Janapareddy - W0836698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Chaithanya Keshavabhakthula - W0851954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Syed Mohmed Yousuf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Ismail Maraika - W0837472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16</xdr:col>
      <xdr:colOff>150092</xdr:colOff>
      <xdr:row>13</xdr:row>
      <xdr:rowOff>11545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7AE954-F57D-B1F7-09A5-BDB1176A1E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6" t="17403" r="22327"/>
        <a:stretch/>
      </xdr:blipFill>
      <xdr:spPr>
        <a:xfrm>
          <a:off x="9675091" y="369455"/>
          <a:ext cx="3071092" cy="204354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16</xdr:col>
      <xdr:colOff>173182</xdr:colOff>
      <xdr:row>25</xdr:row>
      <xdr:rowOff>86591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6E4654-E4B4-7B43-7544-B4C129804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88682" y="2770909"/>
          <a:ext cx="3094182" cy="19338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6350</xdr:colOff>
      <xdr:row>14</xdr:row>
      <xdr:rowOff>6350</xdr:rowOff>
    </xdr:from>
    <xdr:ext cx="4222750" cy="1644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4A2AB0-1E16-D69B-8B2E-07D996C98233}"/>
            </a:ext>
          </a:extLst>
        </xdr:cNvPr>
        <xdr:cNvSpPr txBox="1"/>
      </xdr:nvSpPr>
      <xdr:spPr>
        <a:xfrm>
          <a:off x="3479800" y="2584450"/>
          <a:ext cx="4222750" cy="164465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Comparison with Market</a:t>
          </a:r>
          <a:r>
            <a:rPr lang="en-US" sz="1100" b="1" baseline="0"/>
            <a:t> Price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The JNJ's current stock price is $163.63 per share. Since DGM estimates $128.52 per share, this suggests JNJ might be overvalued under the dividend growth model.</a:t>
          </a:r>
          <a:br>
            <a:rPr lang="en-US" sz="1100" baseline="0"/>
          </a:br>
          <a:br>
            <a:rPr lang="en-US" sz="1100" baseline="0"/>
          </a:br>
          <a:r>
            <a:rPr lang="en-US"/>
            <a:t>However, real-world factors (interest rates, risk, company performance) should also be considered.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4864100" cy="12255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BF14FB-CBF8-8B2C-354C-CE0FD26E9570}"/>
            </a:ext>
          </a:extLst>
        </xdr:cNvPr>
        <xdr:cNvSpPr txBox="1"/>
      </xdr:nvSpPr>
      <xdr:spPr>
        <a:xfrm>
          <a:off x="609600" y="184150"/>
          <a:ext cx="4864100" cy="122555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following sheets Income statement,</a:t>
          </a:r>
          <a:r>
            <a:rPr lang="en-US" sz="1100" baseline="0"/>
            <a:t> Balance sheet and Earnings per share are extracted from the 10-k Financial statement of Johnson &amp; Johnson company.</a:t>
          </a:r>
        </a:p>
        <a:p>
          <a:endParaRPr lang="en-US" sz="1100" baseline="0"/>
        </a:p>
        <a:p>
          <a:r>
            <a:rPr lang="en-US" sz="1100"/>
            <a:t>Link: https://www.sec.gov/cgi-bin/viewer?action=view&amp;cik=200406&amp;accession_number=0000200406-25-000038&amp;xbrl_type=v#</a:t>
          </a:r>
          <a:br>
            <a:rPr lang="en-US" sz="1100"/>
          </a:br>
          <a:br>
            <a:rPr lang="en-US" sz="1100"/>
          </a:b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888FA44-2C7F-4330-A8A0-EE8606DC37EE}" name="Consolidated_Statements_of_Earn" displayName="Consolidated_Statements_of_Earn" ref="A1:D28" totalsRowShown="0">
  <autoFilter ref="A1:D28" xr:uid="{9888FA44-2C7F-4330-A8A0-EE8606DC37EE}"/>
  <tableColumns count="4">
    <tableColumn id="1" xr3:uid="{75E4566C-E2CA-43BA-A445-A80E4FA1ADF3}" name="Consolidated Statements of Earnings - USD ($) shares in Millions, $ in Millions" dataDxfId="3"/>
    <tableColumn id="2" xr3:uid="{1A09BE22-37C8-42AC-AF78-6EBCE8A46C00}" name="12 Months Ended"/>
    <tableColumn id="3" xr3:uid="{A7EAC4BE-76E9-4F4A-BB7D-3AB2B10A5201}" name="Column3"/>
    <tableColumn id="4" xr3:uid="{E9250497-07CD-4D6A-A20D-D900D07261E2}" name="Column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2CBF870-0D47-4D58-AB5D-2EBACF6461FF}" name="Consolidated_Balance_Sheets" displayName="Consolidated_Balance_Sheets" ref="A1:C38" totalsRowShown="0">
  <autoFilter ref="A1:C38" xr:uid="{82CBF870-0D47-4D58-AB5D-2EBACF6461FF}"/>
  <tableColumns count="3">
    <tableColumn id="1" xr3:uid="{605FCC60-8908-48A0-A4CA-13C8A32C5CB4}" name="Column1" dataDxfId="2"/>
    <tableColumn id="2" xr3:uid="{34A1776B-550B-47CC-A61C-1CE816C07E98}" name="Column2"/>
    <tableColumn id="3" xr3:uid="{370FD945-5F59-46F3-8818-ED06F73ED41E}" name="Column3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D44640-6C88-4D45-8206-0726FE9078C5}" name="Earnings_per_share___Reconcilia__2" displayName="Earnings_per_share___Reconcilia__2" ref="A1:E14" totalsRowShown="0">
  <autoFilter ref="A1:E14" xr:uid="{94D44640-6C88-4D45-8206-0726FE9078C5}"/>
  <tableColumns count="5">
    <tableColumn id="1" xr3:uid="{0160B396-682A-4F06-B58E-BE254DB5ECCC}" name="Earnings per share - Reconciliation of Basic Net Earnings per Share to Diluted Net Earnings per Share (Details) - $ / shares" dataDxfId="0"/>
    <tableColumn id="2" xr3:uid="{E24666F0-0319-4A4E-ABAD-3B496DEE5989}" name="12 Months Ended"/>
    <tableColumn id="3" xr3:uid="{82E90A61-1089-4B63-A7E3-DC01E1310614}" name="Column3"/>
    <tableColumn id="4" xr3:uid="{CC7733DD-56CB-4884-BA20-D1F5CBE1A283}" name="Column4"/>
    <tableColumn id="5" xr3:uid="{5B78D3CF-A3D1-42B4-B215-3C66F24A5940}" name="Column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D23B0-A5C2-4BD4-98D4-FEC6747838F8}">
  <sheetPr>
    <tabColor theme="6" tint="0.79998168889431442"/>
  </sheetPr>
  <dimension ref="A2:D21"/>
  <sheetViews>
    <sheetView workbookViewId="0">
      <selection activeCell="B27" sqref="B27"/>
    </sheetView>
  </sheetViews>
  <sheetFormatPr defaultRowHeight="14.5" x14ac:dyDescent="0.35"/>
  <cols>
    <col min="1" max="1" width="20.90625" bestFit="1" customWidth="1"/>
    <col min="2" max="2" width="72.90625" bestFit="1" customWidth="1"/>
    <col min="4" max="4" width="9.453125" customWidth="1"/>
  </cols>
  <sheetData>
    <row r="2" spans="1:4" ht="18.5" x14ac:dyDescent="0.45">
      <c r="A2" s="39" t="s">
        <v>185</v>
      </c>
      <c r="B2" s="39"/>
      <c r="C2" s="31"/>
      <c r="D2" s="31"/>
    </row>
    <row r="3" spans="1:4" ht="18.5" x14ac:dyDescent="0.45">
      <c r="A3" s="29"/>
      <c r="B3" s="30"/>
      <c r="C3" s="30"/>
      <c r="D3" s="30"/>
    </row>
    <row r="5" spans="1:4" ht="15.5" x14ac:dyDescent="0.35">
      <c r="A5" s="28" t="s">
        <v>186</v>
      </c>
    </row>
    <row r="7" spans="1:4" ht="15.5" x14ac:dyDescent="0.35">
      <c r="A7" s="27"/>
    </row>
    <row r="15" spans="1:4" x14ac:dyDescent="0.35">
      <c r="A15" s="32" t="s">
        <v>187</v>
      </c>
      <c r="B15" s="32" t="s">
        <v>188</v>
      </c>
    </row>
    <row r="16" spans="1:4" x14ac:dyDescent="0.35">
      <c r="A16" s="2" t="s">
        <v>189</v>
      </c>
      <c r="B16" s="2" t="s">
        <v>190</v>
      </c>
    </row>
    <row r="17" spans="1:2" x14ac:dyDescent="0.35">
      <c r="A17" s="2" t="s">
        <v>191</v>
      </c>
      <c r="B17" s="2" t="s">
        <v>192</v>
      </c>
    </row>
    <row r="18" spans="1:2" x14ac:dyDescent="0.35">
      <c r="A18" s="33" t="s">
        <v>193</v>
      </c>
      <c r="B18" s="33" t="s">
        <v>194</v>
      </c>
    </row>
    <row r="19" spans="1:2" x14ac:dyDescent="0.35">
      <c r="A19" s="33"/>
      <c r="B19" s="34" t="s">
        <v>196</v>
      </c>
    </row>
    <row r="20" spans="1:2" x14ac:dyDescent="0.35">
      <c r="A20" s="37" t="s">
        <v>195</v>
      </c>
      <c r="B20" s="35" t="s">
        <v>197</v>
      </c>
    </row>
    <row r="21" spans="1:2" x14ac:dyDescent="0.35">
      <c r="A21" s="38"/>
      <c r="B21" s="36" t="s">
        <v>198</v>
      </c>
    </row>
  </sheetData>
  <mergeCells count="1">
    <mergeCell ref="A2:B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9760-B448-477D-8089-9A61641502E4}">
  <dimension ref="A1:D63"/>
  <sheetViews>
    <sheetView workbookViewId="0"/>
  </sheetViews>
  <sheetFormatPr defaultRowHeight="14.5" x14ac:dyDescent="0.35"/>
  <cols>
    <col min="1" max="1" width="80.7265625" bestFit="1" customWidth="1"/>
    <col min="2" max="2" width="17.90625" bestFit="1" customWidth="1"/>
    <col min="3" max="3" width="11.81640625" bestFit="1" customWidth="1"/>
    <col min="4" max="4" width="11.453125" bestFit="1" customWidth="1"/>
  </cols>
  <sheetData>
    <row r="1" spans="1:4" x14ac:dyDescent="0.35">
      <c r="A1" t="s">
        <v>201</v>
      </c>
      <c r="B1" t="s">
        <v>47</v>
      </c>
      <c r="C1" t="s">
        <v>48</v>
      </c>
      <c r="D1" t="s">
        <v>49</v>
      </c>
    </row>
    <row r="2" spans="1:4" x14ac:dyDescent="0.35">
      <c r="B2" t="s">
        <v>50</v>
      </c>
      <c r="C2" t="s">
        <v>51</v>
      </c>
      <c r="D2" t="s">
        <v>57</v>
      </c>
    </row>
    <row r="3" spans="1:4" x14ac:dyDescent="0.35">
      <c r="A3" t="s">
        <v>202</v>
      </c>
      <c r="B3" t="s">
        <v>53</v>
      </c>
      <c r="C3" t="s">
        <v>53</v>
      </c>
      <c r="D3" t="s">
        <v>53</v>
      </c>
    </row>
    <row r="4" spans="1:4" x14ac:dyDescent="0.35">
      <c r="A4" t="s">
        <v>138</v>
      </c>
      <c r="B4">
        <v>14066</v>
      </c>
      <c r="C4">
        <v>35153</v>
      </c>
      <c r="D4">
        <v>17941</v>
      </c>
    </row>
    <row r="5" spans="1:4" x14ac:dyDescent="0.35">
      <c r="A5" t="s">
        <v>203</v>
      </c>
      <c r="B5" t="s">
        <v>53</v>
      </c>
      <c r="C5" t="s">
        <v>53</v>
      </c>
      <c r="D5" t="s">
        <v>53</v>
      </c>
    </row>
    <row r="6" spans="1:4" x14ac:dyDescent="0.35">
      <c r="A6" t="s">
        <v>204</v>
      </c>
      <c r="B6">
        <v>7339</v>
      </c>
      <c r="C6">
        <v>7486</v>
      </c>
      <c r="D6">
        <v>6970</v>
      </c>
    </row>
    <row r="7" spans="1:4" x14ac:dyDescent="0.35">
      <c r="A7" t="s">
        <v>205</v>
      </c>
      <c r="B7">
        <v>1176</v>
      </c>
      <c r="C7">
        <v>1162</v>
      </c>
      <c r="D7">
        <v>1138</v>
      </c>
    </row>
    <row r="8" spans="1:4" x14ac:dyDescent="0.35">
      <c r="A8" t="s">
        <v>206</v>
      </c>
      <c r="B8">
        <v>405</v>
      </c>
      <c r="C8">
        <v>1295</v>
      </c>
      <c r="D8">
        <v>1216</v>
      </c>
    </row>
    <row r="9" spans="1:4" x14ac:dyDescent="0.35">
      <c r="A9" t="s">
        <v>207</v>
      </c>
      <c r="B9">
        <v>1841</v>
      </c>
      <c r="C9">
        <v>483</v>
      </c>
      <c r="D9">
        <v>0</v>
      </c>
    </row>
    <row r="10" spans="1:4" x14ac:dyDescent="0.35">
      <c r="A10" t="s">
        <v>208</v>
      </c>
      <c r="B10">
        <v>0</v>
      </c>
      <c r="C10">
        <v>-20984</v>
      </c>
      <c r="D10">
        <v>0</v>
      </c>
    </row>
    <row r="11" spans="1:4" x14ac:dyDescent="0.35">
      <c r="A11" t="s">
        <v>209</v>
      </c>
      <c r="B11">
        <v>-226</v>
      </c>
      <c r="C11">
        <v>-117</v>
      </c>
      <c r="D11">
        <v>-380</v>
      </c>
    </row>
    <row r="12" spans="1:4" x14ac:dyDescent="0.35">
      <c r="A12" t="s">
        <v>210</v>
      </c>
      <c r="B12">
        <v>-2183</v>
      </c>
      <c r="C12">
        <v>-4194</v>
      </c>
      <c r="D12">
        <v>-1663</v>
      </c>
    </row>
    <row r="13" spans="1:4" x14ac:dyDescent="0.35">
      <c r="A13" t="s">
        <v>211</v>
      </c>
      <c r="B13">
        <v>11</v>
      </c>
      <c r="C13">
        <v>0</v>
      </c>
      <c r="D13">
        <v>-17</v>
      </c>
    </row>
    <row r="14" spans="1:4" x14ac:dyDescent="0.35">
      <c r="A14" t="s">
        <v>212</v>
      </c>
      <c r="B14" t="s">
        <v>53</v>
      </c>
      <c r="C14" t="s">
        <v>53</v>
      </c>
      <c r="D14" t="s">
        <v>53</v>
      </c>
    </row>
    <row r="15" spans="1:4" x14ac:dyDescent="0.35">
      <c r="A15" t="s">
        <v>213</v>
      </c>
      <c r="B15">
        <v>-406</v>
      </c>
      <c r="C15">
        <v>-624</v>
      </c>
      <c r="D15">
        <v>-1290</v>
      </c>
    </row>
    <row r="16" spans="1:4" x14ac:dyDescent="0.35">
      <c r="A16" t="s">
        <v>214</v>
      </c>
      <c r="B16">
        <v>-1128</v>
      </c>
      <c r="C16">
        <v>-1323</v>
      </c>
      <c r="D16">
        <v>-2527</v>
      </c>
    </row>
    <row r="17" spans="1:4" x14ac:dyDescent="0.35">
      <c r="A17" t="s">
        <v>215</v>
      </c>
      <c r="B17">
        <v>1621</v>
      </c>
      <c r="C17">
        <v>2346</v>
      </c>
      <c r="D17">
        <v>1098</v>
      </c>
    </row>
    <row r="18" spans="1:4" x14ac:dyDescent="0.35">
      <c r="A18" t="s">
        <v>216</v>
      </c>
      <c r="B18">
        <v>1717</v>
      </c>
      <c r="C18">
        <v>-3480</v>
      </c>
      <c r="D18">
        <v>687</v>
      </c>
    </row>
    <row r="19" spans="1:4" x14ac:dyDescent="0.35">
      <c r="A19" t="s">
        <v>217</v>
      </c>
      <c r="B19">
        <v>33</v>
      </c>
      <c r="C19">
        <v>5588</v>
      </c>
      <c r="D19">
        <v>-1979</v>
      </c>
    </row>
    <row r="20" spans="1:4" x14ac:dyDescent="0.35">
      <c r="A20" t="s">
        <v>218</v>
      </c>
      <c r="B20">
        <v>24266</v>
      </c>
      <c r="C20">
        <v>22791</v>
      </c>
      <c r="D20">
        <v>21194</v>
      </c>
    </row>
    <row r="21" spans="1:4" x14ac:dyDescent="0.35">
      <c r="A21" t="s">
        <v>219</v>
      </c>
      <c r="B21" t="s">
        <v>53</v>
      </c>
      <c r="C21" t="s">
        <v>53</v>
      </c>
      <c r="D21" t="s">
        <v>53</v>
      </c>
    </row>
    <row r="22" spans="1:4" x14ac:dyDescent="0.35">
      <c r="A22" t="s">
        <v>220</v>
      </c>
      <c r="B22">
        <v>-4424</v>
      </c>
      <c r="C22">
        <v>-4543</v>
      </c>
      <c r="D22">
        <v>-4009</v>
      </c>
    </row>
    <row r="23" spans="1:4" x14ac:dyDescent="0.35">
      <c r="A23" t="s">
        <v>221</v>
      </c>
      <c r="B23">
        <v>675</v>
      </c>
      <c r="C23">
        <v>358</v>
      </c>
      <c r="D23">
        <v>543</v>
      </c>
    </row>
    <row r="24" spans="1:4" x14ac:dyDescent="0.35">
      <c r="A24" t="s">
        <v>222</v>
      </c>
      <c r="B24">
        <v>-15146</v>
      </c>
      <c r="C24">
        <v>0</v>
      </c>
      <c r="D24">
        <v>-17652</v>
      </c>
    </row>
    <row r="25" spans="1:4" x14ac:dyDescent="0.35">
      <c r="A25" t="s">
        <v>223</v>
      </c>
      <c r="B25">
        <v>-1783</v>
      </c>
      <c r="C25">
        <v>-470</v>
      </c>
      <c r="D25">
        <v>0</v>
      </c>
    </row>
    <row r="26" spans="1:4" x14ac:dyDescent="0.35">
      <c r="A26" t="s">
        <v>224</v>
      </c>
      <c r="B26">
        <v>-1726</v>
      </c>
      <c r="C26">
        <v>-10906</v>
      </c>
      <c r="D26">
        <v>-32384</v>
      </c>
    </row>
    <row r="27" spans="1:4" x14ac:dyDescent="0.35">
      <c r="A27" t="s">
        <v>225</v>
      </c>
      <c r="B27">
        <v>2462</v>
      </c>
      <c r="C27">
        <v>19390</v>
      </c>
      <c r="D27">
        <v>41609</v>
      </c>
    </row>
    <row r="28" spans="1:4" x14ac:dyDescent="0.35">
      <c r="A28" t="s">
        <v>226</v>
      </c>
      <c r="B28">
        <v>1517</v>
      </c>
      <c r="C28">
        <v>-2963</v>
      </c>
      <c r="D28">
        <v>-249</v>
      </c>
    </row>
    <row r="29" spans="1:4" x14ac:dyDescent="0.35">
      <c r="A29" t="s">
        <v>227</v>
      </c>
      <c r="B29">
        <v>-174</v>
      </c>
      <c r="C29">
        <v>12</v>
      </c>
      <c r="D29">
        <v>-229</v>
      </c>
    </row>
    <row r="30" spans="1:4" x14ac:dyDescent="0.35">
      <c r="A30" t="s">
        <v>228</v>
      </c>
      <c r="B30">
        <v>-18599</v>
      </c>
      <c r="C30">
        <v>878</v>
      </c>
      <c r="D30">
        <v>-12371</v>
      </c>
    </row>
    <row r="31" spans="1:4" x14ac:dyDescent="0.35">
      <c r="A31" t="s">
        <v>229</v>
      </c>
      <c r="B31" t="s">
        <v>53</v>
      </c>
      <c r="C31" t="s">
        <v>53</v>
      </c>
      <c r="D31" t="s">
        <v>53</v>
      </c>
    </row>
    <row r="32" spans="1:4" x14ac:dyDescent="0.35">
      <c r="A32" t="s">
        <v>230</v>
      </c>
      <c r="B32">
        <v>-11823</v>
      </c>
      <c r="C32">
        <v>-11770</v>
      </c>
      <c r="D32">
        <v>-11682</v>
      </c>
    </row>
    <row r="33" spans="1:4" x14ac:dyDescent="0.35">
      <c r="A33" t="s">
        <v>231</v>
      </c>
      <c r="B33">
        <v>-2432</v>
      </c>
      <c r="C33">
        <v>-5054</v>
      </c>
      <c r="D33">
        <v>-6035</v>
      </c>
    </row>
    <row r="34" spans="1:4" x14ac:dyDescent="0.35">
      <c r="A34" t="s">
        <v>232</v>
      </c>
      <c r="B34">
        <v>15277</v>
      </c>
      <c r="C34">
        <v>13743</v>
      </c>
      <c r="D34">
        <v>16134</v>
      </c>
    </row>
    <row r="35" spans="1:4" x14ac:dyDescent="0.35">
      <c r="A35" t="s">
        <v>233</v>
      </c>
      <c r="B35">
        <v>-9463</v>
      </c>
      <c r="C35">
        <v>-22973</v>
      </c>
      <c r="D35">
        <v>-6550</v>
      </c>
    </row>
    <row r="36" spans="1:4" x14ac:dyDescent="0.35">
      <c r="A36" t="s">
        <v>234</v>
      </c>
      <c r="B36">
        <v>6660</v>
      </c>
      <c r="C36">
        <v>0</v>
      </c>
      <c r="D36">
        <v>2</v>
      </c>
    </row>
    <row r="37" spans="1:4" x14ac:dyDescent="0.35">
      <c r="A37" t="s">
        <v>235</v>
      </c>
      <c r="B37">
        <v>-1453</v>
      </c>
      <c r="C37">
        <v>-1551</v>
      </c>
      <c r="D37">
        <v>-2134</v>
      </c>
    </row>
    <row r="38" spans="1:4" x14ac:dyDescent="0.35">
      <c r="A38" t="s">
        <v>236</v>
      </c>
      <c r="B38">
        <v>838</v>
      </c>
      <c r="C38">
        <v>1094</v>
      </c>
      <c r="D38">
        <v>1329</v>
      </c>
    </row>
    <row r="39" spans="1:4" x14ac:dyDescent="0.35">
      <c r="A39" t="s">
        <v>226</v>
      </c>
      <c r="B39">
        <v>272</v>
      </c>
      <c r="C39">
        <v>-219</v>
      </c>
      <c r="D39">
        <v>-28</v>
      </c>
    </row>
    <row r="40" spans="1:4" x14ac:dyDescent="0.35">
      <c r="A40" t="s">
        <v>237</v>
      </c>
      <c r="B40">
        <v>-970</v>
      </c>
      <c r="C40">
        <v>0</v>
      </c>
      <c r="D40">
        <v>0</v>
      </c>
    </row>
    <row r="41" spans="1:4" x14ac:dyDescent="0.35">
      <c r="A41" t="s">
        <v>238</v>
      </c>
      <c r="B41">
        <v>0</v>
      </c>
      <c r="C41">
        <v>8047</v>
      </c>
      <c r="D41">
        <v>0</v>
      </c>
    </row>
    <row r="42" spans="1:4" x14ac:dyDescent="0.35">
      <c r="A42" t="s">
        <v>239</v>
      </c>
      <c r="B42">
        <v>0</v>
      </c>
      <c r="C42">
        <v>4241</v>
      </c>
      <c r="D42">
        <v>0</v>
      </c>
    </row>
    <row r="43" spans="1:4" x14ac:dyDescent="0.35">
      <c r="A43" t="s">
        <v>240</v>
      </c>
      <c r="B43">
        <v>0</v>
      </c>
      <c r="C43">
        <v>-1114</v>
      </c>
      <c r="D43">
        <v>0</v>
      </c>
    </row>
    <row r="44" spans="1:4" x14ac:dyDescent="0.35">
      <c r="A44" t="s">
        <v>241</v>
      </c>
      <c r="B44">
        <v>-38</v>
      </c>
      <c r="C44">
        <v>-269</v>
      </c>
      <c r="D44">
        <v>93</v>
      </c>
    </row>
    <row r="45" spans="1:4" x14ac:dyDescent="0.35">
      <c r="A45" t="s">
        <v>242</v>
      </c>
      <c r="B45">
        <v>-3132</v>
      </c>
      <c r="C45">
        <v>-15825</v>
      </c>
      <c r="D45">
        <v>-8871</v>
      </c>
    </row>
    <row r="46" spans="1:4" x14ac:dyDescent="0.35">
      <c r="A46" t="s">
        <v>243</v>
      </c>
      <c r="B46">
        <v>-289</v>
      </c>
      <c r="C46">
        <v>-112</v>
      </c>
      <c r="D46">
        <v>-312</v>
      </c>
    </row>
    <row r="47" spans="1:4" x14ac:dyDescent="0.35">
      <c r="A47" t="s">
        <v>244</v>
      </c>
      <c r="B47">
        <v>2246</v>
      </c>
      <c r="C47">
        <v>7732</v>
      </c>
      <c r="D47">
        <v>-360</v>
      </c>
    </row>
    <row r="48" spans="1:4" x14ac:dyDescent="0.35">
      <c r="A48" t="s">
        <v>245</v>
      </c>
      <c r="B48">
        <v>21859</v>
      </c>
      <c r="C48">
        <v>12889</v>
      </c>
      <c r="D48">
        <v>13309</v>
      </c>
    </row>
    <row r="49" spans="1:4" x14ac:dyDescent="0.35">
      <c r="A49" t="s">
        <v>246</v>
      </c>
      <c r="B49">
        <v>0</v>
      </c>
      <c r="C49">
        <v>1238</v>
      </c>
      <c r="D49">
        <v>1178</v>
      </c>
    </row>
    <row r="50" spans="1:4" x14ac:dyDescent="0.35">
      <c r="A50" t="s">
        <v>247</v>
      </c>
      <c r="B50">
        <v>21859</v>
      </c>
      <c r="C50">
        <v>14127</v>
      </c>
      <c r="D50">
        <v>14487</v>
      </c>
    </row>
    <row r="51" spans="1:4" x14ac:dyDescent="0.35">
      <c r="A51" t="s">
        <v>248</v>
      </c>
      <c r="B51">
        <v>24105</v>
      </c>
      <c r="C51">
        <v>21859</v>
      </c>
      <c r="D51">
        <v>12889</v>
      </c>
    </row>
    <row r="52" spans="1:4" x14ac:dyDescent="0.35">
      <c r="A52" t="s">
        <v>249</v>
      </c>
      <c r="B52">
        <v>0</v>
      </c>
      <c r="C52">
        <v>0</v>
      </c>
      <c r="D52">
        <v>1238</v>
      </c>
    </row>
    <row r="53" spans="1:4" x14ac:dyDescent="0.35">
      <c r="A53" t="s">
        <v>250</v>
      </c>
      <c r="B53">
        <v>24105</v>
      </c>
      <c r="C53">
        <v>21859</v>
      </c>
      <c r="D53">
        <v>14127</v>
      </c>
    </row>
    <row r="54" spans="1:4" x14ac:dyDescent="0.35">
      <c r="A54" t="s">
        <v>251</v>
      </c>
      <c r="B54" t="s">
        <v>53</v>
      </c>
      <c r="C54" t="s">
        <v>53</v>
      </c>
      <c r="D54" t="s">
        <v>53</v>
      </c>
    </row>
    <row r="55" spans="1:4" x14ac:dyDescent="0.35">
      <c r="A55" t="s">
        <v>252</v>
      </c>
      <c r="B55">
        <v>1990</v>
      </c>
      <c r="C55">
        <v>1836</v>
      </c>
      <c r="D55">
        <v>982</v>
      </c>
    </row>
    <row r="56" spans="1:4" x14ac:dyDescent="0.35">
      <c r="A56" t="s">
        <v>253</v>
      </c>
      <c r="B56">
        <v>1911</v>
      </c>
      <c r="C56">
        <v>1766</v>
      </c>
      <c r="D56">
        <v>933</v>
      </c>
    </row>
    <row r="57" spans="1:4" x14ac:dyDescent="0.35">
      <c r="A57" t="s">
        <v>254</v>
      </c>
      <c r="B57">
        <v>6714</v>
      </c>
      <c r="C57">
        <v>8574</v>
      </c>
      <c r="D57">
        <v>5223</v>
      </c>
    </row>
    <row r="58" spans="1:4" x14ac:dyDescent="0.35">
      <c r="A58" t="s">
        <v>255</v>
      </c>
      <c r="B58" t="s">
        <v>53</v>
      </c>
      <c r="C58" t="s">
        <v>53</v>
      </c>
      <c r="D58" t="s">
        <v>53</v>
      </c>
    </row>
    <row r="59" spans="1:4" x14ac:dyDescent="0.35">
      <c r="A59" t="s">
        <v>256</v>
      </c>
      <c r="B59">
        <v>1551</v>
      </c>
      <c r="C59">
        <v>1435</v>
      </c>
      <c r="D59">
        <v>2114</v>
      </c>
    </row>
    <row r="60" spans="1:4" x14ac:dyDescent="0.35">
      <c r="A60" t="s">
        <v>257</v>
      </c>
      <c r="B60" t="s">
        <v>53</v>
      </c>
      <c r="C60" t="s">
        <v>53</v>
      </c>
      <c r="D60" t="s">
        <v>53</v>
      </c>
    </row>
    <row r="61" spans="1:4" x14ac:dyDescent="0.35">
      <c r="A61" t="s">
        <v>258</v>
      </c>
      <c r="B61">
        <v>16091</v>
      </c>
      <c r="C61">
        <v>0</v>
      </c>
      <c r="D61">
        <v>18710</v>
      </c>
    </row>
    <row r="62" spans="1:4" x14ac:dyDescent="0.35">
      <c r="A62" t="s">
        <v>259</v>
      </c>
      <c r="B62">
        <v>-1632</v>
      </c>
      <c r="C62">
        <v>0</v>
      </c>
      <c r="D62">
        <v>-1058</v>
      </c>
    </row>
    <row r="63" spans="1:4" x14ac:dyDescent="0.35">
      <c r="A63" t="s">
        <v>260</v>
      </c>
      <c r="B63">
        <v>14459</v>
      </c>
      <c r="C63">
        <v>0</v>
      </c>
      <c r="D63">
        <v>17652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43260-A62B-411A-8996-1216F7FACEE1}">
  <sheetPr>
    <tabColor theme="0" tint="-4.9989318521683403E-2"/>
  </sheetPr>
  <dimension ref="A1:K63"/>
  <sheetViews>
    <sheetView tabSelected="1" workbookViewId="0">
      <selection activeCell="L7" sqref="L7"/>
    </sheetView>
  </sheetViews>
  <sheetFormatPr defaultRowHeight="14.5" x14ac:dyDescent="0.35"/>
  <cols>
    <col min="1" max="1" width="17.81640625" bestFit="1" customWidth="1"/>
    <col min="2" max="9" width="11.81640625" bestFit="1" customWidth="1"/>
    <col min="10" max="10" width="10.81640625" bestFit="1" customWidth="1"/>
    <col min="11" max="11" width="13.6328125" customWidth="1"/>
  </cols>
  <sheetData>
    <row r="1" spans="1:11" x14ac:dyDescent="0.35">
      <c r="A1" s="1" t="s">
        <v>0</v>
      </c>
      <c r="B1" s="40" t="s">
        <v>1</v>
      </c>
      <c r="C1" s="40"/>
      <c r="D1" s="40" t="s">
        <v>180</v>
      </c>
      <c r="E1" s="40"/>
      <c r="F1" s="40" t="s">
        <v>181</v>
      </c>
      <c r="G1" s="40"/>
      <c r="H1" s="40" t="s">
        <v>182</v>
      </c>
      <c r="I1" s="40"/>
      <c r="J1" s="40" t="s">
        <v>183</v>
      </c>
      <c r="K1" s="40"/>
    </row>
    <row r="2" spans="1:11" x14ac:dyDescent="0.35">
      <c r="A2" s="1" t="s">
        <v>2</v>
      </c>
      <c r="B2" s="1" t="s">
        <v>3</v>
      </c>
      <c r="C2" s="1" t="s">
        <v>184</v>
      </c>
      <c r="D2" s="1" t="s">
        <v>3</v>
      </c>
      <c r="E2" s="1" t="s">
        <v>184</v>
      </c>
      <c r="F2" s="1" t="s">
        <v>3</v>
      </c>
      <c r="G2" s="1" t="s">
        <v>184</v>
      </c>
      <c r="H2" s="1" t="s">
        <v>3</v>
      </c>
      <c r="I2" s="1" t="s">
        <v>184</v>
      </c>
      <c r="J2" s="1" t="s">
        <v>3</v>
      </c>
      <c r="K2" s="1" t="s">
        <v>184</v>
      </c>
    </row>
    <row r="3" spans="1:11" x14ac:dyDescent="0.35">
      <c r="A3" s="1" t="s">
        <v>4</v>
      </c>
    </row>
    <row r="4" spans="1:11" x14ac:dyDescent="0.35">
      <c r="A4" s="26">
        <v>43831</v>
      </c>
      <c r="B4">
        <v>128.55952453613281</v>
      </c>
      <c r="C4">
        <v>3225.52001953125</v>
      </c>
      <c r="D4">
        <v>130.5630111237902</v>
      </c>
      <c r="E4">
        <v>3337.77001953125</v>
      </c>
      <c r="F4">
        <v>122.091400569624</v>
      </c>
      <c r="G4">
        <v>3214.639892578125</v>
      </c>
      <c r="H4">
        <v>125.96881729989759</v>
      </c>
      <c r="I4">
        <v>3244.669921875</v>
      </c>
      <c r="J4">
        <v>150462900</v>
      </c>
      <c r="K4">
        <v>77287980000</v>
      </c>
    </row>
    <row r="5" spans="1:11" x14ac:dyDescent="0.35">
      <c r="A5" s="26">
        <v>43862</v>
      </c>
      <c r="B5">
        <v>116.13275146484381</v>
      </c>
      <c r="C5">
        <v>2954.219970703125</v>
      </c>
      <c r="D5">
        <v>133.42140594405191</v>
      </c>
      <c r="E5">
        <v>3393.52001953125</v>
      </c>
      <c r="F5">
        <v>112.9720990473038</v>
      </c>
      <c r="G5">
        <v>2855.840087890625</v>
      </c>
      <c r="H5">
        <v>129.03447399261071</v>
      </c>
      <c r="I5">
        <v>3235.659912109375</v>
      </c>
      <c r="J5">
        <v>147288300</v>
      </c>
      <c r="K5">
        <v>84436590000</v>
      </c>
    </row>
    <row r="6" spans="1:11" x14ac:dyDescent="0.35">
      <c r="A6" s="26">
        <v>43891</v>
      </c>
      <c r="B6">
        <v>113.9619064331055</v>
      </c>
      <c r="C6">
        <v>2584.590087890625</v>
      </c>
      <c r="D6">
        <v>124.8340392050121</v>
      </c>
      <c r="E6">
        <v>3136.719970703125</v>
      </c>
      <c r="F6">
        <v>94.86831129683965</v>
      </c>
      <c r="G6">
        <v>2191.860107421875</v>
      </c>
      <c r="H6">
        <v>117.13402759091591</v>
      </c>
      <c r="I6">
        <v>2974.280029296875</v>
      </c>
      <c r="J6">
        <v>355927400</v>
      </c>
      <c r="K6">
        <v>162185380000</v>
      </c>
    </row>
    <row r="7" spans="1:11" x14ac:dyDescent="0.35">
      <c r="A7" s="26">
        <v>43922</v>
      </c>
      <c r="B7">
        <v>130.39610290527341</v>
      </c>
      <c r="C7">
        <v>2912.429931640625</v>
      </c>
      <c r="D7">
        <v>136.44487518128969</v>
      </c>
      <c r="E7">
        <v>2954.860107421875</v>
      </c>
      <c r="F7">
        <v>109.06899258122201</v>
      </c>
      <c r="G7">
        <v>2447.489990234375</v>
      </c>
      <c r="H7">
        <v>110.9809563328279</v>
      </c>
      <c r="I7">
        <v>2498.080078125</v>
      </c>
      <c r="J7">
        <v>234380900</v>
      </c>
      <c r="K7">
        <v>123608160000</v>
      </c>
    </row>
    <row r="8" spans="1:11" x14ac:dyDescent="0.35">
      <c r="A8" s="26">
        <v>43952</v>
      </c>
      <c r="B8">
        <v>129.2749938964844</v>
      </c>
      <c r="C8">
        <v>3044.31005859375</v>
      </c>
      <c r="D8">
        <v>133.50738777245289</v>
      </c>
      <c r="E8">
        <v>3068.669921875</v>
      </c>
      <c r="F8">
        <v>124.2864952403864</v>
      </c>
      <c r="G8">
        <v>2766.639892578125</v>
      </c>
      <c r="H8">
        <v>130.0310854155727</v>
      </c>
      <c r="I8">
        <v>2869.090087890625</v>
      </c>
      <c r="J8">
        <v>136206100</v>
      </c>
      <c r="K8">
        <v>107135190000</v>
      </c>
    </row>
    <row r="9" spans="1:11" x14ac:dyDescent="0.35">
      <c r="A9" s="26">
        <v>43983</v>
      </c>
      <c r="B9">
        <v>123.0653533935547</v>
      </c>
      <c r="C9">
        <v>3100.2900390625</v>
      </c>
      <c r="D9">
        <v>131.29129046674251</v>
      </c>
      <c r="E9">
        <v>3233.1298828125</v>
      </c>
      <c r="F9">
        <v>119.9062409322128</v>
      </c>
      <c r="G9">
        <v>2965.659912109375</v>
      </c>
      <c r="H9">
        <v>128.89351095590831</v>
      </c>
      <c r="I9">
        <v>3038.780029296875</v>
      </c>
      <c r="J9">
        <v>174066600</v>
      </c>
      <c r="K9">
        <v>131458880000</v>
      </c>
    </row>
    <row r="10" spans="1:11" x14ac:dyDescent="0.35">
      <c r="A10" s="26">
        <v>44013</v>
      </c>
      <c r="B10">
        <v>127.55458068847661</v>
      </c>
      <c r="C10">
        <v>3271.1201171875</v>
      </c>
      <c r="D10">
        <v>132.72642527819599</v>
      </c>
      <c r="E10">
        <v>3279.989990234375</v>
      </c>
      <c r="F10">
        <v>122.5665129877431</v>
      </c>
      <c r="G10">
        <v>3101.169921875</v>
      </c>
      <c r="H10">
        <v>123.1178303017341</v>
      </c>
      <c r="I10">
        <v>3105.919921875</v>
      </c>
      <c r="J10">
        <v>137880400</v>
      </c>
      <c r="K10">
        <v>96928130000</v>
      </c>
    </row>
    <row r="11" spans="1:11" x14ac:dyDescent="0.35">
      <c r="A11" s="26">
        <v>44044</v>
      </c>
      <c r="B11">
        <v>134.24909973144531</v>
      </c>
      <c r="C11">
        <v>3500.31005859375</v>
      </c>
      <c r="D11">
        <v>135.1154402212122</v>
      </c>
      <c r="E11">
        <v>3514.77001953125</v>
      </c>
      <c r="F11">
        <v>127.6070936627208</v>
      </c>
      <c r="G11">
        <v>3284.530029296875</v>
      </c>
      <c r="H11">
        <v>128.1058937397128</v>
      </c>
      <c r="I11">
        <v>3288.260009765625</v>
      </c>
      <c r="J11">
        <v>109956200</v>
      </c>
      <c r="K11">
        <v>82466520000</v>
      </c>
    </row>
    <row r="12" spans="1:11" x14ac:dyDescent="0.35">
      <c r="A12" s="26">
        <v>44075</v>
      </c>
      <c r="B12">
        <v>131.1520690917969</v>
      </c>
      <c r="C12">
        <v>3363</v>
      </c>
      <c r="D12">
        <v>136.957359437549</v>
      </c>
      <c r="E12">
        <v>3588.110107421875</v>
      </c>
      <c r="F12">
        <v>125.93699666156709</v>
      </c>
      <c r="G12">
        <v>3209.449951171875</v>
      </c>
      <c r="H12">
        <v>135.5478745896626</v>
      </c>
      <c r="I12">
        <v>3507.43994140625</v>
      </c>
      <c r="J12">
        <v>138799800</v>
      </c>
      <c r="K12">
        <v>92310780000</v>
      </c>
    </row>
    <row r="13" spans="1:11" x14ac:dyDescent="0.35">
      <c r="A13" s="26">
        <v>44105</v>
      </c>
      <c r="B13">
        <v>120.783561706543</v>
      </c>
      <c r="C13">
        <v>3269.9599609375</v>
      </c>
      <c r="D13">
        <v>134.90478071388091</v>
      </c>
      <c r="E13">
        <v>3549.85009765625</v>
      </c>
      <c r="F13">
        <v>117.73555694708649</v>
      </c>
      <c r="G13">
        <v>3233.93994140625</v>
      </c>
      <c r="H13">
        <v>131.5308381827885</v>
      </c>
      <c r="I13">
        <v>3385.8701171875</v>
      </c>
      <c r="J13">
        <v>137284700</v>
      </c>
      <c r="K13">
        <v>89938980000</v>
      </c>
    </row>
    <row r="14" spans="1:11" x14ac:dyDescent="0.35">
      <c r="A14" s="26">
        <v>44136</v>
      </c>
      <c r="B14">
        <v>127.45217132568359</v>
      </c>
      <c r="C14">
        <v>3621.6298828125</v>
      </c>
      <c r="D14">
        <v>133.2839016224049</v>
      </c>
      <c r="E14">
        <v>3645.989990234375</v>
      </c>
      <c r="F14">
        <v>121.1183344123659</v>
      </c>
      <c r="G14">
        <v>3279.739990234375</v>
      </c>
      <c r="H14">
        <v>122.43090353206939</v>
      </c>
      <c r="I14">
        <v>3296.199951171875</v>
      </c>
      <c r="J14">
        <v>153635100</v>
      </c>
      <c r="K14">
        <v>101247180000</v>
      </c>
    </row>
    <row r="15" spans="1:11" x14ac:dyDescent="0.35">
      <c r="A15" s="26">
        <v>44166</v>
      </c>
      <c r="B15">
        <v>139.603271484375</v>
      </c>
      <c r="C15">
        <v>3756.070068359375</v>
      </c>
      <c r="D15">
        <v>139.85164322404151</v>
      </c>
      <c r="E15">
        <v>3760.199951171875</v>
      </c>
      <c r="F15">
        <v>129.3845001407914</v>
      </c>
      <c r="G15">
        <v>3633.39990234375</v>
      </c>
      <c r="H15">
        <v>129.7659233355491</v>
      </c>
      <c r="I15">
        <v>3645.8701171875</v>
      </c>
      <c r="J15">
        <v>158925000</v>
      </c>
      <c r="K15">
        <v>96375680000</v>
      </c>
    </row>
    <row r="16" spans="1:11" x14ac:dyDescent="0.35">
      <c r="A16" s="26">
        <v>44197</v>
      </c>
      <c r="B16">
        <v>144.70379638671881</v>
      </c>
      <c r="C16">
        <v>3714.239990234375</v>
      </c>
      <c r="D16">
        <v>154.035509147461</v>
      </c>
      <c r="E16">
        <v>3870.89990234375</v>
      </c>
      <c r="F16">
        <v>136.72038359631259</v>
      </c>
      <c r="G16">
        <v>3662.7099609375</v>
      </c>
      <c r="H16">
        <v>139.4790967797405</v>
      </c>
      <c r="I16">
        <v>3764.610107421875</v>
      </c>
      <c r="J16">
        <v>184488700</v>
      </c>
      <c r="K16">
        <v>106117800000</v>
      </c>
    </row>
    <row r="17" spans="1:11" x14ac:dyDescent="0.35">
      <c r="A17" s="26">
        <v>44228</v>
      </c>
      <c r="B17">
        <v>140.56126403808591</v>
      </c>
      <c r="C17">
        <v>3811.14990234375</v>
      </c>
      <c r="D17">
        <v>148.97045327246909</v>
      </c>
      <c r="E17">
        <v>3950.429931640625</v>
      </c>
      <c r="F17">
        <v>140.12660678334331</v>
      </c>
      <c r="G17">
        <v>3725.6201171875</v>
      </c>
      <c r="H17">
        <v>146.63751880893611</v>
      </c>
      <c r="I17">
        <v>3731.169921875</v>
      </c>
      <c r="J17">
        <v>147681200</v>
      </c>
      <c r="K17">
        <v>99082320000</v>
      </c>
    </row>
    <row r="18" spans="1:11" x14ac:dyDescent="0.35">
      <c r="A18" s="26">
        <v>44256</v>
      </c>
      <c r="B18">
        <v>146.695068359375</v>
      </c>
      <c r="C18">
        <v>3972.889892578125</v>
      </c>
      <c r="D18">
        <v>149.08716871943659</v>
      </c>
      <c r="E18">
        <v>3994.409912109375</v>
      </c>
      <c r="F18">
        <v>135.19866965791579</v>
      </c>
      <c r="G18">
        <v>3723.340087890625</v>
      </c>
      <c r="H18">
        <v>144.1065863059718</v>
      </c>
      <c r="I18">
        <v>3842.510009765625</v>
      </c>
      <c r="J18">
        <v>175073000</v>
      </c>
      <c r="K18">
        <v>122371150000</v>
      </c>
    </row>
    <row r="19" spans="1:11" x14ac:dyDescent="0.35">
      <c r="A19" s="26">
        <v>44287</v>
      </c>
      <c r="B19">
        <v>145.2491149902344</v>
      </c>
      <c r="C19">
        <v>4181.169921875</v>
      </c>
      <c r="D19">
        <v>149.76555440850271</v>
      </c>
      <c r="E19">
        <v>4218.77978515625</v>
      </c>
      <c r="F19">
        <v>139.71513789124811</v>
      </c>
      <c r="G19">
        <v>3992.780029296875</v>
      </c>
      <c r="H19">
        <v>145.13308919079341</v>
      </c>
      <c r="I19">
        <v>3992.780029296875</v>
      </c>
      <c r="J19">
        <v>162648500</v>
      </c>
      <c r="K19">
        <v>83124090000</v>
      </c>
    </row>
    <row r="20" spans="1:11" x14ac:dyDescent="0.35">
      <c r="A20" s="26">
        <v>44317</v>
      </c>
      <c r="B20">
        <v>151.0686950683594</v>
      </c>
      <c r="C20">
        <v>4204.10986328125</v>
      </c>
      <c r="D20">
        <v>154.1837944812616</v>
      </c>
      <c r="E20">
        <v>4238.0400390625</v>
      </c>
      <c r="F20">
        <v>145.59719233034369</v>
      </c>
      <c r="G20">
        <v>4056.8798828125</v>
      </c>
      <c r="H20">
        <v>146.02563920374439</v>
      </c>
      <c r="I20">
        <v>4191.97998046875</v>
      </c>
      <c r="J20">
        <v>133901100</v>
      </c>
      <c r="K20">
        <v>88321860000</v>
      </c>
    </row>
    <row r="21" spans="1:11" x14ac:dyDescent="0.35">
      <c r="A21" s="26">
        <v>44348</v>
      </c>
      <c r="B21">
        <v>147.96058654785159</v>
      </c>
      <c r="C21">
        <v>4297.5</v>
      </c>
      <c r="D21">
        <v>152.86445635058229</v>
      </c>
      <c r="E21">
        <v>4302.43017578125</v>
      </c>
      <c r="F21">
        <v>145.3110447127095</v>
      </c>
      <c r="G21">
        <v>4164.39990234375</v>
      </c>
      <c r="H21">
        <v>152.81954630675219</v>
      </c>
      <c r="I21">
        <v>4216.52001953125</v>
      </c>
      <c r="J21">
        <v>145670800</v>
      </c>
      <c r="K21">
        <v>102544180000</v>
      </c>
    </row>
    <row r="22" spans="1:11" x14ac:dyDescent="0.35">
      <c r="A22" s="26">
        <v>44378</v>
      </c>
      <c r="B22">
        <v>154.66072082519531</v>
      </c>
      <c r="C22">
        <v>4395.259765625</v>
      </c>
      <c r="D22">
        <v>155.72054011076099</v>
      </c>
      <c r="E22">
        <v>4429.97021484375</v>
      </c>
      <c r="F22">
        <v>147.8617635067915</v>
      </c>
      <c r="G22">
        <v>4233.1298828125</v>
      </c>
      <c r="H22">
        <v>147.96056010371191</v>
      </c>
      <c r="I22">
        <v>4300.72998046875</v>
      </c>
      <c r="J22">
        <v>133724800</v>
      </c>
      <c r="K22">
        <v>84255620000</v>
      </c>
    </row>
    <row r="23" spans="1:11" x14ac:dyDescent="0.35">
      <c r="A23" s="26">
        <v>44409</v>
      </c>
      <c r="B23">
        <v>155.49601745605469</v>
      </c>
      <c r="C23">
        <v>4522.68017578125</v>
      </c>
      <c r="D23">
        <v>161.59442261269791</v>
      </c>
      <c r="E23">
        <v>4537.35986328125</v>
      </c>
      <c r="F23">
        <v>153.8524086728232</v>
      </c>
      <c r="G23">
        <v>4367.72998046875</v>
      </c>
      <c r="H23">
        <v>154.90323782184919</v>
      </c>
      <c r="I23">
        <v>4406.85986328125</v>
      </c>
      <c r="J23">
        <v>114788500</v>
      </c>
      <c r="K23">
        <v>80500760000</v>
      </c>
    </row>
    <row r="24" spans="1:11" x14ac:dyDescent="0.35">
      <c r="A24" s="26">
        <v>44440</v>
      </c>
      <c r="B24">
        <v>145.91255187988281</v>
      </c>
      <c r="C24">
        <v>4307.5400390625</v>
      </c>
      <c r="D24">
        <v>158.30834376785739</v>
      </c>
      <c r="E24">
        <v>4545.85009765625</v>
      </c>
      <c r="F24">
        <v>145.8312416921338</v>
      </c>
      <c r="G24">
        <v>4305.91015625</v>
      </c>
      <c r="H24">
        <v>156.21225590992071</v>
      </c>
      <c r="I24">
        <v>4528.7998046875</v>
      </c>
      <c r="J24">
        <v>132028700</v>
      </c>
      <c r="K24">
        <v>85528860000</v>
      </c>
    </row>
    <row r="25" spans="1:11" x14ac:dyDescent="0.35">
      <c r="A25" s="26">
        <v>44470</v>
      </c>
      <c r="B25">
        <v>147.15931701660159</v>
      </c>
      <c r="C25">
        <v>4605.3798828125</v>
      </c>
      <c r="D25">
        <v>150.00528298244629</v>
      </c>
      <c r="E25">
        <v>4608.080078125</v>
      </c>
      <c r="F25">
        <v>142.1540134231777</v>
      </c>
      <c r="G25">
        <v>4278.93994140625</v>
      </c>
      <c r="H25">
        <v>145.9396094392072</v>
      </c>
      <c r="I25">
        <v>4317.16015625</v>
      </c>
      <c r="J25">
        <v>136327000</v>
      </c>
      <c r="K25">
        <v>80253600000</v>
      </c>
    </row>
    <row r="26" spans="1:11" x14ac:dyDescent="0.35">
      <c r="A26" s="26">
        <v>44501</v>
      </c>
      <c r="B26">
        <v>140.88011169433591</v>
      </c>
      <c r="C26">
        <v>4567</v>
      </c>
      <c r="D26">
        <v>151.44183122879829</v>
      </c>
      <c r="E26">
        <v>4743.830078125</v>
      </c>
      <c r="F26">
        <v>140.80784517882179</v>
      </c>
      <c r="G26">
        <v>4560</v>
      </c>
      <c r="H26">
        <v>147.4123043650753</v>
      </c>
      <c r="I26">
        <v>4610.6201171875</v>
      </c>
      <c r="J26">
        <v>164263300</v>
      </c>
      <c r="K26">
        <v>88268840000</v>
      </c>
    </row>
    <row r="27" spans="1:11" x14ac:dyDescent="0.35">
      <c r="A27" s="26">
        <v>44531</v>
      </c>
      <c r="B27">
        <v>155.57121276855469</v>
      </c>
      <c r="C27">
        <v>4766.18017578125</v>
      </c>
      <c r="D27">
        <v>157.79013922490341</v>
      </c>
      <c r="E27">
        <v>4808.93017578125</v>
      </c>
      <c r="F27">
        <v>142.09388527713779</v>
      </c>
      <c r="G27">
        <v>4495.1201171875</v>
      </c>
      <c r="H27">
        <v>142.66681226300921</v>
      </c>
      <c r="I27">
        <v>4602.81982421875</v>
      </c>
      <c r="J27">
        <v>167972300</v>
      </c>
      <c r="K27">
        <v>92750180000</v>
      </c>
    </row>
    <row r="28" spans="1:11" x14ac:dyDescent="0.35">
      <c r="A28" s="26">
        <v>44562</v>
      </c>
      <c r="B28">
        <v>156.68067932128909</v>
      </c>
      <c r="C28">
        <v>4515.5498046875</v>
      </c>
      <c r="D28">
        <v>158.5085840620915</v>
      </c>
      <c r="E28">
        <v>4818.6201171875</v>
      </c>
      <c r="F28">
        <v>143.9217854488727</v>
      </c>
      <c r="G28">
        <v>4222.6201171875</v>
      </c>
      <c r="H28">
        <v>154.78913760777519</v>
      </c>
      <c r="I28">
        <v>4778.14013671875</v>
      </c>
      <c r="J28">
        <v>165534400</v>
      </c>
      <c r="K28">
        <v>95562890000</v>
      </c>
    </row>
    <row r="29" spans="1:11" x14ac:dyDescent="0.35">
      <c r="A29" s="26">
        <v>44593</v>
      </c>
      <c r="B29">
        <v>149.66011047363281</v>
      </c>
      <c r="C29">
        <v>4373.93994140625</v>
      </c>
      <c r="D29">
        <v>157.89017739106569</v>
      </c>
      <c r="E29">
        <v>4595.31005859375</v>
      </c>
      <c r="F29">
        <v>141.61190708177719</v>
      </c>
      <c r="G29">
        <v>4114.64990234375</v>
      </c>
      <c r="H29">
        <v>156.1805131612627</v>
      </c>
      <c r="I29">
        <v>4519.56982421875</v>
      </c>
      <c r="J29">
        <v>154615300</v>
      </c>
      <c r="K29">
        <v>92667710000</v>
      </c>
    </row>
    <row r="30" spans="1:11" x14ac:dyDescent="0.35">
      <c r="A30" s="26">
        <v>44621</v>
      </c>
      <c r="B30">
        <v>162.20771789550781</v>
      </c>
      <c r="C30">
        <v>4530.41015625</v>
      </c>
      <c r="D30">
        <v>164.9351387218274</v>
      </c>
      <c r="E30">
        <v>4637.2998046875</v>
      </c>
      <c r="F30">
        <v>148.6438903825935</v>
      </c>
      <c r="G30">
        <v>4157.8701171875</v>
      </c>
      <c r="H30">
        <v>149.22048114981209</v>
      </c>
      <c r="I30">
        <v>4363.14013671875</v>
      </c>
      <c r="J30">
        <v>180106000</v>
      </c>
      <c r="K30">
        <v>123546260000</v>
      </c>
    </row>
    <row r="31" spans="1:11" x14ac:dyDescent="0.35">
      <c r="A31" s="26">
        <v>44652</v>
      </c>
      <c r="B31">
        <v>165.16398620605469</v>
      </c>
      <c r="C31">
        <v>4131.93017578125</v>
      </c>
      <c r="D31">
        <v>170.86591954377511</v>
      </c>
      <c r="E31">
        <v>4593.4501953125</v>
      </c>
      <c r="F31">
        <v>160.64270467699001</v>
      </c>
      <c r="G31">
        <v>4124.27978515625</v>
      </c>
      <c r="H31">
        <v>162.04301880686671</v>
      </c>
      <c r="I31">
        <v>4540.31982421875</v>
      </c>
      <c r="J31">
        <v>163454500</v>
      </c>
      <c r="K31">
        <v>90367840000</v>
      </c>
    </row>
    <row r="32" spans="1:11" x14ac:dyDescent="0.35">
      <c r="A32" s="26">
        <v>44682</v>
      </c>
      <c r="B32">
        <v>164.31278991699219</v>
      </c>
      <c r="C32">
        <v>4132.14990234375</v>
      </c>
      <c r="D32">
        <v>166.3354734315017</v>
      </c>
      <c r="E32">
        <v>4307.66015625</v>
      </c>
      <c r="F32">
        <v>158.0525610474846</v>
      </c>
      <c r="G32">
        <v>3810.320068359375</v>
      </c>
      <c r="H32">
        <v>165.17311646256371</v>
      </c>
      <c r="I32">
        <v>4130.60986328125</v>
      </c>
      <c r="J32">
        <v>152737200</v>
      </c>
      <c r="K32">
        <v>108860390000</v>
      </c>
    </row>
    <row r="33" spans="1:11" x14ac:dyDescent="0.35">
      <c r="A33" s="26">
        <v>44713</v>
      </c>
      <c r="B33">
        <v>163.50798034667969</v>
      </c>
      <c r="C33">
        <v>3785.3798828125</v>
      </c>
      <c r="D33">
        <v>168.88733098001831</v>
      </c>
      <c r="E33">
        <v>4177.509765625</v>
      </c>
      <c r="F33">
        <v>154.06650183607721</v>
      </c>
      <c r="G33">
        <v>3636.8701171875</v>
      </c>
      <c r="H33">
        <v>165.01861634616921</v>
      </c>
      <c r="I33">
        <v>4149.77978515625</v>
      </c>
      <c r="J33">
        <v>159293700</v>
      </c>
      <c r="K33">
        <v>106116710000</v>
      </c>
    </row>
    <row r="34" spans="1:11" x14ac:dyDescent="0.35">
      <c r="A34" s="26">
        <v>44743</v>
      </c>
      <c r="B34">
        <v>160.75382995605469</v>
      </c>
      <c r="C34">
        <v>4130.2900390625</v>
      </c>
      <c r="D34">
        <v>165.7923563402251</v>
      </c>
      <c r="E34">
        <v>4140.14990234375</v>
      </c>
      <c r="F34">
        <v>156.36929075298531</v>
      </c>
      <c r="G34">
        <v>3721.56005859375</v>
      </c>
      <c r="H34">
        <v>163.4527041988016</v>
      </c>
      <c r="I34">
        <v>3781</v>
      </c>
      <c r="J34">
        <v>114640700</v>
      </c>
      <c r="K34">
        <v>81688320000</v>
      </c>
    </row>
    <row r="35" spans="1:11" x14ac:dyDescent="0.35">
      <c r="A35" s="26">
        <v>44774</v>
      </c>
      <c r="B35">
        <v>148.6134948730469</v>
      </c>
      <c r="C35">
        <v>3955</v>
      </c>
      <c r="D35">
        <v>161.64735108218409</v>
      </c>
      <c r="E35">
        <v>4325.27978515625</v>
      </c>
      <c r="F35">
        <v>148.54902378284609</v>
      </c>
      <c r="G35">
        <v>3954.530029296875</v>
      </c>
      <c r="H35">
        <v>160.431465956593</v>
      </c>
      <c r="I35">
        <v>4112.3798828125</v>
      </c>
      <c r="J35">
        <v>157260000</v>
      </c>
      <c r="K35">
        <v>92252350000</v>
      </c>
    </row>
    <row r="36" spans="1:11" x14ac:dyDescent="0.35">
      <c r="A36" s="26">
        <v>44805</v>
      </c>
      <c r="B36">
        <v>151.48518371582031</v>
      </c>
      <c r="C36">
        <v>3585.6201171875</v>
      </c>
      <c r="D36">
        <v>155.481882843752</v>
      </c>
      <c r="E36">
        <v>4119.27978515625</v>
      </c>
      <c r="F36">
        <v>149.120543171451</v>
      </c>
      <c r="G36">
        <v>3584.1298828125</v>
      </c>
      <c r="H36">
        <v>149.75112058643461</v>
      </c>
      <c r="I36">
        <v>3936.72998046875</v>
      </c>
      <c r="J36">
        <v>168332500</v>
      </c>
      <c r="K36">
        <v>94241020000</v>
      </c>
    </row>
    <row r="37" spans="1:11" x14ac:dyDescent="0.35">
      <c r="A37" s="26">
        <v>44835</v>
      </c>
      <c r="B37">
        <v>161.32392883300781</v>
      </c>
      <c r="C37">
        <v>3871.97998046875</v>
      </c>
      <c r="D37">
        <v>162.64070575973389</v>
      </c>
      <c r="E37">
        <v>3905.419921875</v>
      </c>
      <c r="F37">
        <v>147.5997544219201</v>
      </c>
      <c r="G37">
        <v>3491.580078125</v>
      </c>
      <c r="H37">
        <v>152.34757141401539</v>
      </c>
      <c r="I37">
        <v>3609.780029296875</v>
      </c>
      <c r="J37">
        <v>139408400</v>
      </c>
      <c r="K37">
        <v>95823760000</v>
      </c>
    </row>
    <row r="38" spans="1:11" x14ac:dyDescent="0.35">
      <c r="A38" s="26">
        <v>44866</v>
      </c>
      <c r="B38">
        <v>165.06098937988281</v>
      </c>
      <c r="C38">
        <v>4080.110107421875</v>
      </c>
      <c r="D38">
        <v>165.17226192349921</v>
      </c>
      <c r="E38">
        <v>4080.110107421875</v>
      </c>
      <c r="F38">
        <v>154.69368234435299</v>
      </c>
      <c r="G38">
        <v>3698.14990234375</v>
      </c>
      <c r="H38">
        <v>161.40738993528919</v>
      </c>
      <c r="I38">
        <v>3901.7900390625</v>
      </c>
      <c r="J38">
        <v>138341800</v>
      </c>
      <c r="K38">
        <v>92671910000</v>
      </c>
    </row>
    <row r="39" spans="1:11" x14ac:dyDescent="0.35">
      <c r="A39" s="26">
        <v>44896</v>
      </c>
      <c r="B39">
        <v>164.8664245605469</v>
      </c>
      <c r="C39">
        <v>3839.5</v>
      </c>
      <c r="D39">
        <v>168.96358577312211</v>
      </c>
      <c r="E39">
        <v>4100.9599609375</v>
      </c>
      <c r="F39">
        <v>162.45853791305049</v>
      </c>
      <c r="G39">
        <v>3764.489990234375</v>
      </c>
      <c r="H39">
        <v>167.0596717576519</v>
      </c>
      <c r="I39">
        <v>4087.139892578125</v>
      </c>
      <c r="J39">
        <v>129803700</v>
      </c>
      <c r="K39">
        <v>85249330000</v>
      </c>
    </row>
    <row r="40" spans="1:11" x14ac:dyDescent="0.35">
      <c r="A40" s="26">
        <v>44927</v>
      </c>
      <c r="B40">
        <v>152.51893615722659</v>
      </c>
      <c r="C40">
        <v>4076.60009765625</v>
      </c>
      <c r="D40">
        <v>168.86091244057349</v>
      </c>
      <c r="E40">
        <v>4094.2099609375</v>
      </c>
      <c r="F40">
        <v>150.30703346464691</v>
      </c>
      <c r="G40">
        <v>3794.330078125</v>
      </c>
      <c r="H40">
        <v>164.40910936874391</v>
      </c>
      <c r="I40">
        <v>3853.2900390625</v>
      </c>
      <c r="J40">
        <v>160524000</v>
      </c>
      <c r="K40">
        <v>80763810000</v>
      </c>
    </row>
    <row r="41" spans="1:11" x14ac:dyDescent="0.35">
      <c r="A41" s="26">
        <v>44958</v>
      </c>
      <c r="B41">
        <v>143.03666687011719</v>
      </c>
      <c r="C41">
        <v>3970.14990234375</v>
      </c>
      <c r="D41">
        <v>155.24415696294531</v>
      </c>
      <c r="E41">
        <v>4195.43994140625</v>
      </c>
      <c r="F41">
        <v>142.83134100267219</v>
      </c>
      <c r="G41">
        <v>3943.080078125</v>
      </c>
      <c r="H41">
        <v>152.11762987401389</v>
      </c>
      <c r="I41">
        <v>4070.070068359375</v>
      </c>
      <c r="J41">
        <v>164776500</v>
      </c>
      <c r="K41">
        <v>80392280000</v>
      </c>
    </row>
    <row r="42" spans="1:11" x14ac:dyDescent="0.35">
      <c r="A42" s="26">
        <v>44986</v>
      </c>
      <c r="B42">
        <v>145.7010498046875</v>
      </c>
      <c r="C42">
        <v>4109.31005859375</v>
      </c>
      <c r="D42">
        <v>146.87605827085429</v>
      </c>
      <c r="E42">
        <v>4110.75</v>
      </c>
      <c r="F42">
        <v>141.10441725877749</v>
      </c>
      <c r="G42">
        <v>3808.860107421875</v>
      </c>
      <c r="H42">
        <v>143.83043116293851</v>
      </c>
      <c r="I42">
        <v>3963.340087890625</v>
      </c>
      <c r="J42">
        <v>185723800</v>
      </c>
      <c r="K42">
        <v>113094800000</v>
      </c>
    </row>
    <row r="43" spans="1:11" x14ac:dyDescent="0.35">
      <c r="A43" s="26">
        <v>45017</v>
      </c>
      <c r="B43">
        <v>153.879150390625</v>
      </c>
      <c r="C43">
        <v>4169.47998046875</v>
      </c>
      <c r="D43">
        <v>157.19737411185019</v>
      </c>
      <c r="E43">
        <v>4170.06005859375</v>
      </c>
      <c r="F43">
        <v>144.7046867954673</v>
      </c>
      <c r="G43">
        <v>4049.35009765625</v>
      </c>
      <c r="H43">
        <v>145.65408874725989</v>
      </c>
      <c r="I43">
        <v>4102.2001953125</v>
      </c>
      <c r="J43">
        <v>146069800</v>
      </c>
      <c r="K43">
        <v>70861260000</v>
      </c>
    </row>
    <row r="44" spans="1:11" x14ac:dyDescent="0.35">
      <c r="A44" s="26">
        <v>45047</v>
      </c>
      <c r="B44">
        <v>145.75746154785159</v>
      </c>
      <c r="C44">
        <v>4179.830078125</v>
      </c>
      <c r="D44">
        <v>156.21033325058249</v>
      </c>
      <c r="E44">
        <v>4231.10009765625</v>
      </c>
      <c r="F44">
        <v>144.12185878973389</v>
      </c>
      <c r="G44">
        <v>4048.280029296875</v>
      </c>
      <c r="H44">
        <v>153.7851281717621</v>
      </c>
      <c r="I44">
        <v>4166.7900390625</v>
      </c>
      <c r="J44">
        <v>132112400</v>
      </c>
      <c r="K44">
        <v>88929200000</v>
      </c>
    </row>
    <row r="45" spans="1:11" x14ac:dyDescent="0.35">
      <c r="A45" s="26">
        <v>45078</v>
      </c>
      <c r="B45">
        <v>156.76385498046881</v>
      </c>
      <c r="C45">
        <v>4450.3798828125</v>
      </c>
      <c r="D45">
        <v>157.47417934127421</v>
      </c>
      <c r="E45">
        <v>4458.47998046875</v>
      </c>
      <c r="F45">
        <v>145.0482286958389</v>
      </c>
      <c r="G45">
        <v>4171.64013671875</v>
      </c>
      <c r="H45">
        <v>146.3646959331349</v>
      </c>
      <c r="I45">
        <v>4183.02978515625</v>
      </c>
      <c r="J45">
        <v>146413700</v>
      </c>
      <c r="K45">
        <v>87983140000</v>
      </c>
    </row>
    <row r="46" spans="1:11" x14ac:dyDescent="0.35">
      <c r="A46" s="26">
        <v>45108</v>
      </c>
      <c r="B46">
        <v>158.6675109863281</v>
      </c>
      <c r="C46">
        <v>4588.9599609375</v>
      </c>
      <c r="D46">
        <v>166.0832986697539</v>
      </c>
      <c r="E46">
        <v>4607.06982421875</v>
      </c>
      <c r="F46">
        <v>149.0071030615492</v>
      </c>
      <c r="G46">
        <v>4385.0498046875</v>
      </c>
      <c r="H46">
        <v>155.6462625466082</v>
      </c>
      <c r="I46">
        <v>4450.47998046875</v>
      </c>
      <c r="J46">
        <v>201425400</v>
      </c>
      <c r="K46">
        <v>75063200000</v>
      </c>
    </row>
    <row r="47" spans="1:11" x14ac:dyDescent="0.35">
      <c r="A47" s="26">
        <v>45139</v>
      </c>
      <c r="B47">
        <v>153.12699890136719</v>
      </c>
      <c r="C47">
        <v>4507.66015625</v>
      </c>
      <c r="D47">
        <v>166.6610551970449</v>
      </c>
      <c r="E47">
        <v>4584.6201171875</v>
      </c>
      <c r="F47">
        <v>152.74816498423351</v>
      </c>
      <c r="G47">
        <v>4335.31005859375</v>
      </c>
      <c r="H47">
        <v>157.5688966699598</v>
      </c>
      <c r="I47">
        <v>4578.830078125</v>
      </c>
      <c r="J47">
        <v>1084847100</v>
      </c>
      <c r="K47">
        <v>86840820000</v>
      </c>
    </row>
    <row r="48" spans="1:11" x14ac:dyDescent="0.35">
      <c r="A48" s="26">
        <v>45170</v>
      </c>
      <c r="B48">
        <v>148.5816955566406</v>
      </c>
      <c r="C48">
        <v>4288.0498046875</v>
      </c>
      <c r="D48">
        <v>157.66354709120699</v>
      </c>
      <c r="E48">
        <v>4541.25</v>
      </c>
      <c r="F48">
        <v>148.11424228533161</v>
      </c>
      <c r="G48">
        <v>4238.6298828125</v>
      </c>
      <c r="H48">
        <v>153.99073531102229</v>
      </c>
      <c r="I48">
        <v>4530.60009765625</v>
      </c>
      <c r="J48">
        <v>147233100</v>
      </c>
      <c r="K48">
        <v>73482980000</v>
      </c>
    </row>
    <row r="49" spans="1:11" x14ac:dyDescent="0.35">
      <c r="A49" s="26">
        <v>45200</v>
      </c>
      <c r="B49">
        <v>141.51274108886719</v>
      </c>
      <c r="C49">
        <v>4193.7998046875</v>
      </c>
      <c r="D49">
        <v>151.93970226676109</v>
      </c>
      <c r="E49">
        <v>4393.56982421875</v>
      </c>
      <c r="F49">
        <v>138.2787642939237</v>
      </c>
      <c r="G49">
        <v>4103.77978515625</v>
      </c>
      <c r="H49">
        <v>148.2668902783048</v>
      </c>
      <c r="I49">
        <v>4284.52001953125</v>
      </c>
      <c r="J49">
        <v>152893600</v>
      </c>
      <c r="K49">
        <v>83519460000</v>
      </c>
    </row>
    <row r="50" spans="1:11" x14ac:dyDescent="0.35">
      <c r="A50" s="26">
        <v>45231</v>
      </c>
      <c r="B50">
        <v>147.54185485839841</v>
      </c>
      <c r="C50">
        <v>4567.7998046875</v>
      </c>
      <c r="D50">
        <v>147.99975902423529</v>
      </c>
      <c r="E50">
        <v>4587.64013671875</v>
      </c>
      <c r="F50">
        <v>138.93699174138291</v>
      </c>
      <c r="G50">
        <v>4197.740234375</v>
      </c>
      <c r="H50">
        <v>142.32360768996151</v>
      </c>
      <c r="I50">
        <v>4201.27001953125</v>
      </c>
      <c r="J50">
        <v>131078100</v>
      </c>
      <c r="K50">
        <v>80970570000</v>
      </c>
    </row>
    <row r="51" spans="1:11" x14ac:dyDescent="0.35">
      <c r="A51" s="26">
        <v>45261</v>
      </c>
      <c r="B51">
        <v>150.72355651855469</v>
      </c>
      <c r="C51">
        <v>4769.830078125</v>
      </c>
      <c r="D51">
        <v>153.8776528823812</v>
      </c>
      <c r="E51">
        <v>4793.2998046875</v>
      </c>
      <c r="F51">
        <v>145.94432828305099</v>
      </c>
      <c r="G51">
        <v>4546.5</v>
      </c>
      <c r="H51">
        <v>150.43506905305361</v>
      </c>
      <c r="I51">
        <v>4559.43017578125</v>
      </c>
      <c r="J51">
        <v>146527600</v>
      </c>
      <c r="K51">
        <v>81530670000</v>
      </c>
    </row>
    <row r="52" spans="1:11" x14ac:dyDescent="0.35">
      <c r="A52" s="26">
        <v>45292</v>
      </c>
      <c r="B52">
        <v>152.8006286621094</v>
      </c>
      <c r="C52">
        <v>4845.64990234375</v>
      </c>
      <c r="D52">
        <v>157.3009948170122</v>
      </c>
      <c r="E52">
        <v>4931.08984375</v>
      </c>
      <c r="F52">
        <v>150.77162027870321</v>
      </c>
      <c r="G52">
        <v>4682.10986328125</v>
      </c>
      <c r="H52">
        <v>150.90624580149921</v>
      </c>
      <c r="I52">
        <v>4745.2001953125</v>
      </c>
      <c r="J52">
        <v>138190400</v>
      </c>
      <c r="K52">
        <v>81737880000</v>
      </c>
    </row>
    <row r="53" spans="1:11" x14ac:dyDescent="0.35">
      <c r="A53" s="26">
        <v>45323</v>
      </c>
      <c r="B53">
        <v>155.18547058105469</v>
      </c>
      <c r="C53">
        <v>5096.27001953125</v>
      </c>
      <c r="D53">
        <v>156.02207113613579</v>
      </c>
      <c r="E53">
        <v>5111.06005859375</v>
      </c>
      <c r="F53">
        <v>148.89649875716111</v>
      </c>
      <c r="G53">
        <v>4853.52001953125</v>
      </c>
      <c r="H53">
        <v>152.08906836524579</v>
      </c>
      <c r="I53">
        <v>4861.10986328125</v>
      </c>
      <c r="J53">
        <v>158288200</v>
      </c>
      <c r="K53">
        <v>82066930000</v>
      </c>
    </row>
    <row r="54" spans="1:11" x14ac:dyDescent="0.35">
      <c r="A54" s="26">
        <v>45352</v>
      </c>
      <c r="B54">
        <v>153.27287292480469</v>
      </c>
      <c r="C54">
        <v>5254.35009765625</v>
      </c>
      <c r="D54">
        <v>158.039939379705</v>
      </c>
      <c r="E54">
        <v>5264.85009765625</v>
      </c>
      <c r="F54">
        <v>149.94948230483681</v>
      </c>
      <c r="G54">
        <v>5056.81982421875</v>
      </c>
      <c r="H54">
        <v>156.7997276898686</v>
      </c>
      <c r="I54">
        <v>5098.509765625</v>
      </c>
      <c r="J54">
        <v>140389700</v>
      </c>
      <c r="K54">
        <v>86299510000</v>
      </c>
    </row>
    <row r="55" spans="1:11" x14ac:dyDescent="0.35">
      <c r="A55" s="26">
        <v>45383</v>
      </c>
      <c r="B55">
        <v>140.0956115722656</v>
      </c>
      <c r="C55">
        <v>5035.68994140625</v>
      </c>
      <c r="D55">
        <v>153.23411491969111</v>
      </c>
      <c r="E55">
        <v>5263.9501953125</v>
      </c>
      <c r="F55">
        <v>138.6810019798325</v>
      </c>
      <c r="G55">
        <v>4953.56005859375</v>
      </c>
      <c r="H55">
        <v>152.81748798552621</v>
      </c>
      <c r="I55">
        <v>5257.97021484375</v>
      </c>
      <c r="J55">
        <v>175712200</v>
      </c>
      <c r="K55">
        <v>81747170000</v>
      </c>
    </row>
    <row r="56" spans="1:11" x14ac:dyDescent="0.35">
      <c r="A56" s="26">
        <v>45413</v>
      </c>
      <c r="B56">
        <v>142.1109619140625</v>
      </c>
      <c r="C56">
        <v>5277.509765625</v>
      </c>
      <c r="D56">
        <v>150.0463893331459</v>
      </c>
      <c r="E56">
        <v>5341.8798828125</v>
      </c>
      <c r="F56">
        <v>139.2429777442255</v>
      </c>
      <c r="G56">
        <v>5011.0498046875</v>
      </c>
      <c r="H56">
        <v>144.1166258922882</v>
      </c>
      <c r="I56">
        <v>5029.02978515625</v>
      </c>
      <c r="J56">
        <v>174612900</v>
      </c>
      <c r="K56">
        <v>86849720000</v>
      </c>
    </row>
    <row r="57" spans="1:11" x14ac:dyDescent="0.35">
      <c r="A57" s="26">
        <v>45444</v>
      </c>
      <c r="B57">
        <v>142.76158142089841</v>
      </c>
      <c r="C57">
        <v>5460.47998046875</v>
      </c>
      <c r="D57">
        <v>146.23880411236951</v>
      </c>
      <c r="E57">
        <v>5523.64013671875</v>
      </c>
      <c r="F57">
        <v>140.53459576672029</v>
      </c>
      <c r="G57">
        <v>5234.31982421875</v>
      </c>
      <c r="H57">
        <v>143.82623383634299</v>
      </c>
      <c r="I57">
        <v>5297.14990234375</v>
      </c>
      <c r="J57">
        <v>132521000</v>
      </c>
      <c r="K57">
        <v>76025620000</v>
      </c>
    </row>
    <row r="58" spans="1:11" x14ac:dyDescent="0.35">
      <c r="A58" s="26">
        <v>45474</v>
      </c>
      <c r="B58">
        <v>154.1797790527344</v>
      </c>
      <c r="C58">
        <v>5522.2998046875</v>
      </c>
      <c r="D58">
        <v>157.82304731312641</v>
      </c>
      <c r="E58">
        <v>5669.669921875</v>
      </c>
      <c r="F58">
        <v>141.14017872454119</v>
      </c>
      <c r="G58">
        <v>5390.9501953125</v>
      </c>
      <c r="H58">
        <v>142.67368124591891</v>
      </c>
      <c r="I58">
        <v>5471.080078125</v>
      </c>
      <c r="J58">
        <v>151359400</v>
      </c>
      <c r="K58">
        <v>80160390000</v>
      </c>
    </row>
    <row r="59" spans="1:11" x14ac:dyDescent="0.35">
      <c r="A59" s="26">
        <v>45505</v>
      </c>
      <c r="B59">
        <v>162.00349426269531</v>
      </c>
      <c r="C59">
        <v>5648.39990234375</v>
      </c>
      <c r="D59">
        <v>162.12069930434069</v>
      </c>
      <c r="E59">
        <v>5651.6201171875</v>
      </c>
      <c r="F59">
        <v>152.8025258935798</v>
      </c>
      <c r="G59">
        <v>5119.259765625</v>
      </c>
      <c r="H59">
        <v>154.79508612154191</v>
      </c>
      <c r="I59">
        <v>5537.83984375</v>
      </c>
      <c r="J59">
        <v>150664500</v>
      </c>
      <c r="K59">
        <v>81097300000</v>
      </c>
    </row>
    <row r="60" spans="1:11" x14ac:dyDescent="0.35">
      <c r="A60" s="26">
        <v>45536</v>
      </c>
      <c r="B60">
        <v>159.4933166503906</v>
      </c>
      <c r="C60">
        <v>5762.47998046875</v>
      </c>
      <c r="D60">
        <v>166.17578610138841</v>
      </c>
      <c r="E60">
        <v>5767.3701171875</v>
      </c>
      <c r="F60">
        <v>157.48563245903301</v>
      </c>
      <c r="G60">
        <v>5402.6201171875</v>
      </c>
      <c r="H60">
        <v>162.62296011639029</v>
      </c>
      <c r="I60">
        <v>5623.89013671875</v>
      </c>
      <c r="J60">
        <v>120356400</v>
      </c>
      <c r="K60">
        <v>79564830000</v>
      </c>
    </row>
    <row r="61" spans="1:11" x14ac:dyDescent="0.35">
      <c r="A61" s="26">
        <v>45566</v>
      </c>
      <c r="B61">
        <v>157.32817077636719</v>
      </c>
      <c r="C61">
        <v>5705.4501953125</v>
      </c>
      <c r="D61">
        <v>164.10904777176921</v>
      </c>
      <c r="E61">
        <v>5878.4599609375</v>
      </c>
      <c r="F61">
        <v>156.2652737923423</v>
      </c>
      <c r="G61">
        <v>5674</v>
      </c>
      <c r="H61">
        <v>159.85745983566949</v>
      </c>
      <c r="I61">
        <v>5757.72998046875</v>
      </c>
      <c r="J61">
        <v>133026800</v>
      </c>
      <c r="K61">
        <v>82412430000</v>
      </c>
    </row>
    <row r="62" spans="1:11" x14ac:dyDescent="0.35">
      <c r="A62" s="26">
        <v>45597</v>
      </c>
      <c r="B62">
        <v>152.55497741699219</v>
      </c>
      <c r="C62">
        <v>6032.3798828125</v>
      </c>
      <c r="D62">
        <v>158.50916173826801</v>
      </c>
      <c r="E62">
        <v>6044.169921875</v>
      </c>
      <c r="F62">
        <v>148.37228806147701</v>
      </c>
      <c r="G62">
        <v>5696.509765625</v>
      </c>
      <c r="H62">
        <v>158.03676808643959</v>
      </c>
      <c r="I62">
        <v>5723.22021484375</v>
      </c>
      <c r="J62">
        <v>153342200</v>
      </c>
      <c r="K62">
        <v>84101980000</v>
      </c>
    </row>
    <row r="63" spans="1:11" x14ac:dyDescent="0.35">
      <c r="A63" s="26">
        <v>45627</v>
      </c>
      <c r="B63">
        <v>143.4715576171875</v>
      </c>
      <c r="C63">
        <v>5881.6298828125</v>
      </c>
      <c r="D63">
        <v>153.76913415495719</v>
      </c>
      <c r="E63">
        <v>6099.97021484375</v>
      </c>
      <c r="F63">
        <v>141.61641226206541</v>
      </c>
      <c r="G63">
        <v>5832.2998046875</v>
      </c>
      <c r="H63">
        <v>153.5211194224492</v>
      </c>
      <c r="I63">
        <v>6040.10986328125</v>
      </c>
      <c r="J63">
        <v>177839200</v>
      </c>
      <c r="K63">
        <v>86064900000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Q63"/>
  <sheetViews>
    <sheetView topLeftCell="A2" zoomScale="97" zoomScaleNormal="100" workbookViewId="0">
      <selection activeCell="J27" sqref="J27"/>
    </sheetView>
  </sheetViews>
  <sheetFormatPr defaultRowHeight="14.5" x14ac:dyDescent="0.35"/>
  <cols>
    <col min="1" max="1" width="17.81640625" bestFit="1" customWidth="1"/>
    <col min="2" max="3" width="11.81640625" bestFit="1" customWidth="1"/>
    <col min="6" max="6" width="11.81640625" bestFit="1" customWidth="1"/>
    <col min="9" max="9" width="23.90625" bestFit="1" customWidth="1"/>
    <col min="10" max="10" width="16.81640625" bestFit="1" customWidth="1"/>
    <col min="11" max="11" width="13.54296875" bestFit="1" customWidth="1"/>
    <col min="12" max="12" width="12.453125" bestFit="1" customWidth="1"/>
    <col min="13" max="13" width="11.81640625" bestFit="1" customWidth="1"/>
    <col min="14" max="14" width="12.453125" bestFit="1" customWidth="1"/>
  </cols>
  <sheetData>
    <row r="1" spans="1:11" x14ac:dyDescent="0.35">
      <c r="A1" s="1" t="s">
        <v>0</v>
      </c>
      <c r="B1" s="1" t="s">
        <v>1</v>
      </c>
      <c r="C1" s="1"/>
      <c r="D1" s="1"/>
      <c r="E1" s="1" t="s">
        <v>1</v>
      </c>
      <c r="F1" s="2"/>
    </row>
    <row r="2" spans="1:11" x14ac:dyDescent="0.35">
      <c r="A2" s="1" t="s">
        <v>2</v>
      </c>
      <c r="B2" s="1" t="s">
        <v>3</v>
      </c>
      <c r="C2" s="1" t="s">
        <v>7</v>
      </c>
      <c r="D2" s="1"/>
      <c r="E2" s="1" t="s">
        <v>5</v>
      </c>
      <c r="F2" s="3" t="s">
        <v>6</v>
      </c>
    </row>
    <row r="3" spans="1:11" x14ac:dyDescent="0.35">
      <c r="A3" s="1" t="s">
        <v>4</v>
      </c>
      <c r="B3" s="2"/>
      <c r="C3" s="2"/>
      <c r="D3" s="2"/>
      <c r="E3" s="2"/>
      <c r="F3" s="2"/>
    </row>
    <row r="4" spans="1:11" x14ac:dyDescent="0.35">
      <c r="A4" s="4">
        <v>43831</v>
      </c>
      <c r="B4">
        <v>128.55952453613281</v>
      </c>
      <c r="E4">
        <v>3225.52001953125</v>
      </c>
    </row>
    <row r="5" spans="1:11" x14ac:dyDescent="0.35">
      <c r="A5" s="5">
        <v>43862</v>
      </c>
      <c r="B5">
        <v>116.13275146484381</v>
      </c>
      <c r="C5">
        <f>($B5/$B4)</f>
        <v>0.90333837095207714</v>
      </c>
      <c r="E5">
        <v>2954.219970703125</v>
      </c>
      <c r="F5">
        <f>($E5/$E4)</f>
        <v>0.91588951636159688</v>
      </c>
    </row>
    <row r="6" spans="1:11" x14ac:dyDescent="0.35">
      <c r="A6" s="5">
        <v>43891</v>
      </c>
      <c r="B6">
        <v>113.9619064331055</v>
      </c>
      <c r="C6">
        <f t="shared" ref="C6:C63" si="0">($B6/$B5)</f>
        <v>0.98130721089136097</v>
      </c>
      <c r="E6">
        <v>2584.590087890625</v>
      </c>
      <c r="F6">
        <f t="shared" ref="F6:F63" si="1">($E6/$E5)</f>
        <v>0.87488071759107178</v>
      </c>
    </row>
    <row r="7" spans="1:11" x14ac:dyDescent="0.35">
      <c r="A7" s="5">
        <v>43922</v>
      </c>
      <c r="B7">
        <v>130.39610290527341</v>
      </c>
      <c r="C7">
        <f t="shared" si="0"/>
        <v>1.144207805805834</v>
      </c>
      <c r="E7">
        <v>2912.429931640625</v>
      </c>
      <c r="F7">
        <f t="shared" si="1"/>
        <v>1.1268440381652789</v>
      </c>
      <c r="I7" t="s">
        <v>8</v>
      </c>
      <c r="J7">
        <v>0.46</v>
      </c>
    </row>
    <row r="8" spans="1:11" x14ac:dyDescent="0.35">
      <c r="A8" s="5">
        <v>43952</v>
      </c>
      <c r="B8">
        <v>129.2749938964844</v>
      </c>
      <c r="C8">
        <f t="shared" si="0"/>
        <v>0.99140228132735353</v>
      </c>
      <c r="E8">
        <v>3044.31005859375</v>
      </c>
      <c r="F8">
        <f t="shared" si="1"/>
        <v>1.0452818196655582</v>
      </c>
    </row>
    <row r="9" spans="1:11" x14ac:dyDescent="0.35">
      <c r="A9" s="5">
        <v>43983</v>
      </c>
      <c r="B9">
        <v>123.0653533935547</v>
      </c>
      <c r="C9">
        <f t="shared" si="0"/>
        <v>0.951965648454008</v>
      </c>
      <c r="E9">
        <v>3100.2900390625</v>
      </c>
      <c r="F9">
        <f t="shared" si="1"/>
        <v>1.0183883965139242</v>
      </c>
    </row>
    <row r="10" spans="1:11" x14ac:dyDescent="0.35">
      <c r="A10" s="5">
        <v>44013</v>
      </c>
      <c r="B10">
        <v>127.55458068847661</v>
      </c>
      <c r="C10">
        <f t="shared" si="0"/>
        <v>1.0364784008750672</v>
      </c>
      <c r="E10">
        <v>3271.1201171875</v>
      </c>
      <c r="F10">
        <f t="shared" si="1"/>
        <v>1.0551013214804437</v>
      </c>
    </row>
    <row r="11" spans="1:11" x14ac:dyDescent="0.35">
      <c r="A11" s="5">
        <v>44044</v>
      </c>
      <c r="B11">
        <v>134.24909973144531</v>
      </c>
      <c r="C11">
        <f t="shared" si="0"/>
        <v>1.0524835643442596</v>
      </c>
      <c r="E11">
        <v>3500.31005859375</v>
      </c>
      <c r="F11">
        <f t="shared" si="1"/>
        <v>1.0700646669017178</v>
      </c>
    </row>
    <row r="12" spans="1:11" x14ac:dyDescent="0.35">
      <c r="A12" s="5">
        <v>44075</v>
      </c>
      <c r="B12">
        <v>131.1520690917969</v>
      </c>
      <c r="C12">
        <f t="shared" si="0"/>
        <v>0.97693071576760082</v>
      </c>
      <c r="E12">
        <v>3363</v>
      </c>
      <c r="F12">
        <f t="shared" si="1"/>
        <v>0.96077202982157694</v>
      </c>
    </row>
    <row r="13" spans="1:11" x14ac:dyDescent="0.35">
      <c r="A13" s="5">
        <v>44105</v>
      </c>
      <c r="B13">
        <v>120.783561706543</v>
      </c>
      <c r="C13">
        <f t="shared" si="0"/>
        <v>0.92094286077944598</v>
      </c>
      <c r="E13">
        <v>3269.9599609375</v>
      </c>
      <c r="F13">
        <f t="shared" si="1"/>
        <v>0.97233421377862028</v>
      </c>
      <c r="I13" t="s">
        <v>9</v>
      </c>
      <c r="J13">
        <f>GEOMEAN(F5:F63)-1</f>
        <v>1.0234042580534286E-2</v>
      </c>
      <c r="K13" t="s">
        <v>10</v>
      </c>
    </row>
    <row r="14" spans="1:11" x14ac:dyDescent="0.35">
      <c r="A14" s="5">
        <v>44136</v>
      </c>
      <c r="B14">
        <v>127.45217132568359</v>
      </c>
      <c r="C14">
        <f t="shared" si="0"/>
        <v>1.0552112350796767</v>
      </c>
      <c r="E14">
        <v>3621.6298828125</v>
      </c>
      <c r="F14">
        <f t="shared" si="1"/>
        <v>1.1075456354438591</v>
      </c>
      <c r="J14">
        <f>(1+J13)^12-1</f>
        <v>0.12996239344711391</v>
      </c>
      <c r="K14" t="s">
        <v>11</v>
      </c>
    </row>
    <row r="15" spans="1:11" x14ac:dyDescent="0.35">
      <c r="A15" s="5">
        <v>44166</v>
      </c>
      <c r="B15">
        <v>139.603271484375</v>
      </c>
      <c r="C15">
        <f t="shared" si="0"/>
        <v>1.0953385103784636</v>
      </c>
      <c r="E15">
        <v>3756.070068359375</v>
      </c>
      <c r="F15">
        <f t="shared" si="1"/>
        <v>1.03712145909357</v>
      </c>
    </row>
    <row r="16" spans="1:11" x14ac:dyDescent="0.35">
      <c r="A16" s="5">
        <v>44197</v>
      </c>
      <c r="B16">
        <v>144.70379638671881</v>
      </c>
      <c r="C16">
        <f t="shared" si="0"/>
        <v>1.0365358551279702</v>
      </c>
      <c r="E16">
        <v>3714.239990234375</v>
      </c>
      <c r="F16">
        <f t="shared" si="1"/>
        <v>0.98886333924455483</v>
      </c>
    </row>
    <row r="17" spans="1:10" x14ac:dyDescent="0.35">
      <c r="A17" s="5">
        <v>44228</v>
      </c>
      <c r="B17">
        <v>140.56126403808591</v>
      </c>
      <c r="C17">
        <f t="shared" si="0"/>
        <v>0.97137233125824818</v>
      </c>
      <c r="E17">
        <v>3811.14990234375</v>
      </c>
      <c r="F17">
        <f t="shared" si="1"/>
        <v>1.0260914513774484</v>
      </c>
    </row>
    <row r="18" spans="1:10" x14ac:dyDescent="0.35">
      <c r="A18" s="5">
        <v>44256</v>
      </c>
      <c r="B18">
        <v>146.695068359375</v>
      </c>
      <c r="C18">
        <f t="shared" si="0"/>
        <v>1.0436379422400974</v>
      </c>
      <c r="E18">
        <v>3972.889892578125</v>
      </c>
      <c r="F18">
        <f t="shared" si="1"/>
        <v>1.0424386325331652</v>
      </c>
    </row>
    <row r="19" spans="1:10" x14ac:dyDescent="0.35">
      <c r="A19" s="5">
        <v>44287</v>
      </c>
      <c r="B19">
        <v>145.2491149902344</v>
      </c>
      <c r="C19">
        <f t="shared" si="0"/>
        <v>0.99014313578968938</v>
      </c>
      <c r="E19">
        <v>4181.169921875</v>
      </c>
      <c r="F19">
        <f t="shared" si="1"/>
        <v>1.0524253213475585</v>
      </c>
      <c r="I19" t="s">
        <v>12</v>
      </c>
      <c r="J19">
        <v>4.2500000000000003E-2</v>
      </c>
    </row>
    <row r="20" spans="1:10" x14ac:dyDescent="0.35">
      <c r="A20" s="5">
        <v>44317</v>
      </c>
      <c r="B20">
        <v>151.0686950683594</v>
      </c>
      <c r="C20">
        <f t="shared" si="0"/>
        <v>1.0400661999112095</v>
      </c>
      <c r="E20">
        <v>4204.10986328125</v>
      </c>
      <c r="F20">
        <f t="shared" si="1"/>
        <v>1.005486488670607</v>
      </c>
    </row>
    <row r="21" spans="1:10" x14ac:dyDescent="0.35">
      <c r="A21" s="5">
        <v>44348</v>
      </c>
      <c r="B21">
        <v>147.96058654785159</v>
      </c>
      <c r="C21">
        <f t="shared" si="0"/>
        <v>0.97942585974479113</v>
      </c>
      <c r="E21">
        <v>4297.5</v>
      </c>
      <c r="F21">
        <f t="shared" si="1"/>
        <v>1.0222140095658347</v>
      </c>
    </row>
    <row r="22" spans="1:10" x14ac:dyDescent="0.35">
      <c r="A22" s="5">
        <v>44378</v>
      </c>
      <c r="B22">
        <v>154.66072082519531</v>
      </c>
      <c r="C22">
        <f t="shared" si="0"/>
        <v>1.0452832367975025</v>
      </c>
      <c r="E22">
        <v>4395.259765625</v>
      </c>
      <c r="F22">
        <f t="shared" si="1"/>
        <v>1.0227480548283887</v>
      </c>
      <c r="I22" t="s">
        <v>13</v>
      </c>
      <c r="J22" t="s">
        <v>14</v>
      </c>
    </row>
    <row r="23" spans="1:10" x14ac:dyDescent="0.35">
      <c r="A23" s="5">
        <v>44409</v>
      </c>
      <c r="B23">
        <v>155.49601745605469</v>
      </c>
      <c r="C23">
        <f t="shared" si="0"/>
        <v>1.005400832392366</v>
      </c>
      <c r="E23">
        <v>4522.68017578125</v>
      </c>
      <c r="F23">
        <f t="shared" si="1"/>
        <v>1.0289904162554386</v>
      </c>
      <c r="I23" s="24" t="s">
        <v>15</v>
      </c>
      <c r="J23" s="25">
        <f>J19+J7*(J14-J19)</f>
        <v>8.2732700985672397E-2</v>
      </c>
    </row>
    <row r="24" spans="1:10" x14ac:dyDescent="0.35">
      <c r="A24" s="5">
        <v>44440</v>
      </c>
      <c r="B24">
        <v>145.91255187988281</v>
      </c>
      <c r="C24">
        <f t="shared" si="0"/>
        <v>0.93836841783500791</v>
      </c>
      <c r="E24">
        <v>4307.5400390625</v>
      </c>
      <c r="F24">
        <f t="shared" si="1"/>
        <v>0.9524308311980989</v>
      </c>
    </row>
    <row r="25" spans="1:10" x14ac:dyDescent="0.35">
      <c r="A25" s="5">
        <v>44470</v>
      </c>
      <c r="B25">
        <v>147.15931701660159</v>
      </c>
      <c r="C25">
        <f t="shared" si="0"/>
        <v>1.0085446051121436</v>
      </c>
      <c r="E25">
        <v>4605.3798828125</v>
      </c>
      <c r="F25">
        <f t="shared" si="1"/>
        <v>1.0691438364006065</v>
      </c>
    </row>
    <row r="26" spans="1:10" x14ac:dyDescent="0.35">
      <c r="A26" s="5">
        <v>44501</v>
      </c>
      <c r="B26">
        <v>140.88011169433591</v>
      </c>
      <c r="C26">
        <f t="shared" si="0"/>
        <v>0.95733056221267121</v>
      </c>
      <c r="E26">
        <v>4567</v>
      </c>
      <c r="F26">
        <f t="shared" si="1"/>
        <v>0.99166629381525384</v>
      </c>
    </row>
    <row r="27" spans="1:10" x14ac:dyDescent="0.35">
      <c r="A27" s="5">
        <v>44531</v>
      </c>
      <c r="B27">
        <v>155.57121276855469</v>
      </c>
      <c r="C27">
        <f t="shared" si="0"/>
        <v>1.1042808732725433</v>
      </c>
      <c r="E27">
        <v>4766.18017578125</v>
      </c>
      <c r="F27">
        <f t="shared" si="1"/>
        <v>1.0436129134620649</v>
      </c>
    </row>
    <row r="28" spans="1:10" x14ac:dyDescent="0.35">
      <c r="A28" s="5">
        <v>44562</v>
      </c>
      <c r="B28">
        <v>156.68067932128909</v>
      </c>
      <c r="C28">
        <f t="shared" si="0"/>
        <v>1.007131567164582</v>
      </c>
      <c r="E28">
        <v>4515.5498046875</v>
      </c>
      <c r="F28">
        <f t="shared" si="1"/>
        <v>0.94741483497260615</v>
      </c>
    </row>
    <row r="29" spans="1:10" x14ac:dyDescent="0.35">
      <c r="A29" s="5">
        <v>44593</v>
      </c>
      <c r="B29">
        <v>149.66011047363281</v>
      </c>
      <c r="C29">
        <f t="shared" si="0"/>
        <v>0.95519186616966401</v>
      </c>
      <c r="E29">
        <v>4373.93994140625</v>
      </c>
      <c r="F29">
        <f t="shared" si="1"/>
        <v>0.96863950805409171</v>
      </c>
    </row>
    <row r="30" spans="1:10" x14ac:dyDescent="0.35">
      <c r="A30" s="5">
        <v>44621</v>
      </c>
      <c r="B30">
        <v>162.20771789550781</v>
      </c>
      <c r="C30">
        <f t="shared" si="0"/>
        <v>1.0838406933027465</v>
      </c>
      <c r="E30">
        <v>4530.41015625</v>
      </c>
      <c r="F30">
        <f t="shared" si="1"/>
        <v>1.0357732883715463</v>
      </c>
      <c r="I30" s="6"/>
      <c r="J30" s="6"/>
    </row>
    <row r="31" spans="1:10" x14ac:dyDescent="0.35">
      <c r="A31" s="5">
        <v>44652</v>
      </c>
      <c r="B31">
        <v>165.16398620605469</v>
      </c>
      <c r="C31">
        <f t="shared" si="0"/>
        <v>1.0182252012968414</v>
      </c>
      <c r="E31">
        <v>4131.93017578125</v>
      </c>
      <c r="F31">
        <f t="shared" si="1"/>
        <v>0.91204328819565694</v>
      </c>
    </row>
    <row r="32" spans="1:10" x14ac:dyDescent="0.35">
      <c r="A32" s="5">
        <v>44682</v>
      </c>
      <c r="B32">
        <v>164.31278991699219</v>
      </c>
      <c r="C32">
        <f t="shared" si="0"/>
        <v>0.99484635659010701</v>
      </c>
      <c r="E32">
        <v>4132.14990234375</v>
      </c>
      <c r="F32">
        <f t="shared" si="1"/>
        <v>1.0000531777046446</v>
      </c>
    </row>
    <row r="33" spans="1:17" x14ac:dyDescent="0.35">
      <c r="A33" s="5">
        <v>44713</v>
      </c>
      <c r="B33">
        <v>163.50798034667969</v>
      </c>
      <c r="C33">
        <f t="shared" si="0"/>
        <v>0.99510196637328674</v>
      </c>
      <c r="E33">
        <v>3785.3798828125</v>
      </c>
      <c r="F33">
        <f t="shared" si="1"/>
        <v>0.91608000006617318</v>
      </c>
    </row>
    <row r="34" spans="1:17" x14ac:dyDescent="0.35">
      <c r="A34" s="5">
        <v>44743</v>
      </c>
      <c r="B34">
        <v>160.75382995605469</v>
      </c>
      <c r="C34">
        <f t="shared" si="0"/>
        <v>0.98315586563551527</v>
      </c>
      <c r="E34">
        <v>4130.2900390625</v>
      </c>
      <c r="F34">
        <f t="shared" si="1"/>
        <v>1.09111639173021</v>
      </c>
    </row>
    <row r="35" spans="1:17" x14ac:dyDescent="0.35">
      <c r="A35" s="5">
        <v>44774</v>
      </c>
      <c r="B35">
        <v>148.6134948730469</v>
      </c>
      <c r="C35">
        <f t="shared" si="0"/>
        <v>0.9244787195034383</v>
      </c>
      <c r="E35">
        <v>3955</v>
      </c>
      <c r="F35">
        <f t="shared" si="1"/>
        <v>0.95755987172700163</v>
      </c>
    </row>
    <row r="36" spans="1:17" x14ac:dyDescent="0.35">
      <c r="A36" s="5">
        <v>44805</v>
      </c>
      <c r="B36">
        <v>151.48518371582031</v>
      </c>
      <c r="C36">
        <f t="shared" si="0"/>
        <v>1.0193232037590298</v>
      </c>
      <c r="E36">
        <v>3585.6201171875</v>
      </c>
      <c r="F36">
        <f t="shared" si="1"/>
        <v>0.90660432798672563</v>
      </c>
    </row>
    <row r="37" spans="1:17" x14ac:dyDescent="0.35">
      <c r="A37" s="5">
        <v>44835</v>
      </c>
      <c r="B37">
        <v>161.32392883300781</v>
      </c>
      <c r="C37">
        <f t="shared" si="0"/>
        <v>1.0649485637859117</v>
      </c>
      <c r="E37">
        <v>3871.97998046875</v>
      </c>
      <c r="F37">
        <f t="shared" si="1"/>
        <v>1.0798634138370089</v>
      </c>
    </row>
    <row r="38" spans="1:17" x14ac:dyDescent="0.35">
      <c r="A38" s="5">
        <v>44866</v>
      </c>
      <c r="B38">
        <v>165.06098937988281</v>
      </c>
      <c r="C38">
        <f t="shared" si="0"/>
        <v>1.0231649487705161</v>
      </c>
      <c r="E38">
        <v>4080.110107421875</v>
      </c>
      <c r="F38">
        <f t="shared" si="1"/>
        <v>1.0537528933524931</v>
      </c>
      <c r="I38" s="7"/>
      <c r="J38" s="7"/>
      <c r="K38" s="7"/>
      <c r="L38" s="7"/>
      <c r="M38" s="7"/>
      <c r="N38" s="7"/>
    </row>
    <row r="39" spans="1:17" x14ac:dyDescent="0.35">
      <c r="A39" s="5">
        <v>44896</v>
      </c>
      <c r="B39">
        <v>164.8664245605469</v>
      </c>
      <c r="C39">
        <f t="shared" si="0"/>
        <v>0.99882125497934504</v>
      </c>
      <c r="E39">
        <v>3839.5</v>
      </c>
      <c r="F39">
        <f t="shared" si="1"/>
        <v>0.94102852592526953</v>
      </c>
    </row>
    <row r="40" spans="1:17" x14ac:dyDescent="0.35">
      <c r="A40" s="5">
        <v>44927</v>
      </c>
      <c r="B40">
        <v>152.51893615722659</v>
      </c>
      <c r="C40">
        <f t="shared" si="0"/>
        <v>0.92510610673924265</v>
      </c>
      <c r="E40">
        <v>4076.60009765625</v>
      </c>
      <c r="F40">
        <f t="shared" si="1"/>
        <v>1.0617528578346791</v>
      </c>
    </row>
    <row r="41" spans="1:17" x14ac:dyDescent="0.35">
      <c r="A41" s="5">
        <v>44958</v>
      </c>
      <c r="B41">
        <v>143.03666687011719</v>
      </c>
      <c r="C41">
        <f t="shared" si="0"/>
        <v>0.93782890488211601</v>
      </c>
      <c r="E41">
        <v>3970.14990234375</v>
      </c>
      <c r="F41">
        <f t="shared" si="1"/>
        <v>0.97388750606818142</v>
      </c>
    </row>
    <row r="42" spans="1:17" x14ac:dyDescent="0.35">
      <c r="A42" s="5">
        <v>44986</v>
      </c>
      <c r="B42">
        <v>145.7010498046875</v>
      </c>
      <c r="C42">
        <f t="shared" si="0"/>
        <v>1.0186272722433449</v>
      </c>
      <c r="E42">
        <v>4109.31005859375</v>
      </c>
      <c r="F42">
        <f t="shared" si="1"/>
        <v>1.035051612577109</v>
      </c>
    </row>
    <row r="43" spans="1:17" x14ac:dyDescent="0.35">
      <c r="A43" s="5">
        <v>45017</v>
      </c>
      <c r="B43">
        <v>153.879150390625</v>
      </c>
      <c r="C43">
        <f t="shared" si="0"/>
        <v>1.0561293181957183</v>
      </c>
      <c r="E43">
        <v>4169.47998046875</v>
      </c>
      <c r="F43">
        <f t="shared" si="1"/>
        <v>1.014642341662481</v>
      </c>
      <c r="I43" s="7"/>
      <c r="J43" s="7"/>
      <c r="K43" s="7"/>
      <c r="L43" s="7"/>
      <c r="M43" s="7"/>
      <c r="N43" s="7"/>
      <c r="O43" s="7"/>
      <c r="P43" s="7"/>
      <c r="Q43" s="7"/>
    </row>
    <row r="44" spans="1:17" x14ac:dyDescent="0.35">
      <c r="A44" s="5">
        <v>45047</v>
      </c>
      <c r="B44">
        <v>145.75746154785159</v>
      </c>
      <c r="C44">
        <f t="shared" si="0"/>
        <v>0.94722034257301035</v>
      </c>
      <c r="E44">
        <v>4179.830078125</v>
      </c>
      <c r="F44">
        <f t="shared" si="1"/>
        <v>1.002482347368193</v>
      </c>
    </row>
    <row r="45" spans="1:17" x14ac:dyDescent="0.35">
      <c r="A45" s="5">
        <v>45078</v>
      </c>
      <c r="B45">
        <v>156.76385498046881</v>
      </c>
      <c r="C45">
        <f t="shared" si="0"/>
        <v>1.0755116981026995</v>
      </c>
      <c r="E45">
        <v>4450.3798828125</v>
      </c>
      <c r="F45">
        <f t="shared" si="1"/>
        <v>1.0647274649042346</v>
      </c>
    </row>
    <row r="46" spans="1:17" x14ac:dyDescent="0.35">
      <c r="A46" s="5">
        <v>45108</v>
      </c>
      <c r="B46">
        <v>158.6675109863281</v>
      </c>
      <c r="C46">
        <f t="shared" si="0"/>
        <v>1.0121434625736683</v>
      </c>
      <c r="E46">
        <v>4588.9599609375</v>
      </c>
      <c r="F46">
        <f t="shared" si="1"/>
        <v>1.0311389323550109</v>
      </c>
    </row>
    <row r="47" spans="1:17" x14ac:dyDescent="0.35">
      <c r="A47" s="5">
        <v>45139</v>
      </c>
      <c r="B47">
        <v>153.12699890136719</v>
      </c>
      <c r="C47">
        <f t="shared" si="0"/>
        <v>0.96508099200321917</v>
      </c>
      <c r="E47">
        <v>4507.66015625</v>
      </c>
      <c r="F47">
        <f t="shared" si="1"/>
        <v>0.98228360992914598</v>
      </c>
    </row>
    <row r="48" spans="1:17" x14ac:dyDescent="0.35">
      <c r="A48" s="5">
        <v>45170</v>
      </c>
      <c r="B48">
        <v>148.5816955566406</v>
      </c>
      <c r="C48">
        <f t="shared" si="0"/>
        <v>0.97031677380646419</v>
      </c>
      <c r="E48">
        <v>4288.0498046875</v>
      </c>
      <c r="F48">
        <f t="shared" si="1"/>
        <v>0.95128063253437511</v>
      </c>
    </row>
    <row r="49" spans="1:6" x14ac:dyDescent="0.35">
      <c r="A49" s="5">
        <v>45200</v>
      </c>
      <c r="B49">
        <v>141.51274108886719</v>
      </c>
      <c r="C49">
        <f t="shared" si="0"/>
        <v>0.95242378651495019</v>
      </c>
      <c r="E49">
        <v>4193.7998046875</v>
      </c>
      <c r="F49">
        <f t="shared" si="1"/>
        <v>0.97802031126201705</v>
      </c>
    </row>
    <row r="50" spans="1:6" x14ac:dyDescent="0.35">
      <c r="A50" s="5">
        <v>45231</v>
      </c>
      <c r="B50">
        <v>147.54185485839841</v>
      </c>
      <c r="C50">
        <f t="shared" si="0"/>
        <v>1.0426047416164814</v>
      </c>
      <c r="E50">
        <v>4567.7998046875</v>
      </c>
      <c r="F50">
        <f t="shared" si="1"/>
        <v>1.0891792687819701</v>
      </c>
    </row>
    <row r="51" spans="1:6" x14ac:dyDescent="0.35">
      <c r="A51" s="5">
        <v>45261</v>
      </c>
      <c r="B51">
        <v>150.72355651855469</v>
      </c>
      <c r="C51">
        <f t="shared" si="0"/>
        <v>1.0215647394646752</v>
      </c>
      <c r="E51">
        <v>4769.830078125</v>
      </c>
      <c r="F51">
        <f t="shared" si="1"/>
        <v>1.0442292311563601</v>
      </c>
    </row>
    <row r="52" spans="1:6" x14ac:dyDescent="0.35">
      <c r="A52" s="5">
        <v>45292</v>
      </c>
      <c r="B52">
        <v>152.8006286621094</v>
      </c>
      <c r="C52">
        <f t="shared" si="0"/>
        <v>1.0137806736487074</v>
      </c>
      <c r="E52">
        <v>4845.64990234375</v>
      </c>
      <c r="F52">
        <f t="shared" si="1"/>
        <v>1.0158957075989916</v>
      </c>
    </row>
    <row r="53" spans="1:6" x14ac:dyDescent="0.35">
      <c r="A53" s="5">
        <v>45323</v>
      </c>
      <c r="B53">
        <v>155.18547058105469</v>
      </c>
      <c r="C53">
        <f t="shared" si="0"/>
        <v>1.0156075399677766</v>
      </c>
      <c r="E53">
        <v>5096.27001953125</v>
      </c>
      <c r="F53">
        <f t="shared" si="1"/>
        <v>1.0517206406237232</v>
      </c>
    </row>
    <row r="54" spans="1:6" x14ac:dyDescent="0.35">
      <c r="A54" s="5">
        <v>45352</v>
      </c>
      <c r="B54">
        <v>153.27287292480469</v>
      </c>
      <c r="C54">
        <f t="shared" si="0"/>
        <v>0.98767540769706896</v>
      </c>
      <c r="E54">
        <v>5254.35009765625</v>
      </c>
      <c r="F54">
        <f t="shared" si="1"/>
        <v>1.031018779915343</v>
      </c>
    </row>
    <row r="55" spans="1:6" x14ac:dyDescent="0.35">
      <c r="A55" s="5">
        <v>45383</v>
      </c>
      <c r="B55">
        <v>140.0956115722656</v>
      </c>
      <c r="C55">
        <f t="shared" si="0"/>
        <v>0.91402743942169185</v>
      </c>
      <c r="E55">
        <v>5035.68994140625</v>
      </c>
      <c r="F55">
        <f t="shared" si="1"/>
        <v>0.95838492826210131</v>
      </c>
    </row>
    <row r="56" spans="1:6" x14ac:dyDescent="0.35">
      <c r="A56" s="5">
        <v>45413</v>
      </c>
      <c r="B56">
        <v>142.1109619140625</v>
      </c>
      <c r="C56">
        <f t="shared" si="0"/>
        <v>1.0143855351297519</v>
      </c>
      <c r="E56">
        <v>5277.509765625</v>
      </c>
      <c r="F56">
        <f t="shared" si="1"/>
        <v>1.0480211901511991</v>
      </c>
    </row>
    <row r="57" spans="1:6" x14ac:dyDescent="0.35">
      <c r="A57" s="5">
        <v>45444</v>
      </c>
      <c r="B57">
        <v>142.76158142089841</v>
      </c>
      <c r="C57">
        <f t="shared" si="0"/>
        <v>1.0045782499680029</v>
      </c>
      <c r="E57">
        <v>5460.47998046875</v>
      </c>
      <c r="F57">
        <f t="shared" si="1"/>
        <v>1.0346698012830833</v>
      </c>
    </row>
    <row r="58" spans="1:6" x14ac:dyDescent="0.35">
      <c r="A58" s="5">
        <v>45474</v>
      </c>
      <c r="B58">
        <v>154.1797790527344</v>
      </c>
      <c r="C58">
        <f t="shared" si="0"/>
        <v>1.0799808850405781</v>
      </c>
      <c r="E58">
        <v>5522.2998046875</v>
      </c>
      <c r="F58">
        <f t="shared" si="1"/>
        <v>1.0113213168878687</v>
      </c>
    </row>
    <row r="59" spans="1:6" x14ac:dyDescent="0.35">
      <c r="A59" s="5">
        <v>45505</v>
      </c>
      <c r="B59">
        <v>162.00349426269531</v>
      </c>
      <c r="C59">
        <f t="shared" si="0"/>
        <v>1.0507441070290089</v>
      </c>
      <c r="E59">
        <v>5648.39990234375</v>
      </c>
      <c r="F59">
        <f t="shared" si="1"/>
        <v>1.0228347069366304</v>
      </c>
    </row>
    <row r="60" spans="1:6" x14ac:dyDescent="0.35">
      <c r="A60" s="5">
        <v>45536</v>
      </c>
      <c r="B60">
        <v>159.4933166503906</v>
      </c>
      <c r="C60">
        <f t="shared" si="0"/>
        <v>0.98450541067815267</v>
      </c>
      <c r="E60">
        <v>5762.47998046875</v>
      </c>
      <c r="F60">
        <f t="shared" si="1"/>
        <v>1.0201968840906013</v>
      </c>
    </row>
    <row r="61" spans="1:6" x14ac:dyDescent="0.35">
      <c r="A61" s="5">
        <v>45566</v>
      </c>
      <c r="B61">
        <v>157.32817077636719</v>
      </c>
      <c r="C61">
        <f t="shared" si="0"/>
        <v>0.98642484889339022</v>
      </c>
      <c r="E61">
        <v>5705.4501953125</v>
      </c>
      <c r="F61">
        <f t="shared" si="1"/>
        <v>0.99010325669684829</v>
      </c>
    </row>
    <row r="62" spans="1:6" x14ac:dyDescent="0.35">
      <c r="A62" s="5">
        <v>45597</v>
      </c>
      <c r="B62">
        <v>152.55497741699219</v>
      </c>
      <c r="C62">
        <f t="shared" si="0"/>
        <v>0.96966091110180253</v>
      </c>
      <c r="E62">
        <v>6032.3798828125</v>
      </c>
      <c r="F62">
        <f t="shared" si="1"/>
        <v>1.0573012954820988</v>
      </c>
    </row>
    <row r="63" spans="1:6" x14ac:dyDescent="0.35">
      <c r="A63" s="5">
        <v>45627</v>
      </c>
      <c r="B63">
        <v>143.4715576171875</v>
      </c>
      <c r="C63">
        <f t="shared" si="0"/>
        <v>0.94045805680285233</v>
      </c>
      <c r="E63">
        <v>5881.6298828125</v>
      </c>
      <c r="F63">
        <f t="shared" si="1"/>
        <v>0.97500986295151637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B81F-EC27-4D50-9B4C-07896532B55C}">
  <sheetPr>
    <tabColor theme="9" tint="0.39997558519241921"/>
  </sheetPr>
  <dimension ref="A1:G21"/>
  <sheetViews>
    <sheetView zoomScale="130" zoomScaleNormal="130" workbookViewId="0">
      <selection activeCell="H5" sqref="H5"/>
    </sheetView>
  </sheetViews>
  <sheetFormatPr defaultRowHeight="14.5" x14ac:dyDescent="0.35"/>
  <cols>
    <col min="1" max="1" width="11.36328125" bestFit="1" customWidth="1"/>
    <col min="2" max="2" width="11" bestFit="1" customWidth="1"/>
    <col min="3" max="3" width="16.36328125" bestFit="1" customWidth="1"/>
    <col min="4" max="4" width="11" bestFit="1" customWidth="1"/>
    <col min="5" max="5" width="30.453125" bestFit="1" customWidth="1"/>
    <col min="6" max="6" width="11.81640625" bestFit="1" customWidth="1"/>
    <col min="7" max="7" width="18.26953125" bestFit="1" customWidth="1"/>
    <col min="8" max="10" width="10.90625" bestFit="1" customWidth="1"/>
    <col min="11" max="15" width="10.7265625" bestFit="1" customWidth="1"/>
    <col min="16" max="20" width="11.36328125" bestFit="1" customWidth="1"/>
    <col min="21" max="25" width="11" bestFit="1" customWidth="1"/>
    <col min="26" max="26" width="10.7265625" bestFit="1" customWidth="1"/>
  </cols>
  <sheetData>
    <row r="1" spans="1:7" x14ac:dyDescent="0.35">
      <c r="A1" t="s">
        <v>4</v>
      </c>
      <c r="B1" t="s">
        <v>16</v>
      </c>
      <c r="C1" t="s">
        <v>37</v>
      </c>
    </row>
    <row r="2" spans="1:7" x14ac:dyDescent="0.35">
      <c r="A2" s="8" t="s">
        <v>36</v>
      </c>
      <c r="B2">
        <v>1.24</v>
      </c>
      <c r="C2">
        <f>SUM(B2:B5)</f>
        <v>4.91</v>
      </c>
      <c r="E2" t="s">
        <v>38</v>
      </c>
      <c r="F2">
        <f>(C2/C18)^(1/5)-1</f>
        <v>4.2892835673909335E-2</v>
      </c>
    </row>
    <row r="3" spans="1:7" x14ac:dyDescent="0.35">
      <c r="A3" s="8" t="s">
        <v>18</v>
      </c>
      <c r="B3">
        <v>1.24</v>
      </c>
    </row>
    <row r="4" spans="1:7" x14ac:dyDescent="0.35">
      <c r="A4" s="8" t="s">
        <v>17</v>
      </c>
      <c r="B4">
        <v>1.24</v>
      </c>
      <c r="E4" t="s">
        <v>39</v>
      </c>
      <c r="F4">
        <f>CAPM!J23</f>
        <v>8.2732700985672397E-2</v>
      </c>
    </row>
    <row r="5" spans="1:7" x14ac:dyDescent="0.35">
      <c r="A5" s="8" t="s">
        <v>19</v>
      </c>
      <c r="B5">
        <v>1.19</v>
      </c>
    </row>
    <row r="6" spans="1:7" x14ac:dyDescent="0.35">
      <c r="A6" s="8" t="s">
        <v>20</v>
      </c>
      <c r="B6">
        <v>1.19</v>
      </c>
      <c r="C6" s="19">
        <f>SUM(B6:B9)</f>
        <v>4.6999999999999993</v>
      </c>
      <c r="E6" s="9" t="s">
        <v>40</v>
      </c>
      <c r="F6" s="9" t="s">
        <v>41</v>
      </c>
    </row>
    <row r="7" spans="1:7" x14ac:dyDescent="0.35">
      <c r="A7" s="8" t="s">
        <v>21</v>
      </c>
      <c r="B7">
        <v>1.19</v>
      </c>
    </row>
    <row r="8" spans="1:7" x14ac:dyDescent="0.35">
      <c r="A8" s="8" t="s">
        <v>22</v>
      </c>
      <c r="B8">
        <v>1.19</v>
      </c>
      <c r="E8" t="s">
        <v>42</v>
      </c>
      <c r="F8">
        <f>C2*(1+F2)</f>
        <v>5.1206038231588948</v>
      </c>
      <c r="G8" t="s">
        <v>199</v>
      </c>
    </row>
    <row r="9" spans="1:7" x14ac:dyDescent="0.35">
      <c r="A9" s="8" t="s">
        <v>23</v>
      </c>
      <c r="B9">
        <v>1.1299999999999999</v>
      </c>
      <c r="E9" t="s">
        <v>43</v>
      </c>
      <c r="F9" s="10">
        <f>F4</f>
        <v>8.2732700985672397E-2</v>
      </c>
    </row>
    <row r="10" spans="1:7" x14ac:dyDescent="0.35">
      <c r="A10" s="8" t="s">
        <v>24</v>
      </c>
      <c r="B10">
        <v>1.1299999999999999</v>
      </c>
      <c r="C10">
        <f>SUM(B10:B13)</f>
        <v>4.4499999999999993</v>
      </c>
      <c r="E10" t="s">
        <v>44</v>
      </c>
      <c r="F10" s="10">
        <f>F2</f>
        <v>4.2892835673909335E-2</v>
      </c>
    </row>
    <row r="11" spans="1:7" x14ac:dyDescent="0.35">
      <c r="A11" s="8" t="s">
        <v>25</v>
      </c>
      <c r="B11">
        <v>1.1299999999999999</v>
      </c>
    </row>
    <row r="12" spans="1:7" x14ac:dyDescent="0.35">
      <c r="A12" s="8" t="s">
        <v>26</v>
      </c>
      <c r="B12">
        <v>1.1299999999999999</v>
      </c>
      <c r="E12" s="24" t="s">
        <v>45</v>
      </c>
      <c r="F12" s="24">
        <f>F8/(F9-F10)</f>
        <v>128.52964695257123</v>
      </c>
      <c r="G12" t="s">
        <v>46</v>
      </c>
    </row>
    <row r="13" spans="1:7" x14ac:dyDescent="0.35">
      <c r="A13" s="8" t="s">
        <v>27</v>
      </c>
      <c r="B13">
        <v>1.06</v>
      </c>
    </row>
    <row r="14" spans="1:7" x14ac:dyDescent="0.35">
      <c r="A14" s="8" t="s">
        <v>28</v>
      </c>
      <c r="B14">
        <v>1.06</v>
      </c>
      <c r="C14">
        <f>SUM(B14:B17)</f>
        <v>4.1900000000000004</v>
      </c>
    </row>
    <row r="15" spans="1:7" x14ac:dyDescent="0.35">
      <c r="A15" s="8" t="s">
        <v>29</v>
      </c>
      <c r="B15">
        <v>1.06</v>
      </c>
    </row>
    <row r="16" spans="1:7" x14ac:dyDescent="0.35">
      <c r="A16" s="8" t="s">
        <v>30</v>
      </c>
      <c r="B16">
        <v>1.06</v>
      </c>
    </row>
    <row r="17" spans="1:3" x14ac:dyDescent="0.35">
      <c r="A17" s="8" t="s">
        <v>31</v>
      </c>
      <c r="B17">
        <v>1.01</v>
      </c>
    </row>
    <row r="18" spans="1:3" x14ac:dyDescent="0.35">
      <c r="A18" s="8" t="s">
        <v>32</v>
      </c>
      <c r="B18">
        <v>1.01</v>
      </c>
      <c r="C18">
        <f>SUM(B18:B21)</f>
        <v>3.9800000000000004</v>
      </c>
    </row>
    <row r="19" spans="1:3" x14ac:dyDescent="0.35">
      <c r="A19" s="8" t="s">
        <v>33</v>
      </c>
      <c r="B19">
        <v>1.01</v>
      </c>
    </row>
    <row r="20" spans="1:3" x14ac:dyDescent="0.35">
      <c r="A20" s="8" t="s">
        <v>34</v>
      </c>
      <c r="B20">
        <v>1.01</v>
      </c>
    </row>
    <row r="21" spans="1:3" x14ac:dyDescent="0.35">
      <c r="A21" s="8" t="s">
        <v>35</v>
      </c>
      <c r="B21">
        <v>0.95</v>
      </c>
    </row>
  </sheetData>
  <phoneticPr fontId="6" type="noConversion"/>
  <pageMargins left="0.7" right="0.7" top="0.75" bottom="0.75" header="0.3" footer="0.3"/>
  <ignoredErrors>
    <ignoredError sqref="C18 C14 C10 C6 C2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308AA-FFD8-4730-A27F-3EF589A0E32D}">
  <sheetPr>
    <tabColor theme="5" tint="0.59999389629810485"/>
  </sheetPr>
  <dimension ref="B1:E76"/>
  <sheetViews>
    <sheetView topLeftCell="A3" zoomScaleNormal="100" workbookViewId="0">
      <selection activeCell="D7" sqref="D7"/>
    </sheetView>
  </sheetViews>
  <sheetFormatPr defaultRowHeight="14.5" x14ac:dyDescent="0.35"/>
  <cols>
    <col min="2" max="2" width="84.453125" bestFit="1" customWidth="1"/>
    <col min="3" max="3" width="29.36328125" bestFit="1" customWidth="1"/>
    <col min="4" max="4" width="21.08984375" bestFit="1" customWidth="1"/>
    <col min="5" max="5" width="37" bestFit="1" customWidth="1"/>
  </cols>
  <sheetData>
    <row r="1" spans="2:5" ht="15.5" x14ac:dyDescent="0.35">
      <c r="B1" s="23" t="s">
        <v>152</v>
      </c>
    </row>
    <row r="3" spans="2:5" x14ac:dyDescent="0.35">
      <c r="B3" s="11" t="s">
        <v>175</v>
      </c>
      <c r="C3" s="11"/>
      <c r="D3" s="11"/>
      <c r="E3" s="11"/>
    </row>
    <row r="4" spans="2:5" x14ac:dyDescent="0.35">
      <c r="B4" s="11"/>
      <c r="C4" s="11"/>
      <c r="D4" s="11"/>
      <c r="E4" s="11"/>
    </row>
    <row r="5" spans="2:5" x14ac:dyDescent="0.35">
      <c r="B5" s="11" t="s">
        <v>110</v>
      </c>
      <c r="C5" s="11"/>
      <c r="D5" s="11"/>
      <c r="E5" s="11"/>
    </row>
    <row r="6" spans="2:5" x14ac:dyDescent="0.35">
      <c r="B6" s="11"/>
      <c r="C6" s="12" t="s">
        <v>111</v>
      </c>
      <c r="D6" s="13">
        <f>'Income Statement'!B4</f>
        <v>88821</v>
      </c>
      <c r="E6" s="11"/>
    </row>
    <row r="7" spans="2:5" x14ac:dyDescent="0.35">
      <c r="B7" s="11"/>
      <c r="C7" s="12" t="s">
        <v>112</v>
      </c>
      <c r="D7" s="13">
        <f>'Income Statement'!B6</f>
        <v>61350</v>
      </c>
      <c r="E7" s="11"/>
    </row>
    <row r="8" spans="2:5" x14ac:dyDescent="0.35">
      <c r="B8" s="11"/>
      <c r="C8" s="12" t="s">
        <v>113</v>
      </c>
      <c r="D8" s="14">
        <f>D7/D6</f>
        <v>0.69071503360691733</v>
      </c>
      <c r="E8" s="11"/>
    </row>
    <row r="9" spans="2:5" x14ac:dyDescent="0.35">
      <c r="B9" s="11"/>
      <c r="C9" s="11"/>
      <c r="D9" s="11"/>
      <c r="E9" s="11"/>
    </row>
    <row r="10" spans="2:5" x14ac:dyDescent="0.35">
      <c r="B10" s="11" t="s">
        <v>114</v>
      </c>
      <c r="C10" s="11"/>
      <c r="D10" s="11"/>
      <c r="E10" s="11"/>
    </row>
    <row r="11" spans="2:5" x14ac:dyDescent="0.35">
      <c r="B11" s="11"/>
      <c r="C11" s="12" t="s">
        <v>111</v>
      </c>
      <c r="D11" s="13">
        <f>'Income Statement'!B4</f>
        <v>88821</v>
      </c>
      <c r="E11" s="11"/>
    </row>
    <row r="12" spans="2:5" x14ac:dyDescent="0.35">
      <c r="B12" s="11"/>
      <c r="C12" s="12" t="s">
        <v>115</v>
      </c>
      <c r="D12" s="13">
        <f>'Income Statement'!B4-('Income Statement'!B7+'Income Statement'!B8+'Income Statement'!B9+'Income Statement'!B13)</f>
        <v>48275</v>
      </c>
      <c r="E12" s="11"/>
    </row>
    <row r="13" spans="2:5" x14ac:dyDescent="0.35">
      <c r="B13" s="11"/>
      <c r="C13" s="12" t="s">
        <v>116</v>
      </c>
      <c r="D13" s="14">
        <f>D12/D11</f>
        <v>0.54350885488792067</v>
      </c>
      <c r="E13" s="11"/>
    </row>
    <row r="14" spans="2:5" x14ac:dyDescent="0.35">
      <c r="B14" s="11"/>
      <c r="C14" s="11"/>
      <c r="D14" s="11"/>
      <c r="E14" s="11"/>
    </row>
    <row r="15" spans="2:5" x14ac:dyDescent="0.35">
      <c r="B15" s="11" t="s">
        <v>117</v>
      </c>
      <c r="C15" s="11"/>
      <c r="D15" s="11"/>
      <c r="E15" s="11"/>
    </row>
    <row r="16" spans="2:5" x14ac:dyDescent="0.35">
      <c r="B16" s="11"/>
      <c r="C16" s="12" t="s">
        <v>118</v>
      </c>
      <c r="D16" s="13">
        <f>'Income Statement'!B18</f>
        <v>14066</v>
      </c>
      <c r="E16" s="11"/>
    </row>
    <row r="17" spans="2:5" x14ac:dyDescent="0.35">
      <c r="B17" s="11"/>
      <c r="C17" s="12" t="s">
        <v>119</v>
      </c>
      <c r="D17" s="15">
        <f>'Balance Sheet'!B15</f>
        <v>180104</v>
      </c>
      <c r="E17" s="11"/>
    </row>
    <row r="18" spans="2:5" x14ac:dyDescent="0.35">
      <c r="B18" s="11"/>
      <c r="C18" s="12" t="s">
        <v>120</v>
      </c>
      <c r="D18" s="14">
        <f>D16/D17</f>
        <v>7.8099320392662014E-2</v>
      </c>
      <c r="E18" s="11"/>
    </row>
    <row r="19" spans="2:5" x14ac:dyDescent="0.35">
      <c r="B19" s="11"/>
      <c r="C19" s="11"/>
      <c r="D19" s="11"/>
      <c r="E19" s="11"/>
    </row>
    <row r="20" spans="2:5" x14ac:dyDescent="0.35">
      <c r="B20" s="11" t="s">
        <v>121</v>
      </c>
      <c r="C20" s="11"/>
      <c r="D20" s="11"/>
      <c r="E20" s="11"/>
    </row>
    <row r="21" spans="2:5" x14ac:dyDescent="0.35">
      <c r="B21" s="11"/>
      <c r="C21" s="12" t="s">
        <v>118</v>
      </c>
      <c r="D21" s="13">
        <f>'Income Statement'!B18</f>
        <v>14066</v>
      </c>
      <c r="E21" s="11"/>
    </row>
    <row r="22" spans="2:5" x14ac:dyDescent="0.35">
      <c r="B22" s="11"/>
      <c r="C22" s="12" t="s">
        <v>122</v>
      </c>
      <c r="D22" s="15">
        <f>'Balance Sheet'!B37</f>
        <v>71490</v>
      </c>
      <c r="E22" s="11"/>
    </row>
    <row r="23" spans="2:5" x14ac:dyDescent="0.35">
      <c r="B23" s="11"/>
      <c r="C23" s="12" t="s">
        <v>123</v>
      </c>
      <c r="D23" s="14">
        <f>D21/D22</f>
        <v>0.19675479087984332</v>
      </c>
      <c r="E23" s="11"/>
    </row>
    <row r="24" spans="2:5" x14ac:dyDescent="0.35">
      <c r="B24" s="11"/>
      <c r="C24" s="11"/>
      <c r="D24" s="11"/>
      <c r="E24" s="11"/>
    </row>
    <row r="25" spans="2:5" x14ac:dyDescent="0.35">
      <c r="B25" s="11" t="s">
        <v>145</v>
      </c>
      <c r="C25" s="11"/>
      <c r="D25" s="11"/>
      <c r="E25" s="11"/>
    </row>
    <row r="26" spans="2:5" x14ac:dyDescent="0.35">
      <c r="B26" s="11"/>
      <c r="C26" s="12" t="s">
        <v>118</v>
      </c>
      <c r="D26" s="13">
        <f>'Income Statement'!B18</f>
        <v>14066</v>
      </c>
      <c r="E26" s="11"/>
    </row>
    <row r="27" spans="2:5" x14ac:dyDescent="0.35">
      <c r="B27" s="11"/>
      <c r="C27" s="12" t="s">
        <v>111</v>
      </c>
      <c r="D27" s="13">
        <f>'Income Statement'!B4</f>
        <v>88821</v>
      </c>
      <c r="E27" s="11"/>
    </row>
    <row r="28" spans="2:5" x14ac:dyDescent="0.35">
      <c r="B28" s="11"/>
      <c r="C28" s="12" t="s">
        <v>146</v>
      </c>
      <c r="D28" s="14">
        <f>D26/D27</f>
        <v>0.15836345008500241</v>
      </c>
      <c r="E28" s="11"/>
    </row>
    <row r="29" spans="2:5" x14ac:dyDescent="0.35">
      <c r="B29" s="11"/>
      <c r="C29" s="11"/>
      <c r="D29" s="11"/>
      <c r="E29" s="11"/>
    </row>
    <row r="30" spans="2:5" x14ac:dyDescent="0.35">
      <c r="B30" s="11" t="s">
        <v>147</v>
      </c>
      <c r="C30" s="11"/>
      <c r="D30" s="11"/>
      <c r="E30" s="11"/>
    </row>
    <row r="31" spans="2:5" x14ac:dyDescent="0.35">
      <c r="B31" s="11"/>
      <c r="C31" s="12" t="s">
        <v>118</v>
      </c>
      <c r="D31" s="12">
        <f>'Income Statement'!B18</f>
        <v>14066</v>
      </c>
      <c r="E31" s="11"/>
    </row>
    <row r="32" spans="2:5" x14ac:dyDescent="0.35">
      <c r="B32" s="11"/>
      <c r="C32" s="12" t="s">
        <v>148</v>
      </c>
      <c r="D32" s="12">
        <v>0</v>
      </c>
      <c r="E32" s="11" t="s">
        <v>151</v>
      </c>
    </row>
    <row r="33" spans="2:5" x14ac:dyDescent="0.35">
      <c r="B33" s="11"/>
      <c r="C33" s="12" t="s">
        <v>149</v>
      </c>
      <c r="D33" s="12">
        <f>('Income Statement'!B27+'Income Statement'!B28)/2</f>
        <v>2418.3500000000004</v>
      </c>
      <c r="E33" s="11"/>
    </row>
    <row r="34" spans="2:5" x14ac:dyDescent="0.35">
      <c r="B34" s="11"/>
      <c r="C34" s="12" t="s">
        <v>150</v>
      </c>
      <c r="D34" s="17">
        <f>(D31-D32)/D33</f>
        <v>5.8163623958484081</v>
      </c>
      <c r="E34" s="11"/>
    </row>
    <row r="35" spans="2:5" x14ac:dyDescent="0.35">
      <c r="B35" s="11"/>
      <c r="C35" s="11"/>
      <c r="D35" s="11"/>
      <c r="E35" s="11"/>
    </row>
    <row r="36" spans="2:5" x14ac:dyDescent="0.35">
      <c r="B36" s="11"/>
      <c r="C36" s="11"/>
      <c r="D36" s="11"/>
      <c r="E36" s="11"/>
    </row>
    <row r="37" spans="2:5" x14ac:dyDescent="0.35">
      <c r="B37" s="11" t="s">
        <v>176</v>
      </c>
      <c r="C37" s="11"/>
      <c r="D37" s="11"/>
      <c r="E37" s="11"/>
    </row>
    <row r="38" spans="2:5" x14ac:dyDescent="0.35">
      <c r="B38" s="11"/>
      <c r="C38" s="11"/>
      <c r="D38" s="11"/>
      <c r="E38" s="11"/>
    </row>
    <row r="39" spans="2:5" x14ac:dyDescent="0.35">
      <c r="B39" s="11" t="s">
        <v>153</v>
      </c>
      <c r="C39" s="11"/>
      <c r="D39" s="11"/>
      <c r="E39" s="11"/>
    </row>
    <row r="40" spans="2:5" x14ac:dyDescent="0.35">
      <c r="B40" s="11"/>
      <c r="C40" s="12" t="s">
        <v>154</v>
      </c>
      <c r="D40" s="15">
        <f>'Balance Sheet'!B9</f>
        <v>55893</v>
      </c>
      <c r="E40" s="11"/>
    </row>
    <row r="41" spans="2:5" x14ac:dyDescent="0.35">
      <c r="B41" s="11"/>
      <c r="C41" s="12" t="s">
        <v>155</v>
      </c>
      <c r="D41" s="15">
        <f>'Balance Sheet'!B23</f>
        <v>50321</v>
      </c>
      <c r="E41" s="11"/>
    </row>
    <row r="42" spans="2:5" x14ac:dyDescent="0.35">
      <c r="B42" s="11"/>
      <c r="C42" s="12" t="s">
        <v>156</v>
      </c>
      <c r="D42" s="16">
        <f>D40/D41</f>
        <v>1.1107291190556627</v>
      </c>
      <c r="E42" s="11"/>
    </row>
    <row r="43" spans="2:5" x14ac:dyDescent="0.35">
      <c r="B43" s="11"/>
      <c r="C43" s="11"/>
      <c r="D43" s="11"/>
      <c r="E43" s="11"/>
    </row>
    <row r="44" spans="2:5" x14ac:dyDescent="0.35">
      <c r="B44" s="11" t="s">
        <v>161</v>
      </c>
      <c r="C44" s="11"/>
      <c r="D44" s="11"/>
      <c r="E44" s="11"/>
    </row>
    <row r="45" spans="2:5" x14ac:dyDescent="0.35">
      <c r="B45" s="11"/>
      <c r="C45" s="12" t="s">
        <v>154</v>
      </c>
      <c r="D45" s="15">
        <f>'Balance Sheet'!B9</f>
        <v>55893</v>
      </c>
      <c r="E45" s="11"/>
    </row>
    <row r="46" spans="2:5" x14ac:dyDescent="0.35">
      <c r="B46" s="11"/>
      <c r="C46" s="12" t="s">
        <v>157</v>
      </c>
      <c r="D46" s="15">
        <f>'Balance Sheet'!B7</f>
        <v>12444</v>
      </c>
      <c r="E46" s="11"/>
    </row>
    <row r="47" spans="2:5" x14ac:dyDescent="0.35">
      <c r="B47" s="11"/>
      <c r="C47" s="12" t="s">
        <v>155</v>
      </c>
      <c r="D47" s="15">
        <f>'Balance Sheet'!B23</f>
        <v>50321</v>
      </c>
      <c r="E47" s="11"/>
    </row>
    <row r="48" spans="2:5" x14ac:dyDescent="0.35">
      <c r="B48" s="11"/>
      <c r="C48" s="12" t="s">
        <v>158</v>
      </c>
      <c r="D48" s="16">
        <f>(D45-D46)/D47</f>
        <v>0.86343673615389205</v>
      </c>
      <c r="E48" s="11"/>
    </row>
    <row r="49" spans="2:5" x14ac:dyDescent="0.35">
      <c r="B49" s="11"/>
      <c r="C49" s="11"/>
      <c r="D49" s="11"/>
      <c r="E49" s="11"/>
    </row>
    <row r="50" spans="2:5" x14ac:dyDescent="0.35">
      <c r="B50" s="11" t="s">
        <v>162</v>
      </c>
      <c r="C50" s="11"/>
      <c r="D50" s="11"/>
      <c r="E50" s="11"/>
    </row>
    <row r="51" spans="2:5" x14ac:dyDescent="0.35">
      <c r="B51" s="11"/>
      <c r="C51" s="12" t="s">
        <v>159</v>
      </c>
      <c r="D51" s="15">
        <f>'Balance Sheet'!B4</f>
        <v>24105</v>
      </c>
      <c r="E51" s="11"/>
    </row>
    <row r="52" spans="2:5" x14ac:dyDescent="0.35">
      <c r="B52" s="11"/>
      <c r="C52" s="12" t="s">
        <v>77</v>
      </c>
      <c r="D52" s="15">
        <f>'Balance Sheet'!B5</f>
        <v>417</v>
      </c>
      <c r="E52" s="11"/>
    </row>
    <row r="53" spans="2:5" x14ac:dyDescent="0.35">
      <c r="B53" s="11"/>
      <c r="C53" s="12" t="s">
        <v>155</v>
      </c>
      <c r="D53" s="15">
        <f>'Balance Sheet'!B23</f>
        <v>50321</v>
      </c>
      <c r="E53" s="11"/>
    </row>
    <row r="54" spans="2:5" x14ac:dyDescent="0.35">
      <c r="B54" s="11"/>
      <c r="C54" s="12" t="s">
        <v>160</v>
      </c>
      <c r="D54" s="16">
        <f>(D51+D52)/D53</f>
        <v>0.48731146042407741</v>
      </c>
      <c r="E54" s="11"/>
    </row>
    <row r="55" spans="2:5" x14ac:dyDescent="0.35">
      <c r="B55" s="11"/>
      <c r="C55" s="11"/>
      <c r="D55" s="11"/>
      <c r="E55" s="11"/>
    </row>
    <row r="56" spans="2:5" x14ac:dyDescent="0.35">
      <c r="B56" s="11"/>
      <c r="C56" s="11"/>
      <c r="D56" s="11"/>
      <c r="E56" s="11"/>
    </row>
    <row r="57" spans="2:5" x14ac:dyDescent="0.35">
      <c r="B57" s="11" t="s">
        <v>177</v>
      </c>
      <c r="C57" s="11"/>
      <c r="D57" s="11"/>
      <c r="E57" s="11"/>
    </row>
    <row r="58" spans="2:5" x14ac:dyDescent="0.35">
      <c r="B58" s="18"/>
      <c r="C58" s="12" t="s">
        <v>163</v>
      </c>
      <c r="D58" s="12">
        <v>163.63</v>
      </c>
      <c r="E58" s="11"/>
    </row>
    <row r="59" spans="2:5" x14ac:dyDescent="0.35">
      <c r="B59" s="18"/>
      <c r="C59" s="12" t="s">
        <v>164</v>
      </c>
      <c r="D59" s="17">
        <f>D34</f>
        <v>5.8163623958484081</v>
      </c>
      <c r="E59" s="11"/>
    </row>
    <row r="60" spans="2:5" x14ac:dyDescent="0.35">
      <c r="B60" s="18"/>
      <c r="C60" s="12" t="s">
        <v>165</v>
      </c>
      <c r="D60" s="12">
        <f>D58/D59</f>
        <v>28.132703718185699</v>
      </c>
      <c r="E60" s="11"/>
    </row>
    <row r="61" spans="2:5" x14ac:dyDescent="0.35">
      <c r="B61" s="11"/>
      <c r="C61" s="11"/>
      <c r="D61" s="11"/>
      <c r="E61" s="11"/>
    </row>
    <row r="62" spans="2:5" x14ac:dyDescent="0.35">
      <c r="B62" s="11"/>
      <c r="C62" s="11"/>
      <c r="D62" s="11"/>
      <c r="E62" s="11"/>
    </row>
    <row r="63" spans="2:5" x14ac:dyDescent="0.35">
      <c r="B63" s="11" t="s">
        <v>178</v>
      </c>
      <c r="C63" s="11"/>
      <c r="D63" s="11"/>
      <c r="E63" s="11"/>
    </row>
    <row r="64" spans="2:5" x14ac:dyDescent="0.35">
      <c r="B64" s="18"/>
      <c r="C64" s="12" t="s">
        <v>166</v>
      </c>
      <c r="D64" s="12">
        <f>'Dividend Growth Model'!C6*'Income Statement'!B27</f>
        <v>11314.31</v>
      </c>
      <c r="E64" s="11" t="s">
        <v>169</v>
      </c>
    </row>
    <row r="65" spans="2:5" x14ac:dyDescent="0.35">
      <c r="B65" s="18"/>
      <c r="C65" s="12" t="s">
        <v>167</v>
      </c>
      <c r="D65" s="12">
        <f>'Income Statement'!B18</f>
        <v>14066</v>
      </c>
      <c r="E65" s="11"/>
    </row>
    <row r="66" spans="2:5" x14ac:dyDescent="0.35">
      <c r="B66" s="18"/>
      <c r="C66" s="12" t="s">
        <v>168</v>
      </c>
      <c r="D66" s="14">
        <f>D64/D65</f>
        <v>0.8043729560642684</v>
      </c>
      <c r="E66" s="11"/>
    </row>
    <row r="67" spans="2:5" x14ac:dyDescent="0.35">
      <c r="B67" s="11"/>
      <c r="C67" s="11"/>
      <c r="D67" s="11"/>
      <c r="E67" s="11"/>
    </row>
    <row r="68" spans="2:5" x14ac:dyDescent="0.35">
      <c r="B68" s="11" t="s">
        <v>179</v>
      </c>
      <c r="C68" s="11"/>
      <c r="D68" s="11"/>
      <c r="E68" s="11"/>
    </row>
    <row r="69" spans="2:5" x14ac:dyDescent="0.35">
      <c r="B69" s="18"/>
      <c r="C69" s="12" t="s">
        <v>170</v>
      </c>
      <c r="D69" s="12">
        <f>'Balance Sheet'!B17+'Balance Sheet'!B24</f>
        <v>36634</v>
      </c>
      <c r="E69" s="11"/>
    </row>
    <row r="70" spans="2:5" x14ac:dyDescent="0.35">
      <c r="B70" s="18"/>
      <c r="C70" s="12" t="s">
        <v>171</v>
      </c>
      <c r="D70" s="20">
        <f>'Balance Sheet'!B37</f>
        <v>71490</v>
      </c>
      <c r="E70" s="11"/>
    </row>
    <row r="71" spans="2:5" x14ac:dyDescent="0.35">
      <c r="B71" s="18"/>
      <c r="C71" s="12" t="s">
        <v>172</v>
      </c>
      <c r="D71" s="17">
        <f>D69/D70</f>
        <v>0.51243530563715201</v>
      </c>
      <c r="E71" s="11"/>
    </row>
    <row r="72" spans="2:5" x14ac:dyDescent="0.35">
      <c r="B72" s="11"/>
      <c r="C72" s="11"/>
      <c r="D72" s="11"/>
      <c r="E72" s="11"/>
    </row>
    <row r="73" spans="2:5" x14ac:dyDescent="0.35">
      <c r="B73" s="11" t="s">
        <v>200</v>
      </c>
      <c r="C73" s="11"/>
      <c r="D73" s="11"/>
      <c r="E73" s="11"/>
    </row>
    <row r="74" spans="2:5" x14ac:dyDescent="0.35">
      <c r="B74" s="11"/>
      <c r="C74" s="12" t="s">
        <v>173</v>
      </c>
      <c r="D74" s="21">
        <f>D23</f>
        <v>0.19675479087984332</v>
      </c>
      <c r="E74" s="11"/>
    </row>
    <row r="75" spans="2:5" x14ac:dyDescent="0.35">
      <c r="B75" s="11"/>
      <c r="C75" s="12" t="s">
        <v>168</v>
      </c>
      <c r="D75" s="21">
        <f>D66</f>
        <v>0.8043729560642684</v>
      </c>
      <c r="E75" s="11"/>
    </row>
    <row r="76" spans="2:5" x14ac:dyDescent="0.35">
      <c r="B76" s="11"/>
      <c r="C76" s="12" t="s">
        <v>174</v>
      </c>
      <c r="D76" s="22">
        <f>D74*(1-D75)</f>
        <v>3.8490558120016796E-2</v>
      </c>
      <c r="E76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11B6-286E-4436-A4A3-DFAC194F9BB7}">
  <sheetPr>
    <tabColor theme="3" tint="0.79998168889431442"/>
  </sheetPr>
  <dimension ref="A1"/>
  <sheetViews>
    <sheetView workbookViewId="0">
      <selection activeCell="F10" sqref="F10"/>
    </sheetView>
  </sheetViews>
  <sheetFormatPr defaultRowHeight="14.5" x14ac:dyDescent="0.35"/>
  <cols>
    <col min="2" max="2" width="9.453125" customWidth="1"/>
    <col min="3" max="3" width="9.26953125" customWidth="1"/>
    <col min="4" max="4" width="10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1333-2F6A-4700-B152-F05E14D3AC9F}">
  <dimension ref="A1:D28"/>
  <sheetViews>
    <sheetView workbookViewId="0">
      <selection activeCell="B6" sqref="B6"/>
    </sheetView>
  </sheetViews>
  <sheetFormatPr defaultRowHeight="14.5" x14ac:dyDescent="0.35"/>
  <cols>
    <col min="1" max="1" width="70.54296875" bestFit="1" customWidth="1"/>
    <col min="2" max="2" width="17.90625" bestFit="1" customWidth="1"/>
    <col min="3" max="3" width="11.81640625" bestFit="1" customWidth="1"/>
    <col min="4" max="4" width="11.453125" bestFit="1" customWidth="1"/>
  </cols>
  <sheetData>
    <row r="1" spans="1:4" x14ac:dyDescent="0.35">
      <c r="A1" t="s">
        <v>124</v>
      </c>
      <c r="B1" t="s">
        <v>47</v>
      </c>
      <c r="C1" t="s">
        <v>48</v>
      </c>
      <c r="D1" t="s">
        <v>49</v>
      </c>
    </row>
    <row r="2" spans="1:4" x14ac:dyDescent="0.35">
      <c r="B2" t="s">
        <v>50</v>
      </c>
      <c r="C2" t="s">
        <v>51</v>
      </c>
      <c r="D2" t="s">
        <v>57</v>
      </c>
    </row>
    <row r="3" spans="1:4" x14ac:dyDescent="0.35">
      <c r="A3" t="s">
        <v>125</v>
      </c>
      <c r="B3" t="s">
        <v>53</v>
      </c>
      <c r="C3" t="s">
        <v>53</v>
      </c>
      <c r="D3" t="s">
        <v>53</v>
      </c>
    </row>
    <row r="4" spans="1:4" x14ac:dyDescent="0.35">
      <c r="A4" t="s">
        <v>126</v>
      </c>
      <c r="B4">
        <v>88821</v>
      </c>
      <c r="C4">
        <v>85159</v>
      </c>
      <c r="D4">
        <v>79990</v>
      </c>
    </row>
    <row r="5" spans="1:4" x14ac:dyDescent="0.35">
      <c r="A5" t="s">
        <v>127</v>
      </c>
      <c r="B5">
        <v>27471</v>
      </c>
      <c r="C5">
        <v>26553</v>
      </c>
      <c r="D5">
        <v>24596</v>
      </c>
    </row>
    <row r="6" spans="1:4" x14ac:dyDescent="0.35">
      <c r="A6" t="s">
        <v>128</v>
      </c>
      <c r="B6">
        <v>61350</v>
      </c>
      <c r="C6">
        <v>58606</v>
      </c>
      <c r="D6">
        <v>55394</v>
      </c>
    </row>
    <row r="7" spans="1:4" x14ac:dyDescent="0.35">
      <c r="A7" t="s">
        <v>129</v>
      </c>
      <c r="B7">
        <v>22869</v>
      </c>
      <c r="C7">
        <v>21512</v>
      </c>
      <c r="D7">
        <v>20246</v>
      </c>
    </row>
    <row r="8" spans="1:4" x14ac:dyDescent="0.35">
      <c r="A8" t="s">
        <v>130</v>
      </c>
      <c r="B8">
        <v>17232</v>
      </c>
      <c r="C8">
        <v>15085</v>
      </c>
      <c r="D8">
        <v>14135</v>
      </c>
    </row>
    <row r="9" spans="1:4" x14ac:dyDescent="0.35">
      <c r="A9" t="s">
        <v>131</v>
      </c>
      <c r="B9">
        <v>211</v>
      </c>
      <c r="C9">
        <v>313</v>
      </c>
      <c r="D9">
        <v>783</v>
      </c>
    </row>
    <row r="10" spans="1:4" x14ac:dyDescent="0.35">
      <c r="A10" t="s">
        <v>132</v>
      </c>
      <c r="B10">
        <v>-1332</v>
      </c>
      <c r="C10">
        <v>-1261</v>
      </c>
      <c r="D10">
        <v>-490</v>
      </c>
    </row>
    <row r="11" spans="1:4" x14ac:dyDescent="0.35">
      <c r="A11" t="s">
        <v>133</v>
      </c>
      <c r="B11">
        <v>755</v>
      </c>
      <c r="C11">
        <v>772</v>
      </c>
      <c r="D11">
        <v>276</v>
      </c>
    </row>
    <row r="12" spans="1:4" x14ac:dyDescent="0.35">
      <c r="A12" t="s">
        <v>134</v>
      </c>
      <c r="B12">
        <v>4694</v>
      </c>
      <c r="C12">
        <v>6634</v>
      </c>
      <c r="D12">
        <v>810</v>
      </c>
    </row>
    <row r="13" spans="1:4" x14ac:dyDescent="0.35">
      <c r="A13" t="s">
        <v>135</v>
      </c>
      <c r="B13">
        <v>234</v>
      </c>
      <c r="C13">
        <v>489</v>
      </c>
      <c r="D13">
        <v>275</v>
      </c>
    </row>
    <row r="14" spans="1:4" x14ac:dyDescent="0.35">
      <c r="A14" t="s">
        <v>69</v>
      </c>
      <c r="B14">
        <v>16687</v>
      </c>
      <c r="C14">
        <v>15062</v>
      </c>
      <c r="D14">
        <v>19359</v>
      </c>
    </row>
    <row r="15" spans="1:4" x14ac:dyDescent="0.35">
      <c r="A15" t="s">
        <v>70</v>
      </c>
      <c r="B15">
        <v>2621</v>
      </c>
      <c r="C15">
        <v>1736</v>
      </c>
      <c r="D15">
        <v>2989</v>
      </c>
    </row>
    <row r="16" spans="1:4" x14ac:dyDescent="0.35">
      <c r="A16" t="s">
        <v>136</v>
      </c>
      <c r="B16">
        <v>14066</v>
      </c>
      <c r="C16">
        <v>13326</v>
      </c>
      <c r="D16">
        <v>16370</v>
      </c>
    </row>
    <row r="17" spans="1:4" x14ac:dyDescent="0.35">
      <c r="A17" t="s">
        <v>137</v>
      </c>
      <c r="B17">
        <v>0</v>
      </c>
      <c r="C17">
        <v>21827</v>
      </c>
      <c r="D17">
        <v>1571</v>
      </c>
    </row>
    <row r="18" spans="1:4" x14ac:dyDescent="0.35">
      <c r="A18" t="s">
        <v>138</v>
      </c>
      <c r="B18">
        <v>14066</v>
      </c>
      <c r="C18">
        <v>35153</v>
      </c>
      <c r="D18">
        <v>17941</v>
      </c>
    </row>
    <row r="19" spans="1:4" x14ac:dyDescent="0.35">
      <c r="A19" t="s">
        <v>139</v>
      </c>
      <c r="B19" t="s">
        <v>53</v>
      </c>
      <c r="C19" t="s">
        <v>53</v>
      </c>
      <c r="D19" t="s">
        <v>53</v>
      </c>
    </row>
    <row r="20" spans="1:4" x14ac:dyDescent="0.35">
      <c r="A20" t="s">
        <v>59</v>
      </c>
      <c r="B20">
        <v>5.84</v>
      </c>
      <c r="C20">
        <v>5.26</v>
      </c>
      <c r="D20">
        <v>6.23</v>
      </c>
    </row>
    <row r="21" spans="1:4" x14ac:dyDescent="0.35">
      <c r="A21" t="s">
        <v>60</v>
      </c>
      <c r="B21">
        <v>0</v>
      </c>
      <c r="C21">
        <v>8.6199999999999992</v>
      </c>
      <c r="D21">
        <v>0.6</v>
      </c>
    </row>
    <row r="22" spans="1:4" x14ac:dyDescent="0.35">
      <c r="A22" t="s">
        <v>140</v>
      </c>
      <c r="B22">
        <v>5.84</v>
      </c>
      <c r="C22">
        <v>13.88</v>
      </c>
      <c r="D22">
        <v>6.83</v>
      </c>
    </row>
    <row r="23" spans="1:4" x14ac:dyDescent="0.35">
      <c r="A23" t="s">
        <v>66</v>
      </c>
      <c r="B23">
        <v>5.79</v>
      </c>
      <c r="C23">
        <v>5.2</v>
      </c>
      <c r="D23">
        <v>6.14</v>
      </c>
    </row>
    <row r="24" spans="1:4" x14ac:dyDescent="0.35">
      <c r="A24" t="s">
        <v>67</v>
      </c>
      <c r="B24">
        <v>0</v>
      </c>
      <c r="C24">
        <v>8.52</v>
      </c>
      <c r="D24">
        <v>0.59</v>
      </c>
    </row>
    <row r="25" spans="1:4" x14ac:dyDescent="0.35">
      <c r="A25" t="s">
        <v>141</v>
      </c>
      <c r="B25">
        <v>5.79</v>
      </c>
      <c r="C25">
        <v>13.72</v>
      </c>
      <c r="D25">
        <v>6.73</v>
      </c>
    </row>
    <row r="26" spans="1:4" x14ac:dyDescent="0.35">
      <c r="A26" t="s">
        <v>142</v>
      </c>
      <c r="B26" t="s">
        <v>53</v>
      </c>
      <c r="C26" t="s">
        <v>53</v>
      </c>
      <c r="D26" t="s">
        <v>53</v>
      </c>
    </row>
    <row r="27" spans="1:4" x14ac:dyDescent="0.35">
      <c r="A27" t="s">
        <v>143</v>
      </c>
      <c r="B27">
        <v>2407.3000000000002</v>
      </c>
      <c r="C27">
        <v>2533.5</v>
      </c>
      <c r="D27">
        <v>2625.2</v>
      </c>
    </row>
    <row r="28" spans="1:4" x14ac:dyDescent="0.35">
      <c r="A28" t="s">
        <v>144</v>
      </c>
      <c r="B28">
        <v>2429.4</v>
      </c>
      <c r="C28">
        <v>2560.4</v>
      </c>
      <c r="D28">
        <v>2663.9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FFEC-42FA-43E3-9049-FBD81121D4C4}">
  <dimension ref="A1:C38"/>
  <sheetViews>
    <sheetView workbookViewId="0">
      <selection activeCell="E28" sqref="E28"/>
    </sheetView>
  </sheetViews>
  <sheetFormatPr defaultRowHeight="14.5" x14ac:dyDescent="0.35"/>
  <cols>
    <col min="1" max="1" width="80.7265625" bestFit="1" customWidth="1"/>
    <col min="2" max="2" width="11.81640625" bestFit="1" customWidth="1"/>
    <col min="3" max="3" width="11.81640625" style="19" bestFit="1" customWidth="1"/>
  </cols>
  <sheetData>
    <row r="1" spans="1:3" x14ac:dyDescent="0.35">
      <c r="A1" t="s">
        <v>71</v>
      </c>
      <c r="B1" t="s">
        <v>72</v>
      </c>
      <c r="C1" s="19" t="s">
        <v>48</v>
      </c>
    </row>
    <row r="2" spans="1:3" x14ac:dyDescent="0.35">
      <c r="A2" t="s">
        <v>74</v>
      </c>
      <c r="B2" t="s">
        <v>50</v>
      </c>
      <c r="C2" s="19" t="s">
        <v>51</v>
      </c>
    </row>
    <row r="3" spans="1:3" x14ac:dyDescent="0.35">
      <c r="A3" t="s">
        <v>75</v>
      </c>
      <c r="B3" t="s">
        <v>53</v>
      </c>
      <c r="C3" s="19" t="s">
        <v>53</v>
      </c>
    </row>
    <row r="4" spans="1:3" x14ac:dyDescent="0.35">
      <c r="A4" t="s">
        <v>76</v>
      </c>
      <c r="B4">
        <v>24105</v>
      </c>
      <c r="C4">
        <v>21859</v>
      </c>
    </row>
    <row r="5" spans="1:3" x14ac:dyDescent="0.35">
      <c r="A5" t="s">
        <v>77</v>
      </c>
      <c r="B5">
        <v>417</v>
      </c>
      <c r="C5">
        <v>1068</v>
      </c>
    </row>
    <row r="6" spans="1:3" x14ac:dyDescent="0.35">
      <c r="A6" t="s">
        <v>78</v>
      </c>
      <c r="B6">
        <v>14842</v>
      </c>
      <c r="C6">
        <v>14873</v>
      </c>
    </row>
    <row r="7" spans="1:3" x14ac:dyDescent="0.35">
      <c r="A7" t="s">
        <v>79</v>
      </c>
      <c r="B7">
        <v>12444</v>
      </c>
      <c r="C7">
        <v>11181</v>
      </c>
    </row>
    <row r="8" spans="1:3" x14ac:dyDescent="0.35">
      <c r="A8" t="s">
        <v>80</v>
      </c>
      <c r="B8">
        <v>4085</v>
      </c>
      <c r="C8">
        <v>4514</v>
      </c>
    </row>
    <row r="9" spans="1:3" x14ac:dyDescent="0.35">
      <c r="A9" t="s">
        <v>81</v>
      </c>
      <c r="B9">
        <v>55893</v>
      </c>
      <c r="C9">
        <v>53495</v>
      </c>
    </row>
    <row r="10" spans="1:3" x14ac:dyDescent="0.35">
      <c r="A10" t="s">
        <v>82</v>
      </c>
      <c r="B10">
        <v>20518</v>
      </c>
      <c r="C10">
        <v>19898</v>
      </c>
    </row>
    <row r="11" spans="1:3" x14ac:dyDescent="0.35">
      <c r="A11" t="s">
        <v>83</v>
      </c>
      <c r="B11">
        <v>37618</v>
      </c>
      <c r="C11">
        <v>34175</v>
      </c>
    </row>
    <row r="12" spans="1:3" x14ac:dyDescent="0.35">
      <c r="A12" t="s">
        <v>84</v>
      </c>
      <c r="B12">
        <v>44200</v>
      </c>
      <c r="C12">
        <v>36558</v>
      </c>
    </row>
    <row r="13" spans="1:3" x14ac:dyDescent="0.35">
      <c r="A13" t="s">
        <v>85</v>
      </c>
      <c r="B13">
        <v>10461</v>
      </c>
      <c r="C13">
        <v>9279</v>
      </c>
    </row>
    <row r="14" spans="1:3" x14ac:dyDescent="0.35">
      <c r="A14" t="s">
        <v>86</v>
      </c>
      <c r="B14">
        <v>11414</v>
      </c>
      <c r="C14">
        <v>14153</v>
      </c>
    </row>
    <row r="15" spans="1:3" x14ac:dyDescent="0.35">
      <c r="A15" t="s">
        <v>87</v>
      </c>
      <c r="B15">
        <v>180104</v>
      </c>
      <c r="C15">
        <v>167558</v>
      </c>
    </row>
    <row r="16" spans="1:3" x14ac:dyDescent="0.35">
      <c r="A16" t="s">
        <v>88</v>
      </c>
      <c r="B16" t="s">
        <v>53</v>
      </c>
      <c r="C16" s="19" t="s">
        <v>53</v>
      </c>
    </row>
    <row r="17" spans="1:3" x14ac:dyDescent="0.35">
      <c r="A17" t="s">
        <v>89</v>
      </c>
      <c r="B17">
        <v>5983</v>
      </c>
      <c r="C17">
        <v>3451</v>
      </c>
    </row>
    <row r="18" spans="1:3" x14ac:dyDescent="0.35">
      <c r="A18" t="s">
        <v>90</v>
      </c>
      <c r="B18">
        <v>10311</v>
      </c>
      <c r="C18">
        <v>9632</v>
      </c>
    </row>
    <row r="19" spans="1:3" x14ac:dyDescent="0.35">
      <c r="A19" t="s">
        <v>91</v>
      </c>
      <c r="B19">
        <v>8549</v>
      </c>
      <c r="C19">
        <v>10212</v>
      </c>
    </row>
    <row r="20" spans="1:3" x14ac:dyDescent="0.35">
      <c r="A20" t="s">
        <v>92</v>
      </c>
      <c r="B20">
        <v>17580</v>
      </c>
      <c r="C20">
        <v>16001</v>
      </c>
    </row>
    <row r="21" spans="1:3" x14ac:dyDescent="0.35">
      <c r="A21" t="s">
        <v>93</v>
      </c>
      <c r="B21">
        <v>4126</v>
      </c>
      <c r="C21">
        <v>3993</v>
      </c>
    </row>
    <row r="22" spans="1:3" x14ac:dyDescent="0.35">
      <c r="A22" t="s">
        <v>94</v>
      </c>
      <c r="B22">
        <v>3772</v>
      </c>
      <c r="C22">
        <v>2993</v>
      </c>
    </row>
    <row r="23" spans="1:3" x14ac:dyDescent="0.35">
      <c r="A23" t="s">
        <v>95</v>
      </c>
      <c r="B23">
        <v>50321</v>
      </c>
      <c r="C23">
        <v>46282</v>
      </c>
    </row>
    <row r="24" spans="1:3" x14ac:dyDescent="0.35">
      <c r="A24" t="s">
        <v>96</v>
      </c>
      <c r="B24">
        <v>30651</v>
      </c>
      <c r="C24">
        <v>25881</v>
      </c>
    </row>
    <row r="25" spans="1:3" x14ac:dyDescent="0.35">
      <c r="A25" t="s">
        <v>85</v>
      </c>
      <c r="B25">
        <v>2448</v>
      </c>
      <c r="C25">
        <v>3193</v>
      </c>
    </row>
    <row r="26" spans="1:3" x14ac:dyDescent="0.35">
      <c r="A26" t="s">
        <v>73</v>
      </c>
      <c r="B26">
        <v>7255</v>
      </c>
      <c r="C26">
        <v>7149</v>
      </c>
    </row>
    <row r="27" spans="1:3" x14ac:dyDescent="0.35">
      <c r="A27" t="s">
        <v>97</v>
      </c>
      <c r="B27">
        <v>390</v>
      </c>
      <c r="C27">
        <v>2881</v>
      </c>
    </row>
    <row r="28" spans="1:3" x14ac:dyDescent="0.35">
      <c r="A28" t="s">
        <v>98</v>
      </c>
      <c r="B28">
        <v>17549</v>
      </c>
      <c r="C28">
        <v>13398</v>
      </c>
    </row>
    <row r="29" spans="1:3" x14ac:dyDescent="0.35">
      <c r="A29" t="s">
        <v>99</v>
      </c>
      <c r="B29">
        <v>108614</v>
      </c>
      <c r="C29">
        <v>98784</v>
      </c>
    </row>
    <row r="30" spans="1:3" x14ac:dyDescent="0.35">
      <c r="A30" t="s">
        <v>100</v>
      </c>
      <c r="B30" t="s">
        <v>101</v>
      </c>
      <c r="C30" s="19" t="s">
        <v>101</v>
      </c>
    </row>
    <row r="31" spans="1:3" x14ac:dyDescent="0.35">
      <c r="A31" t="s">
        <v>102</v>
      </c>
      <c r="B31" t="s">
        <v>53</v>
      </c>
      <c r="C31" s="19" t="s">
        <v>53</v>
      </c>
    </row>
    <row r="32" spans="1:3" x14ac:dyDescent="0.35">
      <c r="A32" t="s">
        <v>103</v>
      </c>
      <c r="B32">
        <v>0</v>
      </c>
      <c r="C32">
        <v>0</v>
      </c>
    </row>
    <row r="33" spans="1:3" x14ac:dyDescent="0.35">
      <c r="A33" t="s">
        <v>104</v>
      </c>
      <c r="B33">
        <v>3120</v>
      </c>
      <c r="C33">
        <v>3120</v>
      </c>
    </row>
    <row r="34" spans="1:3" x14ac:dyDescent="0.35">
      <c r="A34" t="s">
        <v>105</v>
      </c>
      <c r="B34">
        <v>-11741</v>
      </c>
      <c r="C34">
        <v>-12527</v>
      </c>
    </row>
    <row r="35" spans="1:3" x14ac:dyDescent="0.35">
      <c r="A35" t="s">
        <v>106</v>
      </c>
      <c r="B35">
        <v>155791</v>
      </c>
      <c r="C35">
        <v>153843</v>
      </c>
    </row>
    <row r="36" spans="1:3" x14ac:dyDescent="0.35">
      <c r="A36" t="s">
        <v>107</v>
      </c>
      <c r="B36">
        <v>75680</v>
      </c>
      <c r="C36">
        <v>75662</v>
      </c>
    </row>
    <row r="37" spans="1:3" x14ac:dyDescent="0.35">
      <c r="A37" t="s">
        <v>108</v>
      </c>
      <c r="B37">
        <v>71490</v>
      </c>
      <c r="C37">
        <v>68774</v>
      </c>
    </row>
    <row r="38" spans="1:3" x14ac:dyDescent="0.35">
      <c r="A38" t="s">
        <v>109</v>
      </c>
      <c r="B38">
        <v>180104</v>
      </c>
      <c r="C38">
        <v>167558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A8AB-A763-4A20-8201-DF5B30A0BA96}">
  <dimension ref="A1:E14"/>
  <sheetViews>
    <sheetView workbookViewId="0">
      <selection activeCell="C24" sqref="C24"/>
    </sheetView>
  </sheetViews>
  <sheetFormatPr defaultRowHeight="14.5" x14ac:dyDescent="0.35"/>
  <cols>
    <col min="1" max="1" width="80.7265625" bestFit="1" customWidth="1"/>
    <col min="2" max="2" width="17.90625" bestFit="1" customWidth="1"/>
    <col min="3" max="3" width="11.81640625" bestFit="1" customWidth="1"/>
    <col min="4" max="5" width="11.453125" bestFit="1" customWidth="1"/>
  </cols>
  <sheetData>
    <row r="1" spans="1:5" x14ac:dyDescent="0.35">
      <c r="A1" t="s">
        <v>55</v>
      </c>
      <c r="B1" t="s">
        <v>47</v>
      </c>
      <c r="C1" t="s">
        <v>48</v>
      </c>
      <c r="D1" t="s">
        <v>49</v>
      </c>
      <c r="E1" t="s">
        <v>56</v>
      </c>
    </row>
    <row r="2" spans="1:5" x14ac:dyDescent="0.35">
      <c r="B2" t="s">
        <v>50</v>
      </c>
      <c r="C2" t="s">
        <v>51</v>
      </c>
      <c r="D2" t="s">
        <v>57</v>
      </c>
      <c r="E2" t="s">
        <v>52</v>
      </c>
    </row>
    <row r="3" spans="1:5" x14ac:dyDescent="0.35">
      <c r="A3" t="s">
        <v>58</v>
      </c>
      <c r="B3" t="s">
        <v>53</v>
      </c>
      <c r="C3" t="s">
        <v>53</v>
      </c>
      <c r="D3" t="s">
        <v>53</v>
      </c>
      <c r="E3" t="s">
        <v>53</v>
      </c>
    </row>
    <row r="4" spans="1:5" x14ac:dyDescent="0.35">
      <c r="A4" t="s">
        <v>59</v>
      </c>
      <c r="B4">
        <v>5.84</v>
      </c>
      <c r="C4">
        <v>5.26</v>
      </c>
      <c r="D4">
        <v>6.23</v>
      </c>
      <c r="E4" t="s">
        <v>53</v>
      </c>
    </row>
    <row r="5" spans="1:5" x14ac:dyDescent="0.35">
      <c r="A5" t="s">
        <v>60</v>
      </c>
      <c r="B5">
        <v>0</v>
      </c>
      <c r="C5">
        <v>8.6199999999999992</v>
      </c>
      <c r="D5">
        <v>0.6</v>
      </c>
      <c r="E5" t="s">
        <v>53</v>
      </c>
    </row>
    <row r="6" spans="1:5" x14ac:dyDescent="0.35">
      <c r="A6" t="s">
        <v>61</v>
      </c>
      <c r="B6">
        <v>5.84</v>
      </c>
      <c r="C6">
        <v>13.88</v>
      </c>
      <c r="D6">
        <v>6.83</v>
      </c>
      <c r="E6" t="s">
        <v>53</v>
      </c>
    </row>
    <row r="7" spans="1:5" x14ac:dyDescent="0.35">
      <c r="A7" t="s">
        <v>62</v>
      </c>
      <c r="B7">
        <v>2407300000</v>
      </c>
      <c r="C7">
        <v>2533500000</v>
      </c>
      <c r="D7">
        <v>2625200000</v>
      </c>
      <c r="E7" t="s">
        <v>53</v>
      </c>
    </row>
    <row r="8" spans="1:5" x14ac:dyDescent="0.35">
      <c r="A8" t="s">
        <v>63</v>
      </c>
      <c r="B8">
        <v>77700000</v>
      </c>
      <c r="C8">
        <v>94100000</v>
      </c>
      <c r="D8">
        <v>140100000</v>
      </c>
      <c r="E8" t="s">
        <v>53</v>
      </c>
    </row>
    <row r="9" spans="1:5" x14ac:dyDescent="0.35">
      <c r="A9" t="s">
        <v>64</v>
      </c>
      <c r="B9">
        <v>-55600000</v>
      </c>
      <c r="C9">
        <v>-67200000</v>
      </c>
      <c r="D9">
        <v>-101400000</v>
      </c>
      <c r="E9" t="s">
        <v>53</v>
      </c>
    </row>
    <row r="10" spans="1:5" x14ac:dyDescent="0.35">
      <c r="A10" t="s">
        <v>65</v>
      </c>
      <c r="B10">
        <v>2429400000</v>
      </c>
      <c r="C10">
        <v>2560400000</v>
      </c>
      <c r="D10">
        <v>2663900000</v>
      </c>
      <c r="E10" t="s">
        <v>53</v>
      </c>
    </row>
    <row r="11" spans="1:5" x14ac:dyDescent="0.35">
      <c r="A11" t="s">
        <v>66</v>
      </c>
      <c r="B11">
        <v>5.79</v>
      </c>
      <c r="C11">
        <v>5.2</v>
      </c>
      <c r="D11">
        <v>6.14</v>
      </c>
      <c r="E11" t="s">
        <v>53</v>
      </c>
    </row>
    <row r="12" spans="1:5" x14ac:dyDescent="0.35">
      <c r="A12" t="s">
        <v>67</v>
      </c>
      <c r="B12">
        <v>0</v>
      </c>
      <c r="C12">
        <v>8.52</v>
      </c>
      <c r="D12">
        <v>0.59</v>
      </c>
      <c r="E12" t="s">
        <v>53</v>
      </c>
    </row>
    <row r="13" spans="1:5" x14ac:dyDescent="0.35">
      <c r="A13" t="s">
        <v>68</v>
      </c>
      <c r="B13">
        <v>5.79</v>
      </c>
      <c r="C13">
        <v>13.72</v>
      </c>
      <c r="D13">
        <v>6.73</v>
      </c>
      <c r="E13" t="s">
        <v>53</v>
      </c>
    </row>
    <row r="14" spans="1:5" x14ac:dyDescent="0.35">
      <c r="A14" t="s">
        <v>54</v>
      </c>
      <c r="B14">
        <v>54.1</v>
      </c>
      <c r="C14">
        <v>43</v>
      </c>
      <c r="D14" t="s">
        <v>53</v>
      </c>
      <c r="E14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Y r + S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Y r + S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K / k l o l C C c J b g E A A M Y C A A A T A B w A R m 9 y b X V s Y X M v U 2 V j d G l v b j E u b S C i G A A o o B Q A A A A A A A A A A A A A A A A A A A A A A A A A A A C N U t F q w j A U f S / 4 D 5 f O h x Y 6 w c 2 n i Q 9 S l c 3 h G K u y B y s l t l e b e Z t I E p k i / v v S 1 T l h g s v L J e f k n n t O E o 2 p 4 V J A V N V m u + b U H J 0 z h R n c u K E U W h L P m L H b y N h S o D A a 5 A J C p n M X O k B o a g 7 Y F c m N S t E i / W 2 K 1 H i X a j W X c u U N O G H D C p m y 0 3 P D h 3 i i U e k 4 Y j z u o V 4 Z u Y 5 D S Y R L j H v d J M I C W v G A C y Z S z g i 6 g t F O c x 2 / K v l h T c b D l 2 F y o p M 3 X E t l E q m W j S 3 p r e s H I D Z E A R i 1 Q T + o r F 0 N k k Q 5 o i n j V C n 2 0 y d 7 o n M 1 f / D M R d Z x q + 7 Z Y d p j h s 1 O Q 6 3 j Q p a d j 8 g y G 7 n U H 7 O 5 v Y 4 j c 8 S 9 / / o L Y H r s 7 B J F K S O m d K c M O j t L m j O x t C L j 3 R p / B 4 4 V E 3 o h V W F v e l O I k i z H / n E Y 7 P f X v M C A 5 K e G W 5 h E P f D q P t S B C x h x I v t / r A I Y K w 4 G t + Y Q w N 5 t 3 s H I P n 6 u o S 8 y z H 5 4 J n b f d O X n / j L c O o c P f s 3 h 4 m L M 9 h d Q S w E C L Q A U A A I A C A B i v 5 J a J O y H p K Q A A A D 2 A A A A E g A A A A A A A A A A A A A A A A A A A A A A Q 2 9 u Z m l n L 1 B h Y 2 t h Z 2 U u e G 1 s U E s B A i 0 A F A A C A A g A Y r + S W l N y O C y b A A A A 4 Q A A A B M A A A A A A A A A A A A A A A A A 8 A A A A F t D b 2 5 0 Z W 5 0 X 1 R 5 c G V z X S 5 4 b W x Q S w E C L Q A U A A I A C A B i v 5 J a J Q g n C W 4 B A A D G A g A A E w A A A A A A A A A A A A A A A A D Y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D Q A A A A A A A B o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u c 2 9 s a W R h d G V k J T I w U 3 R h d G V t Z W 5 0 c y U y M G 9 m J T I w Q 2 F z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l N 2 Q 5 Z D Q x L T h l Y m U t N D k 2 N C 0 4 Y z c w L T M x N T Y 1 Y W M w Z W Q w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5 z b 2 x p Z G F 0 Z W R f U 3 R h d G V t Z W 5 0 c 1 9 v Z l 9 D Y X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5 V D A z O j U 2 O j I 5 L j E 3 N T A z M D F a I i A v P j x F b n R y e S B U e X B l P S J G a W x s Q 2 9 s d W 1 u V H l w Z X M i I F Z h b H V l P S J z Q m d B Q U F B P T 0 i I C 8 + P E V u d H J 5 I F R 5 c G U 9 I k Z p b G x D b 2 x 1 b W 5 O Y W 1 l c y I g V m F s d W U 9 I n N b J n F 1 b 3 Q 7 Q 2 9 u c 2 9 s a W R h d G V k I F N 0 Y X R l b W V u d H M g b 2 Y g Q 2 F z a C B G b G 9 3 c y A t I F V T R C A o J C k g J C B p b i B N a W x s a W 9 u c y Z x d W 9 0 O y w m c X V v d D s x M i B N b 2 5 0 a H M g R W 5 k Z W Q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2 9 s a W R h d G V k I F N 0 Y X R l b W V u d H M g b 2 Y g Q 2 F z a C 9 D a G F u Z 2 V k I F R 5 c G U u e 0 N v b n N v b G l k Y X R l Z C B T d G F 0 Z W 1 l b n R z I G 9 m I E N h c 2 g g R m x v d 3 M g L S B V U 0 Q g K C Q p I C Q g a W 4 g T W l s b G l v b n M s M H 0 m c X V v d D s s J n F 1 b 3 Q 7 U 2 V j d G l v b j E v Q 2 9 u c 2 9 s a W R h d G V k I F N 0 Y X R l b W V u d H M g b 2 Y g Q 2 F z a C 9 D a G F u Z 2 V k I F R 5 c G U u e z E y I E 1 v b n R o c y B F b m R l Z C w x f S Z x d W 9 0 O y w m c X V v d D t T Z W N 0 a W 9 u M S 9 D b 2 5 z b 2 x p Z G F 0 Z W Q g U 3 R h d G V t Z W 5 0 c y B v Z i B D Y X N o L 0 N o Y W 5 n Z W Q g V H l w Z S 5 7 Q 2 9 s d W 1 u M y w y f S Z x d W 9 0 O y w m c X V v d D t T Z W N 0 a W 9 u M S 9 D b 2 5 z b 2 x p Z G F 0 Z W Q g U 3 R h d G V t Z W 5 0 c y B v Z i B D Y X N o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2 5 z b 2 x p Z G F 0 Z W Q g U 3 R h d G V t Z W 5 0 c y B v Z i B D Y X N o L 0 N o Y W 5 n Z W Q g V H l w Z S 5 7 Q 2 9 u c 2 9 s a W R h d G V k I F N 0 Y X R l b W V u d H M g b 2 Y g Q 2 F z a C B G b G 9 3 c y A t I F V T R C A o J C k g J C B p b i B N a W x s a W 9 u c y w w f S Z x d W 9 0 O y w m c X V v d D t T Z W N 0 a W 9 u M S 9 D b 2 5 z b 2 x p Z G F 0 Z W Q g U 3 R h d G V t Z W 5 0 c y B v Z i B D Y X N o L 0 N o Y W 5 n Z W Q g V H l w Z S 5 7 M T I g T W 9 u d G h z I E V u Z G V k L D F 9 J n F 1 b 3 Q 7 L C Z x d W 9 0 O 1 N l Y 3 R p b 2 4 x L 0 N v b n N v b G l k Y X R l Z C B T d G F 0 Z W 1 l b n R z I G 9 m I E N h c 2 g v Q 2 h h b m d l Z C B U e X B l L n t D b 2 x 1 b W 4 z L D J 9 J n F 1 b 3 Q 7 L C Z x d W 9 0 O 1 N l Y 3 R p b 2 4 x L 0 N v b n N v b G l k Y X R l Z C B T d G F 0 Z W 1 l b n R z I G 9 m I E N h c 2 g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b 2 x p Z G F 0 Z W Q l M j B T d G F 0 Z W 1 l b n R z J T I w b 2 Y l M j B D Y X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C U y M F N 0 Y X R l b W V u d H M l M j B v Z i U y M E N h c 2 g v Q 2 9 u c 2 9 s a W R h d G V k J T I w U 3 R h d G V t Z W 5 0 c y U y M G 9 m J T I w Q 2 F z a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C U y M F N 0 Y X R l b W V u d H M l M j B v Z i U y M E N h c 2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J T I w U 3 R h d G V t Z W 5 0 c y U y M G 9 m J T I w Q 2 F z a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F 9 9 l X n J V T K P j c Y 6 x E R L E A A A A A A I A A A A A A B B m A A A A A Q A A I A A A A K l / A Q i w X s a v C b 9 N 9 R b B s 1 X F f y W R H 2 1 x r s l T L 4 / x 4 k Y u A A A A A A 6 A A A A A A g A A I A A A A H y e e X P y S n 3 2 + c P o u 0 9 4 E U g 3 r H Z p o S a 2 c r b H + D b 7 2 W t D U A A A A B c O g r D s g E E k c T + f E O d l N S n B U J s o f D a 8 8 5 m O j s Q c D x z Z h 2 1 d / G p M 1 l W G w M A + / F H 5 3 M M t o i o q 8 o y r L m O 9 0 / C 7 z v j N z l h J 4 j m M D s o A + W G W 7 m x 2 Q A A A A G O v l w o S q 9 L K L N z A q C / C J O C T z 7 O H r G F j B z + g G F B L I / v 1 e R f h y A 1 p R 3 O W o t f m u H m F N h r U w e i A Y O m N Y r d s X U X C c o 4 = < / D a t a M a s h u p > 
</file>

<file path=customXml/itemProps1.xml><?xml version="1.0" encoding="utf-8"?>
<ds:datastoreItem xmlns:ds="http://schemas.openxmlformats.org/officeDocument/2006/customXml" ds:itemID="{7C54805A-D4E8-49C3-B7A8-F99509BE8E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Introduction</vt:lpstr>
      <vt:lpstr>JNJ 5 year data</vt:lpstr>
      <vt:lpstr>CAPM</vt:lpstr>
      <vt:lpstr>Dividend Growth Model</vt:lpstr>
      <vt:lpstr>Financial Ratios</vt:lpstr>
      <vt:lpstr>Data from EDGAR--&gt;</vt:lpstr>
      <vt:lpstr>Income Statement</vt:lpstr>
      <vt:lpstr>Balance Sheet</vt:lpstr>
      <vt:lpstr>Earnings per share</vt:lpstr>
      <vt:lpstr>Statements of 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Anudeep</dc:creator>
  <cp:lastModifiedBy>Sai Anudeep J</cp:lastModifiedBy>
  <dcterms:created xsi:type="dcterms:W3CDTF">2015-06-05T18:17:20Z</dcterms:created>
  <dcterms:modified xsi:type="dcterms:W3CDTF">2025-04-19T04:15:17Z</dcterms:modified>
</cp:coreProperties>
</file>