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activeTab="1"/>
  </bookViews>
  <sheets>
    <sheet name="Raw Data" sheetId="7" r:id="rId1"/>
    <sheet name="prediction" sheetId="12" r:id="rId2"/>
    <sheet name="Data_1" sheetId="13" r:id="rId3"/>
    <sheet name="Idea" sheetId="6" r:id="rId4"/>
    <sheet name="Revenue" sheetId="15" r:id="rId5"/>
    <sheet name="Bank &amp; Investors" sheetId="18" r:id="rId6"/>
  </sheets>
  <calcPr calcId="144525"/>
</workbook>
</file>

<file path=xl/sharedStrings.xml><?xml version="1.0" encoding="utf-8"?>
<sst xmlns="http://schemas.openxmlformats.org/spreadsheetml/2006/main" count="140" uniqueCount="72">
  <si>
    <t>Current Market for Sale and Rent in Berlin</t>
  </si>
  <si>
    <t>Real estate prices comparison in 2011-2020</t>
  </si>
  <si>
    <t>Rental prices comparison in 2011-2021</t>
  </si>
  <si>
    <t>For Sale</t>
  </si>
  <si>
    <t>For Rent</t>
  </si>
  <si>
    <t>Avg price to sell 5,866.67 euro/m²</t>
  </si>
  <si>
    <t>Avg. Rent 15.14 Euro/m²</t>
  </si>
  <si>
    <t>Year</t>
  </si>
  <si>
    <t>30 m²</t>
  </si>
  <si>
    <t>60 m²</t>
  </si>
  <si>
    <t>100 m²</t>
  </si>
  <si>
    <t>Prediction</t>
  </si>
  <si>
    <t xml:space="preserve">Prediction using Forcast Analysis </t>
  </si>
  <si>
    <t>Real estate prices comparison in 2011-2025</t>
  </si>
  <si>
    <t xml:space="preserve">35 m² </t>
  </si>
  <si>
    <t xml:space="preserve">50 m² </t>
  </si>
  <si>
    <t xml:space="preserve">80 m² </t>
  </si>
  <si>
    <t xml:space="preserve">100 m² </t>
  </si>
  <si>
    <t>2022-2025 data is predicted</t>
  </si>
  <si>
    <t>Rental price comparison in 2011-2025</t>
  </si>
  <si>
    <t>20 Apartments for sale</t>
  </si>
  <si>
    <t>20 Apartments for Rent</t>
  </si>
  <si>
    <t xml:space="preserve">Area </t>
  </si>
  <si>
    <t>Apartments for sale</t>
  </si>
  <si>
    <t>Market price/ m²</t>
  </si>
  <si>
    <t xml:space="preserve"> Each Apartment</t>
  </si>
  <si>
    <t>Over all Price</t>
  </si>
  <si>
    <t>Apartments to rent</t>
  </si>
  <si>
    <t xml:space="preserve">Overall Price per Year </t>
  </si>
  <si>
    <t>35 Sq.m</t>
  </si>
  <si>
    <t xml:space="preserve"> 50 Sq.m</t>
  </si>
  <si>
    <t xml:space="preserve"> 80 Sq.m</t>
  </si>
  <si>
    <t>100 Sp.m</t>
  </si>
  <si>
    <t>Total</t>
  </si>
  <si>
    <t>Additional Costs</t>
  </si>
  <si>
    <t xml:space="preserve">Winter Dienst </t>
  </si>
  <si>
    <t>350*40</t>
  </si>
  <si>
    <t>Parking slots</t>
  </si>
  <si>
    <t>9000*5</t>
  </si>
  <si>
    <t>Revenue in 2021</t>
  </si>
  <si>
    <t>Basic Financial Model</t>
  </si>
  <si>
    <t>Data</t>
  </si>
  <si>
    <t>Real Estate price of an Apartment per Sq.m</t>
  </si>
  <si>
    <t>50 Sq.m</t>
  </si>
  <si>
    <t>80 Sq.m</t>
  </si>
  <si>
    <t>100 Sq.m</t>
  </si>
  <si>
    <t>Rental price of an Apartment per Sq.m</t>
  </si>
  <si>
    <t xml:space="preserve">Real Estate price of each Apartment </t>
  </si>
  <si>
    <t>Rental price of each Apartment per Month</t>
  </si>
  <si>
    <t>Assumptions</t>
  </si>
  <si>
    <t>No.of Apartments for sale and rent</t>
  </si>
  <si>
    <t>Apartments for Rent</t>
  </si>
  <si>
    <t>Parking Slots</t>
  </si>
  <si>
    <t>Revenue from Selling Apartments</t>
  </si>
  <si>
    <t>Revenue from renting Apartments per Year</t>
  </si>
  <si>
    <t>Revenue from Parking Slots (each slot 30 Euro)</t>
  </si>
  <si>
    <t>Sale Commision for Selling Apartment</t>
  </si>
  <si>
    <t>Gross Revenue</t>
  </si>
  <si>
    <t>Overall Amount to Bank and Investors</t>
  </si>
  <si>
    <t>Profit</t>
  </si>
  <si>
    <t>Amount Invested by Investors and their Internal rate return - 8.2Million Euro</t>
  </si>
  <si>
    <t>Amount Invested</t>
  </si>
  <si>
    <t>Internal rate return</t>
  </si>
  <si>
    <t>Amount to the Investors every year</t>
  </si>
  <si>
    <t>Final Amount to Investors</t>
  </si>
  <si>
    <t>Bank Loan - 17Million Euro</t>
  </si>
  <si>
    <t>Loan</t>
  </si>
  <si>
    <t xml:space="preserve">Percentage of Interest </t>
  </si>
  <si>
    <t>Amount to the Bank every Year</t>
  </si>
  <si>
    <t>Percentage of Repay</t>
  </si>
  <si>
    <t>Final Amount to Bank</t>
  </si>
  <si>
    <t>Overall Amount</t>
  </si>
</sst>
</file>

<file path=xl/styles.xml><?xml version="1.0" encoding="utf-8"?>
<styleSheet xmlns="http://schemas.openxmlformats.org/spreadsheetml/2006/main">
  <numFmts count="19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&quot;₹&quot;\ * #,##0.00_ ;_ &quot;₹&quot;\ * \-#,##0.00_ ;_ &quot;₹&quot;\ * &quot;-&quot;??_ ;_ @_ "/>
    <numFmt numFmtId="178" formatCode="#,##0_-\ [$€-1]"/>
    <numFmt numFmtId="179" formatCode="_ * #,##0.00_ ;_ * \-#,##0.00_ ;_ * &quot;-&quot;??_ ;_ @_ "/>
    <numFmt numFmtId="43" formatCode="_(* #,##0.00_);_(* \(#,##0.00\);_(* &quot;-&quot;??_);_(@_)"/>
    <numFmt numFmtId="180" formatCode="#,##0.000_-\ [$€-1]"/>
    <numFmt numFmtId="181" formatCode="_ * #,##0.00_-\ [$€-1]_ ;_ * #,##0.00\-\ [$€-1]_ ;_ * &quot;-&quot;??_-\ [$€-1]_ ;_ @_ "/>
    <numFmt numFmtId="182" formatCode="_(* #,##0_);_(* \(#,##0\);_(* &quot;-&quot;??_);_(@_)"/>
    <numFmt numFmtId="183" formatCode="_([$€-2]\ * #,##0_);_([$€-2]\ * \(#,##0\);_([$€-2]\ * &quot;-&quot;??_);_(@_)"/>
    <numFmt numFmtId="184" formatCode="_(&quot;$&quot;* #,##0_);_(&quot;$&quot;* \(#,##0\);_(&quot;$&quot;* &quot;-&quot;??_);_(@_)"/>
    <numFmt numFmtId="185" formatCode="_([$€-2]\ * #,##0.00_);_([$€-2]\ * \(#,##0.00\);_([$€-2]\ * &quot;-&quot;??_);_(@_)"/>
    <numFmt numFmtId="186" formatCode="0.0%"/>
    <numFmt numFmtId="187" formatCode="&quot;$&quot;#,##0.00"/>
    <numFmt numFmtId="188" formatCode="#,##0.00_-\ [$€-1]"/>
    <numFmt numFmtId="189" formatCode="_ [$€-2]\ * #,##0.00_ ;_ [$€-2]\ * \-#,##0.00_ ;_ [$€-2]\ * &quot;-&quot;??_ ;_ @_ "/>
    <numFmt numFmtId="190" formatCode="#,##0.00_-\ [$€-1];[Red]#,##0.00\-\ [$€-1]"/>
    <numFmt numFmtId="191" formatCode="[$€-2]\ #,##0.00;[Red]\-[$€-2]\ #,##0.00"/>
  </numFmts>
  <fonts count="46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i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u/>
      <sz val="12"/>
      <color theme="1"/>
      <name val="Calibri"/>
      <charset val="134"/>
      <scheme val="minor"/>
    </font>
    <font>
      <sz val="12"/>
      <color rgb="FF0432FF"/>
      <name val="Calibri"/>
      <charset val="134"/>
      <scheme val="minor"/>
    </font>
    <font>
      <b/>
      <sz val="12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i/>
      <sz val="12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u/>
      <sz val="12"/>
      <color theme="1"/>
      <name val="Calibri"/>
      <charset val="134"/>
      <scheme val="minor"/>
    </font>
    <font>
      <b/>
      <sz val="12"/>
      <color rgb="FF0432FF"/>
      <name val="Calibri"/>
      <charset val="134"/>
      <scheme val="minor"/>
    </font>
    <font>
      <b/>
      <u val="singleAccounting"/>
      <sz val="12"/>
      <color rgb="FF0432FF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sz val="14"/>
      <name val="Calibri"/>
      <charset val="134"/>
      <scheme val="minor"/>
    </font>
    <font>
      <b/>
      <sz val="18"/>
      <color theme="5" tint="-0.499984740745262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sz val="12"/>
      <name val="Calibri"/>
      <charset val="134"/>
      <scheme val="minor"/>
    </font>
    <font>
      <sz val="14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4"/>
      <name val="Calibri"/>
      <charset val="134"/>
      <scheme val="minor"/>
    </font>
    <font>
      <sz val="9"/>
      <color rgb="FF838385"/>
      <name val="Inherit"/>
      <charset val="134"/>
    </font>
    <font>
      <b/>
      <sz val="9"/>
      <color rgb="FF20C869"/>
      <name val="Inherit"/>
      <charset val="134"/>
    </font>
    <font>
      <sz val="9"/>
      <name val="Inherit"/>
      <charset val="134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-0.249977111117893"/>
        <bgColor theme="4"/>
      </patternFill>
    </fill>
    <fill>
      <patternFill patternType="solid">
        <fgColor rgb="FFFFFFFF"/>
        <bgColor indexed="64"/>
      </patternFill>
    </fill>
    <fill>
      <gradientFill degree="90">
        <stop position="0">
          <color theme="0"/>
        </stop>
        <stop position="1">
          <color theme="0"/>
        </stop>
      </gradientFill>
    </fill>
    <fill>
      <patternFill patternType="solid">
        <fgColor theme="0"/>
        <bgColor theme="4" tint="0.79998168889431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5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rgb="FFDEE2E6"/>
      </bottom>
      <diagonal/>
    </border>
    <border>
      <left/>
      <right/>
      <top/>
      <bottom style="medium">
        <color rgb="FFDEE2E6"/>
      </bottom>
      <diagonal/>
    </border>
    <border>
      <left/>
      <right style="medium">
        <color auto="1"/>
      </right>
      <top/>
      <bottom style="medium">
        <color rgb="FFDEE2E6"/>
      </bottom>
      <diagonal/>
    </border>
    <border>
      <left style="medium">
        <color auto="1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 style="medium">
        <color rgb="FFDEE2E6"/>
      </left>
      <right style="medium">
        <color auto="1"/>
      </right>
      <top style="medium">
        <color rgb="FFDEE2E6"/>
      </top>
      <bottom style="medium">
        <color rgb="FFDEE2E6"/>
      </bottom>
      <diagonal/>
    </border>
    <border>
      <left style="medium">
        <color auto="1"/>
      </left>
      <right style="medium">
        <color rgb="FFDEE2E6"/>
      </right>
      <top style="medium">
        <color rgb="FFDEE2E6"/>
      </top>
      <bottom style="medium">
        <color auto="1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auto="1"/>
      </bottom>
      <diagonal/>
    </border>
    <border>
      <left style="medium">
        <color rgb="FFDEE2E6"/>
      </left>
      <right style="medium">
        <color auto="1"/>
      </right>
      <top style="medium">
        <color rgb="FFDEE2E6"/>
      </top>
      <bottom style="medium">
        <color auto="1"/>
      </bottom>
      <diagonal/>
    </border>
    <border>
      <left/>
      <right/>
      <top style="medium">
        <color rgb="FFDEE2E6"/>
      </top>
      <bottom style="medium">
        <color rgb="FFDEE2E6"/>
      </bottom>
      <diagonal/>
    </border>
    <border>
      <left style="medium">
        <color rgb="FFDEE2E6"/>
      </left>
      <right/>
      <top style="medium">
        <color rgb="FFDEE2E6"/>
      </top>
      <bottom style="medium">
        <color rgb="FFDEE2E6"/>
      </bottom>
      <diagonal/>
    </border>
    <border>
      <left/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3">
    <xf numFmtId="0" fontId="0" fillId="0" borderId="0"/>
    <xf numFmtId="0" fontId="29" fillId="16" borderId="0" applyNumberFormat="0" applyBorder="0" applyAlignment="0" applyProtection="0">
      <alignment vertical="center"/>
    </xf>
    <xf numFmtId="179" fontId="28" fillId="0" borderId="0" applyFont="0" applyFill="0" applyBorder="0" applyAlignment="0" applyProtection="0">
      <alignment vertical="center"/>
    </xf>
    <xf numFmtId="176" fontId="28" fillId="0" borderId="0" applyFont="0" applyFill="0" applyBorder="0" applyAlignment="0" applyProtection="0">
      <alignment vertical="center"/>
    </xf>
    <xf numFmtId="42" fontId="28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35" fillId="2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8" fillId="25" borderId="52" applyNumberFormat="0" applyAlignment="0" applyProtection="0">
      <alignment vertical="center"/>
    </xf>
    <xf numFmtId="0" fontId="37" fillId="0" borderId="50" applyNumberFormat="0" applyFill="0" applyAlignment="0" applyProtection="0">
      <alignment vertical="center"/>
    </xf>
    <xf numFmtId="0" fontId="28" fillId="20" borderId="51" applyNumberFormat="0" applyFont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2" fillId="0" borderId="50" applyNumberFormat="0" applyFill="0" applyAlignment="0" applyProtection="0">
      <alignment vertical="center"/>
    </xf>
    <xf numFmtId="0" fontId="36" fillId="0" borderId="55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2" fillId="29" borderId="54" applyNumberFormat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0" fillId="17" borderId="49" applyNumberFormat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41" fillId="17" borderId="54" applyNumberFormat="0" applyAlignment="0" applyProtection="0">
      <alignment vertical="center"/>
    </xf>
    <xf numFmtId="0" fontId="43" fillId="0" borderId="56" applyNumberFormat="0" applyFill="0" applyAlignment="0" applyProtection="0">
      <alignment vertical="center"/>
    </xf>
    <xf numFmtId="0" fontId="39" fillId="0" borderId="53" applyNumberFormat="0" applyFill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" fillId="0" borderId="0"/>
    <xf numFmtId="0" fontId="29" fillId="23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44" fontId="3" fillId="0" borderId="0" applyFont="0" applyFill="0" applyBorder="0" applyAlignment="0" applyProtection="0"/>
    <xf numFmtId="0" fontId="35" fillId="32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9" fontId="3" fillId="0" borderId="0" applyFont="0" applyFill="0" applyBorder="0" applyAlignment="0" applyProtection="0"/>
    <xf numFmtId="0" fontId="35" fillId="22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43" fontId="3" fillId="0" borderId="0" applyFont="0" applyFill="0" applyBorder="0" applyAlignment="0" applyProtection="0"/>
  </cellStyleXfs>
  <cellXfs count="238">
    <xf numFmtId="0" fontId="0" fillId="0" borderId="0" xfId="0"/>
    <xf numFmtId="0" fontId="1" fillId="0" borderId="0" xfId="32" applyFont="1"/>
    <xf numFmtId="0" fontId="2" fillId="0" borderId="0" xfId="32" applyFont="1"/>
    <xf numFmtId="0" fontId="3" fillId="0" borderId="0" xfId="32"/>
    <xf numFmtId="0" fontId="4" fillId="2" borderId="0" xfId="32" applyFont="1" applyFill="1"/>
    <xf numFmtId="0" fontId="5" fillId="3" borderId="0" xfId="32" applyFont="1" applyFill="1" applyAlignment="1"/>
    <xf numFmtId="0" fontId="3" fillId="3" borderId="0" xfId="32" applyFill="1"/>
    <xf numFmtId="180" fontId="0" fillId="0" borderId="0" xfId="0" applyNumberFormat="1"/>
    <xf numFmtId="178" fontId="0" fillId="0" borderId="0" xfId="0" applyNumberFormat="1"/>
    <xf numFmtId="178" fontId="0" fillId="0" borderId="0" xfId="5" applyNumberFormat="1" applyFont="1"/>
    <xf numFmtId="9" fontId="0" fillId="0" borderId="0" xfId="0" applyNumberFormat="1"/>
    <xf numFmtId="0" fontId="0" fillId="0" borderId="0" xfId="0" applyAlignment="1">
      <alignment wrapText="1"/>
    </xf>
    <xf numFmtId="182" fontId="6" fillId="0" borderId="0" xfId="52" applyNumberFormat="1" applyFont="1"/>
    <xf numFmtId="0" fontId="3" fillId="0" borderId="0" xfId="32" applyAlignment="1">
      <alignment wrapText="1"/>
    </xf>
    <xf numFmtId="183" fontId="7" fillId="0" borderId="0" xfId="52" applyNumberFormat="1" applyFont="1"/>
    <xf numFmtId="178" fontId="8" fillId="0" borderId="0" xfId="5" applyNumberFormat="1" applyFont="1"/>
    <xf numFmtId="184" fontId="6" fillId="0" borderId="0" xfId="39" applyNumberFormat="1" applyFont="1"/>
    <xf numFmtId="0" fontId="5" fillId="3" borderId="0" xfId="32" applyFont="1" applyFill="1" applyAlignment="1">
      <alignment horizontal="left"/>
    </xf>
    <xf numFmtId="10" fontId="0" fillId="0" borderId="0" xfId="6" applyNumberFormat="1" applyFont="1"/>
    <xf numFmtId="178" fontId="7" fillId="0" borderId="0" xfId="45" applyNumberFormat="1" applyFont="1"/>
    <xf numFmtId="9" fontId="6" fillId="0" borderId="0" xfId="45" applyFont="1"/>
    <xf numFmtId="183" fontId="1" fillId="0" borderId="0" xfId="32" applyNumberFormat="1" applyFont="1"/>
    <xf numFmtId="183" fontId="3" fillId="0" borderId="0" xfId="32" applyNumberFormat="1"/>
    <xf numFmtId="185" fontId="3" fillId="0" borderId="0" xfId="6" applyNumberFormat="1" applyFont="1"/>
    <xf numFmtId="184" fontId="0" fillId="0" borderId="0" xfId="39" applyNumberFormat="1" applyFont="1"/>
    <xf numFmtId="184" fontId="3" fillId="0" borderId="0" xfId="32" applyNumberFormat="1"/>
    <xf numFmtId="186" fontId="0" fillId="0" borderId="0" xfId="45" applyNumberFormat="1" applyFont="1"/>
    <xf numFmtId="0" fontId="3" fillId="0" borderId="0" xfId="32" applyAlignment="1">
      <alignment horizontal="left" indent="1"/>
    </xf>
    <xf numFmtId="9" fontId="0" fillId="0" borderId="0" xfId="45" applyFont="1"/>
    <xf numFmtId="9" fontId="2" fillId="0" borderId="0" xfId="45" applyFont="1"/>
    <xf numFmtId="178" fontId="1" fillId="0" borderId="0" xfId="32" applyNumberFormat="1" applyFont="1"/>
    <xf numFmtId="178" fontId="8" fillId="0" borderId="0" xfId="0" applyNumberFormat="1" applyFont="1"/>
    <xf numFmtId="0" fontId="9" fillId="0" borderId="0" xfId="32" applyFont="1"/>
    <xf numFmtId="0" fontId="10" fillId="2" borderId="0" xfId="32" applyFont="1" applyFill="1"/>
    <xf numFmtId="0" fontId="11" fillId="3" borderId="0" xfId="32" applyFont="1" applyFill="1"/>
    <xf numFmtId="0" fontId="11" fillId="0" borderId="1" xfId="32" applyFont="1" applyBorder="1" applyAlignment="1">
      <alignment horizontal="center" vertical="center"/>
    </xf>
    <xf numFmtId="0" fontId="11" fillId="0" borderId="2" xfId="32" applyFont="1" applyBorder="1" applyAlignment="1">
      <alignment horizontal="center" vertical="center"/>
    </xf>
    <xf numFmtId="0" fontId="11" fillId="0" borderId="3" xfId="32" applyFont="1" applyBorder="1" applyAlignment="1">
      <alignment horizontal="center" vertical="center"/>
    </xf>
    <xf numFmtId="0" fontId="11" fillId="0" borderId="4" xfId="32" applyFont="1" applyBorder="1" applyAlignment="1">
      <alignment horizontal="center" vertical="center"/>
    </xf>
    <xf numFmtId="0" fontId="11" fillId="0" borderId="0" xfId="32" applyFont="1" applyBorder="1" applyAlignment="1">
      <alignment horizontal="center" vertical="center"/>
    </xf>
    <xf numFmtId="0" fontId="11" fillId="0" borderId="5" xfId="32" applyFont="1" applyBorder="1" applyAlignment="1">
      <alignment horizontal="center" vertical="center"/>
    </xf>
    <xf numFmtId="0" fontId="3" fillId="0" borderId="1" xfId="32" applyNumberFormat="1" applyFont="1" applyBorder="1"/>
    <xf numFmtId="185" fontId="3" fillId="0" borderId="2" xfId="32" applyNumberFormat="1" applyBorder="1"/>
    <xf numFmtId="185" fontId="3" fillId="0" borderId="3" xfId="32" applyNumberFormat="1" applyBorder="1"/>
    <xf numFmtId="2" fontId="3" fillId="0" borderId="4" xfId="32" applyNumberFormat="1" applyFont="1" applyBorder="1"/>
    <xf numFmtId="185" fontId="3" fillId="0" borderId="0" xfId="32" applyNumberFormat="1" applyBorder="1"/>
    <xf numFmtId="185" fontId="3" fillId="0" borderId="5" xfId="32" applyNumberFormat="1" applyBorder="1"/>
    <xf numFmtId="2" fontId="3" fillId="0" borderId="6" xfId="32" applyNumberFormat="1" applyFont="1" applyBorder="1"/>
    <xf numFmtId="185" fontId="3" fillId="0" borderId="7" xfId="32" applyNumberFormat="1" applyBorder="1"/>
    <xf numFmtId="185" fontId="3" fillId="0" borderId="8" xfId="32" applyNumberFormat="1" applyBorder="1"/>
    <xf numFmtId="2" fontId="3" fillId="0" borderId="0" xfId="32" applyNumberFormat="1" applyFont="1" applyBorder="1"/>
    <xf numFmtId="2" fontId="3" fillId="0" borderId="0" xfId="32" applyNumberFormat="1" applyFont="1"/>
    <xf numFmtId="185" fontId="3" fillId="0" borderId="0" xfId="32" applyNumberFormat="1"/>
    <xf numFmtId="185" fontId="0" fillId="0" borderId="2" xfId="0" applyNumberFormat="1" applyBorder="1"/>
    <xf numFmtId="185" fontId="0" fillId="0" borderId="3" xfId="0" applyNumberFormat="1" applyBorder="1"/>
    <xf numFmtId="185" fontId="0" fillId="0" borderId="0" xfId="0" applyNumberFormat="1" applyBorder="1"/>
    <xf numFmtId="185" fontId="0" fillId="0" borderId="5" xfId="0" applyNumberFormat="1" applyBorder="1"/>
    <xf numFmtId="185" fontId="0" fillId="0" borderId="7" xfId="0" applyNumberFormat="1" applyBorder="1"/>
    <xf numFmtId="185" fontId="0" fillId="0" borderId="8" xfId="0" applyNumberFormat="1" applyBorder="1"/>
    <xf numFmtId="0" fontId="11" fillId="4" borderId="1" xfId="32" applyFont="1" applyFill="1" applyBorder="1" applyAlignment="1">
      <alignment horizontal="center" vertical="center"/>
    </xf>
    <xf numFmtId="0" fontId="11" fillId="4" borderId="2" xfId="32" applyFont="1" applyFill="1" applyBorder="1" applyAlignment="1">
      <alignment horizontal="center" vertical="center"/>
    </xf>
    <xf numFmtId="0" fontId="11" fillId="4" borderId="3" xfId="32" applyFont="1" applyFill="1" applyBorder="1" applyAlignment="1">
      <alignment horizontal="center" vertical="center"/>
    </xf>
    <xf numFmtId="0" fontId="11" fillId="4" borderId="4" xfId="32" applyFont="1" applyFill="1" applyBorder="1" applyAlignment="1">
      <alignment horizontal="center" vertical="center"/>
    </xf>
    <xf numFmtId="0" fontId="11" fillId="4" borderId="0" xfId="32" applyFont="1" applyFill="1" applyBorder="1" applyAlignment="1">
      <alignment horizontal="center" vertical="center"/>
    </xf>
    <xf numFmtId="0" fontId="11" fillId="4" borderId="5" xfId="32" applyFont="1" applyFill="1" applyBorder="1" applyAlignment="1">
      <alignment horizontal="center" vertical="center"/>
    </xf>
    <xf numFmtId="187" fontId="3" fillId="0" borderId="4" xfId="32" applyNumberFormat="1" applyFont="1" applyBorder="1"/>
    <xf numFmtId="183" fontId="3" fillId="0" borderId="0" xfId="32" applyNumberFormat="1" applyBorder="1"/>
    <xf numFmtId="183" fontId="3" fillId="0" borderId="5" xfId="32" applyNumberFormat="1" applyBorder="1"/>
    <xf numFmtId="187" fontId="3" fillId="0" borderId="6" xfId="32" applyNumberFormat="1" applyFont="1" applyBorder="1"/>
    <xf numFmtId="183" fontId="3" fillId="0" borderId="7" xfId="32" applyNumberFormat="1" applyBorder="1"/>
    <xf numFmtId="183" fontId="3" fillId="0" borderId="8" xfId="32" applyNumberFormat="1" applyBorder="1"/>
    <xf numFmtId="182" fontId="12" fillId="0" borderId="0" xfId="52" applyNumberFormat="1" applyFont="1"/>
    <xf numFmtId="187" fontId="3" fillId="0" borderId="0" xfId="32" applyNumberFormat="1" applyFont="1" applyBorder="1"/>
    <xf numFmtId="187" fontId="3" fillId="0" borderId="0" xfId="32" applyNumberFormat="1" applyFont="1"/>
    <xf numFmtId="0" fontId="3" fillId="0" borderId="4" xfId="32" applyNumberFormat="1" applyFont="1" applyBorder="1"/>
    <xf numFmtId="185" fontId="0" fillId="0" borderId="0" xfId="0" applyNumberFormat="1"/>
    <xf numFmtId="2" fontId="1" fillId="0" borderId="0" xfId="32" applyNumberFormat="1" applyFont="1"/>
    <xf numFmtId="2" fontId="3" fillId="4" borderId="0" xfId="32" applyNumberFormat="1" applyFont="1" applyFill="1" applyAlignment="1">
      <alignment wrapText="1"/>
    </xf>
    <xf numFmtId="0" fontId="12" fillId="4" borderId="0" xfId="52" applyNumberFormat="1" applyFont="1" applyFill="1"/>
    <xf numFmtId="182" fontId="13" fillId="0" borderId="0" xfId="52" applyNumberFormat="1" applyFont="1"/>
    <xf numFmtId="0" fontId="5" fillId="3" borderId="0" xfId="32" applyFont="1" applyFill="1"/>
    <xf numFmtId="0" fontId="3" fillId="0" borderId="0" xfId="32" applyFont="1"/>
    <xf numFmtId="0" fontId="6" fillId="0" borderId="1" xfId="52" applyNumberFormat="1" applyFont="1" applyBorder="1"/>
    <xf numFmtId="0" fontId="6" fillId="0" borderId="2" xfId="52" applyNumberFormat="1" applyFont="1" applyBorder="1"/>
    <xf numFmtId="0" fontId="6" fillId="0" borderId="3" xfId="52" applyNumberFormat="1" applyFont="1" applyBorder="1"/>
    <xf numFmtId="182" fontId="1" fillId="0" borderId="0" xfId="32" applyNumberFormat="1" applyFont="1"/>
    <xf numFmtId="0" fontId="6" fillId="0" borderId="4" xfId="52" applyNumberFormat="1" applyFont="1" applyBorder="1"/>
    <xf numFmtId="0" fontId="6" fillId="0" borderId="0" xfId="52" applyNumberFormat="1" applyFont="1" applyBorder="1"/>
    <xf numFmtId="0" fontId="6" fillId="0" borderId="5" xfId="52" applyNumberFormat="1" applyFont="1" applyBorder="1"/>
    <xf numFmtId="0" fontId="6" fillId="0" borderId="6" xfId="52" applyNumberFormat="1" applyFont="1" applyBorder="1"/>
    <xf numFmtId="0" fontId="6" fillId="0" borderId="7" xfId="52" applyNumberFormat="1" applyFont="1" applyBorder="1"/>
    <xf numFmtId="0" fontId="6" fillId="0" borderId="8" xfId="52" applyNumberFormat="1" applyFont="1" applyBorder="1"/>
    <xf numFmtId="0" fontId="5" fillId="0" borderId="0" xfId="32" applyFont="1"/>
    <xf numFmtId="0" fontId="12" fillId="0" borderId="9" xfId="52" applyNumberFormat="1" applyFont="1" applyBorder="1"/>
    <xf numFmtId="182" fontId="12" fillId="0" borderId="9" xfId="52" applyNumberFormat="1" applyFont="1" applyBorder="1"/>
    <xf numFmtId="0" fontId="6" fillId="0" borderId="0" xfId="52" applyNumberFormat="1" applyFont="1"/>
    <xf numFmtId="0" fontId="11" fillId="3" borderId="0" xfId="32" applyFont="1" applyFill="1" applyAlignment="1">
      <alignment horizontal="left"/>
    </xf>
    <xf numFmtId="183" fontId="1" fillId="0" borderId="9" xfId="32" applyNumberFormat="1" applyFont="1" applyBorder="1"/>
    <xf numFmtId="0" fontId="11" fillId="0" borderId="0" xfId="32" applyFont="1" applyAlignment="1">
      <alignment vertical="center"/>
    </xf>
    <xf numFmtId="0" fontId="3" fillId="0" borderId="0" xfId="32" applyFont="1" applyAlignment="1">
      <alignment vertical="center"/>
    </xf>
    <xf numFmtId="2" fontId="5" fillId="3" borderId="0" xfId="32" applyNumberFormat="1" applyFont="1" applyFill="1" applyAlignment="1">
      <alignment wrapText="1"/>
    </xf>
    <xf numFmtId="9" fontId="1" fillId="0" borderId="0" xfId="32" applyNumberFormat="1" applyFont="1"/>
    <xf numFmtId="185" fontId="1" fillId="0" borderId="0" xfId="32" applyNumberFormat="1" applyFont="1"/>
    <xf numFmtId="0" fontId="5" fillId="0" borderId="0" xfId="32" applyFont="1" applyAlignment="1">
      <alignment vertical="center"/>
    </xf>
    <xf numFmtId="183" fontId="1" fillId="0" borderId="0" xfId="32" applyNumberFormat="1" applyFont="1" applyBorder="1"/>
    <xf numFmtId="183" fontId="0" fillId="0" borderId="0" xfId="45" applyNumberFormat="1" applyFont="1"/>
    <xf numFmtId="0" fontId="1" fillId="3" borderId="0" xfId="32" applyFont="1" applyFill="1"/>
    <xf numFmtId="0" fontId="3" fillId="3" borderId="0" xfId="32" applyFill="1" applyAlignment="1">
      <alignment wrapText="1"/>
    </xf>
    <xf numFmtId="9" fontId="9" fillId="0" borderId="0" xfId="45" applyFont="1"/>
    <xf numFmtId="10" fontId="3" fillId="0" borderId="0" xfId="6" applyNumberFormat="1" applyFont="1"/>
    <xf numFmtId="0" fontId="8" fillId="0" borderId="0" xfId="0" applyFont="1"/>
    <xf numFmtId="188" fontId="0" fillId="0" borderId="0" xfId="0" applyNumberFormat="1"/>
    <xf numFmtId="0" fontId="0" fillId="0" borderId="0" xfId="0" applyAlignment="1">
      <alignment horizontal="center"/>
    </xf>
    <xf numFmtId="0" fontId="10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8" fillId="0" borderId="16" xfId="0" applyFont="1" applyBorder="1"/>
    <xf numFmtId="0" fontId="8" fillId="0" borderId="0" xfId="0" applyFont="1" applyBorder="1" applyAlignment="1"/>
    <xf numFmtId="0" fontId="8" fillId="0" borderId="0" xfId="0" applyFont="1" applyBorder="1"/>
    <xf numFmtId="10" fontId="8" fillId="0" borderId="0" xfId="0" applyNumberFormat="1" applyFont="1" applyBorder="1"/>
    <xf numFmtId="188" fontId="8" fillId="0" borderId="17" xfId="0" applyNumberFormat="1" applyFont="1" applyBorder="1"/>
    <xf numFmtId="10" fontId="0" fillId="0" borderId="16" xfId="6" applyNumberFormat="1" applyFont="1" applyBorder="1"/>
    <xf numFmtId="0" fontId="0" fillId="0" borderId="0" xfId="0" applyBorder="1" applyAlignment="1">
      <alignment horizontal="center"/>
    </xf>
    <xf numFmtId="188" fontId="0" fillId="0" borderId="0" xfId="0" applyNumberFormat="1" applyBorder="1"/>
    <xf numFmtId="188" fontId="0" fillId="0" borderId="17" xfId="0" applyNumberFormat="1" applyBorder="1"/>
    <xf numFmtId="0" fontId="0" fillId="0" borderId="7" xfId="0" applyBorder="1" applyAlignment="1">
      <alignment horizontal="center"/>
    </xf>
    <xf numFmtId="188" fontId="0" fillId="0" borderId="7" xfId="0" applyNumberFormat="1" applyBorder="1"/>
    <xf numFmtId="188" fontId="0" fillId="0" borderId="18" xfId="0" applyNumberFormat="1" applyBorder="1"/>
    <xf numFmtId="10" fontId="0" fillId="0" borderId="19" xfId="6" applyNumberFormat="1" applyFont="1" applyBorder="1"/>
    <xf numFmtId="0" fontId="0" fillId="0" borderId="20" xfId="0" applyBorder="1" applyAlignment="1">
      <alignment horizontal="center"/>
    </xf>
    <xf numFmtId="10" fontId="0" fillId="0" borderId="20" xfId="6" applyNumberFormat="1" applyFont="1" applyBorder="1"/>
    <xf numFmtId="188" fontId="8" fillId="0" borderId="20" xfId="0" applyNumberFormat="1" applyFont="1" applyBorder="1"/>
    <xf numFmtId="188" fontId="8" fillId="0" borderId="21" xfId="0" applyNumberFormat="1" applyFont="1" applyBorder="1"/>
    <xf numFmtId="0" fontId="0" fillId="0" borderId="16" xfId="0" applyBorder="1"/>
    <xf numFmtId="0" fontId="0" fillId="0" borderId="0" xfId="0" applyBorder="1"/>
    <xf numFmtId="178" fontId="0" fillId="0" borderId="17" xfId="0" applyNumberFormat="1" applyBorder="1"/>
    <xf numFmtId="0" fontId="0" fillId="0" borderId="19" xfId="0" applyBorder="1"/>
    <xf numFmtId="0" fontId="0" fillId="0" borderId="20" xfId="0" applyBorder="1"/>
    <xf numFmtId="178" fontId="0" fillId="0" borderId="21" xfId="0" applyNumberFormat="1" applyBorder="1"/>
    <xf numFmtId="0" fontId="8" fillId="5" borderId="0" xfId="0" applyFont="1" applyFill="1"/>
    <xf numFmtId="189" fontId="8" fillId="5" borderId="0" xfId="0" applyNumberFormat="1" applyFont="1" applyFill="1"/>
    <xf numFmtId="188" fontId="8" fillId="0" borderId="0" xfId="0" applyNumberFormat="1" applyFont="1"/>
    <xf numFmtId="0" fontId="0" fillId="0" borderId="0" xfId="0" applyNumberFormat="1" applyAlignment="1">
      <alignment horizontal="center"/>
    </xf>
    <xf numFmtId="181" fontId="0" fillId="0" borderId="0" xfId="0" applyNumberFormat="1"/>
    <xf numFmtId="0" fontId="8" fillId="0" borderId="0" xfId="0" applyNumberFormat="1" applyFont="1"/>
    <xf numFmtId="181" fontId="8" fillId="0" borderId="0" xfId="0" applyNumberFormat="1" applyFont="1"/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188" fontId="8" fillId="0" borderId="0" xfId="0" applyNumberFormat="1" applyFont="1" applyBorder="1"/>
    <xf numFmtId="188" fontId="8" fillId="0" borderId="17" xfId="0" applyNumberFormat="1" applyFont="1" applyBorder="1" applyAlignment="1">
      <alignment horizontal="right"/>
    </xf>
    <xf numFmtId="0" fontId="0" fillId="0" borderId="20" xfId="0" applyBorder="1" applyAlignment="1">
      <alignment horizontal="right"/>
    </xf>
    <xf numFmtId="0" fontId="8" fillId="0" borderId="0" xfId="0" applyFont="1" applyAlignment="1">
      <alignment horizont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14" fillId="7" borderId="22" xfId="0" applyFont="1" applyFill="1" applyBorder="1" applyAlignment="1">
      <alignment horizontal="center" vertical="center"/>
    </xf>
    <xf numFmtId="0" fontId="4" fillId="7" borderId="23" xfId="0" applyFont="1" applyFill="1" applyBorder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0" fontId="15" fillId="8" borderId="25" xfId="0" applyFont="1" applyFill="1" applyBorder="1" applyAlignment="1">
      <alignment horizontal="center" vertical="top" wrapText="1"/>
    </xf>
    <xf numFmtId="188" fontId="0" fillId="9" borderId="26" xfId="0" applyNumberFormat="1" applyFont="1" applyFill="1" applyBorder="1"/>
    <xf numFmtId="188" fontId="0" fillId="10" borderId="26" xfId="0" applyNumberFormat="1" applyFont="1" applyFill="1" applyBorder="1"/>
    <xf numFmtId="188" fontId="0" fillId="10" borderId="27" xfId="0" applyNumberFormat="1" applyFont="1" applyFill="1" applyBorder="1"/>
    <xf numFmtId="188" fontId="0" fillId="11" borderId="26" xfId="0" applyNumberFormat="1" applyFont="1" applyFill="1" applyBorder="1"/>
    <xf numFmtId="188" fontId="0" fillId="11" borderId="27" xfId="0" applyNumberFormat="1" applyFont="1" applyFill="1" applyBorder="1"/>
    <xf numFmtId="188" fontId="0" fillId="12" borderId="26" xfId="0" applyNumberFormat="1" applyFont="1" applyFill="1" applyBorder="1"/>
    <xf numFmtId="188" fontId="0" fillId="12" borderId="27" xfId="0" applyNumberFormat="1" applyFont="1" applyFill="1" applyBorder="1"/>
    <xf numFmtId="0" fontId="15" fillId="8" borderId="28" xfId="0" applyFont="1" applyFill="1" applyBorder="1" applyAlignment="1">
      <alignment horizontal="center" vertical="top" wrapText="1"/>
    </xf>
    <xf numFmtId="188" fontId="0" fillId="12" borderId="29" xfId="0" applyNumberFormat="1" applyFont="1" applyFill="1" applyBorder="1"/>
    <xf numFmtId="188" fontId="0" fillId="12" borderId="30" xfId="0" applyNumberFormat="1" applyFont="1" applyFill="1" applyBorder="1"/>
    <xf numFmtId="0" fontId="14" fillId="7" borderId="31" xfId="0" applyFont="1" applyFill="1" applyBorder="1" applyAlignment="1">
      <alignment horizontal="center" vertical="center"/>
    </xf>
    <xf numFmtId="0" fontId="4" fillId="7" borderId="32" xfId="0" applyFont="1" applyFill="1" applyBorder="1" applyAlignment="1">
      <alignment horizontal="center" vertical="center"/>
    </xf>
    <xf numFmtId="0" fontId="4" fillId="7" borderId="33" xfId="0" applyFont="1" applyFill="1" applyBorder="1" applyAlignment="1">
      <alignment horizontal="center" vertical="center"/>
    </xf>
    <xf numFmtId="0" fontId="16" fillId="12" borderId="0" xfId="0" applyFont="1" applyFill="1" applyAlignment="1">
      <alignment horizontal="center"/>
    </xf>
    <xf numFmtId="0" fontId="4" fillId="7" borderId="8" xfId="0" applyFont="1" applyFill="1" applyBorder="1" applyAlignment="1">
      <alignment horizontal="center" vertical="center"/>
    </xf>
    <xf numFmtId="0" fontId="4" fillId="7" borderId="23" xfId="0" applyFont="1" applyFill="1" applyBorder="1"/>
    <xf numFmtId="0" fontId="4" fillId="7" borderId="6" xfId="0" applyFont="1" applyFill="1" applyBorder="1"/>
    <xf numFmtId="0" fontId="17" fillId="5" borderId="0" xfId="0" applyFont="1" applyFill="1" applyAlignment="1">
      <alignment horizontal="center" vertical="center"/>
    </xf>
    <xf numFmtId="0" fontId="3" fillId="9" borderId="34" xfId="0" applyFont="1" applyFill="1" applyBorder="1" applyAlignment="1">
      <alignment horizontal="center" vertical="center"/>
    </xf>
    <xf numFmtId="190" fontId="3" fillId="9" borderId="26" xfId="0" applyNumberFormat="1" applyFont="1" applyFill="1" applyBorder="1"/>
    <xf numFmtId="0" fontId="3" fillId="9" borderId="35" xfId="0" applyFont="1" applyFill="1" applyBorder="1"/>
    <xf numFmtId="0" fontId="18" fillId="0" borderId="0" xfId="0" applyFont="1" applyAlignment="1">
      <alignment horizontal="center" vertical="center"/>
    </xf>
    <xf numFmtId="0" fontId="19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9" borderId="26" xfId="0" applyFont="1" applyFill="1" applyBorder="1"/>
    <xf numFmtId="190" fontId="20" fillId="12" borderId="35" xfId="0" applyNumberFormat="1" applyFont="1" applyFill="1" applyBorder="1"/>
    <xf numFmtId="0" fontId="3" fillId="9" borderId="3" xfId="0" applyFont="1" applyFill="1" applyBorder="1" applyAlignment="1">
      <alignment horizontal="center" vertical="center"/>
    </xf>
    <xf numFmtId="0" fontId="3" fillId="9" borderId="36" xfId="0" applyFont="1" applyFill="1" applyBorder="1"/>
    <xf numFmtId="190" fontId="20" fillId="12" borderId="1" xfId="0" applyNumberFormat="1" applyFont="1" applyFill="1" applyBorder="1"/>
    <xf numFmtId="0" fontId="15" fillId="0" borderId="0" xfId="0" applyFont="1"/>
    <xf numFmtId="0" fontId="21" fillId="13" borderId="10" xfId="0" applyFont="1" applyFill="1" applyBorder="1" applyAlignment="1">
      <alignment horizontal="center" vertical="center"/>
    </xf>
    <xf numFmtId="0" fontId="21" fillId="13" borderId="11" xfId="0" applyFont="1" applyFill="1" applyBorder="1" applyAlignment="1">
      <alignment horizontal="center" vertical="center"/>
    </xf>
    <xf numFmtId="0" fontId="21" fillId="13" borderId="12" xfId="0" applyFont="1" applyFill="1" applyBorder="1" applyAlignment="1">
      <alignment horizontal="center" vertical="center"/>
    </xf>
    <xf numFmtId="0" fontId="22" fillId="14" borderId="10" xfId="7" applyFill="1" applyBorder="1" applyAlignment="1">
      <alignment horizontal="center" vertical="center"/>
    </xf>
    <xf numFmtId="0" fontId="22" fillId="14" borderId="11" xfId="7" applyFill="1" applyBorder="1" applyAlignment="1">
      <alignment horizontal="center" vertical="center"/>
    </xf>
    <xf numFmtId="0" fontId="18" fillId="6" borderId="16" xfId="0" applyFont="1" applyFill="1" applyBorder="1" applyAlignment="1">
      <alignment horizontal="center"/>
    </xf>
    <xf numFmtId="0" fontId="18" fillId="6" borderId="0" xfId="0" applyFont="1" applyFill="1" applyBorder="1" applyAlignment="1">
      <alignment horizontal="center"/>
    </xf>
    <xf numFmtId="0" fontId="18" fillId="6" borderId="17" xfId="0" applyFont="1" applyFill="1" applyBorder="1" applyAlignment="1">
      <alignment horizontal="center"/>
    </xf>
    <xf numFmtId="0" fontId="22" fillId="14" borderId="13" xfId="7" applyFill="1" applyBorder="1" applyAlignment="1">
      <alignment horizontal="center" vertical="center"/>
    </xf>
    <xf numFmtId="0" fontId="22" fillId="14" borderId="14" xfId="7" applyFill="1" applyBorder="1" applyAlignment="1">
      <alignment horizontal="center" vertical="center"/>
    </xf>
    <xf numFmtId="0" fontId="18" fillId="2" borderId="37" xfId="0" applyFont="1" applyFill="1" applyBorder="1" applyAlignment="1">
      <alignment horizontal="center"/>
    </xf>
    <xf numFmtId="0" fontId="18" fillId="2" borderId="38" xfId="0" applyFont="1" applyFill="1" applyBorder="1" applyAlignment="1">
      <alignment horizontal="center"/>
    </xf>
    <xf numFmtId="0" fontId="18" fillId="2" borderId="39" xfId="0" applyFont="1" applyFill="1" applyBorder="1" applyAlignment="1">
      <alignment horizontal="center"/>
    </xf>
    <xf numFmtId="0" fontId="14" fillId="7" borderId="23" xfId="0" applyFont="1" applyFill="1" applyBorder="1"/>
    <xf numFmtId="0" fontId="23" fillId="8" borderId="40" xfId="0" applyFont="1" applyFill="1" applyBorder="1" applyAlignment="1">
      <alignment horizontal="center" vertical="top" wrapText="1"/>
    </xf>
    <xf numFmtId="190" fontId="16" fillId="8" borderId="41" xfId="0" applyNumberFormat="1" applyFont="1" applyFill="1" applyBorder="1" applyAlignment="1">
      <alignment horizontal="center" vertical="top" wrapText="1"/>
    </xf>
    <xf numFmtId="0" fontId="23" fillId="8" borderId="41" xfId="0" applyFont="1" applyFill="1" applyBorder="1" applyAlignment="1">
      <alignment horizontal="center" vertical="top" wrapText="1"/>
    </xf>
    <xf numFmtId="190" fontId="16" fillId="8" borderId="42" xfId="0" applyNumberFormat="1" applyFont="1" applyFill="1" applyBorder="1" applyAlignment="1">
      <alignment horizontal="center" vertical="top" wrapText="1"/>
    </xf>
    <xf numFmtId="0" fontId="15" fillId="8" borderId="40" xfId="0" applyFont="1" applyFill="1" applyBorder="1" applyAlignment="1">
      <alignment horizontal="center" vertical="top" wrapText="1"/>
    </xf>
    <xf numFmtId="190" fontId="15" fillId="8" borderId="41" xfId="0" applyNumberFormat="1" applyFont="1" applyFill="1" applyBorder="1" applyAlignment="1">
      <alignment horizontal="center" vertical="top" wrapText="1"/>
    </xf>
    <xf numFmtId="0" fontId="23" fillId="8" borderId="43" xfId="0" applyFont="1" applyFill="1" applyBorder="1" applyAlignment="1">
      <alignment horizontal="center" vertical="top" wrapText="1"/>
    </xf>
    <xf numFmtId="190" fontId="16" fillId="8" borderId="44" xfId="0" applyNumberFormat="1" applyFont="1" applyFill="1" applyBorder="1" applyAlignment="1">
      <alignment horizontal="center" vertical="top" wrapText="1"/>
    </xf>
    <xf numFmtId="0" fontId="23" fillId="8" borderId="44" xfId="0" applyFont="1" applyFill="1" applyBorder="1" applyAlignment="1">
      <alignment horizontal="center" vertical="top" wrapText="1"/>
    </xf>
    <xf numFmtId="190" fontId="16" fillId="8" borderId="45" xfId="0" applyNumberFormat="1" applyFont="1" applyFill="1" applyBorder="1" applyAlignment="1">
      <alignment horizontal="center" vertical="top" wrapText="1"/>
    </xf>
    <xf numFmtId="188" fontId="24" fillId="8" borderId="41" xfId="0" applyNumberFormat="1" applyFont="1" applyFill="1" applyBorder="1" applyAlignment="1">
      <alignment horizontal="center" vertical="top" wrapText="1"/>
    </xf>
    <xf numFmtId="0" fontId="15" fillId="8" borderId="43" xfId="0" applyFont="1" applyFill="1" applyBorder="1" applyAlignment="1">
      <alignment horizontal="center" vertical="top" wrapText="1"/>
    </xf>
    <xf numFmtId="190" fontId="15" fillId="8" borderId="44" xfId="0" applyNumberFormat="1" applyFont="1" applyFill="1" applyBorder="1" applyAlignment="1">
      <alignment horizontal="center" vertical="top" wrapText="1"/>
    </xf>
    <xf numFmtId="0" fontId="24" fillId="8" borderId="41" xfId="0" applyFont="1" applyFill="1" applyBorder="1" applyAlignment="1">
      <alignment horizontal="center" vertical="top" wrapText="1"/>
    </xf>
    <xf numFmtId="0" fontId="25" fillId="8" borderId="46" xfId="0" applyFont="1" applyFill="1" applyBorder="1" applyAlignment="1">
      <alignment horizontal="center" vertical="top" wrapText="1"/>
    </xf>
    <xf numFmtId="0" fontId="25" fillId="8" borderId="47" xfId="0" applyFont="1" applyFill="1" applyBorder="1" applyAlignment="1">
      <alignment horizontal="center" vertical="top" wrapText="1"/>
    </xf>
    <xf numFmtId="0" fontId="22" fillId="14" borderId="12" xfId="7" applyFill="1" applyBorder="1" applyAlignment="1">
      <alignment horizontal="center" vertical="center"/>
    </xf>
    <xf numFmtId="191" fontId="24" fillId="8" borderId="48" xfId="0" applyNumberFormat="1" applyFont="1" applyFill="1" applyBorder="1" applyAlignment="1">
      <alignment horizontal="center" vertical="top" wrapText="1"/>
    </xf>
    <xf numFmtId="0" fontId="22" fillId="14" borderId="15" xfId="7" applyFill="1" applyBorder="1" applyAlignment="1">
      <alignment horizontal="center" vertical="center"/>
    </xf>
    <xf numFmtId="0" fontId="22" fillId="14" borderId="16" xfId="7" applyFill="1" applyBorder="1" applyAlignment="1">
      <alignment horizontal="center" vertical="center"/>
    </xf>
    <xf numFmtId="0" fontId="22" fillId="14" borderId="0" xfId="7" applyFill="1" applyBorder="1" applyAlignment="1">
      <alignment horizontal="center" vertical="center"/>
    </xf>
    <xf numFmtId="0" fontId="22" fillId="14" borderId="17" xfId="7" applyFill="1" applyBorder="1" applyAlignment="1">
      <alignment horizontal="center" vertical="center"/>
    </xf>
    <xf numFmtId="0" fontId="14" fillId="7" borderId="24" xfId="0" applyFont="1" applyFill="1" applyBorder="1"/>
    <xf numFmtId="190" fontId="26" fillId="8" borderId="41" xfId="0" applyNumberFormat="1" applyFont="1" applyFill="1" applyBorder="1" applyAlignment="1">
      <alignment horizontal="center" vertical="top" wrapText="1"/>
    </xf>
    <xf numFmtId="190" fontId="26" fillId="8" borderId="42" xfId="0" applyNumberFormat="1" applyFont="1" applyFill="1" applyBorder="1" applyAlignment="1">
      <alignment horizontal="center" vertical="top" wrapText="1"/>
    </xf>
    <xf numFmtId="190" fontId="26" fillId="8" borderId="44" xfId="0" applyNumberFormat="1" applyFont="1" applyFill="1" applyBorder="1" applyAlignment="1">
      <alignment horizontal="center" vertical="top" wrapText="1"/>
    </xf>
    <xf numFmtId="190" fontId="26" fillId="8" borderId="45" xfId="0" applyNumberFormat="1" applyFont="1" applyFill="1" applyBorder="1" applyAlignment="1">
      <alignment horizontal="center" vertical="top" wrapText="1"/>
    </xf>
    <xf numFmtId="0" fontId="25" fillId="8" borderId="48" xfId="0" applyFont="1" applyFill="1" applyBorder="1" applyAlignment="1">
      <alignment horizontal="center" vertical="top" wrapText="1"/>
    </xf>
    <xf numFmtId="191" fontId="24" fillId="8" borderId="41" xfId="0" applyNumberFormat="1" applyFont="1" applyFill="1" applyBorder="1" applyAlignment="1">
      <alignment horizontal="center" vertical="top" wrapText="1"/>
    </xf>
  </cellXfs>
  <cellStyles count="53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Currency 2" xfId="39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Percent 2" xfId="45"/>
    <cellStyle name="Accent5" xfId="46" builtinId="45"/>
    <cellStyle name="40% - Accent5" xfId="47" builtinId="47"/>
    <cellStyle name="60% - Accent5" xfId="48" builtinId="48"/>
    <cellStyle name="Accent6" xfId="49" builtinId="49"/>
    <cellStyle name="40% - Accent6" xfId="50" builtinId="51"/>
    <cellStyle name="60% - Accent6" xfId="51" builtinId="52"/>
    <cellStyle name="Comma 2" xfId="52"/>
  </cellStyles>
  <dxfs count="3">
    <dxf>
      <font>
        <name val="Calibri"/>
        <scheme val="none"/>
        <family val="2"/>
        <b val="0"/>
        <i val="0"/>
        <strike val="0"/>
        <u val="none"/>
        <sz val="12"/>
        <color theme="1"/>
      </font>
      <fill>
        <gradientFill degree="90">
          <stop position="0">
            <color theme="0"/>
          </stop>
          <stop position="1">
            <color theme="0"/>
          </stop>
        </gradientFill>
      </fill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2"/>
        <color theme="1"/>
      </font>
      <fill>
        <gradientFill degree="90">
          <stop position="0">
            <color theme="0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2"/>
      </font>
      <numFmt numFmtId="190" formatCode="#,##0.00_-\ [$€-1];[Red]#,##0.00\-\ [$€-1]"/>
      <fill>
        <gradientFill degree="90">
          <stop position="0">
            <color theme="0"/>
          </stop>
          <stop position="1">
            <color theme="0"/>
          </stop>
        </gradientFill>
      </fill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Cost of 30m² Apartment in Berlin per m² </a:t>
            </a:r>
            <a:endParaRPr lang="en-I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prediction!$C$2</c:f>
              <c:strCache>
                <c:ptCount val="1"/>
                <c:pt idx="0">
                  <c:v>30 m²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rgbClr val="FFFFFF"/>
              </a:solidFill>
              <a:prstDash val="solid"/>
            </a:ln>
            <a:effectLst/>
          </c:spPr>
          <c:invertIfNegative val="0"/>
          <c:dLbls>
            <c:delete val="1"/>
          </c:dLbls>
          <c:val>
            <c:numRef>
              <c:f>prediction!$C$3:$C$17</c:f>
              <c:numCache>
                <c:formatCode>#,##0.00_-\ [$€-1];[Red]#,##0.00\-\ [$€-1]</c:formatCode>
                <c:ptCount val="15"/>
                <c:pt idx="0">
                  <c:v>1457.33</c:v>
                </c:pt>
                <c:pt idx="1">
                  <c:v>1622.76</c:v>
                </c:pt>
                <c:pt idx="2">
                  <c:v>2486.19</c:v>
                </c:pt>
                <c:pt idx="3">
                  <c:v>2583.82</c:v>
                </c:pt>
                <c:pt idx="4">
                  <c:v>2672</c:v>
                </c:pt>
                <c:pt idx="5">
                  <c:v>3184.19</c:v>
                </c:pt>
                <c:pt idx="6">
                  <c:v>3176.48</c:v>
                </c:pt>
                <c:pt idx="7">
                  <c:v>4361.12</c:v>
                </c:pt>
                <c:pt idx="8">
                  <c:v>5230</c:v>
                </c:pt>
                <c:pt idx="9">
                  <c:v>5200.56</c:v>
                </c:pt>
                <c:pt idx="10">
                  <c:v>6386.01</c:v>
                </c:pt>
              </c:numCache>
            </c:numRef>
          </c:val>
        </c:ser>
        <c:ser>
          <c:idx val="1"/>
          <c:order val="1"/>
          <c:tx>
            <c:strRef>
              <c:f>prediction!$D$2</c:f>
              <c:strCache>
                <c:ptCount val="1"/>
                <c:pt idx="0">
                  <c:v>Prediction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rgbClr val="FFFFFF"/>
              </a:solidFill>
              <a:prstDash val="solid"/>
            </a:ln>
            <a:effectLst/>
          </c:spPr>
          <c:invertIfNegative val="0"/>
          <c:dLbls>
            <c:delete val="1"/>
          </c:dLbls>
          <c:cat>
            <c:numRef>
              <c:f>prediction!$B$3:$B$17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prediction!$D$3:$D$17</c:f>
              <c:numCache>
                <c:formatCode>General</c:formatCode>
                <c:ptCount val="15"/>
                <c:pt idx="11" c:formatCode="#,##0.00_-\ [$€-1];[Red]#,##0.00\-\ [$€-1]">
                  <c:v>6356.31347580123</c:v>
                </c:pt>
                <c:pt idx="12" c:formatCode="#,##0.00_-\ [$€-1];[Red]#,##0.00\-\ [$€-1]">
                  <c:v>6820.5005177948</c:v>
                </c:pt>
                <c:pt idx="13" c:formatCode="#,##0.00_-\ [$€-1];[Red]#,##0.00\-\ [$€-1]">
                  <c:v>7284.68755978838</c:v>
                </c:pt>
                <c:pt idx="14" c:formatCode="#,##0.00_-\ [$€-1];[Red]#,##0.00\-\ [$€-1]">
                  <c:v>7748.87460178195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92714680"/>
        <c:axId val="392716648"/>
      </c:barChart>
      <c:catAx>
        <c:axId val="39271468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2716648"/>
        <c:crosses val="autoZero"/>
        <c:auto val="1"/>
        <c:lblAlgn val="ctr"/>
        <c:lblOffset val="100"/>
        <c:noMultiLvlLbl val="0"/>
      </c:catAx>
      <c:valAx>
        <c:axId val="39271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-\ [$€-1];[Red]#,##0.00\-\ [$€-1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2714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Real estate prices comparison in 2011-2025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Data_1!$C$5</c:f>
              <c:strCache>
                <c:ptCount val="1"/>
                <c:pt idx="0">
                  <c:v>35 m²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Data_1!$B$6:$B$20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Data_1!$C$6:$C$20</c:f>
              <c:numCache>
                <c:formatCode>#,##0.00_-\ [$€-1]</c:formatCode>
                <c:ptCount val="15"/>
                <c:pt idx="0">
                  <c:v>1457.33</c:v>
                </c:pt>
                <c:pt idx="1">
                  <c:v>1622.76</c:v>
                </c:pt>
                <c:pt idx="2">
                  <c:v>2486.19</c:v>
                </c:pt>
                <c:pt idx="3">
                  <c:v>2583.82</c:v>
                </c:pt>
                <c:pt idx="4">
                  <c:v>2672</c:v>
                </c:pt>
                <c:pt idx="5">
                  <c:v>3184.19</c:v>
                </c:pt>
                <c:pt idx="6">
                  <c:v>3176.48</c:v>
                </c:pt>
                <c:pt idx="7">
                  <c:v>4361.12</c:v>
                </c:pt>
                <c:pt idx="8">
                  <c:v>5230</c:v>
                </c:pt>
                <c:pt idx="9">
                  <c:v>5200.56</c:v>
                </c:pt>
                <c:pt idx="10">
                  <c:v>6386.01</c:v>
                </c:pt>
                <c:pt idx="11">
                  <c:v>6356.31347580123</c:v>
                </c:pt>
                <c:pt idx="12">
                  <c:v>6820.5005177948</c:v>
                </c:pt>
                <c:pt idx="13">
                  <c:v>7284.68755978838</c:v>
                </c:pt>
                <c:pt idx="14">
                  <c:v>7748.87460178195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Data_1!$D$5</c:f>
              <c:strCache>
                <c:ptCount val="1"/>
                <c:pt idx="0">
                  <c:v>50 m²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Data_1!$B$6:$B$20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Data_1!$D$6:$D$20</c:f>
              <c:numCache>
                <c:formatCode>#,##0.00_-\ [$€-1]</c:formatCode>
                <c:ptCount val="15"/>
                <c:pt idx="0">
                  <c:v>1403.77</c:v>
                </c:pt>
                <c:pt idx="1">
                  <c:v>1650.62</c:v>
                </c:pt>
                <c:pt idx="2">
                  <c:v>1954.67</c:v>
                </c:pt>
                <c:pt idx="3">
                  <c:v>2191.53</c:v>
                </c:pt>
                <c:pt idx="4">
                  <c:v>2751.75</c:v>
                </c:pt>
                <c:pt idx="5">
                  <c:v>3071.52</c:v>
                </c:pt>
                <c:pt idx="6">
                  <c:v>3504.02</c:v>
                </c:pt>
                <c:pt idx="7">
                  <c:v>3990.82</c:v>
                </c:pt>
                <c:pt idx="8">
                  <c:v>4299.96</c:v>
                </c:pt>
                <c:pt idx="9">
                  <c:v>4617.58</c:v>
                </c:pt>
                <c:pt idx="10">
                  <c:v>5337.74</c:v>
                </c:pt>
                <c:pt idx="11">
                  <c:v>5731.51145950818</c:v>
                </c:pt>
                <c:pt idx="12">
                  <c:v>6239.62120262914</c:v>
                </c:pt>
                <c:pt idx="13">
                  <c:v>6747.73094575009</c:v>
                </c:pt>
                <c:pt idx="14">
                  <c:v>7255.84068887105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Data_1!$E$5</c:f>
              <c:strCache>
                <c:ptCount val="1"/>
                <c:pt idx="0">
                  <c:v>80 m²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Data_1!$B$6:$B$20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Data_1!$E$6:$E$20</c:f>
              <c:numCache>
                <c:formatCode>#,##0.00_-\ [$€-1]</c:formatCode>
                <c:ptCount val="15"/>
                <c:pt idx="0">
                  <c:v>1886.62</c:v>
                </c:pt>
                <c:pt idx="1">
                  <c:v>2146.065</c:v>
                </c:pt>
                <c:pt idx="2">
                  <c:v>2512.875</c:v>
                </c:pt>
                <c:pt idx="3">
                  <c:v>2750.045</c:v>
                </c:pt>
                <c:pt idx="4">
                  <c:v>3310.285</c:v>
                </c:pt>
                <c:pt idx="5">
                  <c:v>3646.655</c:v>
                </c:pt>
                <c:pt idx="6">
                  <c:v>4074.79</c:v>
                </c:pt>
                <c:pt idx="7">
                  <c:v>4477.24</c:v>
                </c:pt>
                <c:pt idx="8">
                  <c:v>4761.125</c:v>
                </c:pt>
                <c:pt idx="9">
                  <c:v>4976.2</c:v>
                </c:pt>
                <c:pt idx="10">
                  <c:v>5916.315</c:v>
                </c:pt>
                <c:pt idx="11">
                  <c:v>6175.56578297565</c:v>
                </c:pt>
                <c:pt idx="12">
                  <c:v>6561.38084165886</c:v>
                </c:pt>
                <c:pt idx="13">
                  <c:v>6947.19590034206</c:v>
                </c:pt>
                <c:pt idx="14">
                  <c:v>7333.01095902527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Data_1!$F$5</c:f>
              <c:strCache>
                <c:ptCount val="1"/>
                <c:pt idx="0">
                  <c:v>100 m²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Data_1!$B$6:$B$20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Data_1!$F$6:$F$20</c:f>
              <c:numCache>
                <c:formatCode>#,##0.00_-\ [$€-1]</c:formatCode>
                <c:ptCount val="15"/>
                <c:pt idx="0">
                  <c:v>2369.47</c:v>
                </c:pt>
                <c:pt idx="1">
                  <c:v>2641.51</c:v>
                </c:pt>
                <c:pt idx="2">
                  <c:v>3071.08</c:v>
                </c:pt>
                <c:pt idx="3">
                  <c:v>3308.56</c:v>
                </c:pt>
                <c:pt idx="4">
                  <c:v>3868.82</c:v>
                </c:pt>
                <c:pt idx="5">
                  <c:v>4221.79</c:v>
                </c:pt>
                <c:pt idx="6">
                  <c:v>4645.56</c:v>
                </c:pt>
                <c:pt idx="7">
                  <c:v>4963.66</c:v>
                </c:pt>
                <c:pt idx="8">
                  <c:v>5222.29</c:v>
                </c:pt>
                <c:pt idx="9">
                  <c:v>5334.82</c:v>
                </c:pt>
                <c:pt idx="10">
                  <c:v>6494.89</c:v>
                </c:pt>
                <c:pt idx="11">
                  <c:v>6501.65823141432</c:v>
                </c:pt>
                <c:pt idx="12">
                  <c:v>6882.70289913213</c:v>
                </c:pt>
                <c:pt idx="13">
                  <c:v>7263.74756684995</c:v>
                </c:pt>
                <c:pt idx="14">
                  <c:v>7644.79223456777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93181688"/>
        <c:axId val="393181360"/>
      </c:lineChart>
      <c:catAx>
        <c:axId val="393181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3181360"/>
        <c:crosses val="autoZero"/>
        <c:auto val="1"/>
        <c:lblAlgn val="ctr"/>
        <c:lblOffset val="100"/>
        <c:noMultiLvlLbl val="0"/>
      </c:catAx>
      <c:valAx>
        <c:axId val="39318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-\ [$€-1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3181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Rental prices comparison in 2011-2025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Data_1!$C$28</c:f>
              <c:strCache>
                <c:ptCount val="1"/>
                <c:pt idx="0">
                  <c:v>35 m²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Data_1!$B$29:$B$43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Data_1!$C$29:$C$43</c:f>
              <c:numCache>
                <c:formatCode>#,##0.00_-\ [$€-1]</c:formatCode>
                <c:ptCount val="15"/>
                <c:pt idx="0">
                  <c:v>8.36</c:v>
                </c:pt>
                <c:pt idx="1">
                  <c:v>9.02</c:v>
                </c:pt>
                <c:pt idx="2">
                  <c:v>10.08</c:v>
                </c:pt>
                <c:pt idx="3">
                  <c:v>11.06</c:v>
                </c:pt>
                <c:pt idx="4">
                  <c:v>11.55</c:v>
                </c:pt>
                <c:pt idx="5">
                  <c:v>14.25</c:v>
                </c:pt>
                <c:pt idx="6">
                  <c:v>12.04</c:v>
                </c:pt>
                <c:pt idx="7">
                  <c:v>13.93</c:v>
                </c:pt>
                <c:pt idx="8">
                  <c:v>14.98</c:v>
                </c:pt>
                <c:pt idx="9">
                  <c:v>16.24</c:v>
                </c:pt>
                <c:pt idx="10">
                  <c:v>18.37</c:v>
                </c:pt>
                <c:pt idx="11">
                  <c:v>18.3301516974495</c:v>
                </c:pt>
                <c:pt idx="12">
                  <c:v>19.2360084409887</c:v>
                </c:pt>
                <c:pt idx="13">
                  <c:v>20.1418651845279</c:v>
                </c:pt>
                <c:pt idx="14">
                  <c:v>21.0477219280671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Data_1!$D$28</c:f>
              <c:strCache>
                <c:ptCount val="1"/>
                <c:pt idx="0">
                  <c:v>50 m²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Data_1!$B$29:$B$43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Data_1!$D$29:$D$43</c:f>
              <c:numCache>
                <c:formatCode>#,##0.00_-\ [$€-1]</c:formatCode>
                <c:ptCount val="15"/>
                <c:pt idx="0">
                  <c:v>6.17</c:v>
                </c:pt>
                <c:pt idx="1">
                  <c:v>6.74</c:v>
                </c:pt>
                <c:pt idx="2">
                  <c:v>7.4</c:v>
                </c:pt>
                <c:pt idx="3">
                  <c:v>8.07</c:v>
                </c:pt>
                <c:pt idx="4">
                  <c:v>8.77</c:v>
                </c:pt>
                <c:pt idx="5">
                  <c:v>10.69</c:v>
                </c:pt>
                <c:pt idx="6">
                  <c:v>10.12</c:v>
                </c:pt>
                <c:pt idx="7">
                  <c:v>10.99</c:v>
                </c:pt>
                <c:pt idx="8">
                  <c:v>11.63</c:v>
                </c:pt>
                <c:pt idx="9">
                  <c:v>12.83</c:v>
                </c:pt>
                <c:pt idx="10">
                  <c:v>14.12</c:v>
                </c:pt>
                <c:pt idx="11">
                  <c:v>14.4060834444648</c:v>
                </c:pt>
                <c:pt idx="12">
                  <c:v>15.1684140802468</c:v>
                </c:pt>
                <c:pt idx="13">
                  <c:v>15.9307447160288</c:v>
                </c:pt>
                <c:pt idx="14">
                  <c:v>16.6930753518108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Data_1!$E$28</c:f>
              <c:strCache>
                <c:ptCount val="1"/>
                <c:pt idx="0">
                  <c:v>80 m²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Data_1!$B$29:$B$43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Data_1!$E$29:$E$43</c:f>
              <c:numCache>
                <c:formatCode>#,##0.00_-\ [$€-1]</c:formatCode>
                <c:ptCount val="15"/>
                <c:pt idx="0">
                  <c:v>6.425</c:v>
                </c:pt>
                <c:pt idx="1">
                  <c:v>6.94</c:v>
                </c:pt>
                <c:pt idx="2">
                  <c:v>7.72</c:v>
                </c:pt>
                <c:pt idx="3">
                  <c:v>8.275</c:v>
                </c:pt>
                <c:pt idx="4">
                  <c:v>9.16</c:v>
                </c:pt>
                <c:pt idx="5">
                  <c:v>11.01</c:v>
                </c:pt>
                <c:pt idx="6">
                  <c:v>10.755</c:v>
                </c:pt>
                <c:pt idx="7">
                  <c:v>11.66</c:v>
                </c:pt>
                <c:pt idx="8">
                  <c:v>12.275</c:v>
                </c:pt>
                <c:pt idx="9">
                  <c:v>13.32</c:v>
                </c:pt>
                <c:pt idx="10">
                  <c:v>14.51</c:v>
                </c:pt>
                <c:pt idx="11">
                  <c:v>15.0361372458912</c:v>
                </c:pt>
                <c:pt idx="12">
                  <c:v>15.834516346174</c:v>
                </c:pt>
                <c:pt idx="13">
                  <c:v>16.6328954464569</c:v>
                </c:pt>
                <c:pt idx="14">
                  <c:v>17.4312745467398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Data_1!$F$28</c:f>
              <c:strCache>
                <c:ptCount val="1"/>
                <c:pt idx="0">
                  <c:v>100 m²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Data_1!$B$29:$B$43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Data_1!$F$29:$F$43</c:f>
              <c:numCache>
                <c:formatCode>#,##0.00_-\ [$€-1]</c:formatCode>
                <c:ptCount val="15"/>
                <c:pt idx="0">
                  <c:v>6.68</c:v>
                </c:pt>
                <c:pt idx="1">
                  <c:v>7.14</c:v>
                </c:pt>
                <c:pt idx="2">
                  <c:v>8.04</c:v>
                </c:pt>
                <c:pt idx="3">
                  <c:v>8.48</c:v>
                </c:pt>
                <c:pt idx="4">
                  <c:v>9.55</c:v>
                </c:pt>
                <c:pt idx="5">
                  <c:v>11.33</c:v>
                </c:pt>
                <c:pt idx="6">
                  <c:v>11.39</c:v>
                </c:pt>
                <c:pt idx="7">
                  <c:v>12.33</c:v>
                </c:pt>
                <c:pt idx="8">
                  <c:v>12.92</c:v>
                </c:pt>
                <c:pt idx="9">
                  <c:v>13.81</c:v>
                </c:pt>
                <c:pt idx="10">
                  <c:v>14.9</c:v>
                </c:pt>
                <c:pt idx="11">
                  <c:v>15.6234112429954</c:v>
                </c:pt>
                <c:pt idx="12">
                  <c:v>16.4584348527647</c:v>
                </c:pt>
                <c:pt idx="13">
                  <c:v>17.293458462534</c:v>
                </c:pt>
                <c:pt idx="14">
                  <c:v>18.1284820723032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02784168"/>
        <c:axId val="402782528"/>
      </c:lineChart>
      <c:catAx>
        <c:axId val="402784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2782528"/>
        <c:crosses val="autoZero"/>
        <c:auto val="1"/>
        <c:lblAlgn val="ctr"/>
        <c:lblOffset val="100"/>
        <c:noMultiLvlLbl val="0"/>
      </c:catAx>
      <c:valAx>
        <c:axId val="40278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-\ [$€-1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2784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123825</xdr:colOff>
      <xdr:row>5</xdr:row>
      <xdr:rowOff>100012</xdr:rowOff>
    </xdr:from>
    <xdr:to>
      <xdr:col>16</xdr:col>
      <xdr:colOff>161925</xdr:colOff>
      <xdr:row>20</xdr:row>
      <xdr:rowOff>176212</xdr:rowOff>
    </xdr:to>
    <xdr:graphicFrame>
      <xdr:nvGraphicFramePr>
        <xdr:cNvPr id="2" name="Chart 1"/>
        <xdr:cNvGraphicFramePr/>
      </xdr:nvGraphicFramePr>
      <xdr:xfrm>
        <a:off x="4638675" y="1090295"/>
        <a:ext cx="6038850" cy="304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342900</xdr:colOff>
      <xdr:row>3</xdr:row>
      <xdr:rowOff>133350</xdr:rowOff>
    </xdr:from>
    <xdr:to>
      <xdr:col>17</xdr:col>
      <xdr:colOff>228599</xdr:colOff>
      <xdr:row>20</xdr:row>
      <xdr:rowOff>66674</xdr:rowOff>
    </xdr:to>
    <xdr:graphicFrame>
      <xdr:nvGraphicFramePr>
        <xdr:cNvPr id="2" name="Chart 1"/>
        <xdr:cNvGraphicFramePr/>
      </xdr:nvGraphicFramePr>
      <xdr:xfrm>
        <a:off x="5600700" y="714375"/>
        <a:ext cx="5885815" cy="32092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257175</xdr:colOff>
      <xdr:row>26</xdr:row>
      <xdr:rowOff>152400</xdr:rowOff>
    </xdr:from>
    <xdr:to>
      <xdr:col>16</xdr:col>
      <xdr:colOff>590550</xdr:colOff>
      <xdr:row>42</xdr:row>
      <xdr:rowOff>185737</xdr:rowOff>
    </xdr:to>
    <xdr:graphicFrame>
      <xdr:nvGraphicFramePr>
        <xdr:cNvPr id="3" name="Chart 2"/>
        <xdr:cNvGraphicFramePr/>
      </xdr:nvGraphicFramePr>
      <xdr:xfrm>
        <a:off x="5514975" y="5210175"/>
        <a:ext cx="5734050" cy="31095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4" displayName="Table4" ref="B2:D17" totalsRowShown="0">
  <autoFilter ref="B2:D17"/>
  <tableColumns count="3">
    <tableColumn id="1" name="Year" dataDxfId="0"/>
    <tableColumn id="2" name="30 m²" dataDxfId="1"/>
    <tableColumn id="3" name="Prediction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wohnungsboerse.net/mietspiegel-Berlin/2825" TargetMode="External"/><Relationship Id="rId1" Type="http://schemas.openxmlformats.org/officeDocument/2006/relationships/hyperlink" Target="https://www.wohnungsboerse.net/immobilienpreise-Berlin/2825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Q52"/>
  <sheetViews>
    <sheetView workbookViewId="0">
      <selection activeCell="K13" sqref="K13"/>
    </sheetView>
  </sheetViews>
  <sheetFormatPr defaultColWidth="9" defaultRowHeight="15"/>
  <cols>
    <col min="2" max="2" width="24.8571428571429" customWidth="1"/>
    <col min="3" max="3" width="13.8571428571429" customWidth="1"/>
    <col min="4" max="4" width="15.4285714285714" customWidth="1"/>
    <col min="5" max="5" width="13.8571428571429" customWidth="1"/>
    <col min="7" max="10" width="10.7142857142857" customWidth="1"/>
    <col min="11" max="11" width="9.71428571428571" customWidth="1"/>
    <col min="12" max="15" width="10.7142857142857" customWidth="1"/>
  </cols>
  <sheetData>
    <row r="3" ht="15.75"/>
    <row r="4" ht="19.5" spans="2:17">
      <c r="B4" s="195" t="s">
        <v>0</v>
      </c>
      <c r="C4" s="196"/>
      <c r="D4" s="196"/>
      <c r="E4" s="197"/>
      <c r="G4" s="198" t="s">
        <v>1</v>
      </c>
      <c r="H4" s="199"/>
      <c r="I4" s="199"/>
      <c r="J4" s="225"/>
      <c r="L4" s="198" t="s">
        <v>2</v>
      </c>
      <c r="M4" s="199"/>
      <c r="N4" s="199"/>
      <c r="O4" s="225"/>
      <c r="P4" s="226"/>
      <c r="Q4" s="237"/>
    </row>
    <row r="5" ht="19.5" spans="2:17">
      <c r="B5" s="200" t="s">
        <v>3</v>
      </c>
      <c r="C5" s="201"/>
      <c r="D5" s="201" t="s">
        <v>4</v>
      </c>
      <c r="E5" s="202"/>
      <c r="G5" s="203"/>
      <c r="H5" s="204"/>
      <c r="I5" s="204"/>
      <c r="J5" s="227"/>
      <c r="L5" s="228"/>
      <c r="M5" s="229"/>
      <c r="N5" s="229"/>
      <c r="O5" s="230"/>
      <c r="P5" s="226"/>
      <c r="Q5" s="237"/>
    </row>
    <row r="6" ht="20.25" spans="2:15">
      <c r="B6" s="205" t="s">
        <v>5</v>
      </c>
      <c r="C6" s="206"/>
      <c r="D6" s="206" t="s">
        <v>6</v>
      </c>
      <c r="E6" s="207"/>
      <c r="G6" s="161" t="s">
        <v>7</v>
      </c>
      <c r="H6" s="208" t="s">
        <v>8</v>
      </c>
      <c r="I6" s="208" t="s">
        <v>9</v>
      </c>
      <c r="J6" s="231" t="s">
        <v>10</v>
      </c>
      <c r="L6" s="161" t="s">
        <v>7</v>
      </c>
      <c r="M6" s="208" t="s">
        <v>8</v>
      </c>
      <c r="N6" s="208" t="s">
        <v>9</v>
      </c>
      <c r="O6" s="231" t="s">
        <v>10</v>
      </c>
    </row>
    <row r="7" ht="19.5" spans="2:17">
      <c r="B7" s="209" t="s">
        <v>8</v>
      </c>
      <c r="C7" s="210">
        <v>6386.01</v>
      </c>
      <c r="D7" s="211" t="s">
        <v>8</v>
      </c>
      <c r="E7" s="212">
        <v>18.37</v>
      </c>
      <c r="G7" s="213">
        <v>2011</v>
      </c>
      <c r="H7" s="214">
        <v>1457.33</v>
      </c>
      <c r="I7" s="232">
        <v>1403.77</v>
      </c>
      <c r="J7" s="233">
        <v>2369.47</v>
      </c>
      <c r="K7" s="226"/>
      <c r="L7" s="213">
        <v>2011</v>
      </c>
      <c r="M7" s="214">
        <v>8.36</v>
      </c>
      <c r="N7" s="232">
        <v>6.17</v>
      </c>
      <c r="O7" s="233">
        <v>6.68</v>
      </c>
      <c r="P7" s="226"/>
      <c r="Q7" s="237"/>
    </row>
    <row r="8" ht="19.5" spans="2:17">
      <c r="B8" s="209" t="s">
        <v>9</v>
      </c>
      <c r="C8" s="210">
        <v>5337.74</v>
      </c>
      <c r="D8" s="211" t="s">
        <v>9</v>
      </c>
      <c r="E8" s="212">
        <v>14.12</v>
      </c>
      <c r="G8" s="213">
        <v>2012</v>
      </c>
      <c r="H8" s="214">
        <v>1622.76</v>
      </c>
      <c r="I8" s="232">
        <v>1650.62</v>
      </c>
      <c r="J8" s="233">
        <v>2641.51</v>
      </c>
      <c r="K8" s="226"/>
      <c r="L8" s="213">
        <v>2012</v>
      </c>
      <c r="M8" s="214">
        <v>9.02</v>
      </c>
      <c r="N8" s="232">
        <v>6.74</v>
      </c>
      <c r="O8" s="233">
        <v>7.14</v>
      </c>
      <c r="P8" s="226"/>
      <c r="Q8" s="237"/>
    </row>
    <row r="9" ht="19.5" spans="2:17">
      <c r="B9" s="215" t="s">
        <v>10</v>
      </c>
      <c r="C9" s="216">
        <v>6494.89</v>
      </c>
      <c r="D9" s="217" t="s">
        <v>10</v>
      </c>
      <c r="E9" s="218">
        <v>14.9</v>
      </c>
      <c r="G9" s="213">
        <v>2013</v>
      </c>
      <c r="H9" s="214">
        <v>2486.19</v>
      </c>
      <c r="I9" s="232">
        <v>1954.67</v>
      </c>
      <c r="J9" s="233">
        <v>3071.08</v>
      </c>
      <c r="K9" s="226"/>
      <c r="L9" s="213">
        <v>2013</v>
      </c>
      <c r="M9" s="214">
        <v>10.08</v>
      </c>
      <c r="N9" s="232">
        <v>7.4</v>
      </c>
      <c r="O9" s="233">
        <v>8.04</v>
      </c>
      <c r="P9" s="226"/>
      <c r="Q9" s="237"/>
    </row>
    <row r="10" ht="15.75" spans="7:17">
      <c r="G10" s="213">
        <v>2014</v>
      </c>
      <c r="H10" s="214">
        <v>2583.82</v>
      </c>
      <c r="I10" s="232">
        <v>2191.53</v>
      </c>
      <c r="J10" s="233">
        <v>3308.56</v>
      </c>
      <c r="K10" s="226"/>
      <c r="L10" s="213">
        <v>2014</v>
      </c>
      <c r="M10" s="214">
        <v>11.06</v>
      </c>
      <c r="N10" s="232">
        <v>8.07</v>
      </c>
      <c r="O10" s="233">
        <v>8.48</v>
      </c>
      <c r="P10" s="226"/>
      <c r="Q10" s="237"/>
    </row>
    <row r="11" ht="15.75" spans="7:17">
      <c r="G11" s="213">
        <v>2015</v>
      </c>
      <c r="H11" s="214">
        <v>2672</v>
      </c>
      <c r="I11" s="232">
        <v>2751.75</v>
      </c>
      <c r="J11" s="233">
        <v>3868.82</v>
      </c>
      <c r="K11" s="226"/>
      <c r="L11" s="213">
        <v>2015</v>
      </c>
      <c r="M11" s="214">
        <v>11.55</v>
      </c>
      <c r="N11" s="232">
        <v>8.77</v>
      </c>
      <c r="O11" s="233">
        <v>9.55</v>
      </c>
      <c r="P11" s="226"/>
      <c r="Q11" s="237"/>
    </row>
    <row r="12" ht="15.75" spans="7:17">
      <c r="G12" s="213">
        <v>2016</v>
      </c>
      <c r="H12" s="214">
        <v>3184.19</v>
      </c>
      <c r="I12" s="232">
        <v>3071.52</v>
      </c>
      <c r="J12" s="233">
        <v>4221.79</v>
      </c>
      <c r="K12" s="226"/>
      <c r="L12" s="213">
        <v>2016</v>
      </c>
      <c r="M12" s="214">
        <v>14.25</v>
      </c>
      <c r="N12" s="232">
        <v>10.69</v>
      </c>
      <c r="O12" s="233">
        <v>11.33</v>
      </c>
      <c r="P12" s="226"/>
      <c r="Q12" s="237"/>
    </row>
    <row r="13" ht="15.75" spans="7:17">
      <c r="G13" s="213">
        <v>2017</v>
      </c>
      <c r="H13" s="214">
        <v>3176.48</v>
      </c>
      <c r="I13" s="232">
        <v>3504.02</v>
      </c>
      <c r="J13" s="233">
        <v>4645.56</v>
      </c>
      <c r="K13" s="226"/>
      <c r="L13" s="213">
        <v>2017</v>
      </c>
      <c r="M13" s="214">
        <v>12.04</v>
      </c>
      <c r="N13" s="232">
        <v>10.12</v>
      </c>
      <c r="O13" s="233">
        <v>11.39</v>
      </c>
      <c r="P13" s="226"/>
      <c r="Q13" s="237"/>
    </row>
    <row r="14" ht="15.75" spans="3:17">
      <c r="C14" s="219"/>
      <c r="D14" s="219"/>
      <c r="E14" s="111"/>
      <c r="G14" s="213">
        <v>2018</v>
      </c>
      <c r="H14" s="214">
        <v>4361.12</v>
      </c>
      <c r="I14" s="232">
        <v>3990.82</v>
      </c>
      <c r="J14" s="233">
        <v>4963.66</v>
      </c>
      <c r="K14" s="226"/>
      <c r="L14" s="213">
        <v>2018</v>
      </c>
      <c r="M14" s="214">
        <v>13.93</v>
      </c>
      <c r="N14" s="232">
        <v>10.99</v>
      </c>
      <c r="O14" s="233">
        <v>12.33</v>
      </c>
      <c r="P14" s="226"/>
      <c r="Q14" s="237"/>
    </row>
    <row r="15" ht="15.75" spans="3:17">
      <c r="C15" s="219"/>
      <c r="D15" s="219"/>
      <c r="G15" s="213">
        <v>2019</v>
      </c>
      <c r="H15" s="214">
        <v>5230</v>
      </c>
      <c r="I15" s="232">
        <v>4299.96</v>
      </c>
      <c r="J15" s="233">
        <v>5222.29</v>
      </c>
      <c r="K15" s="226"/>
      <c r="L15" s="213">
        <v>2019</v>
      </c>
      <c r="M15" s="214">
        <v>14.98</v>
      </c>
      <c r="N15" s="232">
        <v>11.63</v>
      </c>
      <c r="O15" s="233">
        <v>12.92</v>
      </c>
      <c r="P15" s="226"/>
      <c r="Q15" s="237"/>
    </row>
    <row r="16" ht="15.75" spans="3:17">
      <c r="C16" s="219"/>
      <c r="D16" s="219"/>
      <c r="G16" s="220">
        <v>2020</v>
      </c>
      <c r="H16" s="221">
        <v>5200.56</v>
      </c>
      <c r="I16" s="234">
        <v>4617.58</v>
      </c>
      <c r="J16" s="235">
        <v>5334.82</v>
      </c>
      <c r="K16" s="226"/>
      <c r="L16" s="220">
        <v>2020</v>
      </c>
      <c r="M16" s="221">
        <v>16.24</v>
      </c>
      <c r="N16" s="234">
        <v>12.83</v>
      </c>
      <c r="O16" s="235">
        <v>13.81</v>
      </c>
      <c r="P16" s="226"/>
      <c r="Q16" s="237"/>
    </row>
    <row r="17" ht="15.75" spans="3:4">
      <c r="C17" s="219"/>
      <c r="D17" s="219"/>
    </row>
    <row r="18" ht="15.75" spans="3:4">
      <c r="C18" s="219"/>
      <c r="D18" s="219"/>
    </row>
    <row r="19" ht="15.75" spans="3:4">
      <c r="C19" s="219"/>
      <c r="D19" s="219"/>
    </row>
    <row r="20" ht="15.75" spans="3:9">
      <c r="C20" s="219"/>
      <c r="D20" s="219"/>
      <c r="H20" s="222"/>
      <c r="I20" s="222"/>
    </row>
    <row r="21" ht="15.75" spans="3:9">
      <c r="C21" s="219"/>
      <c r="D21" s="219"/>
      <c r="F21" s="222"/>
      <c r="H21" s="222"/>
      <c r="I21" s="222"/>
    </row>
    <row r="22" ht="15.75" spans="3:9">
      <c r="C22" s="219"/>
      <c r="D22" s="219"/>
      <c r="F22" s="222"/>
      <c r="H22" s="222"/>
      <c r="I22" s="222"/>
    </row>
    <row r="23" ht="15.75" spans="2:9">
      <c r="B23" s="110"/>
      <c r="C23" s="219"/>
      <c r="D23" s="219"/>
      <c r="F23" s="222"/>
      <c r="H23" s="222"/>
      <c r="I23" s="222"/>
    </row>
    <row r="24" ht="15.75" spans="3:9">
      <c r="C24" s="111"/>
      <c r="D24" s="111"/>
      <c r="F24" s="222"/>
      <c r="H24" s="222"/>
      <c r="I24" s="222"/>
    </row>
    <row r="25" ht="15.75" spans="6:9">
      <c r="F25" s="222"/>
      <c r="H25" s="222"/>
      <c r="I25" s="222"/>
    </row>
    <row r="26" ht="15.75" spans="6:9">
      <c r="F26" s="222"/>
      <c r="H26" s="222"/>
      <c r="I26" s="222"/>
    </row>
    <row r="27" ht="15.75" spans="6:9">
      <c r="F27" s="222"/>
      <c r="H27" s="222"/>
      <c r="I27" s="222"/>
    </row>
    <row r="28" ht="15.75" spans="6:9">
      <c r="F28" s="222"/>
      <c r="H28" s="222"/>
      <c r="I28" s="222"/>
    </row>
    <row r="29" ht="15.75" spans="6:9">
      <c r="F29" s="222"/>
      <c r="H29" s="222"/>
      <c r="I29" s="222"/>
    </row>
    <row r="30" ht="15.75" spans="6:9">
      <c r="F30" s="222"/>
      <c r="G30" s="223"/>
      <c r="H30" s="223"/>
      <c r="I30" s="236"/>
    </row>
    <row r="31" ht="15.75" spans="6:9">
      <c r="F31" s="224"/>
      <c r="H31" s="222"/>
      <c r="I31" s="222"/>
    </row>
    <row r="32" ht="15.75" spans="6:9">
      <c r="F32" s="222"/>
      <c r="H32" s="222"/>
      <c r="I32" s="222"/>
    </row>
    <row r="33" ht="15.75" spans="6:9">
      <c r="F33" s="222"/>
      <c r="H33" s="222"/>
      <c r="I33" s="222"/>
    </row>
    <row r="34" ht="15.75" spans="6:9">
      <c r="F34" s="222"/>
      <c r="H34" s="222"/>
      <c r="I34" s="222"/>
    </row>
    <row r="35" ht="15.75" spans="6:9">
      <c r="F35" s="222"/>
      <c r="H35" s="222"/>
      <c r="I35" s="222"/>
    </row>
    <row r="36" ht="15.75" spans="6:9">
      <c r="F36" s="222"/>
      <c r="H36" s="222"/>
      <c r="I36" s="222"/>
    </row>
    <row r="37" ht="15.75" spans="6:9">
      <c r="F37" s="222"/>
      <c r="H37" s="222"/>
      <c r="I37" s="222"/>
    </row>
    <row r="38" ht="15.75" spans="6:9">
      <c r="F38" s="222"/>
      <c r="H38" s="222"/>
      <c r="I38" s="222"/>
    </row>
    <row r="39" ht="15.75" spans="6:9">
      <c r="F39" s="222"/>
      <c r="H39" s="222"/>
      <c r="I39" s="222"/>
    </row>
    <row r="40" ht="15.75" spans="6:9">
      <c r="F40" s="222"/>
      <c r="H40" s="222"/>
      <c r="I40" s="222"/>
    </row>
    <row r="41" ht="15.75" spans="6:9">
      <c r="F41" s="222"/>
      <c r="G41" s="223"/>
      <c r="H41" s="223"/>
      <c r="I41" s="236"/>
    </row>
    <row r="42" ht="15.75" spans="6:9">
      <c r="F42" s="224"/>
      <c r="G42" s="222"/>
      <c r="H42" s="222"/>
      <c r="I42" s="222"/>
    </row>
    <row r="43" ht="15.75" spans="6:9">
      <c r="F43" s="222"/>
      <c r="G43" s="222"/>
      <c r="H43" s="222"/>
      <c r="I43" s="222"/>
    </row>
    <row r="44" ht="15.75" spans="6:9">
      <c r="F44" s="222"/>
      <c r="G44" s="222"/>
      <c r="H44" s="222"/>
      <c r="I44" s="222"/>
    </row>
    <row r="45" ht="15.75" spans="6:9">
      <c r="F45" s="222"/>
      <c r="G45" s="222"/>
      <c r="H45" s="222"/>
      <c r="I45" s="222"/>
    </row>
    <row r="46" ht="15.75" spans="6:9">
      <c r="F46" s="222"/>
      <c r="G46" s="222"/>
      <c r="H46" s="222"/>
      <c r="I46" s="222"/>
    </row>
    <row r="47" ht="15.75" spans="6:9">
      <c r="F47" s="222"/>
      <c r="G47" s="222"/>
      <c r="H47" s="222"/>
      <c r="I47" s="222"/>
    </row>
    <row r="48" ht="15.75" spans="6:9">
      <c r="F48" s="222"/>
      <c r="G48" s="222"/>
      <c r="H48" s="222"/>
      <c r="I48" s="222"/>
    </row>
    <row r="49" ht="15.75" spans="6:9">
      <c r="F49" s="222"/>
      <c r="G49" s="222"/>
      <c r="H49" s="222"/>
      <c r="I49" s="222"/>
    </row>
    <row r="50" ht="15.75" spans="6:9">
      <c r="F50" s="222"/>
      <c r="G50" s="222"/>
      <c r="H50" s="222"/>
      <c r="I50" s="222"/>
    </row>
    <row r="51" ht="15.75" spans="6:9">
      <c r="F51" s="222"/>
      <c r="G51" s="222"/>
      <c r="H51" s="222"/>
      <c r="I51" s="222"/>
    </row>
    <row r="52" ht="15.75" spans="6:6">
      <c r="F52" s="222"/>
    </row>
  </sheetData>
  <mergeCells count="7">
    <mergeCell ref="B4:E4"/>
    <mergeCell ref="B5:C5"/>
    <mergeCell ref="D5:E5"/>
    <mergeCell ref="B6:C6"/>
    <mergeCell ref="D6:E6"/>
    <mergeCell ref="L4:O5"/>
    <mergeCell ref="G4:J5"/>
  </mergeCells>
  <hyperlinks>
    <hyperlink ref="G4:J5" r:id="rId1" display="Real estate prices comparison in 2011-2020"/>
    <hyperlink ref="L4:O5" r:id="rId2" display="Rental prices comparison in 2011-2021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Q21"/>
  <sheetViews>
    <sheetView tabSelected="1" workbookViewId="0">
      <selection activeCell="H2" sqref="H2:O5"/>
    </sheetView>
  </sheetViews>
  <sheetFormatPr defaultColWidth="9" defaultRowHeight="15"/>
  <cols>
    <col min="2" max="2" width="11.1428571428571" customWidth="1"/>
    <col min="3" max="3" width="12.7142857142857" customWidth="1"/>
    <col min="4" max="4" width="16.8571428571429" customWidth="1"/>
  </cols>
  <sheetData>
    <row r="2" ht="15.75" spans="2:15">
      <c r="B2" s="179" t="s">
        <v>7</v>
      </c>
      <c r="C2" s="180" t="s">
        <v>8</v>
      </c>
      <c r="D2" s="181" t="s">
        <v>11</v>
      </c>
      <c r="H2" s="182" t="s">
        <v>12</v>
      </c>
      <c r="I2" s="187"/>
      <c r="J2" s="187"/>
      <c r="K2" s="187"/>
      <c r="L2" s="187"/>
      <c r="M2" s="187"/>
      <c r="N2" s="187"/>
      <c r="O2" s="187"/>
    </row>
    <row r="3" ht="15.75" customHeight="1" spans="2:17">
      <c r="B3" s="183">
        <v>2011</v>
      </c>
      <c r="C3" s="184">
        <v>1457.33</v>
      </c>
      <c r="D3" s="185"/>
      <c r="G3" s="186"/>
      <c r="H3" s="187"/>
      <c r="I3" s="187"/>
      <c r="J3" s="187"/>
      <c r="K3" s="187"/>
      <c r="L3" s="187"/>
      <c r="M3" s="187"/>
      <c r="N3" s="187"/>
      <c r="O3" s="187"/>
      <c r="P3" s="188"/>
      <c r="Q3" s="188"/>
    </row>
    <row r="4" ht="15.75" spans="2:17">
      <c r="B4" s="183">
        <v>2012</v>
      </c>
      <c r="C4" s="184">
        <v>1622.76</v>
      </c>
      <c r="D4" s="185"/>
      <c r="G4" s="188"/>
      <c r="H4" s="187"/>
      <c r="I4" s="187"/>
      <c r="J4" s="187"/>
      <c r="K4" s="187"/>
      <c r="L4" s="187"/>
      <c r="M4" s="187"/>
      <c r="N4" s="187"/>
      <c r="O4" s="187"/>
      <c r="P4" s="188"/>
      <c r="Q4" s="188"/>
    </row>
    <row r="5" ht="15.75" spans="2:17">
      <c r="B5" s="183">
        <v>2013</v>
      </c>
      <c r="C5" s="184">
        <v>2486.19</v>
      </c>
      <c r="D5" s="185"/>
      <c r="G5" s="188"/>
      <c r="H5" s="187"/>
      <c r="I5" s="187"/>
      <c r="J5" s="187"/>
      <c r="K5" s="187"/>
      <c r="L5" s="187"/>
      <c r="M5" s="187"/>
      <c r="N5" s="187"/>
      <c r="O5" s="187"/>
      <c r="P5" s="188"/>
      <c r="Q5" s="188"/>
    </row>
    <row r="6" ht="15.75" spans="2:4">
      <c r="B6" s="183">
        <v>2014</v>
      </c>
      <c r="C6" s="184">
        <v>2583.82</v>
      </c>
      <c r="D6" s="185"/>
    </row>
    <row r="7" ht="15.75" spans="2:4">
      <c r="B7" s="183">
        <v>2015</v>
      </c>
      <c r="C7" s="184">
        <v>2672</v>
      </c>
      <c r="D7" s="185"/>
    </row>
    <row r="8" ht="15.75" spans="2:4">
      <c r="B8" s="183">
        <v>2016</v>
      </c>
      <c r="C8" s="184">
        <v>3184.19</v>
      </c>
      <c r="D8" s="185"/>
    </row>
    <row r="9" ht="15.75" spans="2:4">
      <c r="B9" s="183">
        <v>2017</v>
      </c>
      <c r="C9" s="184">
        <v>3176.48</v>
      </c>
      <c r="D9" s="185"/>
    </row>
    <row r="10" ht="15.75" spans="2:4">
      <c r="B10" s="183">
        <v>2018</v>
      </c>
      <c r="C10" s="184">
        <v>4361.12</v>
      </c>
      <c r="D10" s="185"/>
    </row>
    <row r="11" ht="15.75" spans="2:4">
      <c r="B11" s="183">
        <v>2019</v>
      </c>
      <c r="C11" s="184">
        <v>5230</v>
      </c>
      <c r="D11" s="185"/>
    </row>
    <row r="12" ht="15.75" spans="2:4">
      <c r="B12" s="183">
        <v>2020</v>
      </c>
      <c r="C12" s="184">
        <v>5200.56</v>
      </c>
      <c r="D12" s="185"/>
    </row>
    <row r="13" ht="15.75" spans="2:4">
      <c r="B13" s="183">
        <v>2021</v>
      </c>
      <c r="C13" s="184">
        <v>6386.01</v>
      </c>
      <c r="D13" s="185"/>
    </row>
    <row r="14" ht="15.75" spans="2:4">
      <c r="B14" s="183">
        <v>2022</v>
      </c>
      <c r="C14" s="189"/>
      <c r="D14" s="190">
        <f>_xlfn.FORECAST.ETS(B14,$C$3:$C$13,$B$3:$B$13,1,1)</f>
        <v>6356.31347580123</v>
      </c>
    </row>
    <row r="15" ht="15.75" spans="2:4">
      <c r="B15" s="183">
        <v>2023</v>
      </c>
      <c r="C15" s="189"/>
      <c r="D15" s="190">
        <f>_xlfn.FORECAST.ETS(B15,$C$3:$C$13,$B$3:$B$13,1,1)</f>
        <v>6820.5005177948</v>
      </c>
    </row>
    <row r="16" ht="15.75" spans="2:4">
      <c r="B16" s="183">
        <v>2024</v>
      </c>
      <c r="C16" s="189"/>
      <c r="D16" s="190">
        <f>_xlfn.FORECAST.ETS(B16,$C$3:$C$13,$B$3:$B$13,1,1)</f>
        <v>7284.68755978838</v>
      </c>
    </row>
    <row r="17" ht="15.75" spans="2:4">
      <c r="B17" s="191">
        <v>2025</v>
      </c>
      <c r="C17" s="192"/>
      <c r="D17" s="193">
        <f>_xlfn.FORECAST.ETS(B17,$C$3:$C$13,$B$3:$B$13,1,1)</f>
        <v>7748.87460178195</v>
      </c>
    </row>
    <row r="21" spans="6:6">
      <c r="F21" s="194"/>
    </row>
  </sheetData>
  <mergeCells count="1">
    <mergeCell ref="H2:O5"/>
  </mergeCells>
  <pageMargins left="0.7" right="0.7" top="0.75" bottom="0.75" header="0.3" footer="0.3"/>
  <pageSetup paperSize="9" orientation="portrait"/>
  <headerFooter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P46"/>
  <sheetViews>
    <sheetView workbookViewId="0">
      <selection activeCell="H16" sqref="H16"/>
    </sheetView>
  </sheetViews>
  <sheetFormatPr defaultColWidth="9" defaultRowHeight="15"/>
  <cols>
    <col min="2" max="2" width="9.85714285714286" customWidth="1"/>
    <col min="3" max="3" width="12" customWidth="1"/>
    <col min="4" max="4" width="12.1428571428571" customWidth="1"/>
    <col min="5" max="6" width="13.4285714285714" customWidth="1"/>
  </cols>
  <sheetData>
    <row r="2" ht="15.75"/>
    <row r="3" spans="2:6">
      <c r="B3" s="155" t="s">
        <v>13</v>
      </c>
      <c r="C3" s="156"/>
      <c r="D3" s="156"/>
      <c r="E3" s="156"/>
      <c r="F3" s="157"/>
    </row>
    <row r="4" ht="15.75" spans="2:6">
      <c r="B4" s="158"/>
      <c r="C4" s="159"/>
      <c r="D4" s="159"/>
      <c r="E4" s="159"/>
      <c r="F4" s="160"/>
    </row>
    <row r="5" ht="16.5" spans="2:6">
      <c r="B5" s="161" t="s">
        <v>7</v>
      </c>
      <c r="C5" s="162" t="s">
        <v>14</v>
      </c>
      <c r="D5" s="162" t="s">
        <v>15</v>
      </c>
      <c r="E5" s="162" t="s">
        <v>16</v>
      </c>
      <c r="F5" s="163" t="s">
        <v>17</v>
      </c>
    </row>
    <row r="6" spans="2:6">
      <c r="B6" s="164">
        <v>2011</v>
      </c>
      <c r="C6" s="165">
        <v>1457.33</v>
      </c>
      <c r="D6" s="166">
        <v>1403.77</v>
      </c>
      <c r="E6" s="166">
        <v>1886.62</v>
      </c>
      <c r="F6" s="167">
        <v>2369.47</v>
      </c>
    </row>
    <row r="7" spans="2:6">
      <c r="B7" s="164">
        <v>2012</v>
      </c>
      <c r="C7" s="165">
        <v>1622.76</v>
      </c>
      <c r="D7" s="168">
        <v>1650.62</v>
      </c>
      <c r="E7" s="168">
        <v>2146.065</v>
      </c>
      <c r="F7" s="169">
        <v>2641.51</v>
      </c>
    </row>
    <row r="8" spans="2:6">
      <c r="B8" s="164">
        <v>2013</v>
      </c>
      <c r="C8" s="165">
        <v>2486.19</v>
      </c>
      <c r="D8" s="166">
        <v>1954.67</v>
      </c>
      <c r="E8" s="166">
        <v>2512.875</v>
      </c>
      <c r="F8" s="167">
        <v>3071.08</v>
      </c>
    </row>
    <row r="9" spans="2:6">
      <c r="B9" s="164">
        <v>2014</v>
      </c>
      <c r="C9" s="165">
        <v>2583.82</v>
      </c>
      <c r="D9" s="168">
        <v>2191.53</v>
      </c>
      <c r="E9" s="168">
        <v>2750.045</v>
      </c>
      <c r="F9" s="169">
        <v>3308.56</v>
      </c>
    </row>
    <row r="10" spans="2:6">
      <c r="B10" s="164">
        <v>2015</v>
      </c>
      <c r="C10" s="165">
        <v>2672</v>
      </c>
      <c r="D10" s="166">
        <v>2751.75</v>
      </c>
      <c r="E10" s="166">
        <v>3310.285</v>
      </c>
      <c r="F10" s="167">
        <v>3868.82</v>
      </c>
    </row>
    <row r="11" spans="2:6">
      <c r="B11" s="164">
        <v>2016</v>
      </c>
      <c r="C11" s="165">
        <v>3184.19</v>
      </c>
      <c r="D11" s="168">
        <v>3071.52</v>
      </c>
      <c r="E11" s="168">
        <v>3646.655</v>
      </c>
      <c r="F11" s="169">
        <v>4221.79</v>
      </c>
    </row>
    <row r="12" spans="2:6">
      <c r="B12" s="164">
        <v>2017</v>
      </c>
      <c r="C12" s="165">
        <v>3176.48</v>
      </c>
      <c r="D12" s="166">
        <v>3504.02</v>
      </c>
      <c r="E12" s="166">
        <v>4074.79</v>
      </c>
      <c r="F12" s="167">
        <v>4645.56</v>
      </c>
    </row>
    <row r="13" spans="2:6">
      <c r="B13" s="164">
        <v>2018</v>
      </c>
      <c r="C13" s="165">
        <v>4361.12</v>
      </c>
      <c r="D13" s="168">
        <v>3990.82</v>
      </c>
      <c r="E13" s="168">
        <v>4477.24</v>
      </c>
      <c r="F13" s="169">
        <v>4963.66</v>
      </c>
    </row>
    <row r="14" spans="2:6">
      <c r="B14" s="164">
        <v>2019</v>
      </c>
      <c r="C14" s="165">
        <v>5230</v>
      </c>
      <c r="D14" s="166">
        <v>4299.96</v>
      </c>
      <c r="E14" s="166">
        <v>4761.125</v>
      </c>
      <c r="F14" s="167">
        <v>5222.29</v>
      </c>
    </row>
    <row r="15" spans="2:6">
      <c r="B15" s="164">
        <v>2020</v>
      </c>
      <c r="C15" s="165">
        <v>5200.56</v>
      </c>
      <c r="D15" s="168">
        <v>4617.58</v>
      </c>
      <c r="E15" s="168">
        <v>4976.2</v>
      </c>
      <c r="F15" s="169">
        <v>5334.82</v>
      </c>
    </row>
    <row r="16" spans="2:6">
      <c r="B16" s="164">
        <v>2021</v>
      </c>
      <c r="C16" s="165">
        <v>6386.01</v>
      </c>
      <c r="D16" s="166">
        <v>5337.74</v>
      </c>
      <c r="E16" s="166">
        <v>5916.315</v>
      </c>
      <c r="F16" s="167">
        <v>6494.89</v>
      </c>
    </row>
    <row r="17" spans="2:6">
      <c r="B17" s="164">
        <v>2022</v>
      </c>
      <c r="C17" s="170">
        <v>6356.31347580123</v>
      </c>
      <c r="D17" s="170">
        <v>5731.51145950818</v>
      </c>
      <c r="E17" s="170">
        <v>6175.56578297565</v>
      </c>
      <c r="F17" s="171">
        <v>6501.65823141432</v>
      </c>
    </row>
    <row r="18" spans="2:6">
      <c r="B18" s="164">
        <v>2023</v>
      </c>
      <c r="C18" s="170">
        <v>6820.5005177948</v>
      </c>
      <c r="D18" s="170">
        <v>6239.62120262914</v>
      </c>
      <c r="E18" s="170">
        <v>6561.38084165886</v>
      </c>
      <c r="F18" s="171">
        <v>6882.70289913213</v>
      </c>
    </row>
    <row r="19" spans="2:6">
      <c r="B19" s="164">
        <v>2024</v>
      </c>
      <c r="C19" s="170">
        <v>7284.68755978838</v>
      </c>
      <c r="D19" s="170">
        <v>6747.73094575009</v>
      </c>
      <c r="E19" s="170">
        <v>6947.19590034206</v>
      </c>
      <c r="F19" s="171">
        <v>7263.74756684995</v>
      </c>
    </row>
    <row r="20" ht="15.75" spans="2:6">
      <c r="B20" s="172">
        <v>2025</v>
      </c>
      <c r="C20" s="173">
        <v>7748.87460178195</v>
      </c>
      <c r="D20" s="173">
        <v>7255.84068887105</v>
      </c>
      <c r="E20" s="173">
        <v>7333.01095902527</v>
      </c>
      <c r="F20" s="174">
        <v>7644.79223456777</v>
      </c>
    </row>
    <row r="23" ht="18.75" spans="10:16">
      <c r="J23" s="178" t="s">
        <v>18</v>
      </c>
      <c r="K23" s="178"/>
      <c r="L23" s="178"/>
      <c r="M23" s="178"/>
      <c r="N23" s="178"/>
      <c r="O23" s="178"/>
      <c r="P23" s="178"/>
    </row>
    <row r="25" ht="15.75"/>
    <row r="26" spans="2:6">
      <c r="B26" s="155" t="s">
        <v>19</v>
      </c>
      <c r="C26" s="156"/>
      <c r="D26" s="156"/>
      <c r="E26" s="156"/>
      <c r="F26" s="157"/>
    </row>
    <row r="27" ht="15.75" spans="2:6">
      <c r="B27" s="158"/>
      <c r="C27" s="159"/>
      <c r="D27" s="159"/>
      <c r="E27" s="159"/>
      <c r="F27" s="160"/>
    </row>
    <row r="28" ht="16.5" spans="2:6">
      <c r="B28" s="175" t="s">
        <v>7</v>
      </c>
      <c r="C28" s="176" t="s">
        <v>14</v>
      </c>
      <c r="D28" s="176" t="s">
        <v>15</v>
      </c>
      <c r="E28" s="176" t="s">
        <v>16</v>
      </c>
      <c r="F28" s="177" t="s">
        <v>17</v>
      </c>
    </row>
    <row r="29" spans="2:6">
      <c r="B29" s="164">
        <v>2011</v>
      </c>
      <c r="C29" s="168">
        <v>8.36</v>
      </c>
      <c r="D29" s="168">
        <v>6.17</v>
      </c>
      <c r="E29" s="168">
        <v>6.425</v>
      </c>
      <c r="F29" s="168">
        <v>6.68</v>
      </c>
    </row>
    <row r="30" spans="2:6">
      <c r="B30" s="164">
        <v>2012</v>
      </c>
      <c r="C30" s="168">
        <v>9.02</v>
      </c>
      <c r="D30" s="168">
        <v>6.74</v>
      </c>
      <c r="E30" s="168">
        <v>6.94</v>
      </c>
      <c r="F30" s="168">
        <v>7.14</v>
      </c>
    </row>
    <row r="31" spans="2:6">
      <c r="B31" s="164">
        <v>2013</v>
      </c>
      <c r="C31" s="168">
        <v>10.08</v>
      </c>
      <c r="D31" s="168">
        <v>7.4</v>
      </c>
      <c r="E31" s="168">
        <v>7.72</v>
      </c>
      <c r="F31" s="168">
        <v>8.04</v>
      </c>
    </row>
    <row r="32" spans="2:6">
      <c r="B32" s="164">
        <v>2014</v>
      </c>
      <c r="C32" s="168">
        <v>11.06</v>
      </c>
      <c r="D32" s="168">
        <v>8.07</v>
      </c>
      <c r="E32" s="168">
        <v>8.275</v>
      </c>
      <c r="F32" s="168">
        <v>8.48</v>
      </c>
    </row>
    <row r="33" spans="2:6">
      <c r="B33" s="164">
        <v>2015</v>
      </c>
      <c r="C33" s="168">
        <v>11.55</v>
      </c>
      <c r="D33" s="168">
        <v>8.77</v>
      </c>
      <c r="E33" s="168">
        <v>9.16</v>
      </c>
      <c r="F33" s="168">
        <v>9.55</v>
      </c>
    </row>
    <row r="34" spans="2:6">
      <c r="B34" s="164">
        <v>2016</v>
      </c>
      <c r="C34" s="168">
        <v>14.25</v>
      </c>
      <c r="D34" s="168">
        <v>10.69</v>
      </c>
      <c r="E34" s="168">
        <v>11.01</v>
      </c>
      <c r="F34" s="168">
        <v>11.33</v>
      </c>
    </row>
    <row r="35" spans="2:6">
      <c r="B35" s="164">
        <v>2017</v>
      </c>
      <c r="C35" s="168">
        <v>12.04</v>
      </c>
      <c r="D35" s="168">
        <v>10.12</v>
      </c>
      <c r="E35" s="168">
        <v>10.755</v>
      </c>
      <c r="F35" s="168">
        <v>11.39</v>
      </c>
    </row>
    <row r="36" spans="2:6">
      <c r="B36" s="164">
        <v>2018</v>
      </c>
      <c r="C36" s="168">
        <v>13.93</v>
      </c>
      <c r="D36" s="168">
        <v>10.99</v>
      </c>
      <c r="E36" s="168">
        <v>11.66</v>
      </c>
      <c r="F36" s="168">
        <v>12.33</v>
      </c>
    </row>
    <row r="37" spans="2:6">
      <c r="B37" s="164">
        <v>2019</v>
      </c>
      <c r="C37" s="168">
        <v>14.98</v>
      </c>
      <c r="D37" s="168">
        <v>11.63</v>
      </c>
      <c r="E37" s="168">
        <v>12.275</v>
      </c>
      <c r="F37" s="168">
        <v>12.92</v>
      </c>
    </row>
    <row r="38" spans="2:6">
      <c r="B38" s="164">
        <v>2020</v>
      </c>
      <c r="C38" s="168">
        <v>16.24</v>
      </c>
      <c r="D38" s="168">
        <v>12.83</v>
      </c>
      <c r="E38" s="168">
        <v>13.32</v>
      </c>
      <c r="F38" s="168">
        <v>13.81</v>
      </c>
    </row>
    <row r="39" spans="2:6">
      <c r="B39" s="164">
        <v>2021</v>
      </c>
      <c r="C39" s="168">
        <v>18.37</v>
      </c>
      <c r="D39" s="168">
        <v>14.12</v>
      </c>
      <c r="E39" s="168">
        <v>14.51</v>
      </c>
      <c r="F39" s="168">
        <v>14.9</v>
      </c>
    </row>
    <row r="40" spans="2:6">
      <c r="B40" s="164">
        <v>2022</v>
      </c>
      <c r="C40" s="170">
        <v>18.3301516974495</v>
      </c>
      <c r="D40" s="170">
        <v>14.4060834444648</v>
      </c>
      <c r="E40" s="170">
        <v>15.0361372458912</v>
      </c>
      <c r="F40" s="170">
        <v>15.6234112429954</v>
      </c>
    </row>
    <row r="41" spans="2:6">
      <c r="B41" s="164">
        <v>2023</v>
      </c>
      <c r="C41" s="170">
        <v>19.2360084409887</v>
      </c>
      <c r="D41" s="170">
        <v>15.1684140802468</v>
      </c>
      <c r="E41" s="170">
        <v>15.834516346174</v>
      </c>
      <c r="F41" s="170">
        <v>16.4584348527647</v>
      </c>
    </row>
    <row r="42" spans="2:6">
      <c r="B42" s="164">
        <v>2024</v>
      </c>
      <c r="C42" s="170">
        <v>20.1418651845279</v>
      </c>
      <c r="D42" s="170">
        <v>15.9307447160288</v>
      </c>
      <c r="E42" s="170">
        <v>16.6328954464569</v>
      </c>
      <c r="F42" s="170">
        <v>17.293458462534</v>
      </c>
    </row>
    <row r="43" ht="15.75" spans="2:6">
      <c r="B43" s="172">
        <v>2025</v>
      </c>
      <c r="C43" s="170">
        <v>21.0477219280671</v>
      </c>
      <c r="D43" s="170">
        <v>16.6930753518108</v>
      </c>
      <c r="E43" s="170">
        <v>17.4312745467398</v>
      </c>
      <c r="F43" s="170">
        <v>18.1284820723032</v>
      </c>
    </row>
    <row r="46" ht="18.75" spans="10:16">
      <c r="J46" s="178" t="s">
        <v>18</v>
      </c>
      <c r="K46" s="178"/>
      <c r="L46" s="178"/>
      <c r="M46" s="178"/>
      <c r="N46" s="178"/>
      <c r="O46" s="178"/>
      <c r="P46" s="178"/>
    </row>
  </sheetData>
  <mergeCells count="4">
    <mergeCell ref="J23:P23"/>
    <mergeCell ref="J46:P46"/>
    <mergeCell ref="B3:F4"/>
    <mergeCell ref="B26:F27"/>
  </mergeCells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4"/>
  <sheetViews>
    <sheetView workbookViewId="0">
      <selection activeCell="B3" sqref="B3:F4"/>
    </sheetView>
  </sheetViews>
  <sheetFormatPr defaultColWidth="9" defaultRowHeight="15"/>
  <cols>
    <col min="2" max="2" width="15.8571428571429" customWidth="1"/>
    <col min="3" max="3" width="17.5714285714286" customWidth="1"/>
    <col min="4" max="4" width="16.5714285714286" customWidth="1"/>
    <col min="5" max="5" width="18.4285714285714" style="111" customWidth="1"/>
    <col min="6" max="6" width="16" style="111" customWidth="1"/>
    <col min="7" max="7" width="10.4285714285714" customWidth="1"/>
    <col min="8" max="8" width="12.7142857142857" customWidth="1"/>
    <col min="9" max="9" width="17.1428571428571" customWidth="1"/>
    <col min="10" max="10" width="15.4285714285714" style="112" customWidth="1"/>
    <col min="11" max="11" width="15" customWidth="1"/>
    <col min="12" max="12" width="21.8571428571429" customWidth="1"/>
    <col min="13" max="13" width="13.8571428571429" customWidth="1"/>
  </cols>
  <sheetData>
    <row r="2" ht="15.75" spans="5:11">
      <c r="E2"/>
      <c r="G2" s="111"/>
      <c r="J2"/>
      <c r="K2" s="112"/>
    </row>
    <row r="3" customHeight="1" spans="2:12">
      <c r="B3" s="113" t="s">
        <v>20</v>
      </c>
      <c r="C3" s="114"/>
      <c r="D3" s="114"/>
      <c r="E3" s="114"/>
      <c r="F3" s="115"/>
      <c r="H3" s="113" t="s">
        <v>21</v>
      </c>
      <c r="I3" s="114"/>
      <c r="J3" s="114"/>
      <c r="K3" s="114"/>
      <c r="L3" s="115"/>
    </row>
    <row r="4" customHeight="1" spans="2:12">
      <c r="B4" s="116"/>
      <c r="C4" s="117"/>
      <c r="D4" s="117"/>
      <c r="E4" s="117"/>
      <c r="F4" s="118"/>
      <c r="H4" s="116"/>
      <c r="I4" s="117"/>
      <c r="J4" s="117"/>
      <c r="K4" s="117"/>
      <c r="L4" s="118"/>
    </row>
    <row r="5" s="110" customFormat="1" ht="15.75" spans="2:12">
      <c r="B5" s="119" t="s">
        <v>22</v>
      </c>
      <c r="C5" s="120" t="s">
        <v>23</v>
      </c>
      <c r="D5" s="121" t="s">
        <v>24</v>
      </c>
      <c r="E5" s="122" t="s">
        <v>25</v>
      </c>
      <c r="F5" s="123" t="s">
        <v>26</v>
      </c>
      <c r="H5" s="119" t="s">
        <v>22</v>
      </c>
      <c r="I5" s="149" t="s">
        <v>27</v>
      </c>
      <c r="J5" s="150" t="s">
        <v>24</v>
      </c>
      <c r="K5" s="151" t="s">
        <v>25</v>
      </c>
      <c r="L5" s="152" t="s">
        <v>28</v>
      </c>
    </row>
    <row r="6" spans="2:12">
      <c r="B6" s="124" t="s">
        <v>29</v>
      </c>
      <c r="C6" s="125">
        <v>6</v>
      </c>
      <c r="D6" s="126">
        <v>6386.01</v>
      </c>
      <c r="E6" s="126">
        <f>PRODUCT(35,D6)</f>
        <v>223510.35</v>
      </c>
      <c r="F6" s="127">
        <f>PRODUCT(E6,C6)</f>
        <v>1341062.1</v>
      </c>
      <c r="H6" s="124" t="s">
        <v>29</v>
      </c>
      <c r="I6" s="125">
        <v>2</v>
      </c>
      <c r="J6" s="126">
        <v>18.37</v>
      </c>
      <c r="K6" s="126">
        <f>PRODUCT(35,J6)</f>
        <v>642.95</v>
      </c>
      <c r="L6" s="127">
        <f>PRODUCT(K6,I6,12)</f>
        <v>15430.8</v>
      </c>
    </row>
    <row r="7" spans="2:12">
      <c r="B7" s="124" t="s">
        <v>30</v>
      </c>
      <c r="C7" s="125">
        <v>6</v>
      </c>
      <c r="D7" s="126">
        <v>5337.74</v>
      </c>
      <c r="E7" s="126">
        <f>PRODUCT(50,D7)</f>
        <v>266887</v>
      </c>
      <c r="F7" s="127">
        <f t="shared" ref="F7:F9" si="0">PRODUCT(E7,C7)</f>
        <v>1601322</v>
      </c>
      <c r="H7" s="124" t="s">
        <v>30</v>
      </c>
      <c r="I7" s="125">
        <v>6</v>
      </c>
      <c r="J7" s="126">
        <v>14.12</v>
      </c>
      <c r="K7" s="126">
        <f>PRODUCT(50,J7)</f>
        <v>706</v>
      </c>
      <c r="L7" s="127">
        <f t="shared" ref="L7:L9" si="1">PRODUCT(K7,I7,12)</f>
        <v>50832</v>
      </c>
    </row>
    <row r="8" spans="2:12">
      <c r="B8" s="124" t="s">
        <v>31</v>
      </c>
      <c r="C8" s="125">
        <v>6</v>
      </c>
      <c r="D8" s="126">
        <v>5916.315</v>
      </c>
      <c r="E8" s="126">
        <f>PRODUCT(80,D8)</f>
        <v>473305.2</v>
      </c>
      <c r="F8" s="127">
        <f t="shared" si="0"/>
        <v>2839831.2</v>
      </c>
      <c r="H8" s="124" t="s">
        <v>31</v>
      </c>
      <c r="I8" s="125">
        <v>6</v>
      </c>
      <c r="J8" s="126">
        <v>14.51</v>
      </c>
      <c r="K8" s="126">
        <f>PRODUCT(80,J8)</f>
        <v>1160.8</v>
      </c>
      <c r="L8" s="127">
        <f t="shared" si="1"/>
        <v>83577.6</v>
      </c>
    </row>
    <row r="9" spans="2:12">
      <c r="B9" s="124" t="s">
        <v>32</v>
      </c>
      <c r="C9" s="128">
        <v>2</v>
      </c>
      <c r="D9" s="129">
        <v>6494.89</v>
      </c>
      <c r="E9" s="129">
        <f>PRODUCT(100,D9)</f>
        <v>649489</v>
      </c>
      <c r="F9" s="130">
        <f t="shared" si="0"/>
        <v>1298978</v>
      </c>
      <c r="H9" s="124" t="s">
        <v>32</v>
      </c>
      <c r="I9" s="128">
        <v>6</v>
      </c>
      <c r="J9" s="129">
        <v>14.9</v>
      </c>
      <c r="K9" s="129">
        <f>PRODUCT(100,J9)</f>
        <v>1490</v>
      </c>
      <c r="L9" s="130">
        <f t="shared" si="1"/>
        <v>107280</v>
      </c>
    </row>
    <row r="10" ht="15.75" spans="2:12">
      <c r="B10" s="131" t="s">
        <v>33</v>
      </c>
      <c r="C10" s="132">
        <v>20</v>
      </c>
      <c r="D10" s="133"/>
      <c r="E10" s="134"/>
      <c r="F10" s="135">
        <f>SUM(F6:F9)</f>
        <v>7081193.3</v>
      </c>
      <c r="H10" s="131" t="s">
        <v>33</v>
      </c>
      <c r="I10" s="132">
        <v>20</v>
      </c>
      <c r="J10" s="153"/>
      <c r="K10" s="134"/>
      <c r="L10" s="135">
        <f>SUM(L6:L9)</f>
        <v>257120.4</v>
      </c>
    </row>
    <row r="12" ht="15.75"/>
    <row r="13" customHeight="1" spans="2:4">
      <c r="B13" s="113" t="s">
        <v>34</v>
      </c>
      <c r="C13" s="114"/>
      <c r="D13" s="115"/>
    </row>
    <row r="14" customHeight="1" spans="2:4">
      <c r="B14" s="116"/>
      <c r="C14" s="117"/>
      <c r="D14" s="118"/>
    </row>
    <row r="15" customHeight="1" spans="2:4">
      <c r="B15" s="136" t="s">
        <v>35</v>
      </c>
      <c r="C15" s="137" t="s">
        <v>36</v>
      </c>
      <c r="D15" s="138">
        <f>PRODUCT(350*40)</f>
        <v>14000</v>
      </c>
    </row>
    <row r="16" ht="15.75" spans="2:4">
      <c r="B16" s="139" t="s">
        <v>37</v>
      </c>
      <c r="C16" s="140" t="s">
        <v>38</v>
      </c>
      <c r="D16" s="141">
        <v>45000</v>
      </c>
    </row>
    <row r="20" spans="2:3">
      <c r="B20" s="142" t="s">
        <v>39</v>
      </c>
      <c r="C20" s="143">
        <f>SUM(F10,L10,D15,D16)</f>
        <v>7397313.7</v>
      </c>
    </row>
    <row r="25" customHeight="1" spans="2:10">
      <c r="B25" s="112"/>
      <c r="E25"/>
      <c r="F25"/>
      <c r="J25"/>
    </row>
    <row r="26" customHeight="1" spans="2:10">
      <c r="B26" s="112"/>
      <c r="E26"/>
      <c r="F26"/>
      <c r="J26"/>
    </row>
    <row r="27" s="110" customFormat="1" spans="5:10">
      <c r="E27" s="144"/>
      <c r="F27" s="144"/>
      <c r="J27" s="154"/>
    </row>
    <row r="28" spans="3:9">
      <c r="C28" s="112"/>
      <c r="D28" s="111"/>
      <c r="F28" s="145"/>
      <c r="G28" s="111"/>
      <c r="H28" s="146"/>
      <c r="I28" s="146"/>
    </row>
    <row r="29" spans="3:9">
      <c r="C29" s="112"/>
      <c r="D29" s="111"/>
      <c r="F29" s="145"/>
      <c r="G29" s="111"/>
      <c r="H29" s="146"/>
      <c r="I29" s="146"/>
    </row>
    <row r="30" spans="3:9">
      <c r="C30" s="112"/>
      <c r="D30" s="111"/>
      <c r="F30" s="145"/>
      <c r="G30" s="111"/>
      <c r="H30" s="146"/>
      <c r="I30" s="146"/>
    </row>
    <row r="31" spans="3:9">
      <c r="C31" s="112"/>
      <c r="D31" s="111"/>
      <c r="F31" s="145"/>
      <c r="G31" s="111"/>
      <c r="H31" s="146"/>
      <c r="I31" s="146"/>
    </row>
    <row r="32" spans="2:9">
      <c r="B32" s="110"/>
      <c r="C32" s="110"/>
      <c r="E32" s="144"/>
      <c r="F32" s="147"/>
      <c r="H32" s="148"/>
      <c r="I32" s="148"/>
    </row>
    <row r="34" spans="2:3">
      <c r="B34" s="110"/>
      <c r="C34" s="144"/>
    </row>
  </sheetData>
  <mergeCells count="3">
    <mergeCell ref="B3:F4"/>
    <mergeCell ref="H3:L4"/>
    <mergeCell ref="B13:D14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9"/>
  <sheetViews>
    <sheetView zoomScale="130" zoomScaleNormal="130" zoomScalePageLayoutView="200" topLeftCell="A3" workbookViewId="0">
      <pane xSplit="1" ySplit="1" topLeftCell="B88" activePane="bottomRight" state="frozen"/>
      <selection/>
      <selection pane="topRight"/>
      <selection pane="bottomLeft"/>
      <selection pane="bottomRight" activeCell="D98" sqref="D98"/>
    </sheetView>
  </sheetViews>
  <sheetFormatPr defaultColWidth="12.5714285714286" defaultRowHeight="15.75"/>
  <cols>
    <col min="1" max="1" width="21.2857142857143" style="3" customWidth="1"/>
    <col min="2" max="2" width="17.8571428571429" style="3" customWidth="1"/>
    <col min="3" max="5" width="17.5714285714286" style="3" customWidth="1"/>
    <col min="6" max="6" width="18.7142857142857" style="3" customWidth="1"/>
    <col min="7" max="7" width="15.7142857142857" style="3" customWidth="1"/>
    <col min="8" max="16384" width="12.5714285714286" style="3"/>
  </cols>
  <sheetData>
    <row r="1" spans="1:1">
      <c r="A1" s="3" t="s">
        <v>40</v>
      </c>
    </row>
    <row r="3" ht="19.5" customHeight="1" spans="2:6">
      <c r="B3" s="33">
        <v>2021</v>
      </c>
      <c r="C3" s="33">
        <v>2022</v>
      </c>
      <c r="D3" s="33">
        <v>2023</v>
      </c>
      <c r="E3" s="33">
        <v>2024</v>
      </c>
      <c r="F3" s="33">
        <v>2025</v>
      </c>
    </row>
    <row r="4" spans="1:1">
      <c r="A4" s="34" t="s">
        <v>41</v>
      </c>
    </row>
    <row r="5" ht="15" spans="1:6">
      <c r="A5" s="35" t="s">
        <v>42</v>
      </c>
      <c r="B5" s="36"/>
      <c r="C5" s="36"/>
      <c r="D5" s="36"/>
      <c r="E5" s="36"/>
      <c r="F5" s="37"/>
    </row>
    <row r="6" ht="15" spans="1:6">
      <c r="A6" s="38"/>
      <c r="B6" s="39"/>
      <c r="C6" s="39"/>
      <c r="D6" s="39"/>
      <c r="E6" s="39"/>
      <c r="F6" s="40"/>
    </row>
    <row r="7" spans="1:6">
      <c r="A7" s="41" t="s">
        <v>29</v>
      </c>
      <c r="B7" s="42">
        <v>6386.01</v>
      </c>
      <c r="C7" s="42">
        <v>6356.31347580123</v>
      </c>
      <c r="D7" s="42">
        <v>6820.5005177948</v>
      </c>
      <c r="E7" s="42">
        <v>7284.68755978838</v>
      </c>
      <c r="F7" s="43">
        <v>7748.87460178195</v>
      </c>
    </row>
    <row r="8" spans="1:6">
      <c r="A8" s="44" t="s">
        <v>43</v>
      </c>
      <c r="B8" s="45">
        <v>5337.74</v>
      </c>
      <c r="C8" s="45">
        <v>5731.51145950818</v>
      </c>
      <c r="D8" s="45">
        <v>6239.62120262914</v>
      </c>
      <c r="E8" s="45">
        <v>6747.73094575009</v>
      </c>
      <c r="F8" s="46">
        <v>7255.84068887105</v>
      </c>
    </row>
    <row r="9" spans="1:6">
      <c r="A9" s="44" t="s">
        <v>44</v>
      </c>
      <c r="B9" s="45">
        <v>5916.315</v>
      </c>
      <c r="C9" s="45">
        <v>6175.56578297565</v>
      </c>
      <c r="D9" s="45">
        <v>6561.38084165886</v>
      </c>
      <c r="E9" s="45">
        <v>6947.19590034206</v>
      </c>
      <c r="F9" s="46">
        <v>7333.01095902527</v>
      </c>
    </row>
    <row r="10" spans="1:6">
      <c r="A10" s="47" t="s">
        <v>45</v>
      </c>
      <c r="B10" s="48">
        <v>6494.89</v>
      </c>
      <c r="C10" s="48">
        <v>6501.65823141432</v>
      </c>
      <c r="D10" s="48">
        <v>6882.70289913213</v>
      </c>
      <c r="E10" s="48">
        <v>7263.74756684995</v>
      </c>
      <c r="F10" s="49">
        <v>7644.79223456777</v>
      </c>
    </row>
    <row r="11" spans="1:6">
      <c r="A11" s="50"/>
      <c r="B11" s="45"/>
      <c r="C11" s="45"/>
      <c r="D11" s="45"/>
      <c r="E11" s="45"/>
      <c r="F11" s="45"/>
    </row>
    <row r="12" spans="1:6">
      <c r="A12" s="51"/>
      <c r="B12" s="52"/>
      <c r="C12" s="52"/>
      <c r="D12" s="52"/>
      <c r="E12" s="52"/>
      <c r="F12" s="52"/>
    </row>
    <row r="13" ht="15" spans="1:6">
      <c r="A13" s="35" t="s">
        <v>46</v>
      </c>
      <c r="B13" s="36"/>
      <c r="C13" s="36"/>
      <c r="D13" s="36"/>
      <c r="E13" s="36"/>
      <c r="F13" s="37"/>
    </row>
    <row r="14" ht="15" spans="1:6">
      <c r="A14" s="38"/>
      <c r="B14" s="39"/>
      <c r="C14" s="39"/>
      <c r="D14" s="39"/>
      <c r="E14" s="39"/>
      <c r="F14" s="40"/>
    </row>
    <row r="15" spans="1:6">
      <c r="A15" s="41" t="s">
        <v>29</v>
      </c>
      <c r="B15" s="53">
        <v>18.37</v>
      </c>
      <c r="C15" s="53">
        <v>18.3301516974495</v>
      </c>
      <c r="D15" s="53">
        <v>19.2360084409887</v>
      </c>
      <c r="E15" s="53">
        <v>20.1418651845279</v>
      </c>
      <c r="F15" s="54">
        <v>21.0477219280671</v>
      </c>
    </row>
    <row r="16" spans="1:6">
      <c r="A16" s="44" t="s">
        <v>43</v>
      </c>
      <c r="B16" s="55">
        <v>14.12</v>
      </c>
      <c r="C16" s="55">
        <v>14.4060834444648</v>
      </c>
      <c r="D16" s="55">
        <v>15.1684140802468</v>
      </c>
      <c r="E16" s="55">
        <v>15.9307447160288</v>
      </c>
      <c r="F16" s="56">
        <v>16.6930753518108</v>
      </c>
    </row>
    <row r="17" spans="1:6">
      <c r="A17" s="44" t="s">
        <v>44</v>
      </c>
      <c r="B17" s="55">
        <v>14.51</v>
      </c>
      <c r="C17" s="55">
        <v>15.0361372458912</v>
      </c>
      <c r="D17" s="55">
        <v>15.834516346174</v>
      </c>
      <c r="E17" s="55">
        <v>16.6328954464569</v>
      </c>
      <c r="F17" s="56">
        <v>17.4312745467398</v>
      </c>
    </row>
    <row r="18" spans="1:6">
      <c r="A18" s="47" t="s">
        <v>45</v>
      </c>
      <c r="B18" s="57">
        <v>14.9</v>
      </c>
      <c r="C18" s="57">
        <v>15.6234112429954</v>
      </c>
      <c r="D18" s="57">
        <v>16.4584348527647</v>
      </c>
      <c r="E18" s="57">
        <v>17.293458462534</v>
      </c>
      <c r="F18" s="58">
        <v>18.1284820723032</v>
      </c>
    </row>
    <row r="19" spans="1:6">
      <c r="A19" s="50"/>
      <c r="B19" s="55"/>
      <c r="C19" s="55"/>
      <c r="D19" s="55"/>
      <c r="E19" s="55"/>
      <c r="F19" s="55"/>
    </row>
    <row r="20" spans="1:6">
      <c r="A20" s="51"/>
      <c r="B20" s="52"/>
      <c r="C20" s="52"/>
      <c r="D20" s="52"/>
      <c r="E20" s="52"/>
      <c r="F20" s="52"/>
    </row>
    <row r="21" ht="15" spans="1:6">
      <c r="A21" s="59" t="s">
        <v>47</v>
      </c>
      <c r="B21" s="60"/>
      <c r="C21" s="60"/>
      <c r="D21" s="60"/>
      <c r="E21" s="60"/>
      <c r="F21" s="61"/>
    </row>
    <row r="22" ht="15" spans="1:6">
      <c r="A22" s="62"/>
      <c r="B22" s="63"/>
      <c r="C22" s="63"/>
      <c r="D22" s="63"/>
      <c r="E22" s="63"/>
      <c r="F22" s="64"/>
    </row>
    <row r="23" spans="1:6">
      <c r="A23" s="65" t="s">
        <v>29</v>
      </c>
      <c r="B23" s="66">
        <f>PRODUCT(B7,35)</f>
        <v>223510.35</v>
      </c>
      <c r="C23" s="66">
        <f t="shared" ref="C23:F23" si="0">PRODUCT(C7,35)</f>
        <v>222470.971653043</v>
      </c>
      <c r="D23" s="66">
        <f t="shared" si="0"/>
        <v>238717.518122818</v>
      </c>
      <c r="E23" s="66">
        <f t="shared" si="0"/>
        <v>254964.064592593</v>
      </c>
      <c r="F23" s="67">
        <f t="shared" si="0"/>
        <v>271210.611062368</v>
      </c>
    </row>
    <row r="24" spans="1:6">
      <c r="A24" s="65" t="s">
        <v>43</v>
      </c>
      <c r="B24" s="66">
        <f>PRODUCT(B8,50)</f>
        <v>266887</v>
      </c>
      <c r="C24" s="66">
        <f t="shared" ref="C24:F24" si="1">PRODUCT(C8,50)</f>
        <v>286575.572975409</v>
      </c>
      <c r="D24" s="66">
        <f t="shared" si="1"/>
        <v>311981.060131457</v>
      </c>
      <c r="E24" s="66">
        <f t="shared" si="1"/>
        <v>337386.547287505</v>
      </c>
      <c r="F24" s="67">
        <f t="shared" si="1"/>
        <v>362792.034443552</v>
      </c>
    </row>
    <row r="25" spans="1:6">
      <c r="A25" s="65" t="s">
        <v>44</v>
      </c>
      <c r="B25" s="66">
        <f>PRODUCT(B9,80)</f>
        <v>473305.2</v>
      </c>
      <c r="C25" s="66">
        <f>PRODUCT(C9,80)</f>
        <v>494045.262638052</v>
      </c>
      <c r="D25" s="66">
        <f>PRODUCT(D9,80)</f>
        <v>524910.467332709</v>
      </c>
      <c r="E25" s="66">
        <f>PRODUCT(E9,80)</f>
        <v>555775.672027365</v>
      </c>
      <c r="F25" s="67">
        <f>PRODUCT(F9,80)</f>
        <v>586640.876722021</v>
      </c>
    </row>
    <row r="26" spans="1:7">
      <c r="A26" s="68" t="s">
        <v>45</v>
      </c>
      <c r="B26" s="69">
        <f>PRODUCT(B10,100)</f>
        <v>649489</v>
      </c>
      <c r="C26" s="69">
        <f t="shared" ref="C26:F26" si="2">PRODUCT(C10,100)</f>
        <v>650165.823141432</v>
      </c>
      <c r="D26" s="69">
        <f t="shared" si="2"/>
        <v>688270.289913213</v>
      </c>
      <c r="E26" s="69">
        <f t="shared" si="2"/>
        <v>726374.756684995</v>
      </c>
      <c r="F26" s="70">
        <f t="shared" si="2"/>
        <v>764479.223456777</v>
      </c>
      <c r="G26" s="71"/>
    </row>
    <row r="27" spans="1:7">
      <c r="A27" s="72"/>
      <c r="B27" s="66"/>
      <c r="C27" s="66"/>
      <c r="D27" s="66"/>
      <c r="E27" s="66"/>
      <c r="F27" s="66"/>
      <c r="G27" s="71"/>
    </row>
    <row r="28" spans="1:7">
      <c r="A28" s="73"/>
      <c r="B28" s="52"/>
      <c r="C28" s="52"/>
      <c r="D28" s="52"/>
      <c r="E28" s="52"/>
      <c r="F28" s="52"/>
      <c r="G28" s="71"/>
    </row>
    <row r="29" spans="1:7">
      <c r="A29" s="59" t="s">
        <v>48</v>
      </c>
      <c r="B29" s="60"/>
      <c r="C29" s="60"/>
      <c r="D29" s="60"/>
      <c r="E29" s="60"/>
      <c r="F29" s="61"/>
      <c r="G29" s="71"/>
    </row>
    <row r="30" spans="1:7">
      <c r="A30" s="62"/>
      <c r="B30" s="63"/>
      <c r="C30" s="63"/>
      <c r="D30" s="63"/>
      <c r="E30" s="63"/>
      <c r="F30" s="64"/>
      <c r="G30" s="71"/>
    </row>
    <row r="31" spans="1:7">
      <c r="A31" s="74" t="s">
        <v>29</v>
      </c>
      <c r="B31" s="45">
        <f>PRODUCT(B15,35)</f>
        <v>642.95</v>
      </c>
      <c r="C31" s="45">
        <f t="shared" ref="C31:F31" si="3">PRODUCT(C15,35)</f>
        <v>641.555309410732</v>
      </c>
      <c r="D31" s="45">
        <f t="shared" si="3"/>
        <v>673.260295434604</v>
      </c>
      <c r="E31" s="45">
        <f t="shared" si="3"/>
        <v>704.965281458477</v>
      </c>
      <c r="F31" s="46">
        <f t="shared" si="3"/>
        <v>736.670267482349</v>
      </c>
      <c r="G31" s="71"/>
    </row>
    <row r="32" spans="1:7">
      <c r="A32" s="44" t="s">
        <v>43</v>
      </c>
      <c r="B32" s="55">
        <f>PRODUCT(B16,50)</f>
        <v>706</v>
      </c>
      <c r="C32" s="55">
        <f t="shared" ref="C32:F32" si="4">PRODUCT(C16,50)</f>
        <v>720.304172223239</v>
      </c>
      <c r="D32" s="55">
        <f t="shared" si="4"/>
        <v>758.420704012339</v>
      </c>
      <c r="E32" s="55">
        <f t="shared" si="4"/>
        <v>796.53723580144</v>
      </c>
      <c r="F32" s="56">
        <f t="shared" si="4"/>
        <v>834.65376759054</v>
      </c>
      <c r="G32" s="71"/>
    </row>
    <row r="33" spans="1:7">
      <c r="A33" s="44" t="s">
        <v>44</v>
      </c>
      <c r="B33" s="45">
        <f>PRODUCT(B17,80)</f>
        <v>1160.8</v>
      </c>
      <c r="C33" s="45">
        <f>PRODUCT(C17,80)</f>
        <v>1202.89097967129</v>
      </c>
      <c r="D33" s="45">
        <f>PRODUCT(D17,80)</f>
        <v>1266.76130769392</v>
      </c>
      <c r="E33" s="45">
        <f>PRODUCT(E17,80)</f>
        <v>1330.63163571655</v>
      </c>
      <c r="F33" s="46">
        <f>PRODUCT(F17,80)</f>
        <v>1394.50196373918</v>
      </c>
      <c r="G33" s="71"/>
    </row>
    <row r="34" spans="1:7">
      <c r="A34" s="47" t="s">
        <v>45</v>
      </c>
      <c r="B34" s="48">
        <f>PRODUCT(B18,100)</f>
        <v>1490</v>
      </c>
      <c r="C34" s="48">
        <f t="shared" ref="C34:F34" si="5">PRODUCT(C18,100)</f>
        <v>1562.34112429954</v>
      </c>
      <c r="D34" s="48">
        <f t="shared" si="5"/>
        <v>1645.84348527647</v>
      </c>
      <c r="E34" s="48">
        <f t="shared" si="5"/>
        <v>1729.3458462534</v>
      </c>
      <c r="F34" s="49">
        <f t="shared" si="5"/>
        <v>1812.84820723032</v>
      </c>
      <c r="G34" s="71"/>
    </row>
    <row r="35" spans="1:7">
      <c r="A35" s="51"/>
      <c r="B35" s="75"/>
      <c r="C35" s="75"/>
      <c r="D35" s="75"/>
      <c r="E35" s="75"/>
      <c r="F35" s="75"/>
      <c r="G35" s="71"/>
    </row>
    <row r="36" spans="1:7">
      <c r="A36" s="51"/>
      <c r="B36" s="75"/>
      <c r="C36" s="75"/>
      <c r="D36" s="75"/>
      <c r="E36" s="75"/>
      <c r="F36" s="75"/>
      <c r="G36" s="71"/>
    </row>
    <row r="37" spans="1:7">
      <c r="A37" s="76" t="s">
        <v>49</v>
      </c>
      <c r="B37" s="75"/>
      <c r="C37" s="75"/>
      <c r="D37" s="75"/>
      <c r="E37" s="75"/>
      <c r="F37" s="75"/>
      <c r="G37" s="71"/>
    </row>
    <row r="38" ht="31.5" spans="1:7">
      <c r="A38" s="77" t="s">
        <v>50</v>
      </c>
      <c r="B38" s="78">
        <v>40</v>
      </c>
      <c r="C38" s="78">
        <v>50</v>
      </c>
      <c r="D38" s="78">
        <v>60</v>
      </c>
      <c r="E38" s="78">
        <v>75</v>
      </c>
      <c r="F38" s="78">
        <v>92</v>
      </c>
      <c r="G38" s="79">
        <f>SUM(B38:F38)</f>
        <v>317</v>
      </c>
    </row>
    <row r="40" spans="1:7">
      <c r="A40" s="80" t="s">
        <v>23</v>
      </c>
      <c r="B40" s="12"/>
      <c r="C40" s="12"/>
      <c r="D40" s="12"/>
      <c r="E40" s="12"/>
      <c r="F40" s="12"/>
      <c r="G40" s="71"/>
    </row>
    <row r="41" spans="1:7">
      <c r="A41" s="81" t="s">
        <v>29</v>
      </c>
      <c r="B41" s="82">
        <v>2</v>
      </c>
      <c r="C41" s="83">
        <v>2</v>
      </c>
      <c r="D41" s="83">
        <v>2</v>
      </c>
      <c r="E41" s="83">
        <v>2</v>
      </c>
      <c r="F41" s="84">
        <v>2</v>
      </c>
      <c r="G41" s="85">
        <f t="shared" ref="G41:G45" si="6">SUM(B41:F41)</f>
        <v>10</v>
      </c>
    </row>
    <row r="42" spans="1:7">
      <c r="A42" s="81" t="s">
        <v>43</v>
      </c>
      <c r="B42" s="86">
        <v>6</v>
      </c>
      <c r="C42" s="87">
        <v>9</v>
      </c>
      <c r="D42" s="87">
        <v>10</v>
      </c>
      <c r="E42" s="87">
        <v>12</v>
      </c>
      <c r="F42" s="88">
        <v>15</v>
      </c>
      <c r="G42" s="85">
        <f t="shared" si="6"/>
        <v>52</v>
      </c>
    </row>
    <row r="43" spans="1:9">
      <c r="A43" s="81" t="s">
        <v>44</v>
      </c>
      <c r="B43" s="86">
        <v>6</v>
      </c>
      <c r="C43" s="87">
        <v>7</v>
      </c>
      <c r="D43" s="87">
        <v>9</v>
      </c>
      <c r="E43" s="87">
        <v>13</v>
      </c>
      <c r="F43" s="88">
        <v>19</v>
      </c>
      <c r="G43" s="85">
        <f t="shared" si="6"/>
        <v>54</v>
      </c>
      <c r="I43" s="12"/>
    </row>
    <row r="44" spans="1:7">
      <c r="A44" s="81" t="s">
        <v>45</v>
      </c>
      <c r="B44" s="89">
        <v>6</v>
      </c>
      <c r="C44" s="90">
        <v>7</v>
      </c>
      <c r="D44" s="90">
        <v>9</v>
      </c>
      <c r="E44" s="90">
        <v>13</v>
      </c>
      <c r="F44" s="91">
        <v>19</v>
      </c>
      <c r="G44" s="85">
        <f t="shared" si="6"/>
        <v>54</v>
      </c>
    </row>
    <row r="45" ht="16.5" spans="1:7">
      <c r="A45" s="92" t="s">
        <v>33</v>
      </c>
      <c r="B45" s="93">
        <f t="shared" ref="B45:F45" si="7">SUM(B41:B44)</f>
        <v>20</v>
      </c>
      <c r="C45" s="93">
        <f t="shared" si="7"/>
        <v>25</v>
      </c>
      <c r="D45" s="93">
        <f t="shared" si="7"/>
        <v>30</v>
      </c>
      <c r="E45" s="93">
        <f t="shared" si="7"/>
        <v>40</v>
      </c>
      <c r="F45" s="93">
        <f t="shared" si="7"/>
        <v>55</v>
      </c>
      <c r="G45" s="94">
        <f t="shared" si="6"/>
        <v>170</v>
      </c>
    </row>
    <row r="46" spans="1:6">
      <c r="A46" s="92"/>
      <c r="B46" s="95"/>
      <c r="C46" s="95"/>
      <c r="D46" s="95"/>
      <c r="E46" s="95"/>
      <c r="F46" s="95"/>
    </row>
    <row r="47" spans="1:7">
      <c r="A47" s="80" t="s">
        <v>51</v>
      </c>
      <c r="G47" s="71"/>
    </row>
    <row r="48" spans="1:7">
      <c r="A48" s="81" t="s">
        <v>29</v>
      </c>
      <c r="B48" s="86">
        <v>2</v>
      </c>
      <c r="C48" s="87">
        <v>2</v>
      </c>
      <c r="D48" s="87">
        <v>1</v>
      </c>
      <c r="E48" s="87">
        <v>1</v>
      </c>
      <c r="F48" s="88">
        <v>1</v>
      </c>
      <c r="G48" s="85">
        <f t="shared" ref="G48:G52" si="8">SUM(B48:F48)</f>
        <v>7</v>
      </c>
    </row>
    <row r="49" spans="1:7">
      <c r="A49" s="81" t="s">
        <v>43</v>
      </c>
      <c r="B49" s="86">
        <v>6</v>
      </c>
      <c r="C49" s="87">
        <v>9</v>
      </c>
      <c r="D49" s="87">
        <v>11</v>
      </c>
      <c r="E49" s="87">
        <v>12</v>
      </c>
      <c r="F49" s="88">
        <v>10</v>
      </c>
      <c r="G49" s="85">
        <f t="shared" si="8"/>
        <v>48</v>
      </c>
    </row>
    <row r="50" spans="1:7">
      <c r="A50" s="81" t="s">
        <v>44</v>
      </c>
      <c r="B50" s="86">
        <v>6</v>
      </c>
      <c r="C50" s="87">
        <v>7</v>
      </c>
      <c r="D50" s="87">
        <v>9</v>
      </c>
      <c r="E50" s="87">
        <v>11</v>
      </c>
      <c r="F50" s="88">
        <v>13</v>
      </c>
      <c r="G50" s="85">
        <f t="shared" si="8"/>
        <v>46</v>
      </c>
    </row>
    <row r="51" spans="1:7">
      <c r="A51" s="81" t="s">
        <v>45</v>
      </c>
      <c r="B51" s="89">
        <v>6</v>
      </c>
      <c r="C51" s="90">
        <v>7</v>
      </c>
      <c r="D51" s="90">
        <v>9</v>
      </c>
      <c r="E51" s="90">
        <v>11</v>
      </c>
      <c r="F51" s="91">
        <v>13</v>
      </c>
      <c r="G51" s="85">
        <f t="shared" si="8"/>
        <v>46</v>
      </c>
    </row>
    <row r="52" ht="16.5" spans="1:7">
      <c r="A52" s="92" t="s">
        <v>33</v>
      </c>
      <c r="B52" s="93">
        <f>SUM(B48:B51)</f>
        <v>20</v>
      </c>
      <c r="C52" s="93">
        <f t="shared" ref="C52" si="9">SUM(C48:C51)</f>
        <v>25</v>
      </c>
      <c r="D52" s="93">
        <f t="shared" ref="D52" si="10">SUM(D48:D51)</f>
        <v>30</v>
      </c>
      <c r="E52" s="93">
        <f t="shared" ref="E52" si="11">SUM(E48:E51)</f>
        <v>35</v>
      </c>
      <c r="F52" s="93">
        <f t="shared" ref="F52" si="12">SUM(F48:F51)</f>
        <v>37</v>
      </c>
      <c r="G52" s="94">
        <f t="shared" si="8"/>
        <v>147</v>
      </c>
    </row>
    <row r="53" spans="1:7">
      <c r="A53" s="92"/>
      <c r="B53" s="71"/>
      <c r="C53" s="71"/>
      <c r="D53" s="71"/>
      <c r="E53" s="71"/>
      <c r="F53" s="71"/>
      <c r="G53" s="85"/>
    </row>
    <row r="54" spans="1:7">
      <c r="A54" s="80" t="s">
        <v>52</v>
      </c>
      <c r="B54" s="87">
        <v>5</v>
      </c>
      <c r="C54" s="87">
        <v>6</v>
      </c>
      <c r="D54" s="87">
        <v>7</v>
      </c>
      <c r="E54" s="87">
        <v>9</v>
      </c>
      <c r="F54" s="87">
        <v>10</v>
      </c>
      <c r="G54" s="85">
        <f>SUM(B54:F54)</f>
        <v>37</v>
      </c>
    </row>
    <row r="55" spans="1:7">
      <c r="A55" s="87"/>
      <c r="B55" s="87"/>
      <c r="C55" s="87"/>
      <c r="D55" s="87"/>
      <c r="E55" s="87"/>
      <c r="F55" s="87"/>
      <c r="G55" s="85"/>
    </row>
    <row r="56" spans="7:7">
      <c r="G56" s="85"/>
    </row>
    <row r="57" ht="18" customHeight="1" spans="1:2">
      <c r="A57" s="96" t="s">
        <v>53</v>
      </c>
      <c r="B57" s="96"/>
    </row>
    <row r="58" spans="1:7">
      <c r="A58" s="81" t="s">
        <v>29</v>
      </c>
      <c r="B58" s="22">
        <f>PRODUCT(B23,B41)</f>
        <v>447020.7</v>
      </c>
      <c r="C58" s="22">
        <f t="shared" ref="C58:F58" si="13">PRODUCT(C23,C41)</f>
        <v>444941.943306086</v>
      </c>
      <c r="D58" s="22">
        <f t="shared" si="13"/>
        <v>477435.036245636</v>
      </c>
      <c r="E58" s="22">
        <f t="shared" si="13"/>
        <v>509928.129185186</v>
      </c>
      <c r="F58" s="22">
        <f t="shared" si="13"/>
        <v>542421.222124736</v>
      </c>
      <c r="G58" s="21">
        <f t="shared" ref="G58:G61" si="14">SUM(B58:F58)</f>
        <v>2421747.03086164</v>
      </c>
    </row>
    <row r="59" spans="1:7">
      <c r="A59" s="81" t="s">
        <v>43</v>
      </c>
      <c r="B59" s="22">
        <f t="shared" ref="B59:F59" si="15">PRODUCT(B24,B42)</f>
        <v>1601322</v>
      </c>
      <c r="C59" s="22">
        <f t="shared" si="15"/>
        <v>2579180.15677868</v>
      </c>
      <c r="D59" s="22">
        <f t="shared" si="15"/>
        <v>3119810.60131457</v>
      </c>
      <c r="E59" s="22">
        <f t="shared" si="15"/>
        <v>4048638.56745006</v>
      </c>
      <c r="F59" s="22">
        <f t="shared" si="15"/>
        <v>5441880.51665329</v>
      </c>
      <c r="G59" s="21">
        <f t="shared" si="14"/>
        <v>16790831.8421966</v>
      </c>
    </row>
    <row r="60" spans="1:7">
      <c r="A60" s="81" t="s">
        <v>44</v>
      </c>
      <c r="B60" s="22">
        <f t="shared" ref="B60:F60" si="16">PRODUCT(B25,B43)</f>
        <v>2839831.2</v>
      </c>
      <c r="C60" s="22">
        <f t="shared" si="16"/>
        <v>3458316.83846636</v>
      </c>
      <c r="D60" s="22">
        <f t="shared" si="16"/>
        <v>4724194.20599438</v>
      </c>
      <c r="E60" s="22">
        <f t="shared" si="16"/>
        <v>7225083.73635574</v>
      </c>
      <c r="F60" s="22">
        <f t="shared" si="16"/>
        <v>11146176.6577184</v>
      </c>
      <c r="G60" s="21">
        <f t="shared" si="14"/>
        <v>29393602.6385349</v>
      </c>
    </row>
    <row r="61" spans="1:7">
      <c r="A61" s="81" t="s">
        <v>45</v>
      </c>
      <c r="B61" s="22">
        <f t="shared" ref="B61:F61" si="17">PRODUCT(B26,B44)</f>
        <v>3896934</v>
      </c>
      <c r="C61" s="22">
        <f t="shared" si="17"/>
        <v>4551160.76199002</v>
      </c>
      <c r="D61" s="22">
        <f t="shared" si="17"/>
        <v>6194432.60921892</v>
      </c>
      <c r="E61" s="22">
        <f t="shared" si="17"/>
        <v>9442871.83690494</v>
      </c>
      <c r="F61" s="22">
        <f t="shared" si="17"/>
        <v>14525105.2456788</v>
      </c>
      <c r="G61" s="21">
        <f t="shared" si="14"/>
        <v>38610504.4537926</v>
      </c>
    </row>
    <row r="62" ht="16.5" spans="1:6">
      <c r="A62" s="76" t="s">
        <v>33</v>
      </c>
      <c r="B62" s="97">
        <f t="shared" ref="B62:F62" si="18">SUM(B58:B61)</f>
        <v>8785107.9</v>
      </c>
      <c r="C62" s="97">
        <f t="shared" si="18"/>
        <v>11033599.7005412</v>
      </c>
      <c r="D62" s="97">
        <f t="shared" si="18"/>
        <v>14515872.4527735</v>
      </c>
      <c r="E62" s="97">
        <f t="shared" si="18"/>
        <v>21226522.2698959</v>
      </c>
      <c r="F62" s="97">
        <f t="shared" si="18"/>
        <v>31655583.6421752</v>
      </c>
    </row>
    <row r="63" spans="1:6">
      <c r="A63" s="51"/>
      <c r="B63" s="52"/>
      <c r="C63" s="52"/>
      <c r="D63" s="52"/>
      <c r="E63" s="52"/>
      <c r="F63" s="52"/>
    </row>
    <row r="64" spans="1:6">
      <c r="A64" s="51"/>
      <c r="B64" s="52"/>
      <c r="C64" s="52"/>
      <c r="D64" s="52"/>
      <c r="E64" s="52"/>
      <c r="F64" s="52"/>
    </row>
    <row r="65" spans="1:6">
      <c r="A65" s="96" t="s">
        <v>54</v>
      </c>
      <c r="B65" s="96"/>
      <c r="C65" s="96"/>
      <c r="D65" s="98"/>
      <c r="E65" s="98"/>
      <c r="F65" s="98"/>
    </row>
    <row r="66" spans="1:7">
      <c r="A66" s="81" t="s">
        <v>29</v>
      </c>
      <c r="B66" s="22">
        <f>PRODUCT(B31,B48,12)</f>
        <v>15430.8</v>
      </c>
      <c r="C66" s="22">
        <f t="shared" ref="C66:F66" si="19">PRODUCT(C31,C48,12)</f>
        <v>15397.3274258576</v>
      </c>
      <c r="D66" s="22">
        <f t="shared" si="19"/>
        <v>8079.12354521525</v>
      </c>
      <c r="E66" s="22">
        <f t="shared" si="19"/>
        <v>8459.58337750172</v>
      </c>
      <c r="F66" s="22">
        <f t="shared" si="19"/>
        <v>8840.04320978819</v>
      </c>
      <c r="G66" s="21">
        <f t="shared" ref="G66:G69" si="20">SUM(B66:F66)</f>
        <v>56206.8775583627</v>
      </c>
    </row>
    <row r="67" spans="1:7">
      <c r="A67" s="81" t="s">
        <v>43</v>
      </c>
      <c r="B67" s="22">
        <f t="shared" ref="B67:F67" si="21">PRODUCT(B32,B49,12)</f>
        <v>50832</v>
      </c>
      <c r="C67" s="22">
        <f t="shared" si="21"/>
        <v>77792.8506001098</v>
      </c>
      <c r="D67" s="22">
        <f t="shared" si="21"/>
        <v>100111.532929629</v>
      </c>
      <c r="E67" s="22">
        <f t="shared" si="21"/>
        <v>114701.361955407</v>
      </c>
      <c r="F67" s="22">
        <f t="shared" si="21"/>
        <v>100158.452110865</v>
      </c>
      <c r="G67" s="21">
        <f t="shared" si="20"/>
        <v>443596.197596011</v>
      </c>
    </row>
    <row r="68" spans="1:7">
      <c r="A68" s="81" t="s">
        <v>44</v>
      </c>
      <c r="B68" s="22">
        <f t="shared" ref="B68:F68" si="22">PRODUCT(B33,B50,12)</f>
        <v>83577.6</v>
      </c>
      <c r="C68" s="22">
        <f t="shared" si="22"/>
        <v>101042.842292389</v>
      </c>
      <c r="D68" s="22">
        <f t="shared" si="22"/>
        <v>136810.221230944</v>
      </c>
      <c r="E68" s="22">
        <f t="shared" si="22"/>
        <v>175643.375914585</v>
      </c>
      <c r="F68" s="22">
        <f t="shared" si="22"/>
        <v>217542.306343312</v>
      </c>
      <c r="G68" s="21">
        <f t="shared" si="20"/>
        <v>714616.34578123</v>
      </c>
    </row>
    <row r="69" spans="1:7">
      <c r="A69" s="81" t="s">
        <v>45</v>
      </c>
      <c r="B69" s="22">
        <f t="shared" ref="B69:F69" si="23">PRODUCT(B34,B51,12)</f>
        <v>107280</v>
      </c>
      <c r="C69" s="22">
        <f t="shared" si="23"/>
        <v>131236.654441161</v>
      </c>
      <c r="D69" s="22">
        <f t="shared" si="23"/>
        <v>177751.096409859</v>
      </c>
      <c r="E69" s="22">
        <f t="shared" si="23"/>
        <v>228273.651705448</v>
      </c>
      <c r="F69" s="22">
        <f t="shared" si="23"/>
        <v>282804.320327931</v>
      </c>
      <c r="G69" s="21">
        <f t="shared" si="20"/>
        <v>927345.722884399</v>
      </c>
    </row>
    <row r="70" ht="16.5" spans="1:6">
      <c r="A70" s="76" t="s">
        <v>33</v>
      </c>
      <c r="B70" s="97">
        <f t="shared" ref="B70:F70" si="24">SUM(B66:B69)</f>
        <v>257120.4</v>
      </c>
      <c r="C70" s="97">
        <f t="shared" si="24"/>
        <v>325469.674759517</v>
      </c>
      <c r="D70" s="97">
        <f t="shared" si="24"/>
        <v>422751.974115646</v>
      </c>
      <c r="E70" s="97">
        <f t="shared" si="24"/>
        <v>527077.972952942</v>
      </c>
      <c r="F70" s="97">
        <f t="shared" si="24"/>
        <v>609345.121991896</v>
      </c>
    </row>
    <row r="71" spans="1:6">
      <c r="A71" s="98"/>
      <c r="B71" s="98"/>
      <c r="C71" s="98"/>
      <c r="D71" s="98"/>
      <c r="E71" s="98"/>
      <c r="F71" s="98"/>
    </row>
    <row r="72" spans="1:6">
      <c r="A72" s="96" t="s">
        <v>55</v>
      </c>
      <c r="B72" s="96"/>
      <c r="C72" s="96"/>
      <c r="D72" s="98"/>
      <c r="E72" s="98"/>
      <c r="F72" s="98"/>
    </row>
    <row r="73" spans="1:6">
      <c r="A73" s="98"/>
      <c r="B73" s="99">
        <f>PRODUCT(B54,30,12)</f>
        <v>1800</v>
      </c>
      <c r="C73" s="99">
        <f t="shared" ref="C73:F73" si="25">PRODUCT(C54,30,12)</f>
        <v>2160</v>
      </c>
      <c r="D73" s="99">
        <f t="shared" si="25"/>
        <v>2520</v>
      </c>
      <c r="E73" s="99">
        <f t="shared" si="25"/>
        <v>3240</v>
      </c>
      <c r="F73" s="99">
        <f t="shared" si="25"/>
        <v>3600</v>
      </c>
    </row>
    <row r="74" spans="1:6">
      <c r="A74" s="98"/>
      <c r="B74" s="98"/>
      <c r="C74" s="98"/>
      <c r="D74" s="98"/>
      <c r="E74" s="98"/>
      <c r="F74" s="98"/>
    </row>
    <row r="75" spans="1:6">
      <c r="A75" s="98"/>
      <c r="B75" s="98"/>
      <c r="C75" s="98"/>
      <c r="D75" s="98"/>
      <c r="E75" s="98"/>
      <c r="F75" s="98"/>
    </row>
    <row r="76" spans="1:6">
      <c r="A76" s="98"/>
      <c r="B76" s="98"/>
      <c r="C76" s="98"/>
      <c r="D76" s="98"/>
      <c r="E76" s="98"/>
      <c r="F76" s="98"/>
    </row>
    <row r="77" ht="31.5" spans="1:7">
      <c r="A77" s="100" t="s">
        <v>56</v>
      </c>
      <c r="B77" s="101">
        <v>0.05</v>
      </c>
      <c r="C77" s="101">
        <v>0.05</v>
      </c>
      <c r="D77" s="101">
        <v>0.05</v>
      </c>
      <c r="E77" s="101">
        <v>0.05</v>
      </c>
      <c r="F77" s="101">
        <v>0.05</v>
      </c>
      <c r="G77" s="102"/>
    </row>
    <row r="78" spans="1:7">
      <c r="A78" s="81" t="s">
        <v>29</v>
      </c>
      <c r="B78" s="22">
        <f>PRODUCT(B77,B58)</f>
        <v>22351.035</v>
      </c>
      <c r="C78" s="22">
        <f>PRODUCT(C77,C58)</f>
        <v>22247.0971653043</v>
      </c>
      <c r="D78" s="22">
        <f>PRODUCT(D77,D58)</f>
        <v>23871.7518122818</v>
      </c>
      <c r="E78" s="22">
        <f>PRODUCT(E77,E58)</f>
        <v>25496.4064592593</v>
      </c>
      <c r="F78" s="22">
        <f>PRODUCT(F77,F58)</f>
        <v>27121.0611062368</v>
      </c>
      <c r="G78" s="102"/>
    </row>
    <row r="79" spans="1:7">
      <c r="A79" s="81" t="s">
        <v>43</v>
      </c>
      <c r="B79" s="22">
        <f>PRODUCT(B77,B59)</f>
        <v>80066.1</v>
      </c>
      <c r="C79" s="22">
        <f>PRODUCT(C77,C59)</f>
        <v>128959.007838934</v>
      </c>
      <c r="D79" s="22">
        <f>PRODUCT(D77,D59)</f>
        <v>155990.530065728</v>
      </c>
      <c r="E79" s="22">
        <f>PRODUCT(E77,E59)</f>
        <v>202431.928372503</v>
      </c>
      <c r="F79" s="22">
        <f>PRODUCT(F77,F59)</f>
        <v>272094.025832664</v>
      </c>
      <c r="G79" s="102"/>
    </row>
    <row r="80" spans="1:7">
      <c r="A80" s="81" t="s">
        <v>44</v>
      </c>
      <c r="B80" s="22">
        <f>PRODUCT(B77,B60)</f>
        <v>141991.56</v>
      </c>
      <c r="C80" s="22">
        <f>PRODUCT(C77,C60)</f>
        <v>172915.841923318</v>
      </c>
      <c r="D80" s="22">
        <f>PRODUCT(D77,D60)</f>
        <v>236209.710299719</v>
      </c>
      <c r="E80" s="22">
        <f>PRODUCT(E77,E60)</f>
        <v>361254.186817787</v>
      </c>
      <c r="F80" s="22">
        <f>PRODUCT(F77,F60)</f>
        <v>557308.83288592</v>
      </c>
      <c r="G80" s="102"/>
    </row>
    <row r="81" spans="1:6">
      <c r="A81" s="81" t="s">
        <v>45</v>
      </c>
      <c r="B81" s="22">
        <f>PRODUCT(B77,B61)</f>
        <v>194846.7</v>
      </c>
      <c r="C81" s="22">
        <f>PRODUCT(C77,C61)</f>
        <v>227558.038099501</v>
      </c>
      <c r="D81" s="22">
        <f>PRODUCT(D77,D61)</f>
        <v>309721.630460946</v>
      </c>
      <c r="E81" s="22">
        <f>PRODUCT(E77,E61)</f>
        <v>472143.591845247</v>
      </c>
      <c r="F81" s="22">
        <f>PRODUCT(F77,F61)</f>
        <v>726255.262283938</v>
      </c>
    </row>
    <row r="82" ht="16.5" spans="1:6">
      <c r="A82" s="103"/>
      <c r="B82" s="97">
        <f t="shared" ref="B82:F82" si="26">SUM(B78:B81)</f>
        <v>439255.395</v>
      </c>
      <c r="C82" s="97">
        <f t="shared" si="26"/>
        <v>551679.985027058</v>
      </c>
      <c r="D82" s="97">
        <f t="shared" si="26"/>
        <v>725793.622638675</v>
      </c>
      <c r="E82" s="97">
        <f t="shared" si="26"/>
        <v>1061326.1134948</v>
      </c>
      <c r="F82" s="97">
        <f t="shared" si="26"/>
        <v>1582779.18210876</v>
      </c>
    </row>
    <row r="83" spans="1:6">
      <c r="A83" s="103"/>
      <c r="B83" s="22"/>
      <c r="C83" s="104"/>
      <c r="D83" s="104"/>
      <c r="E83" s="104"/>
      <c r="F83" s="104"/>
    </row>
    <row r="84" spans="1:6">
      <c r="A84" s="103"/>
      <c r="B84" s="104"/>
      <c r="C84" s="104"/>
      <c r="D84" s="104"/>
      <c r="E84" s="104"/>
      <c r="F84" s="104"/>
    </row>
    <row r="85" ht="31.5" spans="1:6">
      <c r="A85" s="100" t="s">
        <v>56</v>
      </c>
      <c r="B85" s="101">
        <v>0.05</v>
      </c>
      <c r="C85" s="101">
        <v>0.05</v>
      </c>
      <c r="D85" s="101">
        <v>0.05</v>
      </c>
      <c r="E85" s="101">
        <v>0.05</v>
      </c>
      <c r="F85" s="101">
        <v>0.05</v>
      </c>
    </row>
    <row r="86" spans="1:6">
      <c r="A86" s="103"/>
      <c r="B86" s="22">
        <f>PRODUCT(B85,B66)</f>
        <v>771.54</v>
      </c>
      <c r="C86" s="22">
        <f>PRODUCT(C85,C66)</f>
        <v>769.866371292878</v>
      </c>
      <c r="D86" s="22">
        <f>PRODUCT(D85,D66)</f>
        <v>403.956177260763</v>
      </c>
      <c r="E86" s="22">
        <f>PRODUCT(E85,E66)</f>
        <v>422.979168875086</v>
      </c>
      <c r="F86" s="22">
        <f>PRODUCT(F85,F66)</f>
        <v>442.00216048941</v>
      </c>
    </row>
    <row r="87" spans="1:6">
      <c r="A87" s="103"/>
      <c r="B87" s="22">
        <f>PRODUCT(B85,B67)</f>
        <v>2541.6</v>
      </c>
      <c r="C87" s="22">
        <f>PRODUCT(C85,C67)</f>
        <v>3889.64253000549</v>
      </c>
      <c r="D87" s="22">
        <f>PRODUCT(D85,D67)</f>
        <v>5005.57664648144</v>
      </c>
      <c r="E87" s="22">
        <f>PRODUCT(E85,E67)</f>
        <v>5735.06809777037</v>
      </c>
      <c r="F87" s="22">
        <f>PRODUCT(F85,F67)</f>
        <v>5007.92260554324</v>
      </c>
    </row>
    <row r="88" spans="1:6">
      <c r="A88" s="103"/>
      <c r="B88" s="22">
        <f>PRODUCT(B85,B68)</f>
        <v>4178.88</v>
      </c>
      <c r="C88" s="22">
        <f>PRODUCT(C85,C68)</f>
        <v>5052.14211461944</v>
      </c>
      <c r="D88" s="22">
        <f>PRODUCT(D85,D68)</f>
        <v>6840.51106154718</v>
      </c>
      <c r="E88" s="22">
        <f>PRODUCT(E85,E68)</f>
        <v>8782.16879572925</v>
      </c>
      <c r="F88" s="22">
        <f>PRODUCT(F85,F68)</f>
        <v>10877.1153171656</v>
      </c>
    </row>
    <row r="89" spans="1:6">
      <c r="A89" s="103"/>
      <c r="B89" s="22">
        <f>PRODUCT(B85,B69)</f>
        <v>5364</v>
      </c>
      <c r="C89" s="22">
        <f>PRODUCT(C85,C69)</f>
        <v>6561.83272205807</v>
      </c>
      <c r="D89" s="22">
        <f>PRODUCT(D85,D69)</f>
        <v>8887.55482049293</v>
      </c>
      <c r="E89" s="22">
        <f>PRODUCT(E85,E69)</f>
        <v>11413.6825852724</v>
      </c>
      <c r="F89" s="22">
        <f>PRODUCT(F85,F69)</f>
        <v>14140.2160163965</v>
      </c>
    </row>
    <row r="90" ht="16.5" spans="1:6">
      <c r="A90" s="103"/>
      <c r="B90" s="97">
        <f t="shared" ref="B90:F90" si="27">SUM(B86:B89)</f>
        <v>12856.02</v>
      </c>
      <c r="C90" s="97">
        <f t="shared" si="27"/>
        <v>16273.4837379759</v>
      </c>
      <c r="D90" s="97">
        <f t="shared" si="27"/>
        <v>21137.5987057823</v>
      </c>
      <c r="E90" s="97">
        <f t="shared" si="27"/>
        <v>26353.8986476471</v>
      </c>
      <c r="F90" s="97">
        <f t="shared" si="27"/>
        <v>30467.2560995948</v>
      </c>
    </row>
    <row r="91" spans="1:6">
      <c r="A91" s="103"/>
      <c r="B91" s="104"/>
      <c r="C91" s="104"/>
      <c r="D91" s="104"/>
      <c r="E91" s="104"/>
      <c r="F91" s="104"/>
    </row>
    <row r="92" spans="1:6">
      <c r="A92" s="81"/>
      <c r="B92" s="105"/>
      <c r="C92" s="105"/>
      <c r="D92" s="105"/>
      <c r="E92" s="105"/>
      <c r="F92" s="105"/>
    </row>
    <row r="93" spans="1:7">
      <c r="A93" s="106" t="s">
        <v>57</v>
      </c>
      <c r="B93" s="22">
        <f>SUM(-B82,B62,B70,B73,-B90)</f>
        <v>8591916.885</v>
      </c>
      <c r="C93" s="22">
        <f t="shared" ref="C93:F93" si="28">SUM(-C82,C62,C70,C73,-C90)</f>
        <v>10793275.9065356</v>
      </c>
      <c r="D93" s="22">
        <f t="shared" si="28"/>
        <v>14194213.2055447</v>
      </c>
      <c r="E93" s="22">
        <f t="shared" si="28"/>
        <v>20669160.2307064</v>
      </c>
      <c r="F93" s="22">
        <f t="shared" si="28"/>
        <v>30655282.3259587</v>
      </c>
      <c r="G93" s="21">
        <f>SUM(B93:F93)</f>
        <v>84903848.5537455</v>
      </c>
    </row>
    <row r="94" spans="1:6">
      <c r="A94" s="81"/>
      <c r="B94" s="22"/>
      <c r="C94" s="22"/>
      <c r="D94" s="22"/>
      <c r="E94" s="22"/>
      <c r="F94" s="22"/>
    </row>
    <row r="95" spans="1:6">
      <c r="A95" s="81"/>
      <c r="B95" s="22"/>
      <c r="C95" s="22"/>
      <c r="D95" s="22"/>
      <c r="E95" s="22"/>
      <c r="F95" s="22"/>
    </row>
    <row r="96" ht="31.5" spans="1:6">
      <c r="A96" s="107" t="s">
        <v>58</v>
      </c>
      <c r="B96" s="21">
        <v>29581971.4083481</v>
      </c>
      <c r="C96" s="105"/>
      <c r="D96" s="105"/>
      <c r="E96" s="105"/>
      <c r="F96" s="105"/>
    </row>
    <row r="97" s="32" customFormat="1" spans="2:4">
      <c r="B97" s="108"/>
      <c r="C97" s="108"/>
      <c r="D97" s="108"/>
    </row>
    <row r="99" spans="1:2">
      <c r="A99" s="3" t="s">
        <v>59</v>
      </c>
      <c r="B99" s="109">
        <f>SUM((G93-B96)/G93)</f>
        <v>0.651582679557544</v>
      </c>
    </row>
  </sheetData>
  <mergeCells count="7">
    <mergeCell ref="A57:B57"/>
    <mergeCell ref="A65:C65"/>
    <mergeCell ref="A72:C72"/>
    <mergeCell ref="A5:F6"/>
    <mergeCell ref="A13:F14"/>
    <mergeCell ref="A21:F22"/>
    <mergeCell ref="A29:F30"/>
  </mergeCell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5"/>
  <sheetViews>
    <sheetView zoomScale="130" zoomScaleNormal="130" zoomScalePageLayoutView="200" topLeftCell="A3" workbookViewId="0">
      <pane xSplit="1" ySplit="1" topLeftCell="B19" activePane="bottomRight" state="frozen"/>
      <selection/>
      <selection pane="topRight"/>
      <selection pane="bottomLeft"/>
      <selection pane="bottomRight" activeCell="A28" sqref="A28"/>
    </sheetView>
  </sheetViews>
  <sheetFormatPr defaultColWidth="12.5714285714286" defaultRowHeight="15.75"/>
  <cols>
    <col min="1" max="1" width="21.2857142857143" style="3" customWidth="1"/>
    <col min="2" max="2" width="15" style="3" customWidth="1"/>
    <col min="3" max="3" width="14.2857142857143" style="3" customWidth="1"/>
    <col min="4" max="4" width="13" style="3" customWidth="1"/>
    <col min="5" max="5" width="14.8571428571429" style="3" customWidth="1"/>
    <col min="6" max="9" width="13.1428571428571" style="3" customWidth="1"/>
    <col min="10" max="10" width="13.8571428571429" style="3" customWidth="1"/>
    <col min="11" max="16384" width="12.5714285714286" style="3"/>
  </cols>
  <sheetData>
    <row r="1" spans="1:1">
      <c r="A1" s="3" t="s">
        <v>40</v>
      </c>
    </row>
    <row r="3" s="1" customFormat="1" spans="2:9">
      <c r="B3" s="4">
        <v>2018</v>
      </c>
      <c r="C3" s="4">
        <f>SUM(B3,1)</f>
        <v>2019</v>
      </c>
      <c r="D3" s="4">
        <f t="shared" ref="D3:I3" si="0">SUM(C3,1)</f>
        <v>2020</v>
      </c>
      <c r="E3" s="4">
        <f t="shared" si="0"/>
        <v>2021</v>
      </c>
      <c r="F3" s="4">
        <f t="shared" si="0"/>
        <v>2022</v>
      </c>
      <c r="G3" s="4">
        <f t="shared" si="0"/>
        <v>2023</v>
      </c>
      <c r="H3" s="4">
        <f t="shared" si="0"/>
        <v>2024</v>
      </c>
      <c r="I3" s="4">
        <f t="shared" si="0"/>
        <v>2025</v>
      </c>
    </row>
    <row r="5" ht="20.25" customHeight="1" spans="1:5">
      <c r="A5" s="5" t="s">
        <v>60</v>
      </c>
      <c r="B5" s="5"/>
      <c r="C5" s="5"/>
      <c r="D5" s="5"/>
      <c r="E5" s="6"/>
    </row>
    <row r="6" spans="1:10">
      <c r="A6" s="7" t="s">
        <v>61</v>
      </c>
      <c r="B6" s="8">
        <v>8200000</v>
      </c>
      <c r="C6" s="9">
        <f>PRODUCT(B6,(1+B7))</f>
        <v>8856000</v>
      </c>
      <c r="D6" s="9">
        <f t="shared" ref="D6:I6" si="1">PRODUCT(C6,(1+C7))</f>
        <v>9564480</v>
      </c>
      <c r="E6" s="9">
        <f t="shared" si="1"/>
        <v>10329638.4</v>
      </c>
      <c r="F6" s="9">
        <f t="shared" si="1"/>
        <v>11156009.472</v>
      </c>
      <c r="G6" s="9">
        <f t="shared" si="1"/>
        <v>12048490.22976</v>
      </c>
      <c r="H6" s="9">
        <f t="shared" si="1"/>
        <v>13012369.4481408</v>
      </c>
      <c r="I6" s="15">
        <f t="shared" si="1"/>
        <v>14053359.0039921</v>
      </c>
      <c r="J6" s="30">
        <f>SUM(I6,-B6)</f>
        <v>5853359.00399207</v>
      </c>
    </row>
    <row r="7" ht="15" spans="1:9">
      <c r="A7" t="s">
        <v>62</v>
      </c>
      <c r="B7" s="10">
        <v>0.08</v>
      </c>
      <c r="C7" s="10">
        <v>0.08</v>
      </c>
      <c r="D7" s="10">
        <v>0.08</v>
      </c>
      <c r="E7" s="10">
        <v>0.08</v>
      </c>
      <c r="F7" s="10">
        <v>0.08</v>
      </c>
      <c r="G7" s="10">
        <v>0.08</v>
      </c>
      <c r="H7" s="10">
        <v>0.08</v>
      </c>
      <c r="I7" s="10">
        <v>0.08</v>
      </c>
    </row>
    <row r="8" ht="30" spans="1:10">
      <c r="A8" s="11" t="s">
        <v>63</v>
      </c>
      <c r="B8" s="10"/>
      <c r="C8" s="8">
        <f>SUM(C6,-B6)</f>
        <v>656000</v>
      </c>
      <c r="D8" s="8">
        <f t="shared" ref="D8:I8" si="2">SUM(D6,-C6)</f>
        <v>708480</v>
      </c>
      <c r="E8" s="8">
        <f t="shared" si="2"/>
        <v>765158.4</v>
      </c>
      <c r="F8" s="8">
        <f t="shared" si="2"/>
        <v>826371.072000001</v>
      </c>
      <c r="G8" s="8">
        <f t="shared" si="2"/>
        <v>892480.757760001</v>
      </c>
      <c r="H8" s="8">
        <f t="shared" si="2"/>
        <v>963879.218380801</v>
      </c>
      <c r="I8" s="8">
        <f t="shared" si="2"/>
        <v>1040989.55585127</v>
      </c>
      <c r="J8" s="30">
        <f>SUM(C8:I8)</f>
        <v>5853359.00399207</v>
      </c>
    </row>
    <row r="9" spans="2:4">
      <c r="B9" s="12"/>
      <c r="C9" s="12"/>
      <c r="D9" s="12"/>
    </row>
    <row r="10" ht="31.5" spans="1:4">
      <c r="A10" s="13" t="s">
        <v>64</v>
      </c>
      <c r="B10" s="14">
        <v>14053359.0039921</v>
      </c>
      <c r="C10" s="15"/>
      <c r="D10" s="12"/>
    </row>
    <row r="11" spans="2:4">
      <c r="B11" s="16"/>
      <c r="C11" s="16"/>
      <c r="D11" s="16"/>
    </row>
    <row r="12" spans="1:5">
      <c r="A12" s="17" t="s">
        <v>65</v>
      </c>
      <c r="B12" s="17"/>
      <c r="C12" s="16"/>
      <c r="D12" s="16"/>
      <c r="E12" s="16"/>
    </row>
    <row r="13" spans="1:10">
      <c r="A13" s="3" t="s">
        <v>66</v>
      </c>
      <c r="B13" s="8">
        <v>17000000</v>
      </c>
      <c r="C13" s="8">
        <f>SUM((B13*B14)+B13)</f>
        <v>17178500</v>
      </c>
      <c r="D13" s="8">
        <f t="shared" ref="D13:I13" si="3">SUM((C13*C14)+C13)</f>
        <v>17358874.25</v>
      </c>
      <c r="E13" s="8">
        <f t="shared" si="3"/>
        <v>17541142.429625</v>
      </c>
      <c r="F13" s="8">
        <f t="shared" si="3"/>
        <v>17725324.4251361</v>
      </c>
      <c r="G13" s="8">
        <f t="shared" si="3"/>
        <v>17911440.3316</v>
      </c>
      <c r="H13" s="8">
        <f t="shared" si="3"/>
        <v>18099510.4550818</v>
      </c>
      <c r="I13" s="31">
        <f t="shared" si="3"/>
        <v>18289555.3148602</v>
      </c>
      <c r="J13" s="30">
        <f>SUM(I13,-B13)</f>
        <v>1289555.31486015</v>
      </c>
    </row>
    <row r="14" spans="1:9">
      <c r="A14" s="3" t="s">
        <v>67</v>
      </c>
      <c r="B14" s="18">
        <v>0.0105</v>
      </c>
      <c r="C14" s="18">
        <v>0.0105</v>
      </c>
      <c r="D14" s="18">
        <v>0.0105</v>
      </c>
      <c r="E14" s="18">
        <v>0.0105</v>
      </c>
      <c r="F14" s="18">
        <v>0.0105</v>
      </c>
      <c r="G14" s="18">
        <v>0.0105</v>
      </c>
      <c r="H14" s="18">
        <v>0.0105</v>
      </c>
      <c r="I14" s="18">
        <v>0.0105</v>
      </c>
    </row>
    <row r="15" ht="31.5" spans="1:10">
      <c r="A15" s="13" t="s">
        <v>68</v>
      </c>
      <c r="B15" s="18"/>
      <c r="C15" s="8">
        <f>SUM(C13,-B13)</f>
        <v>178500</v>
      </c>
      <c r="D15" s="8">
        <f t="shared" ref="D15:I15" si="4">SUM(D13,-C13)</f>
        <v>180374.25</v>
      </c>
      <c r="E15" s="8">
        <f t="shared" si="4"/>
        <v>182268.179625001</v>
      </c>
      <c r="F15" s="8">
        <f t="shared" si="4"/>
        <v>184181.995511062</v>
      </c>
      <c r="G15" s="8">
        <f t="shared" si="4"/>
        <v>186115.906463929</v>
      </c>
      <c r="H15" s="8">
        <f t="shared" si="4"/>
        <v>188070.123481799</v>
      </c>
      <c r="I15" s="8">
        <f t="shared" si="4"/>
        <v>190044.85977836</v>
      </c>
      <c r="J15" s="30">
        <f>SUM(C15:I15)</f>
        <v>1289555.31486015</v>
      </c>
    </row>
    <row r="18" spans="2:10">
      <c r="B18" s="8">
        <v>17000000</v>
      </c>
      <c r="C18" s="8">
        <f>SUM((B18*-B19)+B18)</f>
        <v>16575000</v>
      </c>
      <c r="D18" s="8">
        <f t="shared" ref="D18:I18" si="5">SUM((C18*-C19)+C18)</f>
        <v>16160625</v>
      </c>
      <c r="E18" s="8">
        <f t="shared" si="5"/>
        <v>15756609.375</v>
      </c>
      <c r="F18" s="8">
        <f t="shared" si="5"/>
        <v>15362694.140625</v>
      </c>
      <c r="G18" s="8">
        <f t="shared" si="5"/>
        <v>14978626.7871094</v>
      </c>
      <c r="H18" s="8">
        <f t="shared" si="5"/>
        <v>14604161.1174316</v>
      </c>
      <c r="I18" s="31">
        <f t="shared" si="5"/>
        <v>14239057.0894958</v>
      </c>
      <c r="J18" s="30">
        <f>SUM(I18,-B18)</f>
        <v>-2760942.91050415</v>
      </c>
    </row>
    <row r="19" spans="1:9">
      <c r="A19" s="3" t="s">
        <v>69</v>
      </c>
      <c r="B19" s="18">
        <v>0.025</v>
      </c>
      <c r="C19" s="18">
        <v>0.025</v>
      </c>
      <c r="D19" s="18">
        <v>0.025</v>
      </c>
      <c r="E19" s="18">
        <v>0.025</v>
      </c>
      <c r="F19" s="18">
        <v>0.025</v>
      </c>
      <c r="G19" s="18">
        <v>0.025</v>
      </c>
      <c r="H19" s="18">
        <v>0.025</v>
      </c>
      <c r="I19" s="18">
        <v>0.025</v>
      </c>
    </row>
    <row r="20" ht="31.5" spans="1:10">
      <c r="A20" s="13" t="s">
        <v>68</v>
      </c>
      <c r="B20" s="18"/>
      <c r="C20" s="8">
        <f>SUM(C18,-B18)</f>
        <v>-425000</v>
      </c>
      <c r="D20" s="8">
        <f t="shared" ref="D20:I20" si="6">SUM(D18,-C18)</f>
        <v>-414375</v>
      </c>
      <c r="E20" s="8">
        <f t="shared" si="6"/>
        <v>-404015.625</v>
      </c>
      <c r="F20" s="8">
        <f t="shared" si="6"/>
        <v>-393915.234375</v>
      </c>
      <c r="G20" s="8">
        <f t="shared" si="6"/>
        <v>-384067.353515625</v>
      </c>
      <c r="H20" s="8">
        <f t="shared" si="6"/>
        <v>-374465.669677734</v>
      </c>
      <c r="I20" s="8">
        <f t="shared" si="6"/>
        <v>-365104.027935792</v>
      </c>
      <c r="J20" s="30">
        <f>SUM(C20:I20)</f>
        <v>-2760942.91050415</v>
      </c>
    </row>
    <row r="21" spans="2:9">
      <c r="B21" s="18"/>
      <c r="C21" s="18"/>
      <c r="D21" s="18"/>
      <c r="E21" s="18"/>
      <c r="F21" s="18"/>
      <c r="G21" s="18"/>
      <c r="H21" s="18"/>
      <c r="I21" s="18"/>
    </row>
    <row r="22" spans="2:4">
      <c r="B22" s="16"/>
      <c r="C22" s="16"/>
      <c r="D22" s="16"/>
    </row>
    <row r="23" spans="1:4">
      <c r="A23" s="3" t="s">
        <v>70</v>
      </c>
      <c r="B23" s="19">
        <f>SUM(B13,J15,J20)</f>
        <v>15528612.404356</v>
      </c>
      <c r="D23" s="20"/>
    </row>
    <row r="25" spans="1:5">
      <c r="A25" s="3" t="s">
        <v>71</v>
      </c>
      <c r="B25" s="21">
        <f>SUM(B10,B23)</f>
        <v>29581971.4083481</v>
      </c>
      <c r="E25" s="22"/>
    </row>
    <row r="26" spans="6:6">
      <c r="F26" s="23"/>
    </row>
    <row r="27" spans="2:4">
      <c r="B27" s="24"/>
      <c r="C27" s="24"/>
      <c r="D27" s="24"/>
    </row>
    <row r="29" spans="2:4">
      <c r="B29" s="24"/>
      <c r="C29" s="24"/>
      <c r="D29" s="24"/>
    </row>
    <row r="31" spans="2:4">
      <c r="B31" s="25"/>
      <c r="C31" s="25"/>
      <c r="D31" s="25"/>
    </row>
    <row r="32" spans="2:4">
      <c r="B32" s="26"/>
      <c r="C32" s="26"/>
      <c r="D32" s="26"/>
    </row>
    <row r="35" spans="1:4">
      <c r="A35" s="27"/>
      <c r="B35" s="25"/>
      <c r="C35" s="25"/>
      <c r="D35" s="25"/>
    </row>
    <row r="36" spans="1:5">
      <c r="A36" s="25"/>
      <c r="B36" s="25"/>
      <c r="C36" s="25"/>
      <c r="D36" s="25"/>
      <c r="E36" s="25"/>
    </row>
    <row r="37" spans="1:5">
      <c r="A37" s="25"/>
      <c r="B37" s="25"/>
      <c r="C37" s="25"/>
      <c r="D37" s="25"/>
      <c r="E37" s="25"/>
    </row>
    <row r="39" spans="2:4">
      <c r="B39" s="25"/>
      <c r="C39" s="25"/>
      <c r="D39" s="25"/>
    </row>
    <row r="40" spans="2:4">
      <c r="B40" s="28"/>
      <c r="C40" s="28"/>
      <c r="D40" s="28"/>
    </row>
    <row r="42" spans="4:4">
      <c r="D42" s="25"/>
    </row>
    <row r="44" spans="2:4">
      <c r="B44" s="25"/>
      <c r="C44" s="25"/>
      <c r="D44" s="25"/>
    </row>
    <row r="45" s="2" customFormat="1" spans="2:4">
      <c r="B45" s="29"/>
      <c r="C45" s="29"/>
      <c r="D45" s="29"/>
    </row>
  </sheetData>
  <mergeCells count="1">
    <mergeCell ref="A12:B1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Raw Data</vt:lpstr>
      <vt:lpstr>prediction</vt:lpstr>
      <vt:lpstr>Data_1</vt:lpstr>
      <vt:lpstr>Idea</vt:lpstr>
      <vt:lpstr>Revenue</vt:lpstr>
      <vt:lpstr>Bank &amp; Investors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2015-06-05T18:19:00Z</dcterms:created>
  <dcterms:modified xsi:type="dcterms:W3CDTF">2022-07-09T18:01:38Z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3607CBBD37A84513916F6D406B4E485D</vt:lpwstr>
  </property>
  <property fmtid="{D5CDD505-2E9C-101B-9397-08002B2CF9AE}" pid="3" name="KSOProductBuildVer">
    <vt:lpwstr>1033-11.2.0.11191</vt:lpwstr>
  </property>
</Properties>
</file>