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<sst xmlns="http://schemas.openxmlformats.org/spreadsheetml/2006/main" count="322" uniqueCount="242">
  <si>
    <t>CATEGORIE</t>
  </si>
  <si>
    <t>FORM RESPONSE</t>
  </si>
  <si>
    <t>Unit</t>
  </si>
  <si>
    <t>Adjustments</t>
  </si>
  <si>
    <t>Ranking Score / Assessment</t>
  </si>
  <si>
    <t>Ideal State</t>
  </si>
  <si>
    <t>Measurement Difference</t>
  </si>
  <si>
    <t>M1</t>
  </si>
  <si>
    <t>W8 KPI: m2</t>
  </si>
  <si>
    <t>M3</t>
  </si>
  <si>
    <t>W16 KPI: M4</t>
  </si>
  <si>
    <t>M5</t>
  </si>
  <si>
    <t>W24 KPI: M6</t>
  </si>
  <si>
    <t>M7</t>
  </si>
  <si>
    <t>W32 KPI: M8</t>
  </si>
  <si>
    <t>M9</t>
  </si>
  <si>
    <t>W40 KPI: M10</t>
  </si>
  <si>
    <t>M11</t>
  </si>
  <si>
    <t>W48 KPI: M12</t>
  </si>
  <si>
    <t>Week 52</t>
  </si>
  <si>
    <t>PROFLE INFORMATION FOR SLIDES</t>
  </si>
  <si>
    <t>SLIDES</t>
  </si>
  <si>
    <t>PAGE 1</t>
  </si>
  <si>
    <t>INDEX 0</t>
  </si>
  <si>
    <t>Title Page</t>
  </si>
  <si>
    <t>First Name</t>
  </si>
  <si>
    <t>PAGE 2</t>
  </si>
  <si>
    <t>INDEX 1</t>
  </si>
  <si>
    <t>Profile Page</t>
  </si>
  <si>
    <t>Full Name</t>
  </si>
  <si>
    <t>Kaizen Score</t>
  </si>
  <si>
    <t>Target Weight</t>
  </si>
  <si>
    <t>Your Wishes</t>
  </si>
  <si>
    <t>Gender</t>
  </si>
  <si>
    <t>Primary Goal</t>
  </si>
  <si>
    <t>Target Timeline</t>
  </si>
  <si>
    <t>Your Request From Kaizen</t>
  </si>
  <si>
    <t>Age</t>
  </si>
  <si>
    <t>Secondary Goal</t>
  </si>
  <si>
    <t>Job</t>
  </si>
  <si>
    <t>PAGE 3</t>
  </si>
  <si>
    <t>INDEX 2</t>
  </si>
  <si>
    <t>Chapter Page Current State</t>
  </si>
  <si>
    <t>Kaizen Message</t>
  </si>
  <si>
    <t>PAGE 4</t>
  </si>
  <si>
    <t>INDEX 3</t>
  </si>
  <si>
    <t>Health Current State</t>
  </si>
  <si>
    <t>Injuries</t>
  </si>
  <si>
    <t>Medical Conditions</t>
  </si>
  <si>
    <t>Medication</t>
  </si>
  <si>
    <t>HRV Status</t>
  </si>
  <si>
    <t>HRV#</t>
  </si>
  <si>
    <t>BR Status</t>
  </si>
  <si>
    <t>BR#</t>
  </si>
  <si>
    <t>Kaizen Recommendation</t>
  </si>
  <si>
    <t>SPO2 Status</t>
  </si>
  <si>
    <t>SPO2#</t>
  </si>
  <si>
    <t>RHR Status</t>
  </si>
  <si>
    <t>RHR#</t>
  </si>
  <si>
    <t>PAGE 5</t>
  </si>
  <si>
    <t>INDEX 4</t>
  </si>
  <si>
    <t>Body Composition</t>
  </si>
  <si>
    <t>kg</t>
  </si>
  <si>
    <t>Body Status</t>
  </si>
  <si>
    <t>Weight</t>
  </si>
  <si>
    <t>Waist - Hip Ratio</t>
  </si>
  <si>
    <t>Fat%</t>
  </si>
  <si>
    <t>Symmetry Ratio</t>
  </si>
  <si>
    <t>Muscle Mass</t>
  </si>
  <si>
    <t>BMR</t>
  </si>
  <si>
    <t>ms</t>
  </si>
  <si>
    <t>BMI</t>
  </si>
  <si>
    <t>Protein %</t>
  </si>
  <si>
    <t>bpm</t>
  </si>
  <si>
    <t>%</t>
  </si>
  <si>
    <t>Recolor 2 boxes</t>
  </si>
  <si>
    <t>PAGE 6</t>
  </si>
  <si>
    <t>INDEX 5</t>
  </si>
  <si>
    <t>Lifestyle &amp; Habits</t>
  </si>
  <si>
    <t>Kaizen Score &amp; Evaluation</t>
  </si>
  <si>
    <t>cm</t>
  </si>
  <si>
    <t>Category</t>
  </si>
  <si>
    <t>Client Score</t>
  </si>
  <si>
    <t>Max Score</t>
  </si>
  <si>
    <t>Evaluation</t>
  </si>
  <si>
    <t>% Pre-Score</t>
  </si>
  <si>
    <t>Weight per category</t>
  </si>
  <si>
    <t>Kaizen Weighted Score per Category</t>
  </si>
  <si>
    <t>Sleep Quality</t>
  </si>
  <si>
    <t>Nutrition</t>
  </si>
  <si>
    <t>years</t>
  </si>
  <si>
    <t>Training</t>
  </si>
  <si>
    <t>Body Hydration</t>
  </si>
  <si>
    <t>Stress Evaluation</t>
  </si>
  <si>
    <t>Physical Care</t>
  </si>
  <si>
    <t>Environment &amp; Relationships</t>
  </si>
  <si>
    <t>Total</t>
  </si>
  <si>
    <t>kcal</t>
  </si>
  <si>
    <t>Evaluation Ranking</t>
  </si>
  <si>
    <t>Min</t>
  </si>
  <si>
    <t>Max</t>
  </si>
  <si>
    <t xml:space="preserve">Needs Work </t>
  </si>
  <si>
    <t>Not Bad......👀</t>
  </si>
  <si>
    <t>Superb! 🔥💪</t>
  </si>
  <si>
    <t>PAGE 7</t>
  </si>
  <si>
    <t>INDEX 6</t>
  </si>
  <si>
    <t>Title Page Gap Analysis</t>
  </si>
  <si>
    <t>R</t>
  </si>
  <si>
    <t>PAGE 8</t>
  </si>
  <si>
    <t>INDEX 7</t>
  </si>
  <si>
    <t>Current vs Ideal State</t>
  </si>
  <si>
    <t>hours</t>
  </si>
  <si>
    <t>Realistic Timeline</t>
  </si>
  <si>
    <t>X</t>
  </si>
  <si>
    <t>Body Types</t>
  </si>
  <si>
    <t>Color Codes</t>
  </si>
  <si>
    <t>Weight Category</t>
  </si>
  <si>
    <t>Severely Underweight</t>
  </si>
  <si>
    <t>Current State</t>
  </si>
  <si>
    <t>Difference</t>
  </si>
  <si>
    <t>Client Category</t>
  </si>
  <si>
    <t>Weight Difference Baseline Rate</t>
  </si>
  <si>
    <t>Underweight</t>
  </si>
  <si>
    <t>Weight (kg)</t>
  </si>
  <si>
    <t>Age adjustment</t>
  </si>
  <si>
    <t>Healthy</t>
  </si>
  <si>
    <t>Fat %</t>
  </si>
  <si>
    <t>Weight Difference Adjusted for Age</t>
  </si>
  <si>
    <t>Overweight</t>
  </si>
  <si>
    <t>Lean Body Mass (kg)</t>
  </si>
  <si>
    <t>Weight Difference Adjusted for Age (kg)</t>
  </si>
  <si>
    <t>Overweight Max</t>
  </si>
  <si>
    <t>Obese</t>
  </si>
  <si>
    <t>AMR +/- Caloric intake ideal state</t>
  </si>
  <si>
    <t>Weight Loss/Gain per  week (kg) * kaizen FActor</t>
  </si>
  <si>
    <t>Caloric Intake Per Day</t>
  </si>
  <si>
    <t>Kaizen Weight Difference per month</t>
  </si>
  <si>
    <t>Protein Amount</t>
  </si>
  <si>
    <t>p/y</t>
  </si>
  <si>
    <t>Fasting Time</t>
  </si>
  <si>
    <t>Body Water Percentage</t>
  </si>
  <si>
    <t>Caloric Intake per day Ranges</t>
  </si>
  <si>
    <t>Women (kcal)</t>
  </si>
  <si>
    <t>Men (kcal)</t>
  </si>
  <si>
    <t>Training days per week</t>
  </si>
  <si>
    <t>Calories burned during training</t>
  </si>
  <si>
    <t>Average heart rate per class</t>
  </si>
  <si>
    <t>Kaizen levers</t>
  </si>
  <si>
    <t>Kaizen score</t>
  </si>
  <si>
    <t>Hours of sleep per day</t>
  </si>
  <si>
    <t>PAGE 9</t>
  </si>
  <si>
    <t>INDEX 8</t>
  </si>
  <si>
    <t>Goal Achievement Timeline</t>
  </si>
  <si>
    <t>Workout Days per week</t>
  </si>
  <si>
    <t>Preferred Timeline</t>
  </si>
  <si>
    <t>Starting</t>
  </si>
  <si>
    <t>1st KPI</t>
  </si>
  <si>
    <t>2nd KPI</t>
  </si>
  <si>
    <t>WD1</t>
  </si>
  <si>
    <t>WD2</t>
  </si>
  <si>
    <t>PAGE 10</t>
  </si>
  <si>
    <t>INDEX 9</t>
  </si>
  <si>
    <t>Action plan Title Page</t>
  </si>
  <si>
    <t>PAGE 11</t>
  </si>
  <si>
    <t>INDEX 10</t>
  </si>
  <si>
    <t>Training Plan</t>
  </si>
  <si>
    <t>Peak Heart Rate</t>
  </si>
  <si>
    <t>Training Targets</t>
  </si>
  <si>
    <t>Current</t>
  </si>
  <si>
    <t>Avr Heart Rate per workout</t>
  </si>
  <si>
    <t>Workout days per week</t>
  </si>
  <si>
    <t>Calories to burn per workout</t>
  </si>
  <si>
    <t>PAGE 12</t>
  </si>
  <si>
    <t>INDEX 11</t>
  </si>
  <si>
    <t>Nutrition Plan</t>
  </si>
  <si>
    <t>AMR1 (kcal)</t>
  </si>
  <si>
    <t>Pkcal</t>
  </si>
  <si>
    <t>CAL1 (kcal)</t>
  </si>
  <si>
    <t>PGrams</t>
  </si>
  <si>
    <t>Caldf#</t>
  </si>
  <si>
    <t>Grams</t>
  </si>
  <si>
    <t>Protein</t>
  </si>
  <si>
    <t>Carbs</t>
  </si>
  <si>
    <t>Fats</t>
  </si>
  <si>
    <t>PAGE 13</t>
  </si>
  <si>
    <t>INDEX 12</t>
  </si>
  <si>
    <t>Lifestyle Plan</t>
  </si>
  <si>
    <t>PAGE 14</t>
  </si>
  <si>
    <t>INDEX 13</t>
  </si>
  <si>
    <t>Important Message</t>
  </si>
  <si>
    <t>PAGE 15</t>
  </si>
  <si>
    <t>INDEX 14</t>
  </si>
  <si>
    <t>Day Planner</t>
  </si>
  <si>
    <t>BMR4</t>
  </si>
  <si>
    <t>PHR</t>
  </si>
  <si>
    <t>**</t>
  </si>
  <si>
    <t>W4</t>
  </si>
  <si>
    <t>AHR</t>
  </si>
  <si>
    <t>Weight Loss, Tone &amp; Shred</t>
  </si>
  <si>
    <t>-</t>
  </si>
  <si>
    <t>Weight Gain, Tone &amp; Shred</t>
  </si>
  <si>
    <t>+</t>
  </si>
  <si>
    <t>DF/SP</t>
  </si>
  <si>
    <t>P1</t>
  </si>
  <si>
    <t>Protein Lunch</t>
  </si>
  <si>
    <t>Maintain Weight, Gain Strength, Improve Athletic Performance</t>
  </si>
  <si>
    <t>CAL1</t>
  </si>
  <si>
    <t>Crb1</t>
  </si>
  <si>
    <t>Carb Lunch</t>
  </si>
  <si>
    <t>F1</t>
  </si>
  <si>
    <t>Fat Lunch</t>
  </si>
  <si>
    <t>CAL2</t>
  </si>
  <si>
    <t>Breakfast</t>
  </si>
  <si>
    <t>P2</t>
  </si>
  <si>
    <t>Protein Dinner</t>
  </si>
  <si>
    <t>CAL3</t>
  </si>
  <si>
    <t>Lunch</t>
  </si>
  <si>
    <t>Crbd2</t>
  </si>
  <si>
    <t>Carb Dinner</t>
  </si>
  <si>
    <t>CAL4</t>
  </si>
  <si>
    <t>Protein Shake</t>
  </si>
  <si>
    <t>F2</t>
  </si>
  <si>
    <t>Fat Dinner</t>
  </si>
  <si>
    <t>CAL5</t>
  </si>
  <si>
    <t>Dinner</t>
  </si>
  <si>
    <t>CAL6</t>
  </si>
  <si>
    <t>LISS</t>
  </si>
  <si>
    <t>CAL7</t>
  </si>
  <si>
    <t>HIIT</t>
  </si>
  <si>
    <t>PAGE 16</t>
  </si>
  <si>
    <t>INDEX 15</t>
  </si>
  <si>
    <t>Week &amp; Year Planner</t>
  </si>
  <si>
    <t>TCAL1</t>
  </si>
  <si>
    <t>PAGE 17</t>
  </si>
  <si>
    <t>INDEX 16</t>
  </si>
  <si>
    <t>Recommendations</t>
  </si>
  <si>
    <t>PAGE 18</t>
  </si>
  <si>
    <t>INDEX 17</t>
  </si>
  <si>
    <t>Educational Videos</t>
  </si>
  <si>
    <t>PAGE 19</t>
  </si>
  <si>
    <t>INDEX 18</t>
  </si>
  <si>
    <t>Ending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</si>
</sst>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%"/>
    <numFmt numFmtId="166" formatCode="#,##0.0"/>
  </numFmts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sz val="9.0"/>
      <color rgb="FF000000"/>
      <name val="&quot;Google Sans Mono&quot;"/>
    </font>
  </fonts>
  <fills count="1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3" fontId="3" numFmtId="0" xfId="0" applyAlignment="1" applyFill="1" applyFont="1">
      <alignment readingOrder="0" shrinkToFit="0" wrapText="1"/>
    </xf>
    <xf borderId="0" fillId="3" fontId="4" numFmtId="0" xfId="0" applyAlignment="1" applyFont="1">
      <alignment shrinkToFit="0" wrapText="1"/>
    </xf>
    <xf borderId="0" fillId="4" fontId="3" numFmtId="0" xfId="0" applyAlignment="1" applyFill="1" applyFont="1">
      <alignment readingOrder="0" shrinkToFit="0" wrapText="1"/>
    </xf>
    <xf borderId="0" fillId="4" fontId="3" numFmtId="0" xfId="0" applyAlignment="1" applyFont="1">
      <alignment readingOrder="0"/>
    </xf>
    <xf borderId="0" fillId="0" fontId="2" numFmtId="0" xfId="0" applyFont="1"/>
    <xf borderId="0" fillId="4" fontId="4" numFmtId="0" xfId="0" applyAlignment="1" applyFont="1">
      <alignment readingOrder="0" shrinkToFit="0" wrapText="1"/>
    </xf>
    <xf borderId="0" fillId="0" fontId="4" numFmtId="9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top" wrapText="1"/>
    </xf>
    <xf borderId="0" fillId="4" fontId="4" numFmtId="0" xfId="0" applyAlignment="1" applyFont="1">
      <alignment readingOrder="0" shrinkToFit="0" vertical="top" wrapText="1"/>
    </xf>
    <xf borderId="0" fillId="5" fontId="4" numFmtId="0" xfId="0" applyAlignment="1" applyFill="1" applyFont="1">
      <alignment shrinkToFit="0" wrapText="1"/>
    </xf>
    <xf borderId="0" fillId="0" fontId="2" numFmtId="9" xfId="0" applyAlignment="1" applyFont="1" applyNumberFormat="1">
      <alignment shrinkToFit="0" wrapText="1"/>
    </xf>
    <xf borderId="0" fillId="0" fontId="2" numFmtId="2" xfId="0" applyAlignment="1" applyFont="1" applyNumberFormat="1">
      <alignment shrinkToFit="0" wrapText="1"/>
    </xf>
    <xf borderId="0" fillId="0" fontId="2" numFmtId="3" xfId="0" applyAlignment="1" applyFont="1" applyNumberFormat="1">
      <alignment shrinkToFit="0" wrapText="1"/>
    </xf>
    <xf borderId="0" fillId="0" fontId="2" numFmtId="9" xfId="0" applyFont="1" applyNumberFormat="1"/>
    <xf borderId="0" fillId="4" fontId="3" numFmtId="0" xfId="0" applyAlignment="1" applyFont="1">
      <alignment readingOrder="0" shrinkToFit="0" wrapText="0"/>
    </xf>
    <xf borderId="0" fillId="6" fontId="3" numFmtId="0" xfId="0" applyAlignment="1" applyFill="1" applyFont="1">
      <alignment readingOrder="0" shrinkToFit="0" wrapText="1"/>
    </xf>
    <xf borderId="0" fillId="0" fontId="5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5" numFmtId="0" xfId="0" applyAlignment="1" applyFill="1" applyFont="1">
      <alignment readingOrder="0" shrinkToFit="0" wrapText="1"/>
    </xf>
    <xf borderId="0" fillId="7" fontId="2" numFmtId="0" xfId="0" applyAlignment="1" applyFont="1">
      <alignment readingOrder="0"/>
    </xf>
    <xf borderId="0" fillId="5" fontId="5" numFmtId="0" xfId="0" applyAlignment="1" applyFont="1">
      <alignment readingOrder="0"/>
    </xf>
    <xf borderId="0" fillId="8" fontId="3" numFmtId="0" xfId="0" applyAlignment="1" applyFill="1" applyFont="1">
      <alignment readingOrder="0" shrinkToFit="0" wrapText="1"/>
    </xf>
    <xf borderId="0" fillId="8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5" fontId="5" numFmtId="9" xfId="0" applyAlignment="1" applyFont="1" applyNumberFormat="1">
      <alignment readingOrder="0"/>
    </xf>
    <xf borderId="0" fillId="0" fontId="5" numFmtId="9" xfId="0" applyAlignment="1" applyFont="1" applyNumberFormat="1">
      <alignment readingOrder="0" shrinkToFit="0" wrapText="1"/>
    </xf>
    <xf borderId="0" fillId="0" fontId="2" numFmtId="9" xfId="0" applyAlignment="1" applyFont="1" applyNumberFormat="1">
      <alignment readingOrder="0" shrinkToFit="0" vertical="top" wrapText="1"/>
    </xf>
    <xf borderId="0" fillId="0" fontId="2" numFmtId="9" xfId="0" applyAlignment="1" applyFont="1" applyNumberFormat="1">
      <alignment shrinkToFit="0" vertical="top" wrapText="1"/>
    </xf>
    <xf borderId="0" fillId="0" fontId="2" numFmtId="164" xfId="0" applyAlignment="1" applyFont="1" applyNumberFormat="1">
      <alignment shrinkToFit="0" wrapText="1"/>
    </xf>
    <xf borderId="0" fillId="0" fontId="2" numFmtId="9" xfId="0" applyAlignment="1" applyFont="1" applyNumberFormat="1">
      <alignment readingOrder="0" vertical="top"/>
    </xf>
    <xf borderId="0" fillId="5" fontId="6" numFmtId="9" xfId="0" applyFont="1" applyNumberFormat="1"/>
    <xf borderId="0" fillId="0" fontId="2" numFmtId="9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1"/>
    </xf>
    <xf borderId="1" fillId="7" fontId="3" numFmtId="0" xfId="0" applyAlignment="1" applyBorder="1" applyFont="1">
      <alignment readingOrder="0" shrinkToFit="0" wrapText="1"/>
    </xf>
    <xf borderId="0" fillId="7" fontId="2" numFmtId="0" xfId="0" applyAlignment="1" applyFont="1">
      <alignment shrinkToFit="0" wrapText="1"/>
    </xf>
    <xf borderId="1" fillId="7" fontId="4" numFmtId="9" xfId="0" applyAlignment="1" applyBorder="1" applyFont="1" applyNumberFormat="1">
      <alignment shrinkToFit="0" wrapText="1"/>
    </xf>
    <xf borderId="0" fillId="2" fontId="4" numFmtId="9" xfId="0" applyAlignment="1" applyFont="1" applyNumberFormat="1">
      <alignment shrinkToFit="0" wrapText="1"/>
    </xf>
    <xf borderId="0" fillId="2" fontId="4" numFmtId="0" xfId="0" applyAlignment="1" applyFont="1">
      <alignment readingOrder="0"/>
    </xf>
    <xf borderId="0" fillId="5" fontId="3" numFmtId="0" xfId="0" applyAlignment="1" applyFont="1">
      <alignment readingOrder="0" shrinkToFit="0" wrapText="1"/>
    </xf>
    <xf borderId="0" fillId="5" fontId="3" numFmtId="9" xfId="0" applyAlignment="1" applyFont="1" applyNumberFormat="1">
      <alignment readingOrder="0" shrinkToFit="0" wrapText="1"/>
    </xf>
    <xf borderId="0" fillId="9" fontId="3" numFmtId="0" xfId="0" applyAlignment="1" applyFill="1" applyFont="1">
      <alignment readingOrder="0" shrinkToFit="0" wrapText="1"/>
    </xf>
    <xf borderId="0" fillId="6" fontId="4" numFmtId="0" xfId="0" applyAlignment="1" applyFont="1">
      <alignment readingOrder="0" shrinkToFit="0" wrapText="1"/>
    </xf>
    <xf borderId="0" fillId="6" fontId="4" numFmtId="0" xfId="0" applyAlignment="1" applyFont="1">
      <alignment shrinkToFit="0" wrapText="1"/>
    </xf>
    <xf borderId="0" fillId="9" fontId="2" numFmtId="0" xfId="0" applyAlignment="1" applyFont="1">
      <alignment readingOrder="0" shrinkToFit="0" wrapText="1"/>
    </xf>
    <xf borderId="0" fillId="6" fontId="2" numFmtId="0" xfId="0" applyAlignment="1" applyFont="1">
      <alignment readingOrder="0" shrinkToFit="0" wrapText="1"/>
    </xf>
    <xf borderId="0" fillId="4" fontId="4" numFmtId="0" xfId="0" applyAlignment="1" applyFont="1">
      <alignment readingOrder="0"/>
    </xf>
    <xf borderId="0" fillId="0" fontId="2" numFmtId="4" xfId="0" applyFont="1" applyNumberFormat="1"/>
    <xf borderId="0" fillId="10" fontId="4" numFmtId="0" xfId="0" applyAlignment="1" applyFill="1" applyFont="1">
      <alignment readingOrder="0" shrinkToFit="0" wrapText="1"/>
    </xf>
    <xf borderId="0" fillId="11" fontId="2" numFmtId="0" xfId="0" applyAlignment="1" applyFill="1" applyFont="1">
      <alignment readingOrder="0" shrinkToFit="0" wrapText="1"/>
    </xf>
    <xf borderId="0" fillId="11" fontId="2" numFmtId="2" xfId="0" applyAlignment="1" applyFont="1" applyNumberFormat="1">
      <alignment shrinkToFit="0" wrapText="1"/>
    </xf>
    <xf borderId="0" fillId="10" fontId="4" numFmtId="0" xfId="0" applyFont="1"/>
    <xf borderId="0" fillId="0" fontId="2" numFmtId="1" xfId="0" applyAlignment="1" applyFont="1" applyNumberFormat="1">
      <alignment shrinkToFit="0" wrapText="1"/>
    </xf>
    <xf borderId="0" fillId="12" fontId="2" numFmtId="0" xfId="0" applyFill="1" applyFont="1"/>
    <xf borderId="0" fillId="12" fontId="4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10" xfId="0" applyFont="1" applyNumberFormat="1"/>
    <xf borderId="0" fillId="0" fontId="2" numFmtId="166" xfId="0" applyFont="1" applyNumberFormat="1"/>
    <xf borderId="0" fillId="0" fontId="2" numFmtId="9" xfId="0" applyAlignment="1" applyFont="1" applyNumberFormat="1">
      <alignment readingOrder="0"/>
    </xf>
    <xf borderId="0" fillId="5" fontId="4" numFmtId="0" xfId="0" applyAlignment="1" applyFont="1">
      <alignment readingOrder="0" shrinkToFit="0" wrapText="1"/>
    </xf>
    <xf borderId="0" fillId="13" fontId="4" numFmtId="0" xfId="0" applyFill="1" applyFont="1"/>
    <xf borderId="0" fillId="13" fontId="4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5" fontId="2" numFmtId="1" xfId="0" applyAlignment="1" applyFont="1" applyNumberFormat="1">
      <alignment shrinkToFit="0" wrapText="1"/>
    </xf>
    <xf borderId="1" fillId="14" fontId="4" numFmtId="0" xfId="0" applyAlignment="1" applyBorder="1" applyFill="1" applyFont="1">
      <alignment readingOrder="0"/>
    </xf>
    <xf borderId="1" fillId="0" fontId="2" numFmtId="0" xfId="0" applyAlignment="1" applyBorder="1" applyFont="1">
      <alignment shrinkToFit="0" wrapText="1"/>
    </xf>
    <xf borderId="1" fillId="0" fontId="2" numFmtId="2" xfId="0" applyAlignment="1" applyBorder="1" applyFont="1" applyNumberFormat="1">
      <alignment shrinkToFit="0" wrapText="1"/>
    </xf>
    <xf quotePrefix="1" borderId="0" fillId="0" fontId="5" numFmtId="0" xfId="0" applyAlignment="1" applyFont="1">
      <alignment readingOrder="0" shrinkToFit="0" wrapText="1"/>
    </xf>
    <xf borderId="0" fillId="0" fontId="6" numFmtId="0" xfId="0" applyFont="1"/>
    <xf borderId="0" fillId="0" fontId="2" numFmtId="1" xfId="0" applyAlignment="1" applyFont="1" applyNumberFormat="1">
      <alignment readingOrder="0" shrinkToFit="0" wrapText="1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20.88"/>
    <col customWidth="1" min="2" max="2" width="18.63"/>
    <col customWidth="1" min="3" max="3" width="7.5"/>
    <col customWidth="1" min="4" max="4" width="16.13"/>
    <col customWidth="1" min="5" max="5" width="19.63"/>
    <col customWidth="1" min="7" max="7" width="16.13"/>
    <col customWidth="1" min="8" max="8" width="6.5"/>
    <col customWidth="1" min="9" max="9" width="9.63"/>
    <col customWidth="1" min="10" max="10" width="6.75"/>
    <col customWidth="1" min="11" max="11" width="11.13"/>
    <col customWidth="1" min="12" max="12" width="5.13"/>
    <col customWidth="1" min="13" max="13" width="11.13"/>
    <col customWidth="1" min="14" max="14" width="5.13"/>
    <col customWidth="1" min="15" max="15" width="10.38"/>
    <col customWidth="1" min="16" max="16" width="5.13"/>
    <col customWidth="1" min="17" max="17" width="11.63"/>
    <col customWidth="1" min="18" max="18" width="5.38"/>
    <col customWidth="1" min="19" max="19" width="11.63"/>
    <col customWidth="1" min="20" max="20" width="10.25"/>
    <col customWidth="1" min="24" max="24" width="14.38"/>
    <col customWidth="1" min="26" max="26" width="14.25"/>
    <col customWidth="1" min="29" max="29" width="11.88"/>
    <col customWidth="1" min="30" max="30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3" t="str">
        <f t="array" ref="A2">TRANSPOSE('Kaizen Intake &amp; Assessment'!1:1)</f>
        <v>#REF!</v>
      </c>
      <c r="B2" s="3" t="str">
        <f t="array" ref="B2">TRANSPOSE('Kaizen Intake &amp; Assessment'!30:30)</f>
        <v>#REF!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tr">
        <f t="shared" ref="T2:T23" si="1">F2</f>
        <v/>
      </c>
      <c r="U2" s="3"/>
      <c r="V2" s="3"/>
      <c r="W2" s="3"/>
      <c r="X2" s="4" t="s">
        <v>20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3"/>
      <c r="AJ2" s="3"/>
      <c r="AK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 t="str">
        <f t="shared" si="1"/>
        <v/>
      </c>
      <c r="U3" s="3"/>
      <c r="V3" s="3"/>
      <c r="W3" s="3"/>
      <c r="AI3" s="3"/>
      <c r="AJ3" s="3"/>
      <c r="AK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tr">
        <f t="shared" si="1"/>
        <v/>
      </c>
      <c r="U4" s="3"/>
      <c r="V4" s="3"/>
      <c r="W4" s="3"/>
      <c r="X4" s="6" t="s">
        <v>21</v>
      </c>
      <c r="Y4" s="6" t="s">
        <v>22</v>
      </c>
      <c r="Z4" s="6" t="s">
        <v>23</v>
      </c>
      <c r="AA4" s="6" t="s">
        <v>24</v>
      </c>
      <c r="AB4" s="7"/>
      <c r="AC4" s="7"/>
      <c r="AD4" s="7"/>
      <c r="AE4" s="7"/>
      <c r="AF4" s="7"/>
      <c r="AG4" s="7"/>
      <c r="AH4" s="7"/>
      <c r="AI4" s="3"/>
      <c r="AJ4" s="3"/>
      <c r="AK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tr">
        <f t="shared" si="1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>
      <c r="A6" s="3"/>
      <c r="B6" s="3"/>
      <c r="C6" s="3"/>
      <c r="D6" s="3" t="str">
        <f>CONCAT(Template!B6 &amp; " ", Template!B7)
</f>
        <v> 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str">
        <f t="shared" si="1"/>
        <v/>
      </c>
      <c r="U6" s="3"/>
      <c r="V6" s="3"/>
      <c r="W6" s="3"/>
      <c r="X6" s="8" t="s">
        <v>25</v>
      </c>
      <c r="Y6" s="3" t="str">
        <f>B6</f>
        <v/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str">
        <f t="shared" si="1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str">
        <f t="shared" si="1"/>
        <v/>
      </c>
      <c r="U8" s="3"/>
      <c r="V8" s="3"/>
      <c r="W8" s="3"/>
      <c r="X8" s="6" t="s">
        <v>21</v>
      </c>
      <c r="Y8" s="6" t="s">
        <v>26</v>
      </c>
      <c r="Z8" s="6" t="s">
        <v>27</v>
      </c>
      <c r="AA8" s="6" t="s">
        <v>28</v>
      </c>
      <c r="AB8" s="7"/>
      <c r="AC8" s="7"/>
      <c r="AD8" s="7"/>
      <c r="AE8" s="7"/>
      <c r="AF8" s="7"/>
      <c r="AG8" s="7"/>
      <c r="AH8" s="7"/>
      <c r="AI8" s="3"/>
      <c r="AJ8" s="3"/>
      <c r="AK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 t="str">
        <f t="shared" si="1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39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tr">
        <f t="shared" si="1"/>
        <v/>
      </c>
      <c r="U10" s="3"/>
      <c r="V10" s="3"/>
      <c r="W10" s="3"/>
      <c r="X10" s="9" t="s">
        <v>29</v>
      </c>
      <c r="Y10" s="10" t="str">
        <f>D6</f>
        <v> </v>
      </c>
      <c r="AA10" s="11" t="s">
        <v>30</v>
      </c>
      <c r="AB10" s="12">
        <f>AE49</f>
        <v>0</v>
      </c>
      <c r="AC10" s="3"/>
      <c r="AD10" s="8" t="s">
        <v>31</v>
      </c>
      <c r="AE10" s="3" t="str">
        <f t="shared" ref="AE10:AE11" si="2">B27</f>
        <v/>
      </c>
      <c r="AF10" s="3"/>
      <c r="AG10" s="8" t="s">
        <v>32</v>
      </c>
      <c r="AH10" s="3" t="str">
        <f>B24</f>
        <v/>
      </c>
      <c r="AI10" s="3"/>
      <c r="AJ10" s="3"/>
      <c r="AK10" s="3"/>
    </row>
    <row r="11" ht="33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tr">
        <f t="shared" si="1"/>
        <v/>
      </c>
      <c r="U11" s="3"/>
      <c r="V11" s="3"/>
      <c r="W11" s="3"/>
      <c r="X11" s="9" t="s">
        <v>33</v>
      </c>
      <c r="Y11" s="10" t="str">
        <f>B8</f>
        <v/>
      </c>
      <c r="AA11" s="8" t="s">
        <v>34</v>
      </c>
      <c r="AB11" s="3" t="str">
        <f t="shared" ref="AB11:AB12" si="3">B25</f>
        <v/>
      </c>
      <c r="AC11" s="3"/>
      <c r="AD11" s="8" t="s">
        <v>35</v>
      </c>
      <c r="AE11" s="3" t="str">
        <f t="shared" si="2"/>
        <v/>
      </c>
      <c r="AF11" s="3"/>
      <c r="AG11" s="8" t="s">
        <v>36</v>
      </c>
      <c r="AH11" s="3" t="str">
        <f>B29</f>
        <v/>
      </c>
      <c r="AI11" s="3"/>
      <c r="AJ11" s="3"/>
      <c r="AK11" s="3"/>
    </row>
    <row r="12">
      <c r="A12" s="3"/>
      <c r="B12" s="3"/>
      <c r="C12" s="3"/>
      <c r="D12" s="3"/>
      <c r="E12" s="3"/>
      <c r="F12" s="13"/>
      <c r="G12" s="13"/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str">
        <f t="shared" si="1"/>
        <v/>
      </c>
      <c r="U12" s="3"/>
      <c r="V12" s="3"/>
      <c r="W12" s="3"/>
      <c r="X12" s="9" t="s">
        <v>37</v>
      </c>
      <c r="Y12" s="10">
        <f>D44</f>
        <v>0</v>
      </c>
      <c r="AA12" s="8" t="s">
        <v>38</v>
      </c>
      <c r="AB12" s="3" t="str">
        <f t="shared" si="3"/>
        <v/>
      </c>
      <c r="AC12" s="3"/>
      <c r="AD12" s="8" t="s">
        <v>39</v>
      </c>
      <c r="AE12" s="3" t="str">
        <f>CONCAT(Template!D16 &amp; " ", Template!D17)
</f>
        <v>  </v>
      </c>
      <c r="AF12" s="3"/>
      <c r="AG12" s="3"/>
      <c r="AH12" s="3"/>
      <c r="AI12" s="3"/>
      <c r="AJ12" s="3"/>
      <c r="A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tr">
        <f t="shared" si="1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 t="str">
        <f t="shared" si="1"/>
        <v/>
      </c>
      <c r="U14" s="3"/>
      <c r="V14" s="3"/>
      <c r="W14" s="3"/>
      <c r="X14" s="6" t="s">
        <v>21</v>
      </c>
      <c r="Y14" s="6" t="s">
        <v>40</v>
      </c>
      <c r="Z14" s="6" t="s">
        <v>41</v>
      </c>
      <c r="AA14" s="6" t="s">
        <v>42</v>
      </c>
      <c r="AC14" s="7"/>
      <c r="AD14" s="7"/>
      <c r="AE14" s="7"/>
      <c r="AF14" s="7"/>
      <c r="AG14" s="7"/>
      <c r="AH14" s="7"/>
      <c r="AI14" s="3"/>
      <c r="AJ14" s="3"/>
      <c r="A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tr">
        <f t="shared" si="1"/>
        <v/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ht="25.5" customHeight="1">
      <c r="A16" s="3"/>
      <c r="B16" s="3"/>
      <c r="C16" s="3"/>
      <c r="D16" s="3" t="str">
        <f>CONCAT(Template!B16 &amp; " ", Template!B18)
</f>
        <v> 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tr">
        <f t="shared" si="1"/>
        <v/>
      </c>
      <c r="U16" s="3"/>
      <c r="V16" s="3"/>
      <c r="W16" s="3"/>
      <c r="X16" s="9" t="s">
        <v>25</v>
      </c>
      <c r="Y16" s="10" t="str">
        <f>Y6</f>
        <v/>
      </c>
      <c r="Z16" s="14"/>
      <c r="AA16" s="14"/>
      <c r="AB16" s="14"/>
      <c r="AC16" s="14"/>
      <c r="AD16" s="14"/>
      <c r="AE16" s="3"/>
      <c r="AF16" s="3"/>
      <c r="AG16" s="3"/>
      <c r="AH16" s="3"/>
      <c r="AI16" s="3"/>
      <c r="AJ16" s="3"/>
      <c r="AK16" s="3"/>
    </row>
    <row r="17" ht="48.0" customHeight="1">
      <c r="A17" s="3"/>
      <c r="B17" s="3"/>
      <c r="C17" s="3"/>
      <c r="D17" s="3" t="str">
        <f>IF(B17= "yes", A17, B76)</f>
        <v/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 t="str">
        <f t="shared" si="1"/>
        <v/>
      </c>
      <c r="U17" s="3"/>
      <c r="V17" s="3"/>
      <c r="W17" s="3"/>
      <c r="X17" s="15" t="s">
        <v>43</v>
      </c>
      <c r="Y17" s="14" t="str">
        <f>VLOOKUP(B25, 'Messages &amp; Recommendations'!B15:C17, 2, FALSE)
</f>
        <v>#REF!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 t="str">
        <f t="shared" si="1"/>
        <v/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tr">
        <f t="shared" si="1"/>
        <v/>
      </c>
      <c r="U19" s="3"/>
      <c r="V19" s="3"/>
      <c r="W19" s="3"/>
      <c r="X19" s="6" t="s">
        <v>21</v>
      </c>
      <c r="Y19" s="6" t="s">
        <v>44</v>
      </c>
      <c r="Z19" s="6" t="s">
        <v>45</v>
      </c>
      <c r="AA19" s="6" t="s">
        <v>46</v>
      </c>
      <c r="AC19" s="7"/>
      <c r="AD19" s="7"/>
      <c r="AE19" s="7"/>
      <c r="AF19" s="7"/>
      <c r="AG19" s="7"/>
      <c r="AH19" s="7"/>
      <c r="AI19" s="3"/>
      <c r="AJ19" s="3"/>
      <c r="A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 t="str">
        <f t="shared" si="1"/>
        <v/>
      </c>
      <c r="U20" s="3"/>
      <c r="V20" s="3"/>
      <c r="W20" s="3"/>
      <c r="AG20" s="3"/>
      <c r="AH20" s="3"/>
      <c r="AI20" s="3"/>
      <c r="AJ20" s="3"/>
      <c r="A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 t="str">
        <f t="shared" si="1"/>
        <v/>
      </c>
      <c r="U21" s="3"/>
      <c r="V21" s="3"/>
      <c r="W21" s="3"/>
      <c r="X21" s="8" t="s">
        <v>47</v>
      </c>
      <c r="Y21" s="8" t="s">
        <v>48</v>
      </c>
      <c r="Z21" s="8" t="s">
        <v>49</v>
      </c>
      <c r="AA21" s="3"/>
      <c r="AB21" s="8" t="s">
        <v>50</v>
      </c>
      <c r="AC21" s="3" t="str">
        <f t="shared" ref="AC21:AC23" si="4">E33</f>
        <v>#REF!</v>
      </c>
      <c r="AD21" s="3"/>
      <c r="AE21" s="9" t="s">
        <v>51</v>
      </c>
      <c r="AF21" s="3" t="str">
        <f t="shared" ref="AF21:AF23" si="5">B33</f>
        <v/>
      </c>
      <c r="AG21" s="3"/>
      <c r="AH21" s="3"/>
      <c r="AI21" s="3"/>
      <c r="AJ21" s="3"/>
      <c r="AK21" s="3"/>
    </row>
    <row r="22" ht="36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 t="str">
        <f t="shared" si="1"/>
        <v/>
      </c>
      <c r="U22" s="3"/>
      <c r="V22" s="3"/>
      <c r="W22" s="3"/>
      <c r="X22" s="3" t="str">
        <f>B30</f>
        <v/>
      </c>
      <c r="Y22" s="3" t="str">
        <f>B31</f>
        <v/>
      </c>
      <c r="Z22" s="3" t="str">
        <f>B32</f>
        <v/>
      </c>
      <c r="AA22" s="3"/>
      <c r="AB22" s="8" t="s">
        <v>52</v>
      </c>
      <c r="AC22" s="3" t="str">
        <f t="shared" si="4"/>
        <v>No Match Found</v>
      </c>
      <c r="AD22" s="3"/>
      <c r="AE22" s="9" t="s">
        <v>53</v>
      </c>
      <c r="AF22" s="3" t="str">
        <f t="shared" si="5"/>
        <v/>
      </c>
      <c r="AG22" s="3"/>
      <c r="AH22" s="3"/>
      <c r="AI22" s="3"/>
      <c r="AJ22" s="3"/>
      <c r="AK22" s="3"/>
    </row>
    <row r="23" ht="37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 t="str">
        <f t="shared" si="1"/>
        <v/>
      </c>
      <c r="U23" s="3"/>
      <c r="V23" s="3"/>
      <c r="W23" s="3"/>
      <c r="X23" s="8" t="s">
        <v>54</v>
      </c>
      <c r="Z23" s="3" t="str">
        <f>IFERROR(__xludf.DUMMYFUNCTION("QUERY('Messages &amp; Recommendations'!F24:N104, ""SELECT N WHERE F = '"" &amp; B33 &amp; ""' AND G = '"" &amp; B34 &amp; ""' AND H = '"" &amp; B35 &amp; ""' AND I = '"" &amp; B64 &amp; ""'"", 0)
"),"#REF!")</f>
        <v>#REF!</v>
      </c>
      <c r="AA23" s="3"/>
      <c r="AB23" s="9" t="s">
        <v>55</v>
      </c>
      <c r="AC23" s="3" t="str">
        <f t="shared" si="4"/>
        <v>No Match Found</v>
      </c>
      <c r="AD23" s="3"/>
      <c r="AE23" s="8" t="s">
        <v>56</v>
      </c>
      <c r="AF23" s="3" t="str">
        <f t="shared" si="5"/>
        <v/>
      </c>
      <c r="AG23" s="3"/>
      <c r="AH23" s="3"/>
      <c r="AI23" s="3"/>
      <c r="AJ23" s="3"/>
      <c r="AK23" s="3"/>
    </row>
    <row r="24">
      <c r="A24" s="3"/>
      <c r="B24" s="3"/>
      <c r="C24" s="3"/>
      <c r="D24" s="3"/>
      <c r="E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8" t="s">
        <v>57</v>
      </c>
      <c r="AC24" s="3" t="str">
        <f>D64</f>
        <v>No Match Found</v>
      </c>
      <c r="AD24" s="3"/>
      <c r="AE24" s="8" t="s">
        <v>58</v>
      </c>
      <c r="AF24" s="3" t="str">
        <f>B64</f>
        <v/>
      </c>
      <c r="AI24" s="3"/>
      <c r="AJ24" s="3"/>
      <c r="AK24" s="3"/>
    </row>
    <row r="25">
      <c r="A25" s="3"/>
      <c r="B25" s="3"/>
      <c r="C25" s="3"/>
      <c r="D25" s="3"/>
      <c r="F25" s="3" t="str">
        <f>IF(AND(B25 = "Weight Loss, Tone &amp; Shred", OR(E43 = "Severely Underweight", E43 = "Underweight")), 
    "Weight Maintenance, Gain Muscle, Improve Athletic Performance", 
    IF(AND(B25 = "Weight Gain, Tone &amp; Shred", OR(E43 = "Overweight", E43 = "Overweight Max", E43 = "Obese")), 
        "Weight Loss, Tone &amp; Shred", 
        IF((B42 - B27) &gt; 2, 
            "Weight Loss, Tone &amp; Shred", 
            B25)))</f>
        <v/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AI25" s="3"/>
      <c r="AJ25" s="3"/>
      <c r="A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6" t="s">
        <v>21</v>
      </c>
      <c r="Y26" s="6" t="s">
        <v>59</v>
      </c>
      <c r="Z26" s="6" t="s">
        <v>60</v>
      </c>
      <c r="AA26" s="6" t="s">
        <v>61</v>
      </c>
      <c r="AC26" s="7"/>
      <c r="AD26" s="7"/>
      <c r="AE26" s="7"/>
      <c r="AF26" s="7"/>
      <c r="AG26" s="7"/>
      <c r="AH26" s="7"/>
      <c r="AI26" s="3"/>
      <c r="AJ26" s="3"/>
      <c r="AK26" s="3"/>
    </row>
    <row r="27">
      <c r="A27" s="3"/>
      <c r="B27" s="3"/>
      <c r="C27" s="13" t="s">
        <v>62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AF27" s="3"/>
      <c r="AG27" s="3"/>
      <c r="AH27" s="3"/>
      <c r="AI27" s="3"/>
      <c r="AJ27" s="3"/>
      <c r="AK27" s="3"/>
    </row>
    <row r="28">
      <c r="A28" s="3"/>
      <c r="B28" s="3"/>
      <c r="C28" s="3"/>
      <c r="D28" s="3" t="str">
        <f>VLOOKUP(Template!B28, 'Current State Ranges'!A385:B388, 2, FALSE)
</f>
        <v>#REF!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1" t="s">
        <v>63</v>
      </c>
      <c r="Y28" s="3" t="str">
        <f>$E$43</f>
        <v>Underweight</v>
      </c>
      <c r="AC28" s="3"/>
      <c r="AD28" s="16"/>
      <c r="AE28" s="3"/>
      <c r="AF28" s="3"/>
      <c r="AG28" s="3"/>
      <c r="AH28" s="3"/>
      <c r="AI28" s="3"/>
      <c r="AJ28" s="3"/>
      <c r="A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AC29" s="3"/>
      <c r="AD29" s="16"/>
      <c r="AE29" s="3"/>
      <c r="AF29" s="16"/>
      <c r="AG29" s="16"/>
      <c r="AH29" s="16"/>
      <c r="AI29" s="3"/>
      <c r="AJ29" s="3"/>
      <c r="A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9" t="s">
        <v>64</v>
      </c>
      <c r="Y30" s="10" t="str">
        <f>B42</f>
        <v/>
      </c>
      <c r="Z30" s="3"/>
      <c r="AA30" s="8" t="s">
        <v>65</v>
      </c>
      <c r="AB30" s="3">
        <f>ROUNDDOWN(B61,2)</f>
        <v>0</v>
      </c>
      <c r="AC30" s="3"/>
      <c r="AD30" s="16"/>
      <c r="AE30" s="3"/>
      <c r="AF30" s="3"/>
      <c r="AG30" s="3"/>
      <c r="AH30" s="3"/>
      <c r="AI30" s="3"/>
      <c r="AJ30" s="3"/>
      <c r="A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8" t="s">
        <v>66</v>
      </c>
      <c r="Y31" s="17">
        <f>ROUNDUP((B46/100),2)</f>
        <v>0</v>
      </c>
      <c r="Z31" s="3"/>
      <c r="AA31" s="8" t="s">
        <v>67</v>
      </c>
      <c r="AB31" s="18">
        <f>ROUNDUP(D62,2)</f>
        <v>1</v>
      </c>
      <c r="AC31" s="3"/>
      <c r="AD31" s="3"/>
      <c r="AE31" s="3"/>
      <c r="AF31" s="3"/>
      <c r="AG31" s="3"/>
      <c r="AH31" s="3"/>
      <c r="AI31" s="3"/>
      <c r="AJ31" s="3"/>
      <c r="A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8" t="s">
        <v>68</v>
      </c>
      <c r="Y32" s="19">
        <f>Y69</f>
        <v>0</v>
      </c>
      <c r="Z32" s="3"/>
      <c r="AA32" s="8" t="s">
        <v>69</v>
      </c>
      <c r="AB32" s="3" t="str">
        <f>B51</f>
        <v/>
      </c>
      <c r="AC32" s="3"/>
      <c r="AD32" s="3"/>
      <c r="AE32" s="3"/>
      <c r="AF32" s="3"/>
      <c r="AG32" s="3"/>
      <c r="AH32" s="3"/>
      <c r="AI32" s="3"/>
      <c r="AJ32" s="3"/>
      <c r="AK32" s="3"/>
    </row>
    <row r="33">
      <c r="A33" s="3"/>
      <c r="B33" s="3"/>
      <c r="C33" s="13" t="s">
        <v>70</v>
      </c>
      <c r="D33" s="3"/>
      <c r="E33" s="3" t="str">
        <f>VLOOKUP(B35, 'Messages &amp; Recommendations'!A24:B44, 1, TRUE)
</f>
        <v>#REF!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9" t="s">
        <v>71</v>
      </c>
      <c r="Y33" s="10" t="str">
        <f>B43</f>
        <v/>
      </c>
      <c r="Z33" s="3"/>
      <c r="AA33" s="9" t="s">
        <v>72</v>
      </c>
      <c r="AB33" s="20">
        <f>ROUNDUP((B50/100),2)</f>
        <v>0</v>
      </c>
      <c r="AC33" s="3"/>
      <c r="AD33" s="3"/>
      <c r="AE33" s="3"/>
      <c r="AF33" s="3"/>
      <c r="AG33" s="3"/>
      <c r="AH33" s="3"/>
      <c r="AI33" s="3"/>
      <c r="AJ33" s="3"/>
      <c r="AK33" s="3"/>
    </row>
    <row r="34">
      <c r="A34" s="3"/>
      <c r="B34" s="3"/>
      <c r="C34" s="13" t="s">
        <v>73</v>
      </c>
      <c r="D34" s="3"/>
      <c r="E34" s="13" t="str">
        <f t="array" ref="E34">IFERROR(
  INDEX(
    'Messages &amp; Recommendations'!A24:A44,
    MATCH(
      Template!B34,
      'Messages &amp; Recommendations'!B24:B44,
      0
    )
  ),
  "No Match Found"
)
</f>
        <v>No Match Found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>
      <c r="A35" s="3"/>
      <c r="B35" s="3"/>
      <c r="C35" s="13" t="s">
        <v>74</v>
      </c>
      <c r="D35" s="3"/>
      <c r="E35" s="3" t="str">
        <f t="array" ref="E35">IFERROR(
  INDEX(
    'Messages &amp; Recommendations'!A24:A44,
    MATCH(
      Template!B35,
      'Messages &amp; Recommendations'!B24:B44,
      0
    )
  ),
  "No Match Found"
)
</f>
        <v>No Match Found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21" t="s">
        <v>75</v>
      </c>
      <c r="Y36" s="3"/>
      <c r="Z36" s="3"/>
      <c r="AA36" s="3"/>
      <c r="AB36" s="3"/>
      <c r="AC36" s="3"/>
      <c r="AD36" s="3"/>
      <c r="AF36" s="3"/>
      <c r="AG36" s="3"/>
      <c r="AH36" s="3"/>
      <c r="AI36" s="3"/>
      <c r="AJ36" s="3"/>
      <c r="A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6" t="s">
        <v>21</v>
      </c>
      <c r="Y38" s="6" t="s">
        <v>76</v>
      </c>
      <c r="Z38" s="6" t="s">
        <v>77</v>
      </c>
      <c r="AA38" s="6" t="s">
        <v>78</v>
      </c>
      <c r="AC38" s="7"/>
      <c r="AD38" s="7"/>
      <c r="AE38" s="7"/>
      <c r="AF38" s="7"/>
      <c r="AG38" s="7"/>
      <c r="AH38" s="7"/>
      <c r="AI38" s="3"/>
      <c r="AJ38" s="3"/>
      <c r="A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22" t="s">
        <v>79</v>
      </c>
      <c r="Z40" s="3"/>
      <c r="AA40" s="3"/>
      <c r="AB40" s="23"/>
      <c r="AF40" s="3"/>
      <c r="AG40" s="24" t="s">
        <v>25</v>
      </c>
      <c r="AH40" s="10" t="str">
        <f>B6</f>
        <v/>
      </c>
      <c r="AI40" s="3"/>
      <c r="AJ40" s="3"/>
      <c r="AK40" s="3"/>
    </row>
    <row r="41" ht="54.0" customHeight="1">
      <c r="A41" s="3"/>
      <c r="B41" s="3"/>
      <c r="C41" s="13" t="s">
        <v>80</v>
      </c>
      <c r="D41" s="3"/>
      <c r="E41" s="3"/>
      <c r="F41" s="13" t="str">
        <f>B41</f>
        <v/>
      </c>
      <c r="G41" s="3">
        <f t="shared" ref="G41:G42" si="6">F41-B41</f>
        <v>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25" t="s">
        <v>81</v>
      </c>
      <c r="Y41" s="26" t="s">
        <v>82</v>
      </c>
      <c r="Z41" s="26" t="s">
        <v>83</v>
      </c>
      <c r="AA41" s="27"/>
      <c r="AB41" s="28" t="s">
        <v>84</v>
      </c>
      <c r="AC41" s="28" t="s">
        <v>85</v>
      </c>
      <c r="AD41" s="29" t="s">
        <v>86</v>
      </c>
      <c r="AE41" s="29" t="s">
        <v>87</v>
      </c>
      <c r="AG41" s="22" t="s">
        <v>43</v>
      </c>
      <c r="AH41" s="3" t="str">
        <f>IF(AND(AE49 &gt; $Y$54, AE49 &lt; $Z$54), 'Messages &amp; Recommendations'!C120,
  IF(AND(AE49 &gt; $Y$55, AE49 &lt; $Z$55), 'Messages &amp; Recommendations'!C121,
    IF(AND(AE49 &gt;= $Y$56, AE49 &lt;= $Z$56), 'Messages &amp; Recommendations'!C122, "")
  )
)
</f>
        <v/>
      </c>
      <c r="AI41" s="3"/>
      <c r="AJ41" s="3"/>
      <c r="AK41" s="3"/>
    </row>
    <row r="42">
      <c r="A42" s="3"/>
      <c r="B42" s="3"/>
      <c r="C42" s="13" t="s">
        <v>62</v>
      </c>
      <c r="D42" s="3"/>
      <c r="E42" s="3"/>
      <c r="F42" s="13" t="str">
        <f>B27</f>
        <v/>
      </c>
      <c r="G42" s="3">
        <f t="shared" si="6"/>
        <v>0</v>
      </c>
      <c r="H42" s="18">
        <f>B42+(($AF$71*H$45))</f>
        <v>0</v>
      </c>
      <c r="I42" s="18" t="str">
        <f>ROUNDUP((IF(VLOOKUP(Template!$F$25, 'Current State Ranges'!$B$3:$B$5, 1, FALSE) = "Weight Gain, Tone &amp; Shred",
    IF((H$42 + (($AF$69 * H$45*1.5))) &gt;= Template!$F$42, Template!$F$42, H$42 + (($AF$69 * H$45*1.5))),
    IF(VLOOKUP(Template!$F$25, 'Current State Ranges'!$B$3:$B$5, 1, FALSE) = "Weight Loss, Tone &amp; Shred",
        MAX(Template!$F$42, H$42 + (($AF$69 * H$45*1.5))),
        MIN(H$42 + (($AF$69 * H$45*1.5)), Template!$F$42)))),2)</f>
        <v>#REF!</v>
      </c>
      <c r="J42" s="18" t="str">
        <f>ROUNDDOWN((IF(VLOOKUP(Template!$F$25, 'Current State Ranges'!$B$3:$B$5, 1, FALSE) = "Weight Gain, Tone &amp; Shred",
    IF((I$42 + (($AF$69 * I$45*1.5))) &gt;= Template!$F$42, Template!$F$42, I$42 + (($AF$69 * I$45*1.5))),
    IF(VLOOKUP(Template!$F$25, 'Current State Ranges'!$B$3:$B$5, 1, FALSE) = "Weight Loss, Tone &amp; Shred",
        MAX(Template!$F$42, I$42 + (($AF$69 * I$45*1.5))),
        MIN(I$42 + (($AF$69 * I$45*1.5)), Template!$F$42)))),2)</f>
        <v>#REF!</v>
      </c>
      <c r="K42" s="18" t="str">
        <f>ROUNDDOWN((IF(VLOOKUP(Template!$F$25, 'Current State Ranges'!$B$3:$B$5, 1, FALSE) = "Weight Gain, Tone &amp; Shred",
    IF((J$42 + (($AF$69 * J$45*1.5))) &gt;= Template!$F$42, Template!$F$42, J$42 + (($AF$69 * J$45*1.5))),
    IF(VLOOKUP(Template!$F$25, 'Current State Ranges'!$B$3:$B$5, 1, FALSE) = "Weight Loss, Tone &amp; Shred",
        MAX(Template!$F$42, J$42 + (($AF$69 * J$45*1.5))),
        MIN(J$42 + (($AF$69 * J$45*1.5)), Template!$F$42)))),2)</f>
        <v>#REF!</v>
      </c>
      <c r="L42" s="18" t="str">
        <f>ROUNDDOWN((IF(VLOOKUP(Template!$F$25, 'Current State Ranges'!$B$3:$B$5, 1, FALSE) = "Weight Gain, Tone &amp; Shred",
    IF((K$42 + (($AF$69 * K$45*1.5))) &gt;= Template!$F$42, Template!$F$42, K$42 + (($AF$69 * K$45*1.5))),
    IF(VLOOKUP(Template!$F$25, 'Current State Ranges'!$B$3:$B$5, 1, FALSE) = "Weight Loss, Tone &amp; Shred",
        MAX(Template!$F$42, K$42 + (($AF$69 * K$45*1.5))),
        MIN(K$42 + (($AF$69 * K$45*1.5)), Template!$F$42)))),2)</f>
        <v>#REF!</v>
      </c>
      <c r="M42" s="18" t="str">
        <f>ROUNDDOWN((IF(VLOOKUP(Template!$F$25, 'Current State Ranges'!$B$3:$B$5, 1, FALSE) = "Weight Gain, Tone &amp; Shred",
    IF((L$42 + (($AF$69 * L$45*1.5))) &gt;= Template!$F$42, Template!$F$42, L$42 + (($AF$69 * L$45*1.5))),
    IF(VLOOKUP(Template!$F$25, 'Current State Ranges'!$B$3:$B$5, 1, FALSE) = "Weight Loss, Tone &amp; Shred",
        MAX(Template!$F$42, L$42 + (($AF$69 * L$45*1.5))),
        MIN(L$42 + (($AF$69 * L$45*1.5)), Template!$F$42)))),2)</f>
        <v>#REF!</v>
      </c>
      <c r="N42" s="18" t="str">
        <f>ROUNDDOWN((IF(VLOOKUP(Template!$F$25, 'Current State Ranges'!$B$3:$B$5, 1, FALSE) = "Weight Gain, Tone &amp; Shred",
    IF((M$42 + (($AF$69 * M$45*1.5))) &gt;= Template!$F$42, Template!$F$42, M$42 + (($AF$69 * M$45*1.5))),
    IF(VLOOKUP(Template!$F$25, 'Current State Ranges'!$B$3:$B$5, 1, FALSE) = "Weight Loss, Tone &amp; Shred",
        MAX(Template!$F$42, M$42 + (($AF$69 * M$45*1.5))),
        MIN(M$42 + (($AF$69 * M$45*1.5)), Template!$F$42)))),2)</f>
        <v>#REF!</v>
      </c>
      <c r="O42" s="18" t="str">
        <f>ROUNDDOWN((IF(VLOOKUP(Template!$F$25, 'Current State Ranges'!$B$3:$B$5, 1, FALSE) = "Weight Gain, Tone &amp; Shred",
    IF((N$42 + (($AF$69 * N$45*1.5))) &gt;= Template!$F$42, Template!$F$42, N$42 + (($AF$69 * N$45*1.5))),
    IF(VLOOKUP(Template!$F$25, 'Current State Ranges'!$B$3:$B$5, 1, FALSE) = "Weight Loss, Tone &amp; Shred",
        MAX(Template!$F$42, N$42 + (($AF$69 * N$45*1.5))),
        MIN(N$42 + (($AF$69 * N$45*1.5)), Template!$F$42)))),2)</f>
        <v>#REF!</v>
      </c>
      <c r="P42" s="18" t="str">
        <f>ROUNDDOWN((IF(VLOOKUP(Template!$F$25, 'Current State Ranges'!$B$3:$B$5, 1, FALSE) = "Weight Gain, Tone &amp; Shred",
    IF((O$42 + (($AF$69 * O$45*1.5))) &gt;= Template!$F$42, Template!$F$42, O$42 + (($AF$69 * O$45*1.5))),
    IF(VLOOKUP(Template!$F$25, 'Current State Ranges'!$B$3:$B$5, 1, FALSE) = "Weight Loss, Tone &amp; Shred",
        MAX(Template!$F$42, O$42 + (($AF$69 * O$45*1.5))),
        MIN(O$42 + (($AF$69 * O$45*1.5)), Template!$F$42)))),2)</f>
        <v>#REF!</v>
      </c>
      <c r="Q42" s="18" t="str">
        <f>ROUNDDOWN((IF(VLOOKUP(Template!$F$25, 'Current State Ranges'!$B$3:$B$5, 1, FALSE) = "Weight Gain, Tone &amp; Shred",
    IF((P$42 + (($AF$69 * P$45*1.5))) &gt;= Template!$F$42, Template!$F$42, P$42 + (($AF$69 * P$45*1.5))),
    IF(VLOOKUP(Template!$F$25, 'Current State Ranges'!$B$3:$B$5, 1, FALSE) = "Weight Loss, Tone &amp; Shred",
        MAX(Template!$F$42, P$42 + (($AF$69 * P$45*1.5))),
        MIN(P$42 + (($AF$69 * P$45*1.5)), Template!$F$42)))),2)</f>
        <v>#REF!</v>
      </c>
      <c r="R42" s="18" t="str">
        <f>IF(VLOOKUP(Template!$F$25, 'Current State Ranges'!$B$3:$B$5, 1, FALSE) = "Weight Gain, Tone &amp; Shred",
    IF((Q$42 + (($AF$69 * Q$45))) &gt;= Template!$F$42, Template!$F$42, Q$42 + (($AF$69 * Q$45))),
    IF(VLOOKUP(Template!$F$25, 'Current State Ranges'!$B$3:$B$5, 1, FALSE) = "Weight Loss, Tone &amp; Shred",
        MAX(Template!$F$42, Q$42 + (($AF$69 * Q$45))),
        MIN(Q$42 + (($AF$69 * Q$45)), Template!$F$42)))</f>
        <v>#REF!</v>
      </c>
      <c r="S42" s="18" t="str">
        <f>IF(VLOOKUP(Template!$F$25, 'Current State Ranges'!$B$3:$B$5, 1, FALSE) = "Weight Gain, Tone &amp; Shred",
    IF((R$42 + (($AF$69 * R$45))) &gt;= Template!$F$42, Template!$F$42, R$42 + (($AF$69 * R$45))),
    IF(VLOOKUP(Template!$F$25, 'Current State Ranges'!$B$3:$B$5, 1, FALSE) = "Weight Loss, Tone &amp; Shred",
        MAX(Template!$F$42, R$42 + (($AF$69 * R$45))),
        MIN(R$42 + (($AF$69 * R$45)), Template!$F$42)))</f>
        <v>#REF!</v>
      </c>
      <c r="T42" s="18" t="str">
        <f>IF(VLOOKUP(Template!$F$25, 'Current State Ranges'!$B$3:$B$5, 1, FALSE) = "Weight Gain, Tone &amp; Shred",
    IF((S$42 + (($AF$69 * S$45))) &gt;= Template!$F$42, Template!$F$42, S$42 + (($AF$69 * S$45))),
    IF(VLOOKUP(Template!$F$25, 'Current State Ranges'!$B$3:$B$5, 1, FALSE) = "Weight Loss, Tone &amp; Shred",
        MAX(Template!$F$42, S$42 + (($AF$69 * S$45))),
        MIN(S$42 + (($AF$69 * S$45)), Template!$F$42)))</f>
        <v>#REF!</v>
      </c>
      <c r="U42" s="3"/>
      <c r="V42" s="3"/>
      <c r="W42" s="3"/>
      <c r="X42" s="30" t="s">
        <v>88</v>
      </c>
      <c r="Y42" s="10">
        <f>SUM(E63:E73)</f>
        <v>0</v>
      </c>
      <c r="Z42" s="31">
        <v>1100.0</v>
      </c>
      <c r="AA42" s="32"/>
      <c r="AB42" s="3" t="str">
        <f t="shared" ref="AB42:AB49" si="7">IF(AND(AC42 &gt; $Y$54, AC42 &lt; $Z$54), $X$54,
  IF(AND(AC42 &gt; $Y$55, AC42 &lt; $Z$55), $X$55,
    IF(AND(AC42 &gt;= $Y$56, AC42 &lt;= $Z$56), $X$56, "")
  )
)
</f>
        <v/>
      </c>
      <c r="AC42" s="33">
        <f t="shared" ref="AC42:AC45" si="8">ROUNDUP(((Y42/Z42)*100%),2)</f>
        <v>0</v>
      </c>
      <c r="AD42" s="34">
        <v>0.2</v>
      </c>
      <c r="AE42" s="35">
        <f>ROUNDUP((AC42*AD42),2)</f>
        <v>0</v>
      </c>
      <c r="AH42" s="3"/>
      <c r="AI42" s="3"/>
      <c r="AJ42" s="3"/>
      <c r="AK42" s="3"/>
    </row>
    <row r="43">
      <c r="A43" s="3"/>
      <c r="B43" s="3"/>
      <c r="C43" s="13" t="s">
        <v>71</v>
      </c>
      <c r="D43" s="3"/>
      <c r="E43" s="13" t="str">
        <f>IF(B43&lt;18.5,"Underweight",IF(B43&lt;25,"Healthy",IF(B43&lt;30,"Overweight",IF(B43&lt;35,"Overweight Max","Obese"))))
</f>
        <v>Underweight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 t="str">
        <f t="shared" ref="T43:T44" si="9">F43</f>
        <v/>
      </c>
      <c r="U43" s="3"/>
      <c r="V43" s="3"/>
      <c r="W43" s="3"/>
      <c r="X43" s="30" t="s">
        <v>89</v>
      </c>
      <c r="Y43" s="10">
        <f>SUM(E74:E87)</f>
        <v>0</v>
      </c>
      <c r="Z43" s="31">
        <v>1400.0</v>
      </c>
      <c r="AA43" s="32"/>
      <c r="AB43" s="3" t="str">
        <f t="shared" si="7"/>
        <v/>
      </c>
      <c r="AC43" s="33">
        <f t="shared" si="8"/>
        <v>0</v>
      </c>
      <c r="AD43" s="34">
        <v>0.35</v>
      </c>
      <c r="AE43" s="35">
        <f t="shared" ref="AE43:AE45" si="10">ROUNDDOWN((AC43*AD43),2)</f>
        <v>0</v>
      </c>
      <c r="AH43" s="3"/>
      <c r="AI43" s="3"/>
      <c r="AJ43" s="3"/>
      <c r="AK43" s="3"/>
    </row>
    <row r="44">
      <c r="A44" s="3"/>
      <c r="B44" s="36"/>
      <c r="C44" s="13" t="s">
        <v>90</v>
      </c>
      <c r="D44" s="3">
        <f>FLOOR(INT(B44), 1)
</f>
        <v>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 t="str">
        <f t="shared" si="9"/>
        <v/>
      </c>
      <c r="U44" s="3"/>
      <c r="V44" s="3"/>
      <c r="W44" s="3"/>
      <c r="X44" s="30" t="s">
        <v>91</v>
      </c>
      <c r="Y44" s="3">
        <f>SUM(E88:E98)</f>
        <v>0</v>
      </c>
      <c r="Z44" s="13">
        <v>1100.0</v>
      </c>
      <c r="AA44" s="32"/>
      <c r="AB44" s="3" t="str">
        <f t="shared" si="7"/>
        <v/>
      </c>
      <c r="AC44" s="33">
        <f t="shared" si="8"/>
        <v>0</v>
      </c>
      <c r="AD44" s="37">
        <v>0.3</v>
      </c>
      <c r="AE44" s="35">
        <f t="shared" si="10"/>
        <v>0</v>
      </c>
      <c r="AH44" s="3"/>
      <c r="AI44" s="3"/>
      <c r="AJ44" s="3"/>
      <c r="AK44" s="3"/>
    </row>
    <row r="45">
      <c r="A45" s="3"/>
      <c r="B45" s="3"/>
      <c r="D45" s="38">
        <f>SUM(AE42:AE48)</f>
        <v>0</v>
      </c>
      <c r="E45" s="3"/>
      <c r="F45" s="39">
        <v>1.0</v>
      </c>
      <c r="G45" s="17">
        <f>F45-D45</f>
        <v>1</v>
      </c>
      <c r="H45" s="17">
        <f>$D45</f>
        <v>0</v>
      </c>
      <c r="I45" s="17">
        <f t="shared" ref="I45:T45" si="11">H45+($G$45/36)</f>
        <v>0.02777777778</v>
      </c>
      <c r="J45" s="17">
        <f t="shared" si="11"/>
        <v>0.05555555556</v>
      </c>
      <c r="K45" s="17">
        <f t="shared" si="11"/>
        <v>0.08333333333</v>
      </c>
      <c r="L45" s="17">
        <f t="shared" si="11"/>
        <v>0.1111111111</v>
      </c>
      <c r="M45" s="17">
        <f t="shared" si="11"/>
        <v>0.1388888889</v>
      </c>
      <c r="N45" s="17">
        <f t="shared" si="11"/>
        <v>0.1666666667</v>
      </c>
      <c r="O45" s="17">
        <f t="shared" si="11"/>
        <v>0.1944444444</v>
      </c>
      <c r="P45" s="17">
        <f t="shared" si="11"/>
        <v>0.2222222222</v>
      </c>
      <c r="Q45" s="17">
        <f t="shared" si="11"/>
        <v>0.25</v>
      </c>
      <c r="R45" s="17">
        <f t="shared" si="11"/>
        <v>0.2777777778</v>
      </c>
      <c r="S45" s="17">
        <f t="shared" si="11"/>
        <v>0.3055555556</v>
      </c>
      <c r="T45" s="17">
        <f t="shared" si="11"/>
        <v>0.3333333333</v>
      </c>
      <c r="U45" s="3"/>
      <c r="V45" s="3"/>
      <c r="W45" s="3"/>
      <c r="X45" s="30" t="s">
        <v>92</v>
      </c>
      <c r="Y45" s="3">
        <f>SUM(E99:E104)</f>
        <v>0</v>
      </c>
      <c r="Z45" s="23">
        <v>600.0</v>
      </c>
      <c r="AA45" s="32"/>
      <c r="AB45" s="3" t="str">
        <f t="shared" si="7"/>
        <v/>
      </c>
      <c r="AC45" s="33">
        <f t="shared" si="8"/>
        <v>0</v>
      </c>
      <c r="AD45" s="34">
        <v>0.05</v>
      </c>
      <c r="AE45" s="35">
        <f t="shared" si="10"/>
        <v>0</v>
      </c>
      <c r="AH45" s="3"/>
      <c r="AI45" s="3"/>
      <c r="AJ45" s="3"/>
      <c r="AK45" s="3"/>
    </row>
    <row r="46">
      <c r="A46" s="3"/>
      <c r="B46" s="3"/>
      <c r="C46" s="13" t="s">
        <v>74</v>
      </c>
      <c r="D46" s="3"/>
      <c r="E46" s="3"/>
      <c r="F46" s="40" t="str">
        <f>IF(AND(B8="Male", B46&gt;=6, B46&lt;=16), 
    B46/100, 
    IF(B25="Weight Loss, Tone &amp; Shred",
        IF(B8="Female", 
            MIN(MAX(18, B46 - 12), 20), 
            MIN(MAX(16, B46 - 12), 25)),
        IF(B25="Weight Gain, Tone &amp; Shred",
            IF(B8="Female", 
                MIN(MAX(18, B46 + 5), 18), 
                MIN(MAX(16, B46 + 5), 18)),
            IF(B25="Maintain Weight, Gain Strength, Improve Athletic Performance",
                IF(B8="Female", 
                    MIN(MAX(18, B46), 16), 
                    MIN(MAX(16, B46), 16)),
                "Other Goal")))/100)</f>
        <v>#VALUE!</v>
      </c>
      <c r="G46" s="41" t="str">
        <f>F46-(B46/100)</f>
        <v>#VALUE!</v>
      </c>
      <c r="H46" s="40" t="str">
        <f>IF($B$8 = "Female", 
    MAX((B46/100) - VLOOKUP($E$43, 'Current State Ranges'!G177:I182, 2, FALSE) * ($H$45-10%), $F$46), 
    MAX((B46/100) - VLOOKUP($E$43, 'Current State Ranges'!G177:I182, 3, FALSE) * ($H$45-10%), $F$46))
</f>
        <v>#REF!</v>
      </c>
      <c r="I46" s="3" t="str">
        <f t="shared" ref="I46:S46" si="12">IF($B$8 = "Female", 
    MAX((H46) - VLOOKUP($E$43, 'Current State Ranges'!$G$177:$I$182, 2, FALSE) * (H$45-10%), $F$46), 
    MAX((H46) - VLOOKUP($E$43, 'Current State Ranges'!$G$177:$I$182, 3, FALSE) * (H$45), $F$46))
</f>
        <v>#REF!</v>
      </c>
      <c r="J46" s="3" t="str">
        <f t="shared" si="12"/>
        <v>#REF!</v>
      </c>
      <c r="K46" s="3" t="str">
        <f t="shared" si="12"/>
        <v>#REF!</v>
      </c>
      <c r="L46" s="3" t="str">
        <f t="shared" si="12"/>
        <v>#REF!</v>
      </c>
      <c r="M46" s="3" t="str">
        <f t="shared" si="12"/>
        <v>#REF!</v>
      </c>
      <c r="N46" s="3" t="str">
        <f t="shared" si="12"/>
        <v>#REF!</v>
      </c>
      <c r="O46" s="3" t="str">
        <f t="shared" si="12"/>
        <v>#REF!</v>
      </c>
      <c r="P46" s="3" t="str">
        <f t="shared" si="12"/>
        <v>#REF!</v>
      </c>
      <c r="Q46" s="3" t="str">
        <f t="shared" si="12"/>
        <v>#REF!</v>
      </c>
      <c r="R46" s="3" t="str">
        <f t="shared" si="12"/>
        <v>#REF!</v>
      </c>
      <c r="S46" s="3" t="str">
        <f t="shared" si="12"/>
        <v>#REF!</v>
      </c>
      <c r="T46" s="40" t="str">
        <f t="shared" ref="T46:T48" si="13">F46</f>
        <v>#VALUE!</v>
      </c>
      <c r="U46" s="3"/>
      <c r="V46" s="3"/>
      <c r="W46" s="3"/>
      <c r="X46" s="30" t="s">
        <v>93</v>
      </c>
      <c r="Y46" s="3">
        <f>SUM(E105:E112)</f>
        <v>0</v>
      </c>
      <c r="Z46" s="13">
        <v>800.0</v>
      </c>
      <c r="AA46" s="32"/>
      <c r="AB46" s="3" t="str">
        <f t="shared" si="7"/>
        <v/>
      </c>
      <c r="AC46" s="33">
        <f>ROUNDDOWN(((Y46/Z46)*100%),2)</f>
        <v>0</v>
      </c>
      <c r="AD46" s="34">
        <v>0.05</v>
      </c>
      <c r="AE46" s="35">
        <f t="shared" ref="AE46:AE48" si="14">ROUNDUP((AC46*AD46),2)</f>
        <v>0</v>
      </c>
      <c r="AH46" s="3"/>
      <c r="AI46" s="3"/>
      <c r="AJ46" s="3"/>
      <c r="AK46" s="3"/>
    </row>
    <row r="47">
      <c r="A47" s="3"/>
      <c r="B47" s="3"/>
      <c r="C47" s="13" t="s">
        <v>74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 t="str">
        <f t="shared" si="13"/>
        <v/>
      </c>
      <c r="U47" s="3"/>
      <c r="V47" s="3"/>
      <c r="W47" s="3"/>
      <c r="X47" s="30" t="s">
        <v>94</v>
      </c>
      <c r="Y47" s="3">
        <f>SUM(E113:E122)</f>
        <v>0</v>
      </c>
      <c r="Z47" s="13">
        <v>1000.0</v>
      </c>
      <c r="AA47" s="32"/>
      <c r="AB47" s="3" t="str">
        <f t="shared" si="7"/>
        <v/>
      </c>
      <c r="AC47" s="33">
        <f t="shared" ref="AC47:AC48" si="15">ROUNDUP(((Y47/Z47)*100%),2)</f>
        <v>0</v>
      </c>
      <c r="AD47" s="34">
        <v>0.03</v>
      </c>
      <c r="AE47" s="35">
        <f t="shared" si="14"/>
        <v>0</v>
      </c>
      <c r="AH47" s="3"/>
      <c r="AI47" s="3"/>
      <c r="AJ47" s="3"/>
      <c r="AK47" s="3"/>
    </row>
    <row r="48">
      <c r="A48" s="3"/>
      <c r="B48" s="3"/>
      <c r="C48" s="13" t="s">
        <v>74</v>
      </c>
      <c r="D48" s="3"/>
      <c r="E48" s="3"/>
      <c r="F48" s="39">
        <f>IF(B48&lt;60, 60%,B48%)</f>
        <v>0.6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17">
        <f t="shared" si="13"/>
        <v>0.6</v>
      </c>
      <c r="U48" s="3"/>
      <c r="V48" s="3"/>
      <c r="W48" s="3"/>
      <c r="X48" s="30" t="s">
        <v>95</v>
      </c>
      <c r="Y48" s="3">
        <f>SUM(E123:E128)</f>
        <v>0</v>
      </c>
      <c r="Z48" s="13">
        <v>600.0</v>
      </c>
      <c r="AA48" s="32"/>
      <c r="AB48" s="3" t="str">
        <f t="shared" si="7"/>
        <v/>
      </c>
      <c r="AC48" s="33">
        <f t="shared" si="15"/>
        <v>0</v>
      </c>
      <c r="AD48" s="34">
        <v>0.02</v>
      </c>
      <c r="AE48" s="35">
        <f t="shared" si="14"/>
        <v>0</v>
      </c>
      <c r="AH48" s="3"/>
      <c r="AI48" s="3"/>
      <c r="AJ48" s="3"/>
      <c r="AK48" s="3"/>
    </row>
    <row r="49">
      <c r="A49" s="3"/>
      <c r="B49" s="3"/>
      <c r="C49" s="13" t="s">
        <v>62</v>
      </c>
      <c r="D49" s="3">
        <f>B42-(B46%*B42)</f>
        <v>0</v>
      </c>
      <c r="E49" s="3"/>
      <c r="F49" s="3" t="str">
        <f>F42*(1-F46)</f>
        <v>#VALUE!</v>
      </c>
      <c r="G49" s="3" t="str">
        <f>F49-D49</f>
        <v>#VALUE!</v>
      </c>
      <c r="H49" s="36" t="str">
        <f t="shared" ref="H49:T49" si="16">(H42*(1-H46))</f>
        <v>#REF!</v>
      </c>
      <c r="I49" s="36" t="str">
        <f t="shared" si="16"/>
        <v>#REF!</v>
      </c>
      <c r="J49" s="36" t="str">
        <f t="shared" si="16"/>
        <v>#REF!</v>
      </c>
      <c r="K49" s="36" t="str">
        <f t="shared" si="16"/>
        <v>#REF!</v>
      </c>
      <c r="L49" s="36" t="str">
        <f t="shared" si="16"/>
        <v>#REF!</v>
      </c>
      <c r="M49" s="36" t="str">
        <f t="shared" si="16"/>
        <v>#REF!</v>
      </c>
      <c r="N49" s="36" t="str">
        <f t="shared" si="16"/>
        <v>#REF!</v>
      </c>
      <c r="O49" s="36" t="str">
        <f t="shared" si="16"/>
        <v>#REF!</v>
      </c>
      <c r="P49" s="36" t="str">
        <f t="shared" si="16"/>
        <v>#REF!</v>
      </c>
      <c r="Q49" s="36" t="str">
        <f t="shared" si="16"/>
        <v>#REF!</v>
      </c>
      <c r="R49" s="36" t="str">
        <f t="shared" si="16"/>
        <v>#REF!</v>
      </c>
      <c r="S49" s="36" t="str">
        <f t="shared" si="16"/>
        <v>#REF!</v>
      </c>
      <c r="T49" s="36" t="str">
        <f t="shared" si="16"/>
        <v>#REF!</v>
      </c>
      <c r="U49" s="3"/>
      <c r="V49" s="3"/>
      <c r="W49" s="3"/>
      <c r="X49" s="42" t="s">
        <v>96</v>
      </c>
      <c r="AA49" s="32"/>
      <c r="AB49" s="43" t="str">
        <f t="shared" si="7"/>
        <v/>
      </c>
      <c r="AC49" s="44">
        <f>ROUNDUP((SUM(AC42:AC48)/7),2)</f>
        <v>0</v>
      </c>
      <c r="AD49" s="17">
        <f>SUM(AD42:AD48)</f>
        <v>1</v>
      </c>
      <c r="AE49" s="45">
        <f>ROUNDDOWN((SUM(AE42:AE48)),2)</f>
        <v>0</v>
      </c>
      <c r="AF49" s="46" t="s">
        <v>30</v>
      </c>
      <c r="AH49" s="3"/>
      <c r="AI49" s="3"/>
      <c r="AJ49" s="3"/>
      <c r="AK49" s="3"/>
    </row>
    <row r="50">
      <c r="A50" s="3"/>
      <c r="B50" s="3"/>
      <c r="C50" s="13" t="s">
        <v>74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 t="str">
        <f t="shared" ref="T50:T59" si="17">F50</f>
        <v/>
      </c>
      <c r="U50" s="3"/>
      <c r="V50" s="3"/>
      <c r="W50" s="3"/>
      <c r="X50" s="47"/>
      <c r="Y50" s="48"/>
      <c r="Z50" s="3"/>
      <c r="AA50" s="3"/>
      <c r="AB50" s="3"/>
      <c r="AC50" s="3"/>
      <c r="AD50" s="3"/>
      <c r="AE50" s="3"/>
      <c r="AF50" s="3"/>
      <c r="AH50" s="3"/>
      <c r="AI50" s="3"/>
      <c r="AJ50" s="3"/>
      <c r="AK50" s="3"/>
    </row>
    <row r="51">
      <c r="A51" s="3"/>
      <c r="B51" s="3"/>
      <c r="C51" s="13" t="s">
        <v>97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 t="str">
        <f t="shared" si="17"/>
        <v/>
      </c>
      <c r="U51" s="3"/>
      <c r="V51" s="3"/>
      <c r="W51" s="3"/>
      <c r="AA51" s="3"/>
      <c r="AB51" s="3"/>
      <c r="AC51" s="3"/>
      <c r="AD51" s="3"/>
      <c r="AE51" s="3"/>
      <c r="AF51" s="3"/>
      <c r="AH51" s="3"/>
      <c r="AI51" s="3"/>
      <c r="AJ51" s="3"/>
      <c r="AK51" s="3"/>
    </row>
    <row r="52">
      <c r="A52" s="3"/>
      <c r="B52" s="3"/>
      <c r="C52" s="13" t="s">
        <v>97</v>
      </c>
      <c r="D52" s="3" t="str">
        <f>B51+D92</f>
        <v>#VALUE!</v>
      </c>
      <c r="E52" s="3"/>
      <c r="F52" s="3" t="str">
        <f>B51+F92</f>
        <v>#VALUE!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 t="str">
        <f t="shared" si="17"/>
        <v>#VALUE!</v>
      </c>
      <c r="U52" s="3"/>
      <c r="V52" s="3"/>
      <c r="W52" s="3"/>
      <c r="AA52" s="3"/>
      <c r="AB52" s="3"/>
      <c r="AC52" s="3"/>
      <c r="AD52" s="3"/>
      <c r="AE52" s="3"/>
      <c r="AF52" s="3"/>
      <c r="AH52" s="3"/>
      <c r="AI52" s="3"/>
      <c r="AJ52" s="3"/>
      <c r="AK52" s="3"/>
    </row>
    <row r="53">
      <c r="A53" s="3"/>
      <c r="B53" s="3"/>
      <c r="C53" s="13" t="s">
        <v>80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 t="str">
        <f t="shared" si="17"/>
        <v/>
      </c>
      <c r="U53" s="3"/>
      <c r="V53" s="3"/>
      <c r="W53" s="3"/>
      <c r="X53" s="49" t="s">
        <v>98</v>
      </c>
      <c r="Y53" s="49" t="s">
        <v>99</v>
      </c>
      <c r="Z53" s="49" t="s">
        <v>100</v>
      </c>
      <c r="AA53" s="3"/>
      <c r="AB53" s="3"/>
      <c r="AC53" s="3"/>
      <c r="AD53" s="3"/>
      <c r="AE53" s="3"/>
      <c r="AF53" s="3"/>
      <c r="AH53" s="3"/>
      <c r="AI53" s="3"/>
      <c r="AJ53" s="3"/>
      <c r="AK53" s="3"/>
    </row>
    <row r="54">
      <c r="A54" s="3"/>
      <c r="B54" s="3"/>
      <c r="C54" s="13" t="s">
        <v>80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 t="str">
        <f t="shared" si="17"/>
        <v/>
      </c>
      <c r="U54" s="3"/>
      <c r="V54" s="3"/>
      <c r="W54" s="3"/>
      <c r="X54" s="30" t="s">
        <v>101</v>
      </c>
      <c r="Y54" s="30">
        <v>0.0</v>
      </c>
      <c r="Z54" s="33">
        <v>0.5</v>
      </c>
      <c r="AA54" s="3"/>
      <c r="AB54" s="3"/>
      <c r="AC54" s="3"/>
      <c r="AD54" s="3"/>
      <c r="AE54" s="3"/>
      <c r="AF54" s="3"/>
      <c r="AH54" s="3"/>
      <c r="AI54" s="3"/>
      <c r="AJ54" s="3"/>
      <c r="AK54" s="3"/>
    </row>
    <row r="55">
      <c r="A55" s="3"/>
      <c r="B55" s="3"/>
      <c r="C55" s="13" t="s">
        <v>80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 t="str">
        <f t="shared" si="17"/>
        <v/>
      </c>
      <c r="U55" s="3"/>
      <c r="V55" s="3"/>
      <c r="W55" s="3"/>
      <c r="X55" s="30" t="s">
        <v>102</v>
      </c>
      <c r="Y55" s="33">
        <v>0.5</v>
      </c>
      <c r="Z55" s="33">
        <v>0.75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>
      <c r="A56" s="3"/>
      <c r="B56" s="3"/>
      <c r="C56" s="13" t="s">
        <v>80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 t="str">
        <f t="shared" si="17"/>
        <v/>
      </c>
      <c r="U56" s="3"/>
      <c r="V56" s="3"/>
      <c r="W56" s="3"/>
      <c r="X56" s="30" t="s">
        <v>103</v>
      </c>
      <c r="Y56" s="33">
        <v>0.75</v>
      </c>
      <c r="Z56" s="33">
        <v>1.0</v>
      </c>
      <c r="AI56" s="3"/>
      <c r="AJ56" s="3"/>
      <c r="AK56" s="3"/>
    </row>
    <row r="57">
      <c r="A57" s="3"/>
      <c r="B57" s="3"/>
      <c r="C57" s="13" t="s">
        <v>80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 t="str">
        <f t="shared" si="17"/>
        <v/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>
      <c r="A58" s="3"/>
      <c r="B58" s="3"/>
      <c r="C58" s="13" t="s">
        <v>80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 t="str">
        <f t="shared" si="17"/>
        <v/>
      </c>
      <c r="U58" s="3"/>
      <c r="V58" s="3"/>
      <c r="W58" s="3"/>
      <c r="X58" s="6" t="s">
        <v>21</v>
      </c>
      <c r="Y58" s="6" t="s">
        <v>104</v>
      </c>
      <c r="Z58" s="6" t="s">
        <v>105</v>
      </c>
      <c r="AA58" s="6" t="s">
        <v>106</v>
      </c>
      <c r="AC58" s="7"/>
      <c r="AD58" s="7"/>
      <c r="AE58" s="7"/>
      <c r="AF58" s="7"/>
      <c r="AG58" s="7"/>
      <c r="AH58" s="7"/>
      <c r="AI58" s="3"/>
      <c r="AJ58" s="3"/>
      <c r="AK58" s="3"/>
    </row>
    <row r="59">
      <c r="A59" s="3"/>
      <c r="B59" s="3"/>
      <c r="C59" s="13" t="s">
        <v>80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 t="str">
        <f t="shared" si="17"/>
        <v/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>
      <c r="A60" s="3"/>
      <c r="B60" s="3"/>
      <c r="C60" s="13" t="s">
        <v>80</v>
      </c>
      <c r="D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 t="str">
        <f>#REF!</f>
        <v>#REF!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>
      <c r="A61" s="3"/>
      <c r="B61" s="18"/>
      <c r="C61" s="13" t="s">
        <v>107</v>
      </c>
      <c r="D61" s="3"/>
      <c r="E61" s="3"/>
      <c r="F61" s="3">
        <f>IF(B8="Female", 0.71, 0.88)</f>
        <v>0.88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>
        <f>F61</f>
        <v>0.88</v>
      </c>
      <c r="U61" s="3"/>
      <c r="V61" s="3"/>
      <c r="W61" s="3"/>
      <c r="X61" s="6" t="s">
        <v>21</v>
      </c>
      <c r="Y61" s="6" t="s">
        <v>108</v>
      </c>
      <c r="Z61" s="6" t="s">
        <v>109</v>
      </c>
      <c r="AA61" s="6" t="s">
        <v>110</v>
      </c>
      <c r="AC61" s="7"/>
      <c r="AD61" s="7"/>
      <c r="AE61" s="7"/>
      <c r="AF61" s="7"/>
      <c r="AG61" s="7"/>
      <c r="AH61" s="7"/>
      <c r="AI61" s="3"/>
      <c r="AJ61" s="3"/>
      <c r="AK61" s="3"/>
    </row>
    <row r="62">
      <c r="A62" s="3"/>
      <c r="B62" s="3"/>
      <c r="C62" s="13" t="s">
        <v>107</v>
      </c>
      <c r="D62" s="10">
        <f>IF(B62=0,1,B62)</f>
        <v>1</v>
      </c>
      <c r="F62" s="31">
        <v>1.0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 t="str">
        <f t="shared" ref="T62:T64" si="18">F63</f>
        <v/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>
      <c r="A63" s="3"/>
      <c r="B63" s="3"/>
      <c r="C63" s="13" t="s">
        <v>111</v>
      </c>
      <c r="D63" s="13">
        <v>8.0</v>
      </c>
      <c r="E63" s="3" t="str">
        <f t="array" ref="E63">IFERROR(VLOOKUP(B63, 'Ranking: Sleep Quality'!$E$2:$F$57, 2, FALSE), "Not Found")
</f>
        <v>Not Found</v>
      </c>
      <c r="F63" s="1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 t="str">
        <f t="shared" si="18"/>
        <v/>
      </c>
      <c r="U63" s="3"/>
      <c r="V63" s="3"/>
      <c r="W63" s="3"/>
      <c r="X63" s="50" t="s">
        <v>112</v>
      </c>
      <c r="Y63" s="50" t="s">
        <v>113</v>
      </c>
      <c r="Z63" s="51" t="str">
        <f>ROUNDUP(Y90,1)</f>
        <v>#REF!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>
      <c r="A64" s="3"/>
      <c r="B64" s="3"/>
      <c r="C64" s="13" t="s">
        <v>73</v>
      </c>
      <c r="D64" s="3" t="str">
        <f t="array" ref="D64">IFERROR(
  INDEX(
    'Messages &amp; Recommendations'!A24:A44,
    MATCH(
      Template!B64,
      'Messages &amp; Recommendations'!B24:B44,
      0
    )
  ),
  "No Match Found"
)
</f>
        <v>No Match Found</v>
      </c>
      <c r="E64" s="3" t="str">
        <f t="array" ref="E64">IFERROR(VLOOKUP(B64, 'Ranking: Sleep Quality'!$E$2:$F$57, 2, FALSE), "Not Found")
</f>
        <v>Not Found</v>
      </c>
      <c r="F64" s="1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 t="str">
        <f t="shared" si="18"/>
        <v/>
      </c>
      <c r="U64" s="3"/>
      <c r="V64" s="3"/>
      <c r="W64" s="3"/>
      <c r="X64" s="3"/>
      <c r="Y64" s="3"/>
      <c r="Z64" s="3"/>
      <c r="AF64" s="3"/>
      <c r="AG64" s="3"/>
      <c r="AH64" s="3"/>
      <c r="AI64" s="3"/>
      <c r="AJ64" s="52" t="s">
        <v>114</v>
      </c>
      <c r="AK64" s="52" t="s">
        <v>115</v>
      </c>
    </row>
    <row r="65">
      <c r="A65" s="3"/>
      <c r="B65" s="3"/>
      <c r="C65" s="13"/>
      <c r="D65" s="3"/>
      <c r="E65" s="3" t="str">
        <f t="array" ref="E65">IFERROR(VLOOKUP(B65, 'Ranking: Sleep Quality'!$E$2:$F$57, 2, FALSE), "Not Found")
</f>
        <v>Not Found</v>
      </c>
      <c r="F65" s="1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X65" s="3"/>
      <c r="Y65" s="3"/>
      <c r="Z65" s="3"/>
      <c r="AA65" s="3"/>
      <c r="AB65" s="3"/>
      <c r="AC65" s="3"/>
      <c r="AE65" s="53" t="s">
        <v>116</v>
      </c>
      <c r="AF65" s="3" t="str">
        <f>E43</f>
        <v>Underweight</v>
      </c>
      <c r="AG65" s="13"/>
      <c r="AI65" s="3"/>
      <c r="AJ65" s="13" t="s">
        <v>117</v>
      </c>
      <c r="AK65" s="13"/>
    </row>
    <row r="66">
      <c r="A66" s="3"/>
      <c r="B66" s="3"/>
      <c r="C66" s="13"/>
      <c r="D66" s="3"/>
      <c r="E66" s="3" t="str">
        <f t="array" ref="E66">IFERROR(VLOOKUP(B66, 'Ranking: Sleep Quality'!$E$2:$F$57, 2, FALSE), "Not Found")
</f>
        <v>Not Found</v>
      </c>
      <c r="F66" s="1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X66" s="11" t="s">
        <v>61</v>
      </c>
      <c r="Y66" s="11" t="s">
        <v>118</v>
      </c>
      <c r="Z66" s="11" t="s">
        <v>5</v>
      </c>
      <c r="AA66" s="11" t="s">
        <v>119</v>
      </c>
      <c r="AB66" s="3"/>
      <c r="AC66" s="54" t="s">
        <v>120</v>
      </c>
      <c r="AE66" s="13" t="s">
        <v>121</v>
      </c>
      <c r="AF66" s="40" t="str">
        <f>IF(F25 = "Weight Loss, Tone &amp; Shred", -VLOOKUP(E43, 'Current State Ranges'!B201:D206, IF(B8 = "Female", 2, 3), FALSE), IF(F25 = "Weight Gain, Tone &amp; Shred", VLOOKUP(E43, 'Current State Ranges'!B210:D215, IF(B8 = "Female", 2, 3), FALSE), VLOOKUP(E43, 'Current State Ranges'!B219:D224, IF(B8 = "Female", 2, 3), FALSE)))
</f>
        <v>#REF!</v>
      </c>
      <c r="AG66" s="13" t="s">
        <v>74</v>
      </c>
      <c r="AI66" s="3"/>
      <c r="AJ66" s="13" t="s">
        <v>122</v>
      </c>
      <c r="AK66" s="13"/>
    </row>
    <row r="67" ht="34.5" customHeight="1">
      <c r="A67" s="3"/>
      <c r="B67" s="3"/>
      <c r="C67" s="13"/>
      <c r="D67" s="3"/>
      <c r="E67" s="3" t="str">
        <f t="array" ref="E67">IFERROR(VLOOKUP(B67, 'Ranking: Sleep Quality'!$E$2:$F$57, 2, FALSE), "Not Found")
</f>
        <v>Not Found</v>
      </c>
      <c r="F67" s="1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X67" s="13" t="s">
        <v>123</v>
      </c>
      <c r="Y67" s="3" t="str">
        <f>B42</f>
        <v/>
      </c>
      <c r="Z67" s="3" t="str">
        <f>B27</f>
        <v/>
      </c>
      <c r="AA67" s="3">
        <f t="shared" ref="AA67:AA69" si="19">Z67-Y67</f>
        <v>0</v>
      </c>
      <c r="AB67" s="3"/>
      <c r="AC67" s="3" t="str">
        <f>IF(B8="Female", 
    IF(B25="Weight Loss, Tone &amp; Shred", "Female Weight Loss", 
       IF(B25="Weight Gain, Tone &amp; Shred", "Female Weight Gain", 
          IF(B25="Maintain Weight, Gain Strength, Improve Athletic Performance", "Female Maintain", "Other Goal"))),
    IF(B25="Weight Loss, Tone &amp; Shred", "Male Weight Loss", 
       IF(B25="Weight Gain, Tone &amp; Shred", "Male Weight Gain", 
          IF(B25="Maintain Weight, Gain Strength, Improve Athletic Performance", "Male Maintain", "Other Goal")))
)
</f>
        <v>Other Goal</v>
      </c>
      <c r="AE67" s="31" t="s">
        <v>124</v>
      </c>
      <c r="AF67" s="10" t="str">
        <f>VLOOKUP(B44, 'Current State Ranges'!F201:H203, 3, TRUE)
</f>
        <v>#REF!</v>
      </c>
      <c r="AG67" s="13" t="s">
        <v>74</v>
      </c>
      <c r="AI67" s="3"/>
      <c r="AJ67" s="13" t="s">
        <v>125</v>
      </c>
      <c r="AK67" s="13"/>
    </row>
    <row r="68">
      <c r="A68" s="3"/>
      <c r="B68" s="3"/>
      <c r="C68" s="3"/>
      <c r="D68" s="3"/>
      <c r="E68" s="3" t="str">
        <f t="array" ref="E68">IFERROR(VLOOKUP(B68, 'Ranking: Sleep Quality'!$E$2:$F$57, 2, FALSE), "Not Found")
</f>
        <v>Not Found</v>
      </c>
      <c r="F68" s="1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X68" s="13" t="s">
        <v>126</v>
      </c>
      <c r="Y68" s="17">
        <f>B46%</f>
        <v>0</v>
      </c>
      <c r="Z68" s="20" t="str">
        <f>(IF(B25="Weight Loss, Tone &amp; Shred",
    IF(B8="Female", 
        MIN(MAX(18, B45 - 12), 25), 
        MIN(MAX(16, B45 - 12), 25)),
    IF(B25="Weight Gain, Tone &amp; Shred",
        IF(B8="Female", 
            MIN(MAX(18, B45 + 5), 25), 
            MIN(MAX(16, B45 + 5), 25)),
        IF(B25="Maintain Weight, Gain Strength, Improve Athletic Performance",
            IF(B8="Female", 
                MIN(MAX(18, B45), 25), 
                MIN(MAX(16, B45), 25)),
            "Other Goal"))))/100
</f>
        <v>#VALUE!</v>
      </c>
      <c r="AA68" s="3" t="str">
        <f t="shared" si="19"/>
        <v>#VALUE!</v>
      </c>
      <c r="AB68" s="3"/>
      <c r="AC68" s="3"/>
      <c r="AE68" s="13" t="s">
        <v>127</v>
      </c>
      <c r="AF68" s="10" t="str">
        <f>IF(F25 = "Weight Loss, Tone &amp; Shred", AF66 + VLOOKUP(B44, 'Current State Ranges'!F201:H203, 3, TRUE), AF66 - VLOOKUP(B44, 'Current State Ranges'!F201:H203, 3, TRUE))
</f>
        <v>#REF!</v>
      </c>
      <c r="AI68" s="3"/>
      <c r="AJ68" s="13" t="s">
        <v>128</v>
      </c>
      <c r="AK68" s="13"/>
    </row>
    <row r="69">
      <c r="A69" s="3"/>
      <c r="B69" s="3"/>
      <c r="C69" s="13"/>
      <c r="D69" s="3"/>
      <c r="E69" s="3" t="str">
        <f t="array" ref="E69">IFERROR(VLOOKUP(B69, 'Ranking: Sleep Quality'!$E$2:$F$57, 2, FALSE), "Not Found")
</f>
        <v>Not Found</v>
      </c>
      <c r="F69" s="1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X69" s="13" t="s">
        <v>129</v>
      </c>
      <c r="Y69" s="19">
        <f>ROUNDDOWN(D49,0)</f>
        <v>0</v>
      </c>
      <c r="Z69" s="3" t="str">
        <f>ROUNDUP(F49,0)</f>
        <v>#VALUE!</v>
      </c>
      <c r="AA69" s="3" t="str">
        <f t="shared" si="19"/>
        <v>#VALUE!</v>
      </c>
      <c r="AB69" s="3"/>
      <c r="AC69" s="3"/>
      <c r="AE69" s="13" t="s">
        <v>130</v>
      </c>
      <c r="AF69" s="55" t="str">
        <f>ROUNDUP((AF68*B42),2)</f>
        <v>#REF!</v>
      </c>
      <c r="AG69" s="31" t="s">
        <v>62</v>
      </c>
      <c r="AJ69" s="13" t="s">
        <v>131</v>
      </c>
      <c r="AK69" s="13"/>
    </row>
    <row r="70">
      <c r="A70" s="3"/>
      <c r="B70" s="3"/>
      <c r="C70" s="3"/>
      <c r="D70" s="3"/>
      <c r="E70" s="3" t="str">
        <f t="array" ref="E70">IFERROR(VLOOKUP(B70, 'Ranking: Sleep Quality'!$E$2:$F$57, 2, FALSE), "Not Found")
</f>
        <v>Not Found</v>
      </c>
      <c r="F70" s="1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X70" s="13" t="s">
        <v>67</v>
      </c>
      <c r="Y70" s="18">
        <f>ROUNDUP(D62,2)</f>
        <v>1</v>
      </c>
      <c r="Z70" s="13">
        <v>1.0</v>
      </c>
      <c r="AA70" s="3">
        <f>ROUNDUP((Z70-Y70),2)</f>
        <v>0</v>
      </c>
      <c r="AB70" s="3"/>
      <c r="AC70" s="3"/>
      <c r="AJ70" s="13" t="s">
        <v>132</v>
      </c>
      <c r="AK70" s="13"/>
    </row>
    <row r="71">
      <c r="A71" s="3"/>
      <c r="B71" s="3"/>
      <c r="C71" s="13"/>
      <c r="D71" s="3"/>
      <c r="E71" s="3" t="str">
        <f t="array" ref="E71">IFERROR(VLOOKUP(B71, 'Ranking: Sleep Quality'!$E$2:$F$57, 2, FALSE), "Not Found")
</f>
        <v>Not Found</v>
      </c>
      <c r="F71" s="1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 t="str">
        <f t="shared" ref="T71:T75" si="20">F72</f>
        <v/>
      </c>
      <c r="X71" s="3"/>
      <c r="Y71" s="3"/>
      <c r="AE71" s="13"/>
      <c r="AF71" s="3"/>
      <c r="AG71" s="13"/>
      <c r="AJ71" s="3"/>
      <c r="AK71" s="3"/>
    </row>
    <row r="72">
      <c r="A72" s="3"/>
      <c r="B72" s="3"/>
      <c r="C72" s="3"/>
      <c r="D72" s="3"/>
      <c r="E72" s="3" t="str">
        <f t="array" ref="E72">IFERROR(VLOOKUP(B72, 'Ranking: Sleep Quality'!$E$2:$F$57, 2, FALSE), "Not Found")
</f>
        <v>Not Found</v>
      </c>
      <c r="F72" s="1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 t="str">
        <f t="shared" si="20"/>
        <v/>
      </c>
      <c r="U72" s="3"/>
      <c r="V72" s="3"/>
      <c r="X72" s="50" t="s">
        <v>89</v>
      </c>
      <c r="Y72" s="50" t="s">
        <v>118</v>
      </c>
      <c r="Z72" s="50" t="s">
        <v>5</v>
      </c>
      <c r="AA72" s="31" t="s">
        <v>119</v>
      </c>
      <c r="AB72" s="56" t="s">
        <v>133</v>
      </c>
      <c r="AE72" s="57" t="s">
        <v>134</v>
      </c>
      <c r="AF72" s="58" t="str">
        <f>ROUNDUP((AF69*AE49),2)</f>
        <v>#REF!</v>
      </c>
      <c r="AG72" s="13" t="s">
        <v>62</v>
      </c>
      <c r="AI72" s="3"/>
      <c r="AJ72" s="3"/>
      <c r="AK72" s="3"/>
    </row>
    <row r="73">
      <c r="A73" s="3"/>
      <c r="B73" s="3"/>
      <c r="C73" s="3"/>
      <c r="D73" s="3"/>
      <c r="E73" s="3" t="str">
        <f t="array" ref="E73">IFERROR(VLOOKUP(B73, 'Ranking: Sleep Quality'!$E$2:$F$57, 2, FALSE), "Not Found")
</f>
        <v>Not Found</v>
      </c>
      <c r="F73" s="1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 t="str">
        <f t="shared" si="20"/>
        <v/>
      </c>
      <c r="U73" s="3"/>
      <c r="V73" s="3"/>
      <c r="X73" s="30" t="s">
        <v>135</v>
      </c>
      <c r="Y73" s="10">
        <f>IF(B8 = "Female", VLOOKUP(E43, Template!AE79:AG84, 2, FALSE), VLOOKUP(E43, Template!AE79:AG84, 3, FALSE))</f>
        <v>-150</v>
      </c>
      <c r="Z73" s="10" t="str">
        <f t="array" ref="Z73">MAX(Template!F52 + INDEX('Current State Ranges'!C266:D283, MATCH(Template!F25 &amp; Template!E43, 'Current State Ranges'!E266:E283, 0), IF(Template!B8 = "Female", 1, 2)), 1500)</f>
        <v>#VALUE!</v>
      </c>
      <c r="AA73" s="10" t="str">
        <f t="shared" ref="AA73:AA76" si="21">Z73-Y73</f>
        <v>#VALUE!</v>
      </c>
      <c r="AB73" s="59" t="str">
        <f>Z73-F52</f>
        <v>#VALUE!</v>
      </c>
      <c r="AE73" s="13" t="s">
        <v>136</v>
      </c>
      <c r="AF73" s="18" t="str">
        <f>ROUNDUP((AF72*4.5),2)</f>
        <v>#REF!</v>
      </c>
      <c r="AG73" s="13" t="s">
        <v>62</v>
      </c>
      <c r="AI73" s="3"/>
      <c r="AJ73" s="3"/>
      <c r="AK73" s="3"/>
    </row>
    <row r="74">
      <c r="A74" s="3"/>
      <c r="B74" s="3"/>
      <c r="C74" s="3"/>
      <c r="D74" s="3"/>
      <c r="E74" s="3" t="str">
        <f t="array" ref="E74">IFERROR(VLOOKUP(B74, 'Ranking: Nutrition'!$E$2:$F$78, 2, FALSE), "Not Found")
</f>
        <v>Not Found</v>
      </c>
      <c r="F74" s="1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 t="str">
        <f t="shared" si="20"/>
        <v/>
      </c>
      <c r="U74" s="3"/>
      <c r="V74" s="3"/>
      <c r="X74" s="13" t="s">
        <v>137</v>
      </c>
      <c r="Y74" s="17" t="str">
        <f>ROUNDUP((VLOOKUP(B79, 'Current State Ranges'!B249:C252, 2, FALSE) * VLOOKUP(F25, 'Current State Ranges'!A243:B245, 2, FALSE)),3)
</f>
        <v>#REF!</v>
      </c>
      <c r="Z74" s="39" t="str">
        <f>VLOOKUP(F25, 'Current State Ranges'!A243:B245, 2, FALSE)
</f>
        <v>#REF!</v>
      </c>
      <c r="AA74" s="10" t="str">
        <f t="shared" si="21"/>
        <v>#REF!</v>
      </c>
      <c r="AE74" s="13" t="s">
        <v>138</v>
      </c>
      <c r="AF74" s="18" t="str">
        <f>ROUNDUP((12*AF73),2)</f>
        <v>#REF!</v>
      </c>
      <c r="AG74" s="13" t="s">
        <v>62</v>
      </c>
      <c r="AH74" s="3"/>
      <c r="AI74" s="3"/>
      <c r="AJ74" s="3"/>
      <c r="AK74" s="3"/>
    </row>
    <row r="75">
      <c r="A75" s="3"/>
      <c r="B75" s="60"/>
      <c r="D75" s="3"/>
      <c r="E75" s="3" t="str">
        <f t="array" ref="E75">IFERROR(VLOOKUP(B75, 'Ranking: Nutrition'!$E$2:$F$78, 2, FALSE), "Not Found")
</f>
        <v>Not Found</v>
      </c>
      <c r="F75" s="1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 t="str">
        <f t="shared" si="20"/>
        <v/>
      </c>
      <c r="U75" s="3"/>
      <c r="V75" s="3"/>
      <c r="X75" s="13" t="s">
        <v>139</v>
      </c>
      <c r="Y75" s="3" t="str">
        <f t="array" ref="Y75">INDEX('Ranking: Nutrition'!G31:G36, MATCH(B80, 'Ranking: Nutrition'!E31:E36, 0))
</f>
        <v>#REF!</v>
      </c>
      <c r="Z75" s="13">
        <v>16.0</v>
      </c>
      <c r="AA75" s="10" t="str">
        <f t="shared" si="21"/>
        <v>#REF!</v>
      </c>
      <c r="AD75" s="3"/>
      <c r="AH75" s="3"/>
      <c r="AI75" s="3"/>
      <c r="AJ75" s="3"/>
      <c r="AK75" s="3"/>
    </row>
    <row r="76">
      <c r="A76" s="3"/>
      <c r="B76" s="3"/>
      <c r="D76" s="3"/>
      <c r="E76" s="3" t="str">
        <f t="array" ref="E76">IFERROR(VLOOKUP(B76, 'Ranking: Nutrition'!$E$2:$F$78, 2, FALSE), "Not Found")
</f>
        <v>Not Found</v>
      </c>
      <c r="F76" s="1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U76" s="3"/>
      <c r="V76" s="3"/>
      <c r="X76" s="13" t="s">
        <v>140</v>
      </c>
      <c r="Y76" s="39">
        <f>ROUNDUP((B48/100),2)</f>
        <v>0</v>
      </c>
      <c r="Z76" s="39">
        <f>F48</f>
        <v>0.6</v>
      </c>
      <c r="AA76" s="20">
        <f t="shared" si="21"/>
        <v>0.6</v>
      </c>
      <c r="AI76" s="3"/>
      <c r="AJ76" s="3"/>
      <c r="AK76" s="3"/>
    </row>
    <row r="77">
      <c r="A77" s="3"/>
      <c r="B77" s="3"/>
      <c r="D77" s="3"/>
      <c r="E77" s="3" t="str">
        <f t="array" ref="E77">IFERROR(VLOOKUP(B77, 'Ranking: Nutrition'!$E$2:$F$78, 2, FALSE), "Not Found")
</f>
        <v>Not Found</v>
      </c>
      <c r="F77" s="1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 t="str">
        <f>F42</f>
        <v/>
      </c>
      <c r="U77" s="3"/>
      <c r="V77" s="3"/>
      <c r="AE77" s="56" t="s">
        <v>141</v>
      </c>
      <c r="AF77" s="56" t="s">
        <v>118</v>
      </c>
      <c r="AG77" s="59"/>
      <c r="AI77" s="13"/>
      <c r="AJ77" s="3"/>
      <c r="AK77" s="3"/>
    </row>
    <row r="78">
      <c r="A78" s="3"/>
      <c r="B78" s="3"/>
      <c r="D78" s="3"/>
      <c r="E78" s="3" t="str">
        <f t="array" ref="E78">IFERROR(VLOOKUP(B78, 'Ranking: Nutrition'!$E$2:$F$78, 2, FALSE), "Not Found")
</f>
        <v>Not Found</v>
      </c>
      <c r="F78" s="1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 t="str">
        <f t="shared" ref="T78:T86" si="22">F79</f>
        <v/>
      </c>
      <c r="U78" s="3"/>
      <c r="V78" s="3"/>
      <c r="X78" s="50" t="s">
        <v>91</v>
      </c>
      <c r="Y78" s="50" t="s">
        <v>118</v>
      </c>
      <c r="Z78" s="50" t="s">
        <v>5</v>
      </c>
      <c r="AA78" s="31" t="s">
        <v>119</v>
      </c>
      <c r="AF78" s="31" t="s">
        <v>142</v>
      </c>
      <c r="AG78" s="31" t="s">
        <v>143</v>
      </c>
      <c r="AI78" s="3"/>
      <c r="AJ78" s="3"/>
      <c r="AK78" s="3"/>
    </row>
    <row r="79">
      <c r="A79" s="3"/>
      <c r="B79" s="3"/>
      <c r="D79" s="3"/>
      <c r="E79" s="3" t="str">
        <f t="array" ref="E79">IFERROR(VLOOKUP(B79, 'Ranking: Nutrition'!$E$2:$F$78, 2, FALSE), "Not Found")
</f>
        <v>Not Found</v>
      </c>
      <c r="F79" s="1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 t="str">
        <f t="shared" si="22"/>
        <v/>
      </c>
      <c r="U79" s="3"/>
      <c r="V79" s="3"/>
      <c r="X79" s="13" t="s">
        <v>144</v>
      </c>
      <c r="Y79" s="3" t="str">
        <f>VLOOKUP(B88, 'Ranking: Training'!$E$2:$H$6, 4, FALSE)
</f>
        <v>#REF!</v>
      </c>
      <c r="Z79" s="3" t="str">
        <f>F88</f>
        <v>Not Found</v>
      </c>
      <c r="AA79" s="10" t="str">
        <f t="shared" ref="AA79:AA81" si="23">Z79-Y79</f>
        <v>#REF!</v>
      </c>
      <c r="AE79" s="13" t="s">
        <v>117</v>
      </c>
      <c r="AF79" s="10">
        <f>$B$51-500</f>
        <v>-500</v>
      </c>
      <c r="AG79" s="10">
        <f>$B$51-300</f>
        <v>-300</v>
      </c>
      <c r="AI79" s="3"/>
      <c r="AJ79" s="3"/>
      <c r="AK79" s="3"/>
    </row>
    <row r="80">
      <c r="A80" s="3"/>
      <c r="B80" s="3"/>
      <c r="D80" s="3"/>
      <c r="E80" s="3" t="str">
        <f t="array" ref="E80">IFERROR(VLOOKUP(B80, 'Ranking: Nutrition'!$E$2:$F$78, 2, FALSE), "Not Found")
</f>
        <v>Not Found</v>
      </c>
      <c r="F80" s="1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 t="str">
        <f t="shared" si="22"/>
        <v/>
      </c>
      <c r="U80" s="3"/>
      <c r="V80" s="3"/>
      <c r="X80" s="13" t="s">
        <v>145</v>
      </c>
      <c r="Y80" s="3" t="str">
        <f>VLOOKUP(B92, 'Ranking: Training'!$E$25:$H$30, 4, FALSE)
</f>
        <v>#REF!</v>
      </c>
      <c r="Z80" s="3" t="str">
        <f>F92</f>
        <v>Goal Not Recognized</v>
      </c>
      <c r="AA80" s="10" t="str">
        <f t="shared" si="23"/>
        <v>#REF!</v>
      </c>
      <c r="AE80" s="13" t="s">
        <v>122</v>
      </c>
      <c r="AF80" s="10">
        <f>$B$51-200</f>
        <v>-200</v>
      </c>
      <c r="AG80" s="10">
        <f>$B$51-150</f>
        <v>-150</v>
      </c>
      <c r="AI80" s="3"/>
      <c r="AJ80" s="3"/>
      <c r="AK80" s="3"/>
    </row>
    <row r="81">
      <c r="A81" s="3"/>
      <c r="B81" s="3"/>
      <c r="D81" s="3"/>
      <c r="E81" s="3" t="str">
        <f t="array" ref="E81">IFERROR(VLOOKUP(B81, 'Ranking: Nutrition'!$E$2:$F$78, 2, FALSE), "Not Found")
</f>
        <v>Not Found</v>
      </c>
      <c r="F81" s="1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 t="str">
        <f t="shared" si="22"/>
        <v/>
      </c>
      <c r="U81" s="3"/>
      <c r="V81" s="3"/>
      <c r="X81" s="13" t="s">
        <v>146</v>
      </c>
      <c r="Y81" s="3" t="str">
        <f>VLOOKUP(B96, 'Ranking: Training'!$E$53:$H$57, 4, FALSE)
</f>
        <v>#REF!</v>
      </c>
      <c r="Z81" s="3" t="str">
        <f>VLOOKUP(Template!B94, 'Ranking: Training'!E39:H44, 4, FALSE)</f>
        <v>#REF!</v>
      </c>
      <c r="AA81" s="10" t="str">
        <f t="shared" si="23"/>
        <v>#REF!</v>
      </c>
      <c r="AE81" s="13" t="s">
        <v>125</v>
      </c>
      <c r="AF81" s="10">
        <f>$B$51+300</f>
        <v>300</v>
      </c>
      <c r="AG81" s="10">
        <f>$B$51+500</f>
        <v>500</v>
      </c>
      <c r="AI81" s="3"/>
      <c r="AJ81" s="3"/>
      <c r="AK81" s="3"/>
    </row>
    <row r="82">
      <c r="A82" s="3"/>
      <c r="B82" s="3"/>
      <c r="D82" s="3"/>
      <c r="E82" s="3" t="str">
        <f t="array" ref="E82">IFERROR(VLOOKUP(B82, 'Ranking: Nutrition'!$E$2:$F$78, 2, FALSE), "Not Found")
</f>
        <v>Not Found</v>
      </c>
      <c r="F82" s="1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 t="str">
        <f t="shared" si="22"/>
        <v/>
      </c>
      <c r="U82" s="3"/>
      <c r="V82" s="3"/>
      <c r="AE82" s="13" t="s">
        <v>128</v>
      </c>
      <c r="AF82" s="10">
        <f>$B$51+700</f>
        <v>700</v>
      </c>
      <c r="AG82" s="10">
        <f>$B$51+1000</f>
        <v>1000</v>
      </c>
      <c r="AJ82" s="3"/>
      <c r="AK82" s="3"/>
    </row>
    <row r="83">
      <c r="A83" s="3"/>
      <c r="B83" s="3"/>
      <c r="D83" s="3"/>
      <c r="E83" s="3" t="str">
        <f t="array" ref="E83">IFERROR(VLOOKUP(B83, 'Ranking: Nutrition'!$E$2:$F$78, 2, FALSE), "Not Found")
</f>
        <v>Not Found</v>
      </c>
      <c r="F83" s="1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 t="str">
        <f t="shared" si="22"/>
        <v/>
      </c>
      <c r="U83" s="3"/>
      <c r="V83" s="3"/>
      <c r="X83" s="11" t="s">
        <v>147</v>
      </c>
      <c r="Y83" s="11" t="s">
        <v>118</v>
      </c>
      <c r="Z83" s="11" t="s">
        <v>5</v>
      </c>
      <c r="AA83" s="31" t="s">
        <v>119</v>
      </c>
      <c r="AE83" s="13" t="s">
        <v>131</v>
      </c>
      <c r="AF83" s="10">
        <f>$B$51+900</f>
        <v>900</v>
      </c>
      <c r="AG83" s="10">
        <f>$B$51+1250</f>
        <v>1250</v>
      </c>
      <c r="AJ83" s="3"/>
      <c r="AK83" s="3"/>
    </row>
    <row r="84">
      <c r="A84" s="3"/>
      <c r="B84" s="3"/>
      <c r="D84" s="3"/>
      <c r="E84" s="3" t="str">
        <f t="array" ref="E84">IFERROR(VLOOKUP(B84, 'Ranking: Nutrition'!$E$2:$F$78, 2, FALSE), "Not Found")
</f>
        <v>Not Found</v>
      </c>
      <c r="F84" s="1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 t="str">
        <f t="shared" si="22"/>
        <v/>
      </c>
      <c r="U84" s="3"/>
      <c r="V84" s="3"/>
      <c r="X84" s="13" t="s">
        <v>148</v>
      </c>
      <c r="Y84" s="17">
        <f>AE49</f>
        <v>0</v>
      </c>
      <c r="Z84" s="39">
        <v>1.0</v>
      </c>
      <c r="AA84" s="20">
        <f t="shared" ref="AA84:AA85" si="24">Z84-Y84</f>
        <v>1</v>
      </c>
      <c r="AE84" s="13" t="s">
        <v>132</v>
      </c>
      <c r="AF84" s="10">
        <f>$B$51+1200</f>
        <v>1200</v>
      </c>
      <c r="AG84" s="10">
        <f>$B$51+1500</f>
        <v>1500</v>
      </c>
      <c r="AJ84" s="3"/>
      <c r="AK84" s="3"/>
    </row>
    <row r="85">
      <c r="A85" s="3"/>
      <c r="B85" s="3"/>
      <c r="D85" s="3"/>
      <c r="E85" s="3" t="str">
        <f t="array" ref="E85">IFERROR(VLOOKUP(B85, 'Ranking: Nutrition'!$E$2:$F$78, 2, FALSE), "Not Found")
</f>
        <v>Not Found</v>
      </c>
      <c r="F85" s="1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 t="str">
        <f t="shared" si="22"/>
        <v/>
      </c>
      <c r="U85" s="3"/>
      <c r="V85" s="3"/>
      <c r="X85" s="13" t="s">
        <v>149</v>
      </c>
      <c r="Y85" s="3" t="str">
        <f>VLOOKUP(B63, 'Ranking: Sleep Quality'!$E$2:$H$58, 3, FALSE)
</f>
        <v>#REF!</v>
      </c>
      <c r="Z85" s="13">
        <v>8.0</v>
      </c>
      <c r="AA85" s="10" t="str">
        <f t="shared" si="24"/>
        <v>#REF!</v>
      </c>
      <c r="AJ85" s="3"/>
      <c r="AK85" s="3"/>
    </row>
    <row r="86">
      <c r="A86" s="3"/>
      <c r="B86" s="3"/>
      <c r="D86" s="3"/>
      <c r="E86" s="3" t="str">
        <f t="array" ref="E86">IFERROR(VLOOKUP(B86, 'Ranking: Nutrition'!$E$2:$F$78, 2, FALSE), "Not Found")
</f>
        <v>Not Found</v>
      </c>
      <c r="F86" s="1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 t="str">
        <f t="shared" si="22"/>
        <v/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J86" s="3"/>
      <c r="AK86" s="3"/>
    </row>
    <row r="87">
      <c r="A87" s="3"/>
      <c r="B87" s="3"/>
      <c r="D87" s="3"/>
      <c r="E87" s="3" t="str">
        <f t="array" ref="E87">IFERROR(VLOOKUP(B87, 'Ranking: Nutrition'!$E$2:$F$78, 2, FALSE), "Not Found")
</f>
        <v>Not Found</v>
      </c>
      <c r="F87" s="1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 t="str">
        <f>#REF!</f>
        <v>#REF!</v>
      </c>
      <c r="U87" s="3"/>
      <c r="V87" s="3"/>
      <c r="W87" s="3"/>
      <c r="X87" s="6" t="s">
        <v>21</v>
      </c>
      <c r="Y87" s="6" t="s">
        <v>150</v>
      </c>
      <c r="Z87" s="6" t="s">
        <v>151</v>
      </c>
      <c r="AA87" s="6" t="s">
        <v>152</v>
      </c>
      <c r="AC87" s="7"/>
      <c r="AD87" s="7"/>
      <c r="AE87" s="7"/>
      <c r="AF87" s="7"/>
      <c r="AG87" s="7"/>
      <c r="AH87" s="7"/>
      <c r="AJ87" s="3"/>
      <c r="AK87" s="3"/>
    </row>
    <row r="88">
      <c r="A88" s="3"/>
      <c r="B88" s="3"/>
      <c r="C88" s="13" t="s">
        <v>153</v>
      </c>
      <c r="D88" s="3" t="str">
        <f t="array" ref="D88">IFERROR(VLOOKUP(B88, 'Ranking: Training'!$E$2:$H$69, 4, FALSE), "Not Found")
</f>
        <v>Not Found</v>
      </c>
      <c r="E88" s="13" t="str">
        <f t="array" ref="E88">IFERROR(VLOOKUP(B88, 'Ranking: Training'!$E$2:$F$69, 2, FALSE), "Not Found")
</f>
        <v>Not Found</v>
      </c>
      <c r="F88" s="13" t="str">
        <f>IF(Template!D88 &gt;= 5, Template!D88, Template!D88 + 2)</f>
        <v>Not Found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 t="str">
        <f t="shared" ref="T88:T89" si="25">F89</f>
        <v/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J88" s="3"/>
      <c r="AK88" s="3"/>
    </row>
    <row r="89">
      <c r="A89" s="3"/>
      <c r="B89" s="3"/>
      <c r="D89" s="3" t="str">
        <f t="array" ref="D89">IFERROR(VLOOKUP(B89, 'Ranking: Training'!$E$2:$H$69, 4, FALSE), "Not Found")
</f>
        <v>Not Found</v>
      </c>
      <c r="E89" s="13" t="str">
        <f t="array" ref="E89">IFERROR(VLOOKUP(B89, 'Ranking: Training'!$E$2:$F$69, 2, FALSE), "Not Found")
</f>
        <v>Not Found</v>
      </c>
      <c r="F89" s="1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 t="str">
        <f t="shared" si="25"/>
        <v/>
      </c>
      <c r="U89" s="3"/>
      <c r="V89" s="3"/>
      <c r="W89" s="3"/>
      <c r="X89" s="50" t="s">
        <v>154</v>
      </c>
      <c r="Y89" s="3" t="str">
        <f>D28</f>
        <v>#REF!</v>
      </c>
      <c r="Z89" s="3"/>
      <c r="AA89" s="61"/>
      <c r="AB89" s="62" t="s">
        <v>155</v>
      </c>
      <c r="AC89" s="62" t="s">
        <v>156</v>
      </c>
      <c r="AD89" s="62" t="s">
        <v>157</v>
      </c>
      <c r="AE89" s="3"/>
      <c r="AF89" s="3"/>
      <c r="AG89" s="3"/>
      <c r="AH89" s="3"/>
      <c r="AJ89" s="3"/>
      <c r="AK89" s="3"/>
    </row>
    <row r="90">
      <c r="A90" s="3"/>
      <c r="B90" s="3"/>
      <c r="D90" s="3" t="str">
        <f t="array" ref="D90">IFERROR(VLOOKUP(B90, 'Ranking: Training'!$E$2:$H$69, 4, FALSE), "Not Found")
</f>
        <v>Not Found</v>
      </c>
      <c r="E90" s="13" t="str">
        <f t="array" ref="E90">IFERROR(VLOOKUP(B90, 'Ranking: Training'!$E$2:$F$69, 2, FALSE), "Not Found")
</f>
        <v>Not Found</v>
      </c>
      <c r="F90" s="1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 t="str">
        <f>F88</f>
        <v>Not Found</v>
      </c>
      <c r="U90" s="3"/>
      <c r="V90" s="3"/>
      <c r="X90" s="22" t="s">
        <v>112</v>
      </c>
      <c r="Y90" s="36" t="str">
        <f>ROUNDDOWN((IF(ABS(G42) &gt; 3, 
    ROUNDUP(D28 / AE49, 1), 
    IF(AND(ABS(G42) &lt;= 3, AE49 &gt; 0.7), 
        D28 * AE49, 
        IF(AND(D28 &gt;= 8, AE49 &gt;= 0.6), 
            D28, 
            ROUNDUP(D28 / AE49, 1)
        )
    )
)),1)
</f>
        <v>#REF!</v>
      </c>
      <c r="AA90" s="31" t="s">
        <v>64</v>
      </c>
      <c r="AB90" s="3" t="str">
        <f>B42</f>
        <v/>
      </c>
      <c r="AC90" s="63" t="str">
        <f>ROUNDUP(I42,1)</f>
        <v>#REF!</v>
      </c>
      <c r="AD90" s="63" t="str">
        <f>ROUNDDOWN(K42,1)</f>
        <v>#REF!</v>
      </c>
      <c r="AJ90" s="3"/>
      <c r="AK90" s="3"/>
    </row>
    <row r="91">
      <c r="A91" s="3"/>
      <c r="B91" s="3"/>
      <c r="D91" s="3" t="str">
        <f t="array" ref="D91">IFERROR(VLOOKUP(B91, 'Ranking: Training'!$E$2:$H$69, 4, FALSE), "Not Found")
</f>
        <v>Not Found</v>
      </c>
      <c r="E91" s="13" t="str">
        <f t="array" ref="E91">IFERROR(VLOOKUP(B91, 'Ranking: Training'!$E$2:$F$69, 2, FALSE), "Not Found")
</f>
        <v>Not Found</v>
      </c>
      <c r="F91" s="1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 t="str">
        <f t="shared" ref="T91:T127" si="26">F92</f>
        <v>Goal Not Recognized</v>
      </c>
      <c r="U91" s="3"/>
      <c r="V91" s="3"/>
      <c r="AA91" s="31" t="s">
        <v>126</v>
      </c>
      <c r="AB91" s="64">
        <f>(B46/100)</f>
        <v>0</v>
      </c>
      <c r="AC91" s="65" t="str">
        <f>ROUNDDOWN(I46,4)</f>
        <v>#REF!</v>
      </c>
      <c r="AD91" s="65" t="str">
        <f>ROUNDDOWN(K46,4)</f>
        <v>#REF!</v>
      </c>
      <c r="AJ91" s="3"/>
      <c r="AK91" s="3"/>
    </row>
    <row r="92">
      <c r="A92" s="3"/>
      <c r="B92" s="3"/>
      <c r="D92" s="3" t="str">
        <f t="array" ref="D92">IFERROR(VLOOKUP(B92, 'Ranking: Training'!$E$2:$H$69, 4, FALSE), "Not Found")
</f>
        <v>Not Found</v>
      </c>
      <c r="E92" s="13" t="str">
        <f t="array" ref="E92">IFERROR(VLOOKUP(B92, 'Ranking: Training'!$E$2:$F$69, 2, FALSE), "Not Found")
</f>
        <v>Not Found</v>
      </c>
      <c r="F92" s="13" t="str">
        <f>IF(F25 = "Weight Loss, Tone &amp; Shred", 
   D92 * 2.5, 
   IF(F25 = "Weight Gain, Tone &amp; Shred", 
      IF(D92 &gt; 1200, D92 * 0.7, IF(D92 &gt; 1000, D92 * 0.8, IF(D92 &gt; 800, D92 * 0.95, D92))), 
      IF(F25 = "Maintain Weight, Gain Strength, Improve Athletic Performance", 
         IF(D92 &lt; 400, 400, D92), 
         "Goal Not Recognized")))</f>
        <v>Goal Not Recognized</v>
      </c>
      <c r="G92" s="3" t="str">
        <f>F92-D92</f>
        <v>#VALUE!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 t="str">
        <f t="shared" si="26"/>
        <v/>
      </c>
      <c r="U92" s="3"/>
      <c r="V92" s="3"/>
      <c r="X92" s="54" t="s">
        <v>158</v>
      </c>
      <c r="Y92" s="10" t="str">
        <f>ROUNDUP((AC90-AB90),1)</f>
        <v>#REF!</v>
      </c>
      <c r="AA92" s="13" t="s">
        <v>129</v>
      </c>
      <c r="AB92" s="66">
        <f>Y69</f>
        <v>0</v>
      </c>
      <c r="AC92" s="66" t="str">
        <f>ROUNDUP(I49,1)</f>
        <v>#REF!</v>
      </c>
      <c r="AD92" s="10" t="str">
        <f>ROUNDUP(K49,1)</f>
        <v>#REF!</v>
      </c>
      <c r="AJ92" s="3"/>
      <c r="AK92" s="3"/>
    </row>
    <row r="93">
      <c r="A93" s="3"/>
      <c r="B93" s="3"/>
      <c r="D93" s="3" t="str">
        <f t="array" ref="D93">IFERROR(VLOOKUP(B93, 'Ranking: Training'!$E$2:$H$69, 4, FALSE), "Not Found")
</f>
        <v>Not Found</v>
      </c>
      <c r="E93" s="13" t="str">
        <f t="array" ref="E93">IFERROR(VLOOKUP(B93, 'Ranking: Training'!$E$2:$F$69, 2, FALSE), "Not Found")
</f>
        <v>Not Found</v>
      </c>
      <c r="F93" s="1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 t="str">
        <f t="shared" si="26"/>
        <v/>
      </c>
      <c r="U93" s="3"/>
      <c r="V93" s="3"/>
      <c r="W93" s="3"/>
      <c r="X93" s="54" t="s">
        <v>159</v>
      </c>
      <c r="Y93" s="10" t="str">
        <f>ROUNDUP((AD90-AC90),1)</f>
        <v>#REF!</v>
      </c>
      <c r="AA93" s="31" t="s">
        <v>30</v>
      </c>
      <c r="AB93" s="20">
        <f>AE49</f>
        <v>0</v>
      </c>
      <c r="AC93" s="67">
        <f t="shared" ref="AC93:AD93" si="27">ROUNDUP(I45,2)</f>
        <v>0.03</v>
      </c>
      <c r="AD93" s="67">
        <f t="shared" si="27"/>
        <v>0.06</v>
      </c>
      <c r="AJ93" s="3"/>
      <c r="AK93" s="3"/>
    </row>
    <row r="94">
      <c r="A94" s="3"/>
      <c r="B94" s="3"/>
      <c r="D94" s="3" t="str">
        <f t="array" ref="D94">IFERROR(VLOOKUP(B94, 'Ranking: Training'!$E$2:$H$69, 4, FALSE), "Not Found")
</f>
        <v>Not Found</v>
      </c>
      <c r="E94" s="13" t="str">
        <f t="array" ref="E94">IFERROR(VLOOKUP(B94, 'Ranking: Training'!$E$2:$F$69, 2, FALSE), "Not Found")
</f>
        <v>Not Found</v>
      </c>
      <c r="F94" s="1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 t="str">
        <f t="shared" si="26"/>
        <v/>
      </c>
      <c r="U94" s="3"/>
      <c r="V94" s="3"/>
      <c r="W94" s="3"/>
      <c r="AJ94" s="3"/>
      <c r="AK94" s="3"/>
    </row>
    <row r="95">
      <c r="A95" s="3"/>
      <c r="B95" s="3"/>
      <c r="D95" s="3" t="str">
        <f t="array" ref="D95">IFERROR(VLOOKUP(B95, 'Ranking: Training'!$E$2:$H$69, 4, FALSE), "Not Found")
</f>
        <v>Not Found</v>
      </c>
      <c r="E95" s="13" t="str">
        <f t="array" ref="E95">IFERROR(VLOOKUP(B95, 'Ranking: Training'!$E$2:$F$69, 2, FALSE), "Not Found")
</f>
        <v>Not Found</v>
      </c>
      <c r="F95" s="1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 t="str">
        <f t="shared" si="26"/>
        <v/>
      </c>
      <c r="U95" s="3"/>
      <c r="V95" s="3"/>
      <c r="W95" s="3"/>
      <c r="AJ95" s="3"/>
      <c r="AK95" s="3"/>
    </row>
    <row r="96">
      <c r="A96" s="3"/>
      <c r="B96" s="3"/>
      <c r="D96" s="3" t="str">
        <f t="array" ref="D96">IFERROR(VLOOKUP(B96, 'Ranking: Training'!$E$2:$H$69, 4, FALSE), "Not Found")
</f>
        <v>Not Found</v>
      </c>
      <c r="E96" s="13" t="str">
        <f t="array" ref="E96">IFERROR(VLOOKUP(B96, 'Ranking: Training'!$E$2:$F$69, 2, FALSE), "Not Found")
</f>
        <v>Not Found</v>
      </c>
      <c r="F96" s="1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 t="str">
        <f t="shared" si="26"/>
        <v/>
      </c>
      <c r="U96" s="3"/>
      <c r="V96" s="3"/>
      <c r="W96" s="3"/>
      <c r="X96" s="6" t="s">
        <v>21</v>
      </c>
      <c r="Y96" s="6" t="s">
        <v>160</v>
      </c>
      <c r="Z96" s="6" t="s">
        <v>161</v>
      </c>
      <c r="AA96" s="6" t="s">
        <v>162</v>
      </c>
      <c r="AC96" s="7"/>
      <c r="AD96" s="7"/>
      <c r="AE96" s="7"/>
      <c r="AF96" s="7"/>
      <c r="AG96" s="7"/>
      <c r="AH96" s="7"/>
      <c r="AJ96" s="3"/>
      <c r="AK96" s="3"/>
    </row>
    <row r="97">
      <c r="A97" s="3"/>
      <c r="B97" s="3"/>
      <c r="D97" s="3" t="str">
        <f t="array" ref="D97">IFERROR(VLOOKUP(B97, 'Ranking: Training'!$E$2:$H$69, 4, FALSE), "Not Found")
</f>
        <v>Not Found</v>
      </c>
      <c r="E97" s="13" t="str">
        <f t="array" ref="E97">IFERROR(VLOOKUP(B97, 'Ranking: Training'!$E$2:$F$69, 2, FALSE), "Not Found")
</f>
        <v>Not Found</v>
      </c>
      <c r="F97" s="1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 t="str">
        <f t="shared" si="26"/>
        <v/>
      </c>
      <c r="U97" s="3"/>
      <c r="V97" s="3"/>
      <c r="W97" s="3"/>
      <c r="AJ97" s="3"/>
      <c r="AK97" s="3"/>
    </row>
    <row r="98">
      <c r="A98" s="3"/>
      <c r="B98" s="3"/>
      <c r="D98" s="3" t="str">
        <f t="array" ref="D98">IFERROR(VLOOKUP(B98, 'Ranking: Training'!$E$2:$H$69, 4, FALSE), "Not Found")
</f>
        <v>Not Found</v>
      </c>
      <c r="E98" s="13" t="str">
        <f t="array" ref="E98">IFERROR(VLOOKUP(B98, 'Ranking: Training'!$E$2:$F$69, 2, FALSE), "Not Found")
</f>
        <v>Not Found</v>
      </c>
      <c r="F98" s="1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 t="str">
        <f t="shared" si="26"/>
        <v/>
      </c>
      <c r="U98" s="3"/>
      <c r="V98" s="3"/>
      <c r="W98" s="3"/>
      <c r="AJ98" s="3"/>
      <c r="AK98" s="3"/>
    </row>
    <row r="99">
      <c r="A99" s="3"/>
      <c r="B99" s="3"/>
      <c r="D99" s="3"/>
      <c r="E99" s="3" t="str">
        <f t="array" ref="E99">IFERROR(VLOOKUP(B99, 'Ranking: Body Hydration'!E2:F35, 2, FALSE), "Not Found")
</f>
        <v>Not Found</v>
      </c>
      <c r="F99" s="1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 t="str">
        <f t="shared" si="26"/>
        <v/>
      </c>
      <c r="U99" s="3"/>
      <c r="V99" s="3"/>
      <c r="W99" s="3"/>
      <c r="AJ99" s="3"/>
      <c r="AK99" s="3"/>
    </row>
    <row r="100">
      <c r="A100" s="3"/>
      <c r="B100" s="3"/>
      <c r="D100" s="3"/>
      <c r="E100" s="3" t="str">
        <f t="array" ref="E100">IFERROR(VLOOKUP(B100, 'Ranking: Body Hydration'!E3:F36, 2, FALSE), "Not Found")
</f>
        <v>Not Found</v>
      </c>
      <c r="F100" s="1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 t="str">
        <f t="shared" si="26"/>
        <v/>
      </c>
      <c r="U100" s="3"/>
      <c r="V100" s="3"/>
      <c r="W100" s="3"/>
      <c r="X100" s="6" t="s">
        <v>21</v>
      </c>
      <c r="Y100" s="6" t="s">
        <v>163</v>
      </c>
      <c r="Z100" s="6" t="s">
        <v>164</v>
      </c>
      <c r="AA100" s="6" t="s">
        <v>165</v>
      </c>
      <c r="AC100" s="7"/>
      <c r="AD100" s="7"/>
      <c r="AE100" s="7"/>
      <c r="AF100" s="7"/>
      <c r="AG100" s="7"/>
      <c r="AH100" s="7"/>
      <c r="AJ100" s="3"/>
      <c r="AK100" s="3"/>
    </row>
    <row r="101" ht="27.75" customHeight="1">
      <c r="A101" s="3"/>
      <c r="B101" s="3"/>
      <c r="D101" s="3"/>
      <c r="E101" s="3" t="str">
        <f t="array" ref="E101">IFERROR(VLOOKUP(B101, 'Ranking: Body Hydration'!E4:F37, 2, FALSE), "Not Found")
</f>
        <v>Not Found</v>
      </c>
      <c r="F101" s="1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 t="str">
        <f t="shared" si="26"/>
        <v/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J101" s="3"/>
      <c r="AK101" s="3"/>
    </row>
    <row r="102">
      <c r="A102" s="3"/>
      <c r="B102" s="18"/>
      <c r="D102" s="3"/>
      <c r="E102" s="3" t="str">
        <f t="array" ref="E102">IFERROR(VLOOKUP(B102, 'Ranking: Body Hydration'!E5:F38, 2, FALSE), "Not Found")
</f>
        <v>Not Found</v>
      </c>
      <c r="F102" s="1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 t="str">
        <f t="shared" si="26"/>
        <v/>
      </c>
      <c r="U102" s="3"/>
      <c r="V102" s="3"/>
      <c r="W102" s="3"/>
      <c r="X102" s="11" t="s">
        <v>166</v>
      </c>
      <c r="Y102" s="10" t="str">
        <f>ROUNDDOWN((VLOOKUP(Template!B95, 'Ranking: Training'!E46:H51, 4, FALSE)),0)</f>
        <v>#REF!</v>
      </c>
      <c r="AA102" s="3"/>
      <c r="AB102" s="3"/>
      <c r="AC102" s="3"/>
      <c r="AD102" s="3"/>
      <c r="AE102" s="3"/>
      <c r="AF102" s="3"/>
      <c r="AG102" s="3"/>
      <c r="AH102" s="3"/>
      <c r="AJ102" s="3"/>
      <c r="AK102" s="3"/>
    </row>
    <row r="103">
      <c r="A103" s="3"/>
      <c r="B103" s="3"/>
      <c r="D103" s="3"/>
      <c r="E103" s="3" t="str">
        <f t="array" ref="E103">IFERROR(VLOOKUP(B103, 'Ranking: Body Hydration'!E6:F39, 2, FALSE), "Not Found")
</f>
        <v>Not Found</v>
      </c>
      <c r="F103" s="1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 t="str">
        <f t="shared" si="26"/>
        <v/>
      </c>
      <c r="U103" s="3"/>
      <c r="V103" s="3"/>
      <c r="AA103" s="3"/>
      <c r="AB103" s="3"/>
      <c r="AC103" s="3"/>
      <c r="AD103" s="3"/>
      <c r="AE103" s="3"/>
      <c r="AF103" s="3"/>
      <c r="AG103" s="3"/>
      <c r="AH103" s="3"/>
      <c r="AJ103" s="3"/>
      <c r="AK103" s="3"/>
    </row>
    <row r="104">
      <c r="A104" s="3"/>
      <c r="B104" s="3"/>
      <c r="D104" s="3"/>
      <c r="E104" s="3" t="str">
        <f t="array" ref="E104">IFERROR(VLOOKUP(B104, 'Ranking: Body Hydration'!E7:F40, 2, FALSE), "Not Found")
</f>
        <v>Not Found</v>
      </c>
      <c r="F104" s="1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 t="str">
        <f t="shared" si="26"/>
        <v/>
      </c>
      <c r="U104" s="3"/>
      <c r="V104" s="3"/>
      <c r="X104" s="54" t="s">
        <v>167</v>
      </c>
      <c r="Y104" s="11" t="s">
        <v>168</v>
      </c>
      <c r="Z104" s="11" t="s">
        <v>156</v>
      </c>
      <c r="AA104" s="3"/>
      <c r="AB104" s="3"/>
      <c r="AC104" s="3"/>
      <c r="AD104" s="3"/>
      <c r="AE104" s="3"/>
      <c r="AF104" s="3"/>
      <c r="AG104" s="3"/>
      <c r="AH104" s="3"/>
      <c r="AJ104" s="3"/>
      <c r="AK104" s="3"/>
    </row>
    <row r="105" ht="24.75" customHeight="1">
      <c r="A105" s="3"/>
      <c r="B105" s="3"/>
      <c r="D105" s="3"/>
      <c r="E105" s="3" t="str">
        <f t="array" ref="E105">IFERROR(VLOOKUP(B105, 'Ranking: Stress Levels'!E2:F40, 2, FALSE), "Not Found")
</f>
        <v>Not Found</v>
      </c>
      <c r="F105" s="1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 t="str">
        <f t="shared" si="26"/>
        <v/>
      </c>
      <c r="U105" s="3"/>
      <c r="V105" s="3"/>
      <c r="X105" s="11" t="s">
        <v>169</v>
      </c>
      <c r="Y105" s="3" t="str">
        <f t="shared" ref="Y105:Z105" si="28">ROUNDUP(Y81,0)</f>
        <v>#REF!</v>
      </c>
      <c r="Z105" s="3" t="str">
        <f t="shared" si="28"/>
        <v>#REF!</v>
      </c>
      <c r="AA105" s="3"/>
      <c r="AB105" s="3"/>
      <c r="AC105" s="3"/>
      <c r="AD105" s="3"/>
      <c r="AE105" s="3"/>
      <c r="AF105" s="3"/>
      <c r="AG105" s="3"/>
      <c r="AH105" s="3"/>
      <c r="AJ105" s="3"/>
      <c r="AK105" s="3"/>
    </row>
    <row r="106">
      <c r="A106" s="3"/>
      <c r="B106" s="3"/>
      <c r="C106" s="3"/>
      <c r="D106" s="3"/>
      <c r="E106" s="3" t="str">
        <f t="array" ref="E106">IFERROR(VLOOKUP(B106, 'Ranking: Stress Levels'!E3:F41, 2, FALSE), "Not Found")
</f>
        <v>Not Found</v>
      </c>
      <c r="F106" s="1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 t="str">
        <f t="shared" si="26"/>
        <v/>
      </c>
      <c r="U106" s="3"/>
      <c r="V106" s="3"/>
      <c r="X106" s="11" t="s">
        <v>170</v>
      </c>
      <c r="Y106" s="3" t="str">
        <f t="shared" ref="Y106:Z106" si="29">Y79</f>
        <v>#REF!</v>
      </c>
      <c r="Z106" s="3" t="str">
        <f t="shared" si="29"/>
        <v>Not Found</v>
      </c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28.5" customHeight="1">
      <c r="A107" s="3"/>
      <c r="B107" s="3"/>
      <c r="C107" s="3"/>
      <c r="D107" s="3"/>
      <c r="E107" s="3" t="str">
        <f t="array" ref="E107">IFERROR(VLOOKUP(B107, 'Ranking: Stress Levels'!E4:F42, 2, FALSE), "Not Found")
</f>
        <v>Not Found</v>
      </c>
      <c r="F107" s="1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 t="str">
        <f t="shared" si="26"/>
        <v/>
      </c>
      <c r="U107" s="3"/>
      <c r="V107" s="3"/>
      <c r="X107" s="11" t="s">
        <v>171</v>
      </c>
      <c r="Y107" s="3" t="str">
        <f t="shared" ref="Y107:Z107" si="30">Y80</f>
        <v>#REF!</v>
      </c>
      <c r="Z107" s="3" t="str">
        <f t="shared" si="30"/>
        <v>Goal Not Recognized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27.0" customHeight="1">
      <c r="A108" s="3"/>
      <c r="B108" s="3"/>
      <c r="C108" s="3"/>
      <c r="D108" s="3"/>
      <c r="E108" s="3" t="str">
        <f t="array" ref="E108">IFERROR(VLOOKUP(B108, 'Ranking: Stress Levels'!E5:F43, 2, FALSE), "Not Found")
</f>
        <v>Not Found</v>
      </c>
      <c r="F108" s="1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 t="str">
        <f t="shared" si="26"/>
        <v/>
      </c>
      <c r="U108" s="3"/>
      <c r="V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22.5" customHeight="1">
      <c r="A109" s="3"/>
      <c r="B109" s="3"/>
      <c r="C109" s="3"/>
      <c r="D109" s="3"/>
      <c r="E109" s="3" t="str">
        <f t="array" ref="E109">IFERROR(VLOOKUP(B109, 'Ranking: Stress Levels'!E6:F44, 2, FALSE), "Not Found")
</f>
        <v>Not Found</v>
      </c>
      <c r="F109" s="1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 t="str">
        <f t="shared" si="26"/>
        <v/>
      </c>
      <c r="U109" s="3"/>
      <c r="V109" s="3"/>
      <c r="X109" s="1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36.75" customHeight="1">
      <c r="A110" s="3"/>
      <c r="B110" s="3"/>
      <c r="C110" s="3"/>
      <c r="D110" s="3"/>
      <c r="E110" s="3" t="str">
        <f t="array" ref="E110">IFERROR(VLOOKUP(B110, 'Ranking: Stress Levels'!E7:F45, 2, FALSE), "Not Found")
</f>
        <v>Not Found</v>
      </c>
      <c r="F110" s="1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 t="str">
        <f t="shared" si="26"/>
        <v/>
      </c>
      <c r="U110" s="3"/>
      <c r="V110" s="3"/>
      <c r="X110" s="6" t="s">
        <v>21</v>
      </c>
      <c r="Y110" s="6" t="s">
        <v>172</v>
      </c>
      <c r="Z110" s="6" t="s">
        <v>173</v>
      </c>
      <c r="AA110" s="6" t="s">
        <v>174</v>
      </c>
      <c r="AC110" s="7"/>
      <c r="AD110" s="7"/>
      <c r="AE110" s="7"/>
      <c r="AF110" s="7"/>
      <c r="AG110" s="7"/>
      <c r="AH110" s="7"/>
      <c r="AI110" s="3"/>
      <c r="AJ110" s="3"/>
      <c r="AK110" s="3"/>
    </row>
    <row r="111" ht="25.5" customHeight="1">
      <c r="A111" s="3"/>
      <c r="B111" s="3"/>
      <c r="C111" s="3"/>
      <c r="D111" s="3"/>
      <c r="E111" s="3" t="str">
        <f t="array" ref="E111">IFERROR(VLOOKUP(B111, 'Ranking: Stress Levels'!E8:F46, 2, FALSE), "Not Found")
</f>
        <v>Not Found</v>
      </c>
      <c r="F111" s="1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 t="str">
        <f t="shared" si="26"/>
        <v/>
      </c>
      <c r="U111" s="3"/>
      <c r="V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28.5" customHeight="1">
      <c r="A112" s="3"/>
      <c r="B112" s="3"/>
      <c r="C112" s="3"/>
      <c r="D112" s="3"/>
      <c r="E112" s="3" t="str">
        <f t="array" ref="E112">IFERROR(VLOOKUP(B112, 'Ranking: Stress Levels'!E9:F47, 2, FALSE), "Not Found")
</f>
        <v>Not Found</v>
      </c>
      <c r="F112" s="1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 t="str">
        <f t="shared" si="26"/>
        <v/>
      </c>
      <c r="U112" s="3"/>
      <c r="V112" s="3"/>
      <c r="X112" s="8" t="s">
        <v>175</v>
      </c>
      <c r="Y112" s="3" t="str">
        <f>F52</f>
        <v>#VALUE!</v>
      </c>
      <c r="Z112" s="3"/>
      <c r="AA112" s="3"/>
      <c r="AB112" s="3"/>
      <c r="AC112" s="11" t="s">
        <v>176</v>
      </c>
      <c r="AD112" s="3" t="str">
        <f>ROUNDDOWN(AA117,0)</f>
        <v>#REF!</v>
      </c>
      <c r="AE112" s="3"/>
      <c r="AF112" s="3"/>
      <c r="AG112" s="3"/>
      <c r="AH112" s="3"/>
      <c r="AI112" s="3"/>
      <c r="AJ112" s="3"/>
      <c r="AK112" s="3"/>
    </row>
    <row r="113">
      <c r="A113" s="3"/>
      <c r="B113" s="3"/>
      <c r="C113" s="3"/>
      <c r="D113" s="3"/>
      <c r="E113" s="3" t="str">
        <f t="array" ref="E113">IFERROR(VLOOKUP(B113, 'Ranking: Physical Care'!E2:F81, 2, FALSE), "Not Found")
</f>
        <v>Not Found</v>
      </c>
      <c r="F113" s="1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 t="str">
        <f t="shared" si="26"/>
        <v/>
      </c>
      <c r="U113" s="3"/>
      <c r="V113" s="3"/>
      <c r="X113" s="8" t="s">
        <v>177</v>
      </c>
      <c r="Y113" s="3" t="str">
        <f>Z73</f>
        <v>#VALUE!</v>
      </c>
      <c r="Z113" s="3"/>
      <c r="AA113" s="3"/>
      <c r="AB113" s="3"/>
      <c r="AC113" s="11" t="s">
        <v>178</v>
      </c>
      <c r="AD113" s="3" t="str">
        <f>ROUNDDOWN(Z117,0)</f>
        <v>#REF!</v>
      </c>
      <c r="AE113" s="3"/>
      <c r="AF113" s="3"/>
      <c r="AG113" s="3"/>
      <c r="AH113" s="3"/>
      <c r="AI113" s="3"/>
      <c r="AJ113" s="3"/>
      <c r="AK113" s="3"/>
    </row>
    <row r="114">
      <c r="A114" s="3"/>
      <c r="B114" s="3"/>
      <c r="C114" s="3"/>
      <c r="D114" s="3"/>
      <c r="E114" s="3" t="str">
        <f t="array" ref="E114">IFERROR(VLOOKUP(B114, 'Ranking: Physical Care'!E3:F82, 2, FALSE), "Not Found")
</f>
        <v>Not Found</v>
      </c>
      <c r="F114" s="1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 t="str">
        <f t="shared" si="26"/>
        <v/>
      </c>
      <c r="U114" s="3"/>
      <c r="V114" s="3"/>
      <c r="X114" s="8" t="s">
        <v>179</v>
      </c>
      <c r="Y114" s="3" t="str">
        <f>AB73</f>
        <v>#VALUE!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>
      <c r="A115" s="3"/>
      <c r="B115" s="3"/>
      <c r="C115" s="3"/>
      <c r="D115" s="3"/>
      <c r="E115" s="3" t="str">
        <f t="array" ref="E115">IFERROR(VLOOKUP(B115, 'Ranking: Physical Care'!E4:F83, 2, FALSE), "Not Found")
</f>
        <v>Not Found</v>
      </c>
      <c r="F115" s="1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 t="str">
        <f t="shared" si="26"/>
        <v/>
      </c>
      <c r="U115" s="3"/>
      <c r="V115" s="3"/>
      <c r="W115" s="3"/>
      <c r="Y115" s="3"/>
      <c r="Z115" s="3"/>
      <c r="AA115" s="3"/>
      <c r="AB115" s="3"/>
      <c r="AC115" s="16"/>
      <c r="AD115" s="68"/>
      <c r="AE115" s="68"/>
      <c r="AF115" s="3"/>
      <c r="AG115" s="3"/>
      <c r="AH115" s="3"/>
      <c r="AI115" s="3"/>
      <c r="AJ115" s="3"/>
      <c r="AK115" s="3"/>
    </row>
    <row r="116">
      <c r="A116" s="3"/>
      <c r="B116" s="3"/>
      <c r="C116" s="3"/>
      <c r="D116" s="3"/>
      <c r="E116" s="3" t="str">
        <f t="array" ref="E116">IFERROR(VLOOKUP(B116, 'Ranking: Physical Care'!E5:F84, 2, FALSE), "Not Found")
</f>
        <v>Not Found</v>
      </c>
      <c r="F116" s="1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 t="str">
        <f t="shared" si="26"/>
        <v/>
      </c>
      <c r="U116" s="3"/>
      <c r="V116" s="3"/>
      <c r="W116" s="3"/>
      <c r="X116" s="69"/>
      <c r="Y116" s="70" t="s">
        <v>74</v>
      </c>
      <c r="Z116" s="70" t="s">
        <v>180</v>
      </c>
      <c r="AA116" s="70" t="s">
        <v>97</v>
      </c>
      <c r="AB116" s="3"/>
      <c r="AC116" s="71"/>
      <c r="AD116" s="72"/>
      <c r="AE116" s="72"/>
      <c r="AF116" s="3"/>
      <c r="AG116" s="3"/>
      <c r="AH116" s="3"/>
      <c r="AI116" s="3"/>
      <c r="AJ116" s="3"/>
      <c r="AK116" s="3"/>
    </row>
    <row r="117">
      <c r="A117" s="3"/>
      <c r="B117" s="3"/>
      <c r="C117" s="3"/>
      <c r="D117" s="3"/>
      <c r="E117" s="3" t="str">
        <f t="array" ref="E117">IFERROR(VLOOKUP(B117, 'Ranking: Physical Care'!E6:F85, 2, FALSE), "Not Found")
</f>
        <v>Not Found</v>
      </c>
      <c r="F117" s="1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 t="str">
        <f t="shared" si="26"/>
        <v/>
      </c>
      <c r="U117" s="3"/>
      <c r="V117" s="3"/>
      <c r="W117" s="3"/>
      <c r="X117" s="11" t="s">
        <v>181</v>
      </c>
      <c r="Y117" s="3" t="str">
        <f>VLOOKUP(F25, 'Current State Ranges'!A243:E245, 2, FALSE)
</f>
        <v>#REF!</v>
      </c>
      <c r="Z117" s="13" t="str">
        <f>Roundup((VLOOKUP(Template!F25, 'Current State Ranges'!H268:I270, 2, FALSE) * Template!D49),0)</f>
        <v>#REF!</v>
      </c>
      <c r="AA117" s="3" t="str">
        <f t="shared" ref="AA117:AA119" si="31">Y117*$Y$113</f>
        <v>#REF!</v>
      </c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>
      <c r="A118" s="3"/>
      <c r="B118" s="3"/>
      <c r="C118" s="3"/>
      <c r="D118" s="3"/>
      <c r="E118" s="3" t="str">
        <f t="array" ref="E118">IFERROR(VLOOKUP(B118, 'Ranking: Physical Care'!E7:F86, 2, FALSE), "Not Found")
</f>
        <v>Not Found</v>
      </c>
      <c r="F118" s="1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 t="str">
        <f t="shared" si="26"/>
        <v/>
      </c>
      <c r="U118" s="3"/>
      <c r="V118" s="3"/>
      <c r="W118" s="3"/>
      <c r="X118" s="11" t="s">
        <v>182</v>
      </c>
      <c r="Y118" s="3" t="str">
        <f>VLOOKUP($F$25, 'Current State Ranges'!$A$243:$E$245, 3, FALSE)
</f>
        <v>#REF!</v>
      </c>
      <c r="Z118" s="3" t="str">
        <f>ROUNDDOWN((AA118/4),0)</f>
        <v>#REF!</v>
      </c>
      <c r="AA118" s="3" t="str">
        <f t="shared" si="31"/>
        <v>#REF!</v>
      </c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>
      <c r="A119" s="3"/>
      <c r="B119" s="3"/>
      <c r="C119" s="3"/>
      <c r="D119" s="3"/>
      <c r="E119" s="3" t="str">
        <f t="array" ref="E119">IFERROR(VLOOKUP(B119, 'Ranking: Physical Care'!E8:F87, 2, FALSE), "Not Found")
</f>
        <v>Not Found</v>
      </c>
      <c r="F119" s="1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 t="str">
        <f t="shared" si="26"/>
        <v/>
      </c>
      <c r="U119" s="3"/>
      <c r="V119" s="3"/>
      <c r="W119" s="3"/>
      <c r="X119" s="11" t="s">
        <v>183</v>
      </c>
      <c r="Y119" s="3" t="str">
        <f>VLOOKUP($F$25, 'Current State Ranges'!$A$243:$E$245, 4, FALSE)
</f>
        <v>#REF!</v>
      </c>
      <c r="Z119" s="18" t="str">
        <f>ROUNDDOWN((AA119/9),0)</f>
        <v>#REF!</v>
      </c>
      <c r="AA119" s="3" t="str">
        <f t="shared" si="31"/>
        <v>#REF!</v>
      </c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25.5" customHeight="1">
      <c r="A120" s="3"/>
      <c r="B120" s="3"/>
      <c r="C120" s="3"/>
      <c r="D120" s="3"/>
      <c r="E120" s="3" t="str">
        <f t="array" ref="E120">IFERROR(VLOOKUP(B120, 'Ranking: Physical Care'!E9:F88, 2, FALSE), "Not Found")
</f>
        <v>Not Found</v>
      </c>
      <c r="F120" s="1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 t="str">
        <f t="shared" si="26"/>
        <v/>
      </c>
      <c r="U120" s="3"/>
      <c r="V120" s="3"/>
      <c r="W120" s="3"/>
      <c r="X120" s="73" t="s">
        <v>96</v>
      </c>
      <c r="Y120" s="74" t="str">
        <f t="shared" ref="Y120:AA120" si="32">SUM(Y117:Y119)</f>
        <v>#REF!</v>
      </c>
      <c r="Z120" s="75" t="str">
        <f t="shared" si="32"/>
        <v>#REF!</v>
      </c>
      <c r="AA120" s="74" t="str">
        <f t="shared" si="32"/>
        <v>#REF!</v>
      </c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>
      <c r="A121" s="3"/>
      <c r="B121" s="3"/>
      <c r="C121" s="3"/>
      <c r="D121" s="3"/>
      <c r="E121" s="3" t="str">
        <f t="array" ref="E121">IFERROR(VLOOKUP(B121, 'Ranking: Physical Care'!E10:F89, 2, FALSE), "Not Found")
</f>
        <v>Not Found</v>
      </c>
      <c r="F121" s="1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 t="str">
        <f t="shared" si="26"/>
        <v/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>
      <c r="A122" s="3"/>
      <c r="B122" s="3"/>
      <c r="C122" s="3"/>
      <c r="D122" s="3"/>
      <c r="E122" s="3" t="str">
        <f t="array" ref="E122">IFERROR(VLOOKUP(B122, 'Ranking: Physical Care'!E11:F90, 2, FALSE), "Not Found")
</f>
        <v>Not Found</v>
      </c>
      <c r="F122" s="1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 t="str">
        <f t="shared" si="26"/>
        <v/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24.75" customHeight="1">
      <c r="A123" s="3"/>
      <c r="B123" s="3"/>
      <c r="C123" s="3"/>
      <c r="D123" s="3"/>
      <c r="E123" s="3" t="str">
        <f t="array" ref="E123">IFERROR(VLOOKUP(B123, 'Ranking: Environment &amp; Relationships'!E2:F100, 2, FALSE), "Not Found")
</f>
        <v>Not Found</v>
      </c>
      <c r="F123" s="1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 t="str">
        <f t="shared" si="26"/>
        <v/>
      </c>
      <c r="U123" s="3"/>
      <c r="V123" s="3"/>
      <c r="W123" s="3"/>
      <c r="X123" s="6" t="s">
        <v>21</v>
      </c>
      <c r="Y123" s="6" t="s">
        <v>184</v>
      </c>
      <c r="Z123" s="6" t="s">
        <v>185</v>
      </c>
      <c r="AA123" s="6" t="s">
        <v>186</v>
      </c>
      <c r="AC123" s="7"/>
      <c r="AD123" s="7"/>
      <c r="AE123" s="7"/>
      <c r="AF123" s="7"/>
      <c r="AG123" s="7"/>
      <c r="AH123" s="7"/>
      <c r="AI123" s="3"/>
      <c r="AJ123" s="3"/>
      <c r="AK123" s="3"/>
    </row>
    <row r="124">
      <c r="A124" s="3"/>
      <c r="B124" s="3"/>
      <c r="C124" s="3"/>
      <c r="D124" s="3"/>
      <c r="E124" s="3" t="str">
        <f t="array" ref="E124">IFERROR(VLOOKUP(B124, 'Ranking: Environment &amp; Relationships'!E3:F101, 2, FALSE), "Not Found")
</f>
        <v>Not Found</v>
      </c>
      <c r="F124" s="1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 t="str">
        <f t="shared" si="26"/>
        <v/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>
      <c r="A125" s="3"/>
      <c r="B125" s="3"/>
      <c r="C125" s="3"/>
      <c r="D125" s="3"/>
      <c r="E125" s="3" t="str">
        <f t="array" ref="E125">IFERROR(VLOOKUP(B125, 'Ranking: Environment &amp; Relationships'!E4:F102, 2, FALSE), "Not Found")
</f>
        <v>Not Found</v>
      </c>
      <c r="F125" s="1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 t="str">
        <f t="shared" si="26"/>
        <v/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>
      <c r="A126" s="3"/>
      <c r="B126" s="3"/>
      <c r="C126" s="3"/>
      <c r="D126" s="3"/>
      <c r="E126" s="3" t="str">
        <f t="array" ref="E126">IFERROR(VLOOKUP(B126, 'Ranking: Environment &amp; Relationships'!E5:F103, 2, FALSE), "Not Found")
</f>
        <v>Not Found</v>
      </c>
      <c r="F126" s="1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 t="str">
        <f t="shared" si="26"/>
        <v/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>
      <c r="A127" s="3"/>
      <c r="B127" s="3"/>
      <c r="C127" s="3"/>
      <c r="D127" s="3"/>
      <c r="E127" s="3" t="str">
        <f t="array" ref="E127">IFERROR(VLOOKUP(B127, 'Ranking: Environment &amp; Relationships'!E6:F104, 2, FALSE), "Not Found")
</f>
        <v>Not Found</v>
      </c>
      <c r="F127" s="1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 t="str">
        <f t="shared" si="26"/>
        <v/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>
      <c r="A128" s="3"/>
      <c r="B128" s="3"/>
      <c r="C128" s="3"/>
      <c r="D128" s="3"/>
      <c r="E128" s="3" t="str">
        <f t="array" ref="E128">IFERROR(VLOOKUP(B128, 'Ranking: Environment &amp; Relationships'!E7:F105, 2, FALSE), "Not Found")
</f>
        <v>Not Found</v>
      </c>
      <c r="F128" s="1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 t="str">
        <f>#REF!</f>
        <v>#REF!</v>
      </c>
      <c r="U128" s="3"/>
      <c r="V128" s="3"/>
      <c r="W128" s="3"/>
      <c r="X128" s="6" t="s">
        <v>21</v>
      </c>
      <c r="Y128" s="6" t="s">
        <v>187</v>
      </c>
      <c r="Z128" s="6" t="s">
        <v>188</v>
      </c>
      <c r="AA128" s="6" t="s">
        <v>189</v>
      </c>
      <c r="AC128" s="7"/>
      <c r="AD128" s="7"/>
      <c r="AE128" s="7"/>
      <c r="AF128" s="7"/>
      <c r="AG128" s="7"/>
      <c r="AH128" s="7"/>
      <c r="AI128" s="3"/>
      <c r="AJ128" s="3"/>
      <c r="A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 t="str">
        <f t="shared" ref="T129:T175" si="33">F129</f>
        <v/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 t="str">
        <f t="shared" si="33"/>
        <v/>
      </c>
      <c r="U130" s="3"/>
      <c r="V130" s="3"/>
      <c r="W130" s="3"/>
      <c r="X130" s="8" t="s">
        <v>69</v>
      </c>
      <c r="Y130" s="3" t="str">
        <f>B51</f>
        <v/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 t="str">
        <f t="shared" si="33"/>
        <v/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 t="str">
        <f t="shared" si="33"/>
        <v/>
      </c>
      <c r="U132" s="3"/>
      <c r="V132" s="3"/>
      <c r="W132" s="3"/>
      <c r="AI132" s="3"/>
      <c r="AJ132" s="3"/>
      <c r="A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 t="str">
        <f t="shared" si="33"/>
        <v/>
      </c>
      <c r="U133" s="3"/>
      <c r="V133" s="3"/>
      <c r="W133" s="3"/>
      <c r="AI133" s="3"/>
      <c r="AJ133" s="3"/>
      <c r="A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 t="str">
        <f t="shared" si="33"/>
        <v/>
      </c>
      <c r="U134" s="3"/>
      <c r="V134" s="3"/>
      <c r="W134" s="3"/>
      <c r="X134" s="6" t="s">
        <v>21</v>
      </c>
      <c r="Y134" s="6" t="s">
        <v>190</v>
      </c>
      <c r="Z134" s="6" t="s">
        <v>191</v>
      </c>
      <c r="AA134" s="6" t="s">
        <v>192</v>
      </c>
      <c r="AC134" s="7"/>
      <c r="AD134" s="7"/>
      <c r="AE134" s="7"/>
      <c r="AF134" s="7"/>
      <c r="AG134" s="7"/>
      <c r="AH134" s="7"/>
      <c r="AI134" s="3"/>
      <c r="AJ134" s="3"/>
      <c r="A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 t="str">
        <f t="shared" si="33"/>
        <v/>
      </c>
      <c r="U135" s="3"/>
      <c r="V135" s="3"/>
      <c r="W135" s="3"/>
      <c r="AI135" s="3"/>
      <c r="AJ135" s="3"/>
      <c r="A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 t="str">
        <f t="shared" si="33"/>
        <v/>
      </c>
      <c r="U136" s="3"/>
      <c r="V136" s="3"/>
      <c r="W136" s="3"/>
      <c r="X136" s="54" t="s">
        <v>193</v>
      </c>
      <c r="Y136" s="10" t="str">
        <f>Y130</f>
        <v/>
      </c>
      <c r="AB136" s="9" t="s">
        <v>194</v>
      </c>
      <c r="AC136" s="10" t="str">
        <f>Y102</f>
        <v>#REF!</v>
      </c>
      <c r="AF136" s="9" t="s">
        <v>195</v>
      </c>
      <c r="AI136" s="3"/>
      <c r="AJ136" s="3"/>
      <c r="A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 t="str">
        <f t="shared" si="33"/>
        <v/>
      </c>
      <c r="U137" s="3"/>
      <c r="V137" s="3"/>
      <c r="W137" s="3"/>
      <c r="X137" s="11" t="s">
        <v>196</v>
      </c>
      <c r="Y137" s="3" t="str">
        <f>Z107</f>
        <v>Goal Not Recognized</v>
      </c>
      <c r="Z137" s="3"/>
      <c r="AB137" s="8" t="s">
        <v>197</v>
      </c>
      <c r="AC137" s="3" t="str">
        <f>Z105</f>
        <v>#REF!</v>
      </c>
      <c r="AD137" s="3"/>
      <c r="AE137" s="3"/>
      <c r="AF137" s="13" t="s">
        <v>198</v>
      </c>
      <c r="AG137" s="76" t="s">
        <v>199</v>
      </c>
      <c r="AH137" s="3"/>
      <c r="AI137" s="3"/>
      <c r="AJ137" s="3"/>
      <c r="A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 t="str">
        <f t="shared" si="33"/>
        <v/>
      </c>
      <c r="U138" s="3"/>
      <c r="V138" s="3"/>
      <c r="W138" s="3"/>
      <c r="X138" s="11" t="s">
        <v>195</v>
      </c>
      <c r="Y138" s="77" t="str">
        <f>VLOOKUP(AB11,AF137:AG139, 2, FALSE)
</f>
        <v>#N/A</v>
      </c>
      <c r="Z138" s="3"/>
      <c r="AB138" s="3"/>
      <c r="AC138" s="3"/>
      <c r="AD138" s="3"/>
      <c r="AE138" s="3"/>
      <c r="AF138" s="13" t="s">
        <v>200</v>
      </c>
      <c r="AG138" s="76" t="s">
        <v>201</v>
      </c>
      <c r="AH138" s="3"/>
      <c r="AI138" s="3"/>
      <c r="AJ138" s="3"/>
      <c r="AK138" s="3"/>
    </row>
    <row r="139" ht="28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 t="str">
        <f t="shared" si="33"/>
        <v/>
      </c>
      <c r="U139" s="3"/>
      <c r="V139" s="3"/>
      <c r="W139" s="3"/>
      <c r="X139" s="11" t="s">
        <v>202</v>
      </c>
      <c r="Y139" s="3" t="str">
        <f>Y114</f>
        <v>#VALUE!</v>
      </c>
      <c r="Z139" s="3"/>
      <c r="AB139" s="8" t="s">
        <v>203</v>
      </c>
      <c r="AC139" s="60" t="str">
        <f>ROUNDUP(((Y117*$Y$143)/4),0)</f>
        <v>#REF!</v>
      </c>
      <c r="AD139" s="30" t="s">
        <v>204</v>
      </c>
      <c r="AE139" s="3"/>
      <c r="AF139" s="13" t="s">
        <v>205</v>
      </c>
      <c r="AG139" s="76" t="s">
        <v>199</v>
      </c>
      <c r="AH139" s="3"/>
      <c r="AI139" s="3"/>
      <c r="AJ139" s="3"/>
      <c r="A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 t="str">
        <f t="shared" si="33"/>
        <v/>
      </c>
      <c r="U140" s="3"/>
      <c r="V140" s="3"/>
      <c r="W140" s="3"/>
      <c r="X140" s="11" t="s">
        <v>206</v>
      </c>
      <c r="Y140" s="3" t="str">
        <f>Y113</f>
        <v>#VALUE!</v>
      </c>
      <c r="Z140" s="3"/>
      <c r="AB140" s="8" t="s">
        <v>207</v>
      </c>
      <c r="AC140" s="60" t="str">
        <f>ROUNDDOWN(((Y118*$Y$143)/4),0)</f>
        <v>#REF!</v>
      </c>
      <c r="AD140" s="30" t="s">
        <v>208</v>
      </c>
      <c r="AE140" s="3"/>
      <c r="AF140" s="3"/>
      <c r="AG140" s="3"/>
      <c r="AH140" s="3"/>
      <c r="AI140" s="3"/>
      <c r="AJ140" s="3"/>
      <c r="A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 t="str">
        <f t="shared" si="33"/>
        <v/>
      </c>
      <c r="U141" s="3"/>
      <c r="V141" s="3"/>
      <c r="W141" s="3"/>
      <c r="X141" s="3"/>
      <c r="Y141" s="3"/>
      <c r="Z141" s="3"/>
      <c r="AB141" s="8" t="s">
        <v>209</v>
      </c>
      <c r="AC141" s="60" t="str">
        <f>ROUNDDOWN(((Y119*$Y$143)/9),0)</f>
        <v>#REF!</v>
      </c>
      <c r="AD141" s="30" t="s">
        <v>210</v>
      </c>
      <c r="AE141" s="3"/>
      <c r="AF141" s="3"/>
      <c r="AG141" s="3"/>
      <c r="AH141" s="3"/>
      <c r="AI141" s="3"/>
      <c r="AJ141" s="3"/>
      <c r="A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 t="str">
        <f t="shared" si="33"/>
        <v/>
      </c>
      <c r="U142" s="3"/>
      <c r="V142" s="3"/>
      <c r="W142" s="3"/>
      <c r="X142" s="11" t="s">
        <v>211</v>
      </c>
      <c r="Y142" s="3">
        <f>64+67</f>
        <v>131</v>
      </c>
      <c r="Z142" s="13" t="s">
        <v>212</v>
      </c>
      <c r="AB142" s="8" t="s">
        <v>213</v>
      </c>
      <c r="AC142" s="60" t="str">
        <f>ROUNDUP(((Y117*$Y$145)/4),0)</f>
        <v>#REF!</v>
      </c>
      <c r="AD142" s="30" t="s">
        <v>214</v>
      </c>
      <c r="AE142" s="3"/>
      <c r="AF142" s="3"/>
      <c r="AG142" s="3"/>
      <c r="AH142" s="3"/>
      <c r="AI142" s="3"/>
      <c r="AJ142" s="3"/>
      <c r="A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 t="str">
        <f t="shared" si="33"/>
        <v/>
      </c>
      <c r="U143" s="3"/>
      <c r="V143" s="3"/>
      <c r="W143" s="3"/>
      <c r="X143" s="11" t="s">
        <v>215</v>
      </c>
      <c r="Y143" s="78" t="str">
        <f>ROUNDUP(((Y140-Y142-Y144)*65%),0)</f>
        <v>#VALUE!</v>
      </c>
      <c r="Z143" s="13" t="s">
        <v>216</v>
      </c>
      <c r="AB143" s="8" t="s">
        <v>217</v>
      </c>
      <c r="AC143" s="60" t="str">
        <f>ROUNDDOWN(((Y118*$Y$145)/4),0)</f>
        <v>#REF!</v>
      </c>
      <c r="AD143" s="30" t="s">
        <v>218</v>
      </c>
      <c r="AE143" s="3"/>
      <c r="AF143" s="3"/>
      <c r="AG143" s="3"/>
      <c r="AH143" s="3"/>
      <c r="AI143" s="3"/>
      <c r="AJ143" s="3"/>
      <c r="A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 t="str">
        <f t="shared" si="33"/>
        <v/>
      </c>
      <c r="U144" s="3"/>
      <c r="V144" s="3"/>
      <c r="W144" s="3"/>
      <c r="X144" s="11" t="s">
        <v>219</v>
      </c>
      <c r="Y144" s="30">
        <v>350.0</v>
      </c>
      <c r="Z144" s="13" t="s">
        <v>220</v>
      </c>
      <c r="AB144" s="8" t="s">
        <v>221</v>
      </c>
      <c r="AC144" s="60" t="str">
        <f>ROUNDDOWN(((Y119*$Y$145)/9),0)</f>
        <v>#REF!</v>
      </c>
      <c r="AD144" s="30" t="s">
        <v>222</v>
      </c>
      <c r="AE144" s="3"/>
      <c r="AF144" s="3"/>
      <c r="AG144" s="3"/>
      <c r="AH144" s="3"/>
      <c r="AI144" s="3"/>
      <c r="AJ144" s="3"/>
      <c r="A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 t="str">
        <f t="shared" si="33"/>
        <v/>
      </c>
      <c r="U145" s="3"/>
      <c r="V145" s="3"/>
      <c r="W145" s="3"/>
      <c r="X145" s="54" t="s">
        <v>223</v>
      </c>
      <c r="Y145" s="79" t="str">
        <f>ROUNDDOWN((Y140-SUM(Y142:Y144)),0)</f>
        <v>#VALUE!</v>
      </c>
      <c r="Z145" s="31" t="s">
        <v>224</v>
      </c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 t="str">
        <f t="shared" si="33"/>
        <v/>
      </c>
      <c r="U146" s="3"/>
      <c r="V146" s="3"/>
      <c r="W146" s="3"/>
      <c r="X146" s="3"/>
      <c r="Y146" s="3" t="str">
        <f>SUM(Y142:Y145)</f>
        <v>#VALUE!</v>
      </c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 t="str">
        <f t="shared" si="33"/>
        <v/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 t="str">
        <f t="shared" si="33"/>
        <v/>
      </c>
      <c r="U148" s="3"/>
      <c r="V148" s="3"/>
      <c r="W148" s="3"/>
      <c r="X148" s="8" t="s">
        <v>225</v>
      </c>
      <c r="Y148" s="30">
        <v>100.0</v>
      </c>
      <c r="Z148" s="30" t="s">
        <v>226</v>
      </c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 t="str">
        <f t="shared" si="33"/>
        <v/>
      </c>
      <c r="U149" s="3"/>
      <c r="V149" s="3"/>
      <c r="W149" s="3"/>
      <c r="X149" s="8" t="s">
        <v>227</v>
      </c>
      <c r="Y149" s="3" t="str">
        <f>Z107-Y148</f>
        <v>#VALUE!</v>
      </c>
      <c r="Z149" s="30" t="s">
        <v>228</v>
      </c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 t="str">
        <f t="shared" si="33"/>
        <v/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 t="str">
        <f t="shared" si="33"/>
        <v/>
      </c>
      <c r="U151" s="3"/>
      <c r="V151" s="3"/>
      <c r="W151" s="3"/>
      <c r="X151" s="6" t="s">
        <v>21</v>
      </c>
      <c r="Y151" s="6" t="s">
        <v>229</v>
      </c>
      <c r="Z151" s="6" t="s">
        <v>230</v>
      </c>
      <c r="AA151" s="6" t="s">
        <v>231</v>
      </c>
      <c r="AC151" s="7"/>
      <c r="AD151" s="7"/>
      <c r="AE151" s="7"/>
      <c r="AF151" s="7"/>
      <c r="AG151" s="7"/>
      <c r="AH151" s="7"/>
      <c r="AI151" s="3"/>
      <c r="AJ151" s="3"/>
      <c r="A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 t="str">
        <f t="shared" si="33"/>
        <v/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 t="str">
        <f t="shared" si="33"/>
        <v/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 t="str">
        <f t="shared" si="33"/>
        <v/>
      </c>
      <c r="U154" s="3"/>
      <c r="V154" s="3"/>
      <c r="W154" s="3"/>
      <c r="X154" s="11" t="s">
        <v>232</v>
      </c>
      <c r="Y154" s="3" t="str">
        <f>Z79*Z107</f>
        <v>#VALUE!</v>
      </c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 t="str">
        <f t="shared" si="33"/>
        <v/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 t="str">
        <f t="shared" si="33"/>
        <v/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 t="str">
        <f t="shared" si="33"/>
        <v/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 t="str">
        <f t="shared" si="33"/>
        <v/>
      </c>
      <c r="U158" s="3"/>
      <c r="V158" s="3"/>
      <c r="W158" s="3"/>
      <c r="X158" s="6" t="s">
        <v>21</v>
      </c>
      <c r="Y158" s="6" t="s">
        <v>233</v>
      </c>
      <c r="Z158" s="6" t="s">
        <v>234</v>
      </c>
      <c r="AA158" s="6" t="s">
        <v>235</v>
      </c>
      <c r="AC158" s="7"/>
      <c r="AD158" s="7"/>
      <c r="AE158" s="7"/>
      <c r="AF158" s="7"/>
      <c r="AG158" s="7"/>
      <c r="AH158" s="7"/>
      <c r="AI158" s="3"/>
      <c r="AJ158" s="3"/>
      <c r="A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 t="str">
        <f t="shared" si="33"/>
        <v/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 t="str">
        <f t="shared" si="33"/>
        <v/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 t="str">
        <f t="shared" si="33"/>
        <v/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 t="str">
        <f t="shared" si="33"/>
        <v/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 t="str">
        <f t="shared" si="33"/>
        <v/>
      </c>
      <c r="U163" s="3"/>
      <c r="V163" s="3"/>
      <c r="W163" s="3"/>
      <c r="X163" s="6" t="s">
        <v>21</v>
      </c>
      <c r="Y163" s="6" t="s">
        <v>236</v>
      </c>
      <c r="Z163" s="6" t="s">
        <v>237</v>
      </c>
      <c r="AA163" s="6" t="s">
        <v>238</v>
      </c>
      <c r="AC163" s="7"/>
      <c r="AD163" s="7"/>
      <c r="AE163" s="7"/>
      <c r="AF163" s="7"/>
      <c r="AG163" s="7"/>
      <c r="AH163" s="7"/>
      <c r="AI163" s="3"/>
      <c r="AJ163" s="3"/>
      <c r="A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 t="str">
        <f t="shared" si="33"/>
        <v/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 t="str">
        <f t="shared" si="33"/>
        <v/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 t="str">
        <f t="shared" si="33"/>
        <v/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 t="str">
        <f t="shared" si="33"/>
        <v/>
      </c>
      <c r="U167" s="3"/>
      <c r="V167" s="3"/>
      <c r="W167" s="3"/>
      <c r="X167" s="6" t="s">
        <v>21</v>
      </c>
      <c r="Y167" s="6" t="s">
        <v>239</v>
      </c>
      <c r="Z167" s="6" t="s">
        <v>240</v>
      </c>
      <c r="AA167" s="6" t="s">
        <v>241</v>
      </c>
      <c r="AC167" s="7"/>
      <c r="AD167" s="7"/>
      <c r="AE167" s="7"/>
      <c r="AF167" s="7"/>
      <c r="AG167" s="7"/>
      <c r="AH167" s="7"/>
      <c r="AI167" s="3"/>
      <c r="AJ167" s="3"/>
      <c r="A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 t="str">
        <f t="shared" si="33"/>
        <v/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 t="str">
        <f t="shared" si="33"/>
        <v/>
      </c>
      <c r="U169" s="3"/>
      <c r="V169" s="3"/>
      <c r="W169" s="3"/>
      <c r="X169" s="11" t="s">
        <v>25</v>
      </c>
      <c r="Y169" s="3" t="str">
        <f>B6</f>
        <v/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 t="str">
        <f t="shared" si="33"/>
        <v/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 t="str">
        <f t="shared" si="33"/>
        <v/>
      </c>
      <c r="U171" s="3"/>
      <c r="V171" s="3"/>
      <c r="W171" s="3"/>
      <c r="AI171" s="3"/>
      <c r="AJ171" s="3"/>
      <c r="A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 t="str">
        <f t="shared" si="33"/>
        <v/>
      </c>
      <c r="U172" s="3"/>
      <c r="V172" s="3"/>
      <c r="W172" s="3"/>
      <c r="AI172" s="3"/>
      <c r="AJ172" s="3"/>
      <c r="A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 t="str">
        <f t="shared" si="33"/>
        <v/>
      </c>
      <c r="U173" s="3"/>
      <c r="V173" s="3"/>
      <c r="W173" s="3"/>
      <c r="AI173" s="3"/>
      <c r="AJ173" s="3"/>
      <c r="A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 t="str">
        <f t="shared" si="33"/>
        <v/>
      </c>
      <c r="U174" s="3"/>
      <c r="V174" s="3"/>
      <c r="W174" s="3"/>
      <c r="AI174" s="3"/>
      <c r="AJ174" s="3"/>
      <c r="A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 t="str">
        <f t="shared" si="33"/>
        <v/>
      </c>
      <c r="U175" s="3"/>
      <c r="V175" s="3"/>
      <c r="AI175" s="3"/>
      <c r="AJ175" s="3"/>
      <c r="A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AI176" s="3"/>
      <c r="AJ176" s="3"/>
      <c r="A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AI177" s="3"/>
      <c r="AJ177" s="3"/>
      <c r="A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AI178" s="3"/>
      <c r="AJ178" s="3"/>
      <c r="A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AI179" s="3"/>
      <c r="AJ179" s="3"/>
      <c r="A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AI180" s="3"/>
      <c r="AJ180" s="3"/>
      <c r="A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AI181" s="3"/>
      <c r="AJ181" s="3"/>
      <c r="A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</sheetData>
  <mergeCells count="19">
    <mergeCell ref="AA14:AB14"/>
    <mergeCell ref="AA19:AB19"/>
    <mergeCell ref="X23:Y23"/>
    <mergeCell ref="AA26:AB26"/>
    <mergeCell ref="AA38:AB38"/>
    <mergeCell ref="X40:Y40"/>
    <mergeCell ref="AA58:AB58"/>
    <mergeCell ref="AA134:AB134"/>
    <mergeCell ref="AA151:AB151"/>
    <mergeCell ref="AA158:AB158"/>
    <mergeCell ref="AA163:AB163"/>
    <mergeCell ref="AA167:AB167"/>
    <mergeCell ref="AA61:AB61"/>
    <mergeCell ref="AA87:AB87"/>
    <mergeCell ref="AA96:AB96"/>
    <mergeCell ref="AA100:AB100"/>
    <mergeCell ref="AA110:AB110"/>
    <mergeCell ref="AA123:AB123"/>
    <mergeCell ref="AA128:AB12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